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ЦяКнига"/>
  <mc:AlternateContent xmlns:mc="http://schemas.openxmlformats.org/markup-compatibility/2006">
    <mc:Choice Requires="x15">
      <x15ac:absPath xmlns:x15ac="http://schemas.microsoft.com/office/spreadsheetml/2010/11/ac" url="https://d.docs.live.net/59c05dac03530901/University/Dyplom/dyplom csv and plots/YouTube Music/"/>
    </mc:Choice>
  </mc:AlternateContent>
  <xr:revisionPtr revIDLastSave="13" documentId="11_3E0ACBF5B7AEA95A36F1ABD3FE19B7FF8FDE2864" xr6:coauthVersionLast="47" xr6:coauthVersionMax="47" xr10:uidLastSave="{6FBE1FDF-4CA1-4D91-9A99-542D7E8384F3}"/>
  <bookViews>
    <workbookView xWindow="-108" yWindow="-108" windowWidth="23256" windowHeight="13176" activeTab="1" xr2:uid="{00000000-000D-0000-FFFF-FFFF00000000}"/>
  </bookViews>
  <sheets>
    <sheet name="all data" sheetId="1" r:id="rId1"/>
    <sheet name="artists" sheetId="2" r:id="rId2"/>
    <sheet name="23week8" sheetId="3" r:id="rId3"/>
    <sheet name="23week7" sheetId="4" r:id="rId4"/>
    <sheet name="23week6" sheetId="5" r:id="rId5"/>
    <sheet name="23week5" sheetId="6" r:id="rId6"/>
    <sheet name="23week4" sheetId="7" r:id="rId7"/>
    <sheet name="23week3" sheetId="8" r:id="rId8"/>
    <sheet name="23week2" sheetId="9" r:id="rId9"/>
    <sheet name="23week1" sheetId="10" r:id="rId10"/>
    <sheet name="week52" sheetId="11" r:id="rId11"/>
    <sheet name="week51" sheetId="12" r:id="rId12"/>
    <sheet name="week50" sheetId="13" r:id="rId13"/>
    <sheet name="week49" sheetId="14" r:id="rId14"/>
    <sheet name="week48" sheetId="15" r:id="rId15"/>
    <sheet name="week47" sheetId="16" r:id="rId16"/>
    <sheet name="week46" sheetId="17" r:id="rId17"/>
    <sheet name="week45" sheetId="18" r:id="rId18"/>
    <sheet name="week44" sheetId="19" r:id="rId19"/>
    <sheet name="week43" sheetId="20" r:id="rId20"/>
    <sheet name="week42" sheetId="21" r:id="rId21"/>
    <sheet name="week41" sheetId="22" r:id="rId22"/>
    <sheet name="week40" sheetId="23" r:id="rId23"/>
    <sheet name="week39" sheetId="24" r:id="rId24"/>
    <sheet name="week38" sheetId="25" r:id="rId25"/>
    <sheet name="week37" sheetId="26" r:id="rId26"/>
    <sheet name="week36" sheetId="27" r:id="rId27"/>
    <sheet name="week35" sheetId="28" r:id="rId28"/>
    <sheet name="week34" sheetId="29" r:id="rId29"/>
    <sheet name="week33" sheetId="30" r:id="rId30"/>
    <sheet name="week32" sheetId="31" r:id="rId31"/>
    <sheet name="week31" sheetId="32" r:id="rId32"/>
    <sheet name="week30" sheetId="33" r:id="rId33"/>
    <sheet name="week29" sheetId="34" r:id="rId34"/>
    <sheet name="week28" sheetId="35" r:id="rId35"/>
    <sheet name="week27" sheetId="36" r:id="rId36"/>
    <sheet name="week26" sheetId="37" r:id="rId37"/>
    <sheet name="week25" sheetId="38" r:id="rId38"/>
    <sheet name="week24" sheetId="39" r:id="rId39"/>
    <sheet name="week23" sheetId="40" r:id="rId40"/>
    <sheet name="week22" sheetId="41" r:id="rId41"/>
    <sheet name="week21" sheetId="42" r:id="rId42"/>
    <sheet name="week20" sheetId="43" r:id="rId43"/>
    <sheet name="week19" sheetId="44" r:id="rId44"/>
    <sheet name="week18" sheetId="45" r:id="rId45"/>
    <sheet name="week17" sheetId="46" r:id="rId46"/>
    <sheet name="week16" sheetId="47" r:id="rId47"/>
    <sheet name="week15" sheetId="48" r:id="rId48"/>
    <sheet name="week14" sheetId="49" r:id="rId49"/>
    <sheet name="week13" sheetId="50" r:id="rId50"/>
    <sheet name="week12" sheetId="51" r:id="rId51"/>
    <sheet name="week11" sheetId="52" r:id="rId52"/>
    <sheet name="week10" sheetId="53" r:id="rId53"/>
    <sheet name="week9" sheetId="54" r:id="rId54"/>
    <sheet name="week8" sheetId="55" r:id="rId55"/>
    <sheet name="week7" sheetId="56" r:id="rId56"/>
    <sheet name="week6" sheetId="57" r:id="rId57"/>
    <sheet name="week5" sheetId="58" r:id="rId58"/>
    <sheet name="week4" sheetId="59" r:id="rId59"/>
    <sheet name="week3" sheetId="60" r:id="rId60"/>
    <sheet name="week2" sheetId="61" r:id="rId61"/>
    <sheet name="week1" sheetId="62" r:id="rId6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1" i="62" l="1"/>
  <c r="J101" i="62"/>
  <c r="I101" i="62"/>
  <c r="K100" i="62"/>
  <c r="J100" i="62"/>
  <c r="I100" i="62"/>
  <c r="K99" i="62"/>
  <c r="J99" i="62"/>
  <c r="I99" i="62"/>
  <c r="K98" i="62"/>
  <c r="J98" i="62"/>
  <c r="I98" i="62"/>
  <c r="K97" i="62"/>
  <c r="J97" i="62"/>
  <c r="I97" i="62"/>
  <c r="K96" i="62"/>
  <c r="J96" i="62"/>
  <c r="I96" i="62"/>
  <c r="K95" i="62"/>
  <c r="J95" i="62"/>
  <c r="I95" i="62"/>
  <c r="K94" i="62"/>
  <c r="J94" i="62"/>
  <c r="I94" i="62"/>
  <c r="K93" i="62"/>
  <c r="J93" i="62"/>
  <c r="I93" i="62"/>
  <c r="K92" i="62"/>
  <c r="J92" i="62"/>
  <c r="I92" i="62"/>
  <c r="K91" i="62"/>
  <c r="J91" i="62"/>
  <c r="I91" i="62"/>
  <c r="K90" i="62"/>
  <c r="J90" i="62"/>
  <c r="I90" i="62"/>
  <c r="K89" i="62"/>
  <c r="J89" i="62"/>
  <c r="I89" i="62"/>
  <c r="K88" i="62"/>
  <c r="J88" i="62"/>
  <c r="I88" i="62"/>
  <c r="K87" i="62"/>
  <c r="J87" i="62"/>
  <c r="I87" i="62"/>
  <c r="K86" i="62"/>
  <c r="J86" i="62"/>
  <c r="I86" i="62"/>
  <c r="K85" i="62"/>
  <c r="J85" i="62"/>
  <c r="I85" i="62"/>
  <c r="K84" i="62"/>
  <c r="J84" i="62"/>
  <c r="I84" i="62"/>
  <c r="K83" i="62"/>
  <c r="J83" i="62"/>
  <c r="I83" i="62"/>
  <c r="K82" i="62"/>
  <c r="J82" i="62"/>
  <c r="I82" i="62"/>
  <c r="K81" i="62"/>
  <c r="J81" i="62"/>
  <c r="I81" i="62"/>
  <c r="K80" i="62"/>
  <c r="J80" i="62"/>
  <c r="I80" i="62"/>
  <c r="K79" i="62"/>
  <c r="J79" i="62"/>
  <c r="I79" i="62"/>
  <c r="K78" i="62"/>
  <c r="J78" i="62"/>
  <c r="I78" i="62"/>
  <c r="K77" i="62"/>
  <c r="J77" i="62"/>
  <c r="I77" i="62"/>
  <c r="K76" i="62"/>
  <c r="J76" i="62"/>
  <c r="I76" i="62"/>
  <c r="K75" i="62"/>
  <c r="J75" i="62"/>
  <c r="I75" i="62"/>
  <c r="K74" i="62"/>
  <c r="J74" i="62"/>
  <c r="I74" i="62"/>
  <c r="K73" i="62"/>
  <c r="J73" i="62"/>
  <c r="I73" i="62"/>
  <c r="K72" i="62"/>
  <c r="J72" i="62"/>
  <c r="I72" i="62"/>
  <c r="K71" i="62"/>
  <c r="J71" i="62"/>
  <c r="I71" i="62"/>
  <c r="K70" i="62"/>
  <c r="J70" i="62"/>
  <c r="I70" i="62"/>
  <c r="K69" i="62"/>
  <c r="J69" i="62"/>
  <c r="I69" i="62"/>
  <c r="K68" i="62"/>
  <c r="J68" i="62"/>
  <c r="I68" i="62"/>
  <c r="K67" i="62"/>
  <c r="J67" i="62"/>
  <c r="I67" i="62"/>
  <c r="K66" i="62"/>
  <c r="J66" i="62"/>
  <c r="I66" i="62"/>
  <c r="K65" i="62"/>
  <c r="J65" i="62"/>
  <c r="I65" i="62"/>
  <c r="K64" i="62"/>
  <c r="J64" i="62"/>
  <c r="I64" i="62"/>
  <c r="K63" i="62"/>
  <c r="J63" i="62"/>
  <c r="I63" i="62"/>
  <c r="K62" i="62"/>
  <c r="J62" i="62"/>
  <c r="I62" i="62"/>
  <c r="K61" i="62"/>
  <c r="J61" i="62"/>
  <c r="I61" i="62"/>
  <c r="K60" i="62"/>
  <c r="J60" i="62"/>
  <c r="I60" i="62"/>
  <c r="K59" i="62"/>
  <c r="J59" i="62"/>
  <c r="I59" i="62"/>
  <c r="K58" i="62"/>
  <c r="J58" i="62"/>
  <c r="I58" i="62"/>
  <c r="K57" i="62"/>
  <c r="J57" i="62"/>
  <c r="I57" i="62"/>
  <c r="K56" i="62"/>
  <c r="J56" i="62"/>
  <c r="I56" i="62"/>
  <c r="K55" i="62"/>
  <c r="J55" i="62"/>
  <c r="I55" i="62"/>
  <c r="K54" i="62"/>
  <c r="J54" i="62"/>
  <c r="I54" i="62"/>
  <c r="K53" i="62"/>
  <c r="J53" i="62"/>
  <c r="I53" i="62"/>
  <c r="K52" i="62"/>
  <c r="J52" i="62"/>
  <c r="I52" i="62"/>
  <c r="K51" i="62"/>
  <c r="J51" i="62"/>
  <c r="I51" i="62"/>
  <c r="K50" i="62"/>
  <c r="J50" i="62"/>
  <c r="I50" i="62"/>
  <c r="K49" i="62"/>
  <c r="J49" i="62"/>
  <c r="I49" i="62"/>
  <c r="K48" i="62"/>
  <c r="J48" i="62"/>
  <c r="I48" i="62"/>
  <c r="K47" i="62"/>
  <c r="J47" i="62"/>
  <c r="I47" i="62"/>
  <c r="K46" i="62"/>
  <c r="J46" i="62"/>
  <c r="I46" i="62"/>
  <c r="K45" i="62"/>
  <c r="J45" i="62"/>
  <c r="I45" i="62"/>
  <c r="K44" i="62"/>
  <c r="J44" i="62"/>
  <c r="I44" i="62"/>
  <c r="K43" i="62"/>
  <c r="J43" i="62"/>
  <c r="I43" i="62"/>
  <c r="K42" i="62"/>
  <c r="J42" i="62"/>
  <c r="I42" i="62"/>
  <c r="K41" i="62"/>
  <c r="J41" i="62"/>
  <c r="I41" i="62"/>
  <c r="K40" i="62"/>
  <c r="J40" i="62"/>
  <c r="I40" i="62"/>
  <c r="K39" i="62"/>
  <c r="J39" i="62"/>
  <c r="I39" i="62"/>
  <c r="K38" i="62"/>
  <c r="J38" i="62"/>
  <c r="I38" i="62"/>
  <c r="K37" i="62"/>
  <c r="J37" i="62"/>
  <c r="I37" i="62"/>
  <c r="K36" i="62"/>
  <c r="J36" i="62"/>
  <c r="I36" i="62"/>
  <c r="K35" i="62"/>
  <c r="J35" i="62"/>
  <c r="I35" i="62"/>
  <c r="K34" i="62"/>
  <c r="J34" i="62"/>
  <c r="I34" i="62"/>
  <c r="K33" i="62"/>
  <c r="J33" i="62"/>
  <c r="I33" i="62"/>
  <c r="K32" i="62"/>
  <c r="J32" i="62"/>
  <c r="I32" i="62"/>
  <c r="K31" i="62"/>
  <c r="J31" i="62"/>
  <c r="I31" i="62"/>
  <c r="K30" i="62"/>
  <c r="J30" i="62"/>
  <c r="I30" i="62"/>
  <c r="K29" i="62"/>
  <c r="J29" i="62"/>
  <c r="I29" i="62"/>
  <c r="K28" i="62"/>
  <c r="J28" i="62"/>
  <c r="I28" i="62"/>
  <c r="K27" i="62"/>
  <c r="J27" i="62"/>
  <c r="I27" i="62"/>
  <c r="K26" i="62"/>
  <c r="J26" i="62"/>
  <c r="I26" i="62"/>
  <c r="K25" i="62"/>
  <c r="J25" i="62"/>
  <c r="I25" i="62"/>
  <c r="K24" i="62"/>
  <c r="J24" i="62"/>
  <c r="I24" i="62"/>
  <c r="K23" i="62"/>
  <c r="J23" i="62"/>
  <c r="I23" i="62"/>
  <c r="K22" i="62"/>
  <c r="J22" i="62"/>
  <c r="I22" i="62"/>
  <c r="K21" i="62"/>
  <c r="J21" i="62"/>
  <c r="I21" i="62"/>
  <c r="K20" i="62"/>
  <c r="J20" i="62"/>
  <c r="I20" i="62"/>
  <c r="K19" i="62"/>
  <c r="J19" i="62"/>
  <c r="I19" i="62"/>
  <c r="K18" i="62"/>
  <c r="J18" i="62"/>
  <c r="I18" i="62"/>
  <c r="K17" i="62"/>
  <c r="J17" i="62"/>
  <c r="I17" i="62"/>
  <c r="K16" i="62"/>
  <c r="J16" i="62"/>
  <c r="I16" i="62"/>
  <c r="K15" i="62"/>
  <c r="J15" i="62"/>
  <c r="I15" i="62"/>
  <c r="K14" i="62"/>
  <c r="J14" i="62"/>
  <c r="I14" i="62"/>
  <c r="K13" i="62"/>
  <c r="J13" i="62"/>
  <c r="I13" i="62"/>
  <c r="K12" i="62"/>
  <c r="J12" i="62"/>
  <c r="I12" i="62"/>
  <c r="K11" i="62"/>
  <c r="J11" i="62"/>
  <c r="I11" i="62"/>
  <c r="K10" i="62"/>
  <c r="J10" i="62"/>
  <c r="I10" i="62"/>
  <c r="K9" i="62"/>
  <c r="J9" i="62"/>
  <c r="I9" i="62"/>
  <c r="K8" i="62"/>
  <c r="J8" i="62"/>
  <c r="I8" i="62"/>
  <c r="K7" i="62"/>
  <c r="J7" i="62"/>
  <c r="I7" i="62"/>
  <c r="K6" i="62"/>
  <c r="J6" i="62"/>
  <c r="I6" i="62"/>
  <c r="K5" i="62"/>
  <c r="J5" i="62"/>
  <c r="I5" i="62"/>
  <c r="K4" i="62"/>
  <c r="J4" i="62"/>
  <c r="I4" i="62"/>
  <c r="K3" i="62"/>
  <c r="J3" i="62"/>
  <c r="I3" i="62"/>
  <c r="K2" i="62"/>
  <c r="J2" i="62"/>
  <c r="I2" i="62"/>
  <c r="K101" i="61"/>
  <c r="J101" i="61"/>
  <c r="I101" i="61"/>
  <c r="K100" i="61"/>
  <c r="J100" i="61"/>
  <c r="I100" i="61"/>
  <c r="K99" i="61"/>
  <c r="J99" i="61"/>
  <c r="I99" i="61"/>
  <c r="K98" i="61"/>
  <c r="J98" i="61"/>
  <c r="I98" i="61"/>
  <c r="K97" i="61"/>
  <c r="J97" i="61"/>
  <c r="I97" i="61"/>
  <c r="K96" i="61"/>
  <c r="J96" i="61"/>
  <c r="I96" i="61"/>
  <c r="K95" i="61"/>
  <c r="J95" i="61"/>
  <c r="I95" i="61"/>
  <c r="K94" i="61"/>
  <c r="J94" i="61"/>
  <c r="I94" i="61"/>
  <c r="K93" i="61"/>
  <c r="J93" i="61"/>
  <c r="I93" i="61"/>
  <c r="K92" i="61"/>
  <c r="J92" i="61"/>
  <c r="I92" i="61"/>
  <c r="K91" i="61"/>
  <c r="J91" i="61"/>
  <c r="I91" i="61"/>
  <c r="K90" i="61"/>
  <c r="J90" i="61"/>
  <c r="I90" i="61"/>
  <c r="K89" i="61"/>
  <c r="J89" i="61"/>
  <c r="I89" i="61"/>
  <c r="K88" i="61"/>
  <c r="J88" i="61"/>
  <c r="I88" i="61"/>
  <c r="K87" i="61"/>
  <c r="J87" i="61"/>
  <c r="I87" i="61"/>
  <c r="K86" i="61"/>
  <c r="J86" i="61"/>
  <c r="I86" i="61"/>
  <c r="K85" i="61"/>
  <c r="J85" i="61"/>
  <c r="I85" i="61"/>
  <c r="K84" i="61"/>
  <c r="J84" i="61"/>
  <c r="I84" i="61"/>
  <c r="K83" i="61"/>
  <c r="J83" i="61"/>
  <c r="I83" i="61"/>
  <c r="K82" i="61"/>
  <c r="J82" i="61"/>
  <c r="I82" i="61"/>
  <c r="K81" i="61"/>
  <c r="J81" i="61"/>
  <c r="I81" i="61"/>
  <c r="K80" i="61"/>
  <c r="J80" i="61"/>
  <c r="I80" i="61"/>
  <c r="K79" i="61"/>
  <c r="J79" i="61"/>
  <c r="I79" i="61"/>
  <c r="K78" i="61"/>
  <c r="J78" i="61"/>
  <c r="I78" i="61"/>
  <c r="K77" i="61"/>
  <c r="J77" i="61"/>
  <c r="I77" i="61"/>
  <c r="K76" i="61"/>
  <c r="J76" i="61"/>
  <c r="I76" i="61"/>
  <c r="K75" i="61"/>
  <c r="J75" i="61"/>
  <c r="I75" i="61"/>
  <c r="K74" i="61"/>
  <c r="J74" i="61"/>
  <c r="I74" i="61"/>
  <c r="K73" i="61"/>
  <c r="J73" i="61"/>
  <c r="I73" i="61"/>
  <c r="K72" i="61"/>
  <c r="J72" i="61"/>
  <c r="I72" i="61"/>
  <c r="K71" i="61"/>
  <c r="J71" i="61"/>
  <c r="I71" i="61"/>
  <c r="K70" i="61"/>
  <c r="J70" i="61"/>
  <c r="I70" i="61"/>
  <c r="K69" i="61"/>
  <c r="J69" i="61"/>
  <c r="I69" i="61"/>
  <c r="K68" i="61"/>
  <c r="J68" i="61"/>
  <c r="I68" i="61"/>
  <c r="K67" i="61"/>
  <c r="J67" i="61"/>
  <c r="I67" i="61"/>
  <c r="K66" i="61"/>
  <c r="J66" i="61"/>
  <c r="I66" i="61"/>
  <c r="K65" i="61"/>
  <c r="J65" i="61"/>
  <c r="I65" i="61"/>
  <c r="K64" i="61"/>
  <c r="J64" i="61"/>
  <c r="I64" i="61"/>
  <c r="K63" i="61"/>
  <c r="J63" i="61"/>
  <c r="I63" i="61"/>
  <c r="K62" i="61"/>
  <c r="J62" i="61"/>
  <c r="I62" i="61"/>
  <c r="K61" i="61"/>
  <c r="J61" i="61"/>
  <c r="I61" i="61"/>
  <c r="K60" i="61"/>
  <c r="J60" i="61"/>
  <c r="I60" i="61"/>
  <c r="K59" i="61"/>
  <c r="J59" i="61"/>
  <c r="I59" i="61"/>
  <c r="K58" i="61"/>
  <c r="J58" i="61"/>
  <c r="I58" i="61"/>
  <c r="K57" i="61"/>
  <c r="J57" i="61"/>
  <c r="I57" i="61"/>
  <c r="K56" i="61"/>
  <c r="J56" i="61"/>
  <c r="I56" i="61"/>
  <c r="K55" i="61"/>
  <c r="J55" i="61"/>
  <c r="I55" i="61"/>
  <c r="K54" i="61"/>
  <c r="J54" i="61"/>
  <c r="I54" i="61"/>
  <c r="K53" i="61"/>
  <c r="J53" i="61"/>
  <c r="I53" i="61"/>
  <c r="K52" i="61"/>
  <c r="J52" i="61"/>
  <c r="I52" i="61"/>
  <c r="K51" i="61"/>
  <c r="J51" i="61"/>
  <c r="I51" i="61"/>
  <c r="K50" i="61"/>
  <c r="J50" i="61"/>
  <c r="I50" i="61"/>
  <c r="K49" i="61"/>
  <c r="J49" i="61"/>
  <c r="I49" i="61"/>
  <c r="K48" i="61"/>
  <c r="J48" i="61"/>
  <c r="I48" i="61"/>
  <c r="K47" i="61"/>
  <c r="J47" i="61"/>
  <c r="I47" i="61"/>
  <c r="K46" i="61"/>
  <c r="J46" i="61"/>
  <c r="I46" i="61"/>
  <c r="K45" i="61"/>
  <c r="J45" i="61"/>
  <c r="I45" i="61"/>
  <c r="K44" i="61"/>
  <c r="J44" i="61"/>
  <c r="I44" i="61"/>
  <c r="K43" i="61"/>
  <c r="J43" i="61"/>
  <c r="I43" i="61"/>
  <c r="K42" i="61"/>
  <c r="J42" i="61"/>
  <c r="I42" i="61"/>
  <c r="K41" i="61"/>
  <c r="J41" i="61"/>
  <c r="I41" i="61"/>
  <c r="K40" i="61"/>
  <c r="J40" i="61"/>
  <c r="I40" i="61"/>
  <c r="K39" i="61"/>
  <c r="J39" i="61"/>
  <c r="I39" i="61"/>
  <c r="K38" i="61"/>
  <c r="J38" i="61"/>
  <c r="I38" i="61"/>
  <c r="K37" i="61"/>
  <c r="J37" i="61"/>
  <c r="I37" i="61"/>
  <c r="K36" i="61"/>
  <c r="J36" i="61"/>
  <c r="I36" i="61"/>
  <c r="K35" i="61"/>
  <c r="J35" i="61"/>
  <c r="I35" i="61"/>
  <c r="K34" i="61"/>
  <c r="J34" i="61"/>
  <c r="I34" i="61"/>
  <c r="K33" i="61"/>
  <c r="J33" i="61"/>
  <c r="I33" i="61"/>
  <c r="K32" i="61"/>
  <c r="J32" i="61"/>
  <c r="I32" i="61"/>
  <c r="K31" i="61"/>
  <c r="J31" i="61"/>
  <c r="I31" i="61"/>
  <c r="K30" i="61"/>
  <c r="J30" i="61"/>
  <c r="I30" i="61"/>
  <c r="K29" i="61"/>
  <c r="J29" i="61"/>
  <c r="I29" i="61"/>
  <c r="K28" i="61"/>
  <c r="J28" i="61"/>
  <c r="I28" i="61"/>
  <c r="K27" i="61"/>
  <c r="J27" i="61"/>
  <c r="I27" i="61"/>
  <c r="K26" i="61"/>
  <c r="J26" i="61"/>
  <c r="I26" i="61"/>
  <c r="K25" i="61"/>
  <c r="J25" i="61"/>
  <c r="I25" i="61"/>
  <c r="K24" i="61"/>
  <c r="J24" i="61"/>
  <c r="I24" i="61"/>
  <c r="K23" i="61"/>
  <c r="J23" i="61"/>
  <c r="I23" i="61"/>
  <c r="K22" i="61"/>
  <c r="J22" i="61"/>
  <c r="I22" i="61"/>
  <c r="K21" i="61"/>
  <c r="J21" i="61"/>
  <c r="I21" i="61"/>
  <c r="K20" i="61"/>
  <c r="J20" i="61"/>
  <c r="I20" i="61"/>
  <c r="K19" i="61"/>
  <c r="J19" i="61"/>
  <c r="I19" i="61"/>
  <c r="K18" i="61"/>
  <c r="J18" i="61"/>
  <c r="I18" i="61"/>
  <c r="K17" i="61"/>
  <c r="J17" i="61"/>
  <c r="I17" i="61"/>
  <c r="K16" i="61"/>
  <c r="J16" i="61"/>
  <c r="I16" i="61"/>
  <c r="K15" i="61"/>
  <c r="J15" i="61"/>
  <c r="I15" i="61"/>
  <c r="K14" i="61"/>
  <c r="J14" i="61"/>
  <c r="I14" i="61"/>
  <c r="K13" i="61"/>
  <c r="J13" i="61"/>
  <c r="I13" i="61"/>
  <c r="K12" i="61"/>
  <c r="J12" i="61"/>
  <c r="I12" i="61"/>
  <c r="K11" i="61"/>
  <c r="J11" i="61"/>
  <c r="I11" i="61"/>
  <c r="K10" i="61"/>
  <c r="J10" i="61"/>
  <c r="I10" i="61"/>
  <c r="K9" i="61"/>
  <c r="J9" i="61"/>
  <c r="I9" i="61"/>
  <c r="K8" i="61"/>
  <c r="J8" i="61"/>
  <c r="I8" i="61"/>
  <c r="K7" i="61"/>
  <c r="J7" i="61"/>
  <c r="I7" i="61"/>
  <c r="K6" i="61"/>
  <c r="J6" i="61"/>
  <c r="I6" i="61"/>
  <c r="K5" i="61"/>
  <c r="J5" i="61"/>
  <c r="I5" i="61"/>
  <c r="K4" i="61"/>
  <c r="J4" i="61"/>
  <c r="I4" i="61"/>
  <c r="K3" i="61"/>
  <c r="J3" i="61"/>
  <c r="I3" i="61"/>
  <c r="K2" i="61"/>
  <c r="J2" i="61"/>
  <c r="I2" i="61"/>
  <c r="K101" i="60"/>
  <c r="J101" i="60"/>
  <c r="I101" i="60"/>
  <c r="K100" i="60"/>
  <c r="J100" i="60"/>
  <c r="I100" i="60"/>
  <c r="K99" i="60"/>
  <c r="J99" i="60"/>
  <c r="I99" i="60"/>
  <c r="K98" i="60"/>
  <c r="J98" i="60"/>
  <c r="I98" i="60"/>
  <c r="K97" i="60"/>
  <c r="J97" i="60"/>
  <c r="I97" i="60"/>
  <c r="K96" i="60"/>
  <c r="J96" i="60"/>
  <c r="I96" i="60"/>
  <c r="K95" i="60"/>
  <c r="J95" i="60"/>
  <c r="I95" i="60"/>
  <c r="K94" i="60"/>
  <c r="J94" i="60"/>
  <c r="I94" i="60"/>
  <c r="K93" i="60"/>
  <c r="J93" i="60"/>
  <c r="I93" i="60"/>
  <c r="K92" i="60"/>
  <c r="J92" i="60"/>
  <c r="I92" i="60"/>
  <c r="K91" i="60"/>
  <c r="J91" i="60"/>
  <c r="I91" i="60"/>
  <c r="K90" i="60"/>
  <c r="J90" i="60"/>
  <c r="I90" i="60"/>
  <c r="K89" i="60"/>
  <c r="J89" i="60"/>
  <c r="I89" i="60"/>
  <c r="K88" i="60"/>
  <c r="J88" i="60"/>
  <c r="I88" i="60"/>
  <c r="K87" i="60"/>
  <c r="J87" i="60"/>
  <c r="I87" i="60"/>
  <c r="K86" i="60"/>
  <c r="J86" i="60"/>
  <c r="I86" i="60"/>
  <c r="K85" i="60"/>
  <c r="J85" i="60"/>
  <c r="I85" i="60"/>
  <c r="K84" i="60"/>
  <c r="J84" i="60"/>
  <c r="I84" i="60"/>
  <c r="K83" i="60"/>
  <c r="J83" i="60"/>
  <c r="I83" i="60"/>
  <c r="K82" i="60"/>
  <c r="J82" i="60"/>
  <c r="I82" i="60"/>
  <c r="K81" i="60"/>
  <c r="J81" i="60"/>
  <c r="I81" i="60"/>
  <c r="K80" i="60"/>
  <c r="J80" i="60"/>
  <c r="I80" i="60"/>
  <c r="K79" i="60"/>
  <c r="J79" i="60"/>
  <c r="I79" i="60"/>
  <c r="K78" i="60"/>
  <c r="J78" i="60"/>
  <c r="I78" i="60"/>
  <c r="K77" i="60"/>
  <c r="J77" i="60"/>
  <c r="I77" i="60"/>
  <c r="K76" i="60"/>
  <c r="J76" i="60"/>
  <c r="I76" i="60"/>
  <c r="K75" i="60"/>
  <c r="J75" i="60"/>
  <c r="I75" i="60"/>
  <c r="K74" i="60"/>
  <c r="J74" i="60"/>
  <c r="I74" i="60"/>
  <c r="K73" i="60"/>
  <c r="J73" i="60"/>
  <c r="I73" i="60"/>
  <c r="K72" i="60"/>
  <c r="J72" i="60"/>
  <c r="I72" i="60"/>
  <c r="K71" i="60"/>
  <c r="J71" i="60"/>
  <c r="I71" i="60"/>
  <c r="K70" i="60"/>
  <c r="J70" i="60"/>
  <c r="I70" i="60"/>
  <c r="K69" i="60"/>
  <c r="J69" i="60"/>
  <c r="I69" i="60"/>
  <c r="K68" i="60"/>
  <c r="J68" i="60"/>
  <c r="I68" i="60"/>
  <c r="K67" i="60"/>
  <c r="J67" i="60"/>
  <c r="I67" i="60"/>
  <c r="K66" i="60"/>
  <c r="J66" i="60"/>
  <c r="I66" i="60"/>
  <c r="K65" i="60"/>
  <c r="J65" i="60"/>
  <c r="I65" i="60"/>
  <c r="K64" i="60"/>
  <c r="J64" i="60"/>
  <c r="I64" i="60"/>
  <c r="K63" i="60"/>
  <c r="J63" i="60"/>
  <c r="I63" i="60"/>
  <c r="K62" i="60"/>
  <c r="J62" i="60"/>
  <c r="I62" i="60"/>
  <c r="K61" i="60"/>
  <c r="J61" i="60"/>
  <c r="I61" i="60"/>
  <c r="K60" i="60"/>
  <c r="J60" i="60"/>
  <c r="I60" i="60"/>
  <c r="K59" i="60"/>
  <c r="J59" i="60"/>
  <c r="I59" i="60"/>
  <c r="K58" i="60"/>
  <c r="J58" i="60"/>
  <c r="I58" i="60"/>
  <c r="K57" i="60"/>
  <c r="J57" i="60"/>
  <c r="I57" i="60"/>
  <c r="K56" i="60"/>
  <c r="J56" i="60"/>
  <c r="I56" i="60"/>
  <c r="K55" i="60"/>
  <c r="J55" i="60"/>
  <c r="I55" i="60"/>
  <c r="K54" i="60"/>
  <c r="J54" i="60"/>
  <c r="I54" i="60"/>
  <c r="K53" i="60"/>
  <c r="J53" i="60"/>
  <c r="I53" i="60"/>
  <c r="K52" i="60"/>
  <c r="J52" i="60"/>
  <c r="I52" i="60"/>
  <c r="K51" i="60"/>
  <c r="J51" i="60"/>
  <c r="I51" i="60"/>
  <c r="K50" i="60"/>
  <c r="J50" i="60"/>
  <c r="I50" i="60"/>
  <c r="K49" i="60"/>
  <c r="J49" i="60"/>
  <c r="I49" i="60"/>
  <c r="K48" i="60"/>
  <c r="J48" i="60"/>
  <c r="I48" i="60"/>
  <c r="K47" i="60"/>
  <c r="J47" i="60"/>
  <c r="I47" i="60"/>
  <c r="K46" i="60"/>
  <c r="J46" i="60"/>
  <c r="I46" i="60"/>
  <c r="K45" i="60"/>
  <c r="J45" i="60"/>
  <c r="I45" i="60"/>
  <c r="K44" i="60"/>
  <c r="J44" i="60"/>
  <c r="I44" i="60"/>
  <c r="K43" i="60"/>
  <c r="J43" i="60"/>
  <c r="I43" i="60"/>
  <c r="K42" i="60"/>
  <c r="J42" i="60"/>
  <c r="I42" i="60"/>
  <c r="K41" i="60"/>
  <c r="J41" i="60"/>
  <c r="I41" i="60"/>
  <c r="K40" i="60"/>
  <c r="J40" i="60"/>
  <c r="I40" i="60"/>
  <c r="K39" i="60"/>
  <c r="J39" i="60"/>
  <c r="I39" i="60"/>
  <c r="K38" i="60"/>
  <c r="J38" i="60"/>
  <c r="I38" i="60"/>
  <c r="K37" i="60"/>
  <c r="J37" i="60"/>
  <c r="I37" i="60"/>
  <c r="K36" i="60"/>
  <c r="J36" i="60"/>
  <c r="I36" i="60"/>
  <c r="K35" i="60"/>
  <c r="J35" i="60"/>
  <c r="I35" i="60"/>
  <c r="K34" i="60"/>
  <c r="J34" i="60"/>
  <c r="I34" i="60"/>
  <c r="K33" i="60"/>
  <c r="J33" i="60"/>
  <c r="I33" i="60"/>
  <c r="K32" i="60"/>
  <c r="J32" i="60"/>
  <c r="I32" i="60"/>
  <c r="K31" i="60"/>
  <c r="J31" i="60"/>
  <c r="I31" i="60"/>
  <c r="K30" i="60"/>
  <c r="J30" i="60"/>
  <c r="I30" i="60"/>
  <c r="K29" i="60"/>
  <c r="J29" i="60"/>
  <c r="I29" i="60"/>
  <c r="K28" i="60"/>
  <c r="J28" i="60"/>
  <c r="I28" i="60"/>
  <c r="K27" i="60"/>
  <c r="J27" i="60"/>
  <c r="I27" i="60"/>
  <c r="K26" i="60"/>
  <c r="J26" i="60"/>
  <c r="I26" i="60"/>
  <c r="K25" i="60"/>
  <c r="J25" i="60"/>
  <c r="I25" i="60"/>
  <c r="K24" i="60"/>
  <c r="J24" i="60"/>
  <c r="I24" i="60"/>
  <c r="K23" i="60"/>
  <c r="J23" i="60"/>
  <c r="I23" i="60"/>
  <c r="K22" i="60"/>
  <c r="J22" i="60"/>
  <c r="I22" i="60"/>
  <c r="K21" i="60"/>
  <c r="J21" i="60"/>
  <c r="I21" i="60"/>
  <c r="K20" i="60"/>
  <c r="J20" i="60"/>
  <c r="I20" i="60"/>
  <c r="K19" i="60"/>
  <c r="J19" i="60"/>
  <c r="I19" i="60"/>
  <c r="K18" i="60"/>
  <c r="J18" i="60"/>
  <c r="I18" i="60"/>
  <c r="K17" i="60"/>
  <c r="J17" i="60"/>
  <c r="I17" i="60"/>
  <c r="K16" i="60"/>
  <c r="J16" i="60"/>
  <c r="I16" i="60"/>
  <c r="K15" i="60"/>
  <c r="J15" i="60"/>
  <c r="I15" i="60"/>
  <c r="K14" i="60"/>
  <c r="J14" i="60"/>
  <c r="I14" i="60"/>
  <c r="K13" i="60"/>
  <c r="J13" i="60"/>
  <c r="I13" i="60"/>
  <c r="K12" i="60"/>
  <c r="J12" i="60"/>
  <c r="I12" i="60"/>
  <c r="K11" i="60"/>
  <c r="J11" i="60"/>
  <c r="I11" i="60"/>
  <c r="K10" i="60"/>
  <c r="J10" i="60"/>
  <c r="I10" i="60"/>
  <c r="K9" i="60"/>
  <c r="J9" i="60"/>
  <c r="I9" i="60"/>
  <c r="K8" i="60"/>
  <c r="J8" i="60"/>
  <c r="I8" i="60"/>
  <c r="K7" i="60"/>
  <c r="J7" i="60"/>
  <c r="I7" i="60"/>
  <c r="K6" i="60"/>
  <c r="J6" i="60"/>
  <c r="I6" i="60"/>
  <c r="K5" i="60"/>
  <c r="J5" i="60"/>
  <c r="I5" i="60"/>
  <c r="K4" i="60"/>
  <c r="J4" i="60"/>
  <c r="I4" i="60"/>
  <c r="K3" i="60"/>
  <c r="J3" i="60"/>
  <c r="I3" i="60"/>
  <c r="K2" i="60"/>
  <c r="J2" i="60"/>
  <c r="I2" i="60"/>
  <c r="K101" i="59"/>
  <c r="J101" i="59"/>
  <c r="I101" i="59"/>
  <c r="K100" i="59"/>
  <c r="J100" i="59"/>
  <c r="I100" i="59"/>
  <c r="K99" i="59"/>
  <c r="J99" i="59"/>
  <c r="I99" i="59"/>
  <c r="K98" i="59"/>
  <c r="J98" i="59"/>
  <c r="I98" i="59"/>
  <c r="K97" i="59"/>
  <c r="J97" i="59"/>
  <c r="I97" i="59"/>
  <c r="K96" i="59"/>
  <c r="J96" i="59"/>
  <c r="I96" i="59"/>
  <c r="K95" i="59"/>
  <c r="J95" i="59"/>
  <c r="I95" i="59"/>
  <c r="K94" i="59"/>
  <c r="J94" i="59"/>
  <c r="I94" i="59"/>
  <c r="K93" i="59"/>
  <c r="J93" i="59"/>
  <c r="I93" i="59"/>
  <c r="K92" i="59"/>
  <c r="J92" i="59"/>
  <c r="I92" i="59"/>
  <c r="K91" i="59"/>
  <c r="J91" i="59"/>
  <c r="I91" i="59"/>
  <c r="K90" i="59"/>
  <c r="J90" i="59"/>
  <c r="I90" i="59"/>
  <c r="K89" i="59"/>
  <c r="J89" i="59"/>
  <c r="I89" i="59"/>
  <c r="K88" i="59"/>
  <c r="J88" i="59"/>
  <c r="I88" i="59"/>
  <c r="K87" i="59"/>
  <c r="J87" i="59"/>
  <c r="I87" i="59"/>
  <c r="K86" i="59"/>
  <c r="J86" i="59"/>
  <c r="I86" i="59"/>
  <c r="K85" i="59"/>
  <c r="J85" i="59"/>
  <c r="I85" i="59"/>
  <c r="K84" i="59"/>
  <c r="J84" i="59"/>
  <c r="I84" i="59"/>
  <c r="K83" i="59"/>
  <c r="J83" i="59"/>
  <c r="I83" i="59"/>
  <c r="K82" i="59"/>
  <c r="J82" i="59"/>
  <c r="I82" i="59"/>
  <c r="K81" i="59"/>
  <c r="J81" i="59"/>
  <c r="I81" i="59"/>
  <c r="K80" i="59"/>
  <c r="J80" i="59"/>
  <c r="I80" i="59"/>
  <c r="K79" i="59"/>
  <c r="J79" i="59"/>
  <c r="I79" i="59"/>
  <c r="K78" i="59"/>
  <c r="J78" i="59"/>
  <c r="I78" i="59"/>
  <c r="K77" i="59"/>
  <c r="J77" i="59"/>
  <c r="I77" i="59"/>
  <c r="K76" i="59"/>
  <c r="J76" i="59"/>
  <c r="I76" i="59"/>
  <c r="K75" i="59"/>
  <c r="J75" i="59"/>
  <c r="I75" i="59"/>
  <c r="K74" i="59"/>
  <c r="J74" i="59"/>
  <c r="I74" i="59"/>
  <c r="K73" i="59"/>
  <c r="J73" i="59"/>
  <c r="I73" i="59"/>
  <c r="K72" i="59"/>
  <c r="J72" i="59"/>
  <c r="I72" i="59"/>
  <c r="K71" i="59"/>
  <c r="J71" i="59"/>
  <c r="I71" i="59"/>
  <c r="K70" i="59"/>
  <c r="J70" i="59"/>
  <c r="I70" i="59"/>
  <c r="K69" i="59"/>
  <c r="J69" i="59"/>
  <c r="I69" i="59"/>
  <c r="K68" i="59"/>
  <c r="J68" i="59"/>
  <c r="I68" i="59"/>
  <c r="K67" i="59"/>
  <c r="J67" i="59"/>
  <c r="I67" i="59"/>
  <c r="K66" i="59"/>
  <c r="J66" i="59"/>
  <c r="I66" i="59"/>
  <c r="K65" i="59"/>
  <c r="J65" i="59"/>
  <c r="I65" i="59"/>
  <c r="K64" i="59"/>
  <c r="J64" i="59"/>
  <c r="I64" i="59"/>
  <c r="K63" i="59"/>
  <c r="J63" i="59"/>
  <c r="I63" i="59"/>
  <c r="K62" i="59"/>
  <c r="J62" i="59"/>
  <c r="I62" i="59"/>
  <c r="K61" i="59"/>
  <c r="J61" i="59"/>
  <c r="I61" i="59"/>
  <c r="K60" i="59"/>
  <c r="J60" i="59"/>
  <c r="I60" i="59"/>
  <c r="K59" i="59"/>
  <c r="J59" i="59"/>
  <c r="I59" i="59"/>
  <c r="K58" i="59"/>
  <c r="J58" i="59"/>
  <c r="I58" i="59"/>
  <c r="K57" i="59"/>
  <c r="J57" i="59"/>
  <c r="I57" i="59"/>
  <c r="K56" i="59"/>
  <c r="J56" i="59"/>
  <c r="I56" i="59"/>
  <c r="K55" i="59"/>
  <c r="J55" i="59"/>
  <c r="I55" i="59"/>
  <c r="K54" i="59"/>
  <c r="J54" i="59"/>
  <c r="I54" i="59"/>
  <c r="K53" i="59"/>
  <c r="J53" i="59"/>
  <c r="I53" i="59"/>
  <c r="K52" i="59"/>
  <c r="J52" i="59"/>
  <c r="I52" i="59"/>
  <c r="K51" i="59"/>
  <c r="J51" i="59"/>
  <c r="I51" i="59"/>
  <c r="K50" i="59"/>
  <c r="J50" i="59"/>
  <c r="I50" i="59"/>
  <c r="K49" i="59"/>
  <c r="J49" i="59"/>
  <c r="I49" i="59"/>
  <c r="K48" i="59"/>
  <c r="J48" i="59"/>
  <c r="I48" i="59"/>
  <c r="K47" i="59"/>
  <c r="J47" i="59"/>
  <c r="I47" i="59"/>
  <c r="K46" i="59"/>
  <c r="J46" i="59"/>
  <c r="I46" i="59"/>
  <c r="K45" i="59"/>
  <c r="J45" i="59"/>
  <c r="I45" i="59"/>
  <c r="K44" i="59"/>
  <c r="J44" i="59"/>
  <c r="I44" i="59"/>
  <c r="K43" i="59"/>
  <c r="J43" i="59"/>
  <c r="I43" i="59"/>
  <c r="K42" i="59"/>
  <c r="J42" i="59"/>
  <c r="I42" i="59"/>
  <c r="K41" i="59"/>
  <c r="J41" i="59"/>
  <c r="I41" i="59"/>
  <c r="K40" i="59"/>
  <c r="J40" i="59"/>
  <c r="I40" i="59"/>
  <c r="K39" i="59"/>
  <c r="J39" i="59"/>
  <c r="I39" i="59"/>
  <c r="K38" i="59"/>
  <c r="J38" i="59"/>
  <c r="I38" i="59"/>
  <c r="K37" i="59"/>
  <c r="J37" i="59"/>
  <c r="I37" i="59"/>
  <c r="K36" i="59"/>
  <c r="J36" i="59"/>
  <c r="I36" i="59"/>
  <c r="K35" i="59"/>
  <c r="J35" i="59"/>
  <c r="I35" i="59"/>
  <c r="K34" i="59"/>
  <c r="J34" i="59"/>
  <c r="I34" i="59"/>
  <c r="K33" i="59"/>
  <c r="J33" i="59"/>
  <c r="I33" i="59"/>
  <c r="K32" i="59"/>
  <c r="J32" i="59"/>
  <c r="I32" i="59"/>
  <c r="K31" i="59"/>
  <c r="J31" i="59"/>
  <c r="I31" i="59"/>
  <c r="K30" i="59"/>
  <c r="J30" i="59"/>
  <c r="I30" i="59"/>
  <c r="K29" i="59"/>
  <c r="J29" i="59"/>
  <c r="I29" i="59"/>
  <c r="K28" i="59"/>
  <c r="J28" i="59"/>
  <c r="I28" i="59"/>
  <c r="K27" i="59"/>
  <c r="J27" i="59"/>
  <c r="I27" i="59"/>
  <c r="K26" i="59"/>
  <c r="J26" i="59"/>
  <c r="I26" i="59"/>
  <c r="K25" i="59"/>
  <c r="J25" i="59"/>
  <c r="I25" i="59"/>
  <c r="K24" i="59"/>
  <c r="J24" i="59"/>
  <c r="I24" i="59"/>
  <c r="K23" i="59"/>
  <c r="J23" i="59"/>
  <c r="I23" i="59"/>
  <c r="K22" i="59"/>
  <c r="J22" i="59"/>
  <c r="I22" i="59"/>
  <c r="K21" i="59"/>
  <c r="J21" i="59"/>
  <c r="I21" i="59"/>
  <c r="K20" i="59"/>
  <c r="J20" i="59"/>
  <c r="I20" i="59"/>
  <c r="K19" i="59"/>
  <c r="J19" i="59"/>
  <c r="I19" i="59"/>
  <c r="K18" i="59"/>
  <c r="J18" i="59"/>
  <c r="I18" i="59"/>
  <c r="K17" i="59"/>
  <c r="J17" i="59"/>
  <c r="I17" i="59"/>
  <c r="K16" i="59"/>
  <c r="J16" i="59"/>
  <c r="I16" i="59"/>
  <c r="K15" i="59"/>
  <c r="J15" i="59"/>
  <c r="I15" i="59"/>
  <c r="K14" i="59"/>
  <c r="J14" i="59"/>
  <c r="I14" i="59"/>
  <c r="K13" i="59"/>
  <c r="J13" i="59"/>
  <c r="I13" i="59"/>
  <c r="K12" i="59"/>
  <c r="J12" i="59"/>
  <c r="I12" i="59"/>
  <c r="K11" i="59"/>
  <c r="J11" i="59"/>
  <c r="I11" i="59"/>
  <c r="K10" i="59"/>
  <c r="J10" i="59"/>
  <c r="I10" i="59"/>
  <c r="K9" i="59"/>
  <c r="J9" i="59"/>
  <c r="I9" i="59"/>
  <c r="K8" i="59"/>
  <c r="J8" i="59"/>
  <c r="I8" i="59"/>
  <c r="K7" i="59"/>
  <c r="J7" i="59"/>
  <c r="I7" i="59"/>
  <c r="K6" i="59"/>
  <c r="J6" i="59"/>
  <c r="I6" i="59"/>
  <c r="K5" i="59"/>
  <c r="J5" i="59"/>
  <c r="I5" i="59"/>
  <c r="K4" i="59"/>
  <c r="J4" i="59"/>
  <c r="I4" i="59"/>
  <c r="K3" i="59"/>
  <c r="J3" i="59"/>
  <c r="I3" i="59"/>
  <c r="K2" i="59"/>
  <c r="J2" i="59"/>
  <c r="I2" i="59"/>
  <c r="K101" i="58"/>
  <c r="J101" i="58"/>
  <c r="I101" i="58"/>
  <c r="K100" i="58"/>
  <c r="J100" i="58"/>
  <c r="I100" i="58"/>
  <c r="K99" i="58"/>
  <c r="J99" i="58"/>
  <c r="I99" i="58"/>
  <c r="K98" i="58"/>
  <c r="J98" i="58"/>
  <c r="I98" i="58"/>
  <c r="K97" i="58"/>
  <c r="J97" i="58"/>
  <c r="I97" i="58"/>
  <c r="K96" i="58"/>
  <c r="J96" i="58"/>
  <c r="I96" i="58"/>
  <c r="K95" i="58"/>
  <c r="J95" i="58"/>
  <c r="I95" i="58"/>
  <c r="K94" i="58"/>
  <c r="J94" i="58"/>
  <c r="I94" i="58"/>
  <c r="K93" i="58"/>
  <c r="J93" i="58"/>
  <c r="I93" i="58"/>
  <c r="K92" i="58"/>
  <c r="J92" i="58"/>
  <c r="I92" i="58"/>
  <c r="K91" i="58"/>
  <c r="J91" i="58"/>
  <c r="I91" i="58"/>
  <c r="K90" i="58"/>
  <c r="J90" i="58"/>
  <c r="I90" i="58"/>
  <c r="K89" i="58"/>
  <c r="J89" i="58"/>
  <c r="I89" i="58"/>
  <c r="K88" i="58"/>
  <c r="J88" i="58"/>
  <c r="I88" i="58"/>
  <c r="K87" i="58"/>
  <c r="J87" i="58"/>
  <c r="I87" i="58"/>
  <c r="K86" i="58"/>
  <c r="J86" i="58"/>
  <c r="I86" i="58"/>
  <c r="K85" i="58"/>
  <c r="J85" i="58"/>
  <c r="I85" i="58"/>
  <c r="K84" i="58"/>
  <c r="J84" i="58"/>
  <c r="I84" i="58"/>
  <c r="K83" i="58"/>
  <c r="J83" i="58"/>
  <c r="I83" i="58"/>
  <c r="K82" i="58"/>
  <c r="J82" i="58"/>
  <c r="I82" i="58"/>
  <c r="K81" i="58"/>
  <c r="J81" i="58"/>
  <c r="I81" i="58"/>
  <c r="K80" i="58"/>
  <c r="J80" i="58"/>
  <c r="I80" i="58"/>
  <c r="K79" i="58"/>
  <c r="J79" i="58"/>
  <c r="I79" i="58"/>
  <c r="K78" i="58"/>
  <c r="J78" i="58"/>
  <c r="I78" i="58"/>
  <c r="K77" i="58"/>
  <c r="J77" i="58"/>
  <c r="I77" i="58"/>
  <c r="K76" i="58"/>
  <c r="J76" i="58"/>
  <c r="I76" i="58"/>
  <c r="K75" i="58"/>
  <c r="J75" i="58"/>
  <c r="I75" i="58"/>
  <c r="K74" i="58"/>
  <c r="J74" i="58"/>
  <c r="I74" i="58"/>
  <c r="K73" i="58"/>
  <c r="J73" i="58"/>
  <c r="I73" i="58"/>
  <c r="K72" i="58"/>
  <c r="J72" i="58"/>
  <c r="I72" i="58"/>
  <c r="K71" i="58"/>
  <c r="J71" i="58"/>
  <c r="I71" i="58"/>
  <c r="K70" i="58"/>
  <c r="J70" i="58"/>
  <c r="I70" i="58"/>
  <c r="K69" i="58"/>
  <c r="J69" i="58"/>
  <c r="I69" i="58"/>
  <c r="K68" i="58"/>
  <c r="J68" i="58"/>
  <c r="I68" i="58"/>
  <c r="K67" i="58"/>
  <c r="J67" i="58"/>
  <c r="I67" i="58"/>
  <c r="K66" i="58"/>
  <c r="J66" i="58"/>
  <c r="I66" i="58"/>
  <c r="K65" i="58"/>
  <c r="J65" i="58"/>
  <c r="I65" i="58"/>
  <c r="K64" i="58"/>
  <c r="J64" i="58"/>
  <c r="I64" i="58"/>
  <c r="K63" i="58"/>
  <c r="J63" i="58"/>
  <c r="I63" i="58"/>
  <c r="K62" i="58"/>
  <c r="J62" i="58"/>
  <c r="I62" i="58"/>
  <c r="K61" i="58"/>
  <c r="J61" i="58"/>
  <c r="I61" i="58"/>
  <c r="K60" i="58"/>
  <c r="J60" i="58"/>
  <c r="I60" i="58"/>
  <c r="K59" i="58"/>
  <c r="J59" i="58"/>
  <c r="I59" i="58"/>
  <c r="K58" i="58"/>
  <c r="J58" i="58"/>
  <c r="I58" i="58"/>
  <c r="K57" i="58"/>
  <c r="J57" i="58"/>
  <c r="I57" i="58"/>
  <c r="K56" i="58"/>
  <c r="J56" i="58"/>
  <c r="I56" i="58"/>
  <c r="K55" i="58"/>
  <c r="J55" i="58"/>
  <c r="I55" i="58"/>
  <c r="K54" i="58"/>
  <c r="J54" i="58"/>
  <c r="I54" i="58"/>
  <c r="K53" i="58"/>
  <c r="J53" i="58"/>
  <c r="I53" i="58"/>
  <c r="K52" i="58"/>
  <c r="J52" i="58"/>
  <c r="I52" i="58"/>
  <c r="K51" i="58"/>
  <c r="J51" i="58"/>
  <c r="I51" i="58"/>
  <c r="K50" i="58"/>
  <c r="J50" i="58"/>
  <c r="I50" i="58"/>
  <c r="K49" i="58"/>
  <c r="J49" i="58"/>
  <c r="I49" i="58"/>
  <c r="K48" i="58"/>
  <c r="J48" i="58"/>
  <c r="I48" i="58"/>
  <c r="K47" i="58"/>
  <c r="J47" i="58"/>
  <c r="I47" i="58"/>
  <c r="K46" i="58"/>
  <c r="J46" i="58"/>
  <c r="I46" i="58"/>
  <c r="K45" i="58"/>
  <c r="J45" i="58"/>
  <c r="I45" i="58"/>
  <c r="K44" i="58"/>
  <c r="J44" i="58"/>
  <c r="I44" i="58"/>
  <c r="K43" i="58"/>
  <c r="J43" i="58"/>
  <c r="I43" i="58"/>
  <c r="K42" i="58"/>
  <c r="J42" i="58"/>
  <c r="I42" i="58"/>
  <c r="K41" i="58"/>
  <c r="J41" i="58"/>
  <c r="I41" i="58"/>
  <c r="K40" i="58"/>
  <c r="J40" i="58"/>
  <c r="I40" i="58"/>
  <c r="K39" i="58"/>
  <c r="J39" i="58"/>
  <c r="I39" i="58"/>
  <c r="K38" i="58"/>
  <c r="J38" i="58"/>
  <c r="I38" i="58"/>
  <c r="K37" i="58"/>
  <c r="J37" i="58"/>
  <c r="I37" i="58"/>
  <c r="K36" i="58"/>
  <c r="J36" i="58"/>
  <c r="I36" i="58"/>
  <c r="K35" i="58"/>
  <c r="J35" i="58"/>
  <c r="I35" i="58"/>
  <c r="K34" i="58"/>
  <c r="J34" i="58"/>
  <c r="I34" i="58"/>
  <c r="K33" i="58"/>
  <c r="J33" i="58"/>
  <c r="I33" i="58"/>
  <c r="K32" i="58"/>
  <c r="J32" i="58"/>
  <c r="I32" i="58"/>
  <c r="K31" i="58"/>
  <c r="J31" i="58"/>
  <c r="I31" i="58"/>
  <c r="K30" i="58"/>
  <c r="J30" i="58"/>
  <c r="I30" i="58"/>
  <c r="K29" i="58"/>
  <c r="J29" i="58"/>
  <c r="I29" i="58"/>
  <c r="K28" i="58"/>
  <c r="J28" i="58"/>
  <c r="I28" i="58"/>
  <c r="K27" i="58"/>
  <c r="J27" i="58"/>
  <c r="I27" i="58"/>
  <c r="K26" i="58"/>
  <c r="J26" i="58"/>
  <c r="I26" i="58"/>
  <c r="K25" i="58"/>
  <c r="J25" i="58"/>
  <c r="I25" i="58"/>
  <c r="K24" i="58"/>
  <c r="J24" i="58"/>
  <c r="I24" i="58"/>
  <c r="K23" i="58"/>
  <c r="J23" i="58"/>
  <c r="I23" i="58"/>
  <c r="K22" i="58"/>
  <c r="J22" i="58"/>
  <c r="I22" i="58"/>
  <c r="K21" i="58"/>
  <c r="J21" i="58"/>
  <c r="I21" i="58"/>
  <c r="K20" i="58"/>
  <c r="J20" i="58"/>
  <c r="I20" i="58"/>
  <c r="K19" i="58"/>
  <c r="J19" i="58"/>
  <c r="I19" i="58"/>
  <c r="K18" i="58"/>
  <c r="J18" i="58"/>
  <c r="I18" i="58"/>
  <c r="K17" i="58"/>
  <c r="J17" i="58"/>
  <c r="I17" i="58"/>
  <c r="K16" i="58"/>
  <c r="J16" i="58"/>
  <c r="I16" i="58"/>
  <c r="K15" i="58"/>
  <c r="J15" i="58"/>
  <c r="I15" i="58"/>
  <c r="K14" i="58"/>
  <c r="J14" i="58"/>
  <c r="I14" i="58"/>
  <c r="K13" i="58"/>
  <c r="J13" i="58"/>
  <c r="I13" i="58"/>
  <c r="K12" i="58"/>
  <c r="J12" i="58"/>
  <c r="I12" i="58"/>
  <c r="K11" i="58"/>
  <c r="J11" i="58"/>
  <c r="I11" i="58"/>
  <c r="K10" i="58"/>
  <c r="J10" i="58"/>
  <c r="I10" i="58"/>
  <c r="K9" i="58"/>
  <c r="J9" i="58"/>
  <c r="I9" i="58"/>
  <c r="K8" i="58"/>
  <c r="J8" i="58"/>
  <c r="I8" i="58"/>
  <c r="K7" i="58"/>
  <c r="J7" i="58"/>
  <c r="I7" i="58"/>
  <c r="K6" i="58"/>
  <c r="J6" i="58"/>
  <c r="I6" i="58"/>
  <c r="K5" i="58"/>
  <c r="J5" i="58"/>
  <c r="I5" i="58"/>
  <c r="K4" i="58"/>
  <c r="J4" i="58"/>
  <c r="I4" i="58"/>
  <c r="K3" i="58"/>
  <c r="J3" i="58"/>
  <c r="I3" i="58"/>
  <c r="K2" i="58"/>
  <c r="J2" i="58"/>
  <c r="I2" i="58"/>
  <c r="K101" i="57"/>
  <c r="J101" i="57"/>
  <c r="I101" i="57"/>
  <c r="K100" i="57"/>
  <c r="J100" i="57"/>
  <c r="I100" i="57"/>
  <c r="K99" i="57"/>
  <c r="J99" i="57"/>
  <c r="I99" i="57"/>
  <c r="K98" i="57"/>
  <c r="J98" i="57"/>
  <c r="I98" i="57"/>
  <c r="K97" i="57"/>
  <c r="J97" i="57"/>
  <c r="I97" i="57"/>
  <c r="K96" i="57"/>
  <c r="J96" i="57"/>
  <c r="I96" i="57"/>
  <c r="K95" i="57"/>
  <c r="J95" i="57"/>
  <c r="I95" i="57"/>
  <c r="K94" i="57"/>
  <c r="J94" i="57"/>
  <c r="I94" i="57"/>
  <c r="K93" i="57"/>
  <c r="J93" i="57"/>
  <c r="I93" i="57"/>
  <c r="K92" i="57"/>
  <c r="J92" i="57"/>
  <c r="I92" i="57"/>
  <c r="K91" i="57"/>
  <c r="J91" i="57"/>
  <c r="I91" i="57"/>
  <c r="K90" i="57"/>
  <c r="J90" i="57"/>
  <c r="I90" i="57"/>
  <c r="K89" i="57"/>
  <c r="J89" i="57"/>
  <c r="I89" i="57"/>
  <c r="K88" i="57"/>
  <c r="J88" i="57"/>
  <c r="I88" i="57"/>
  <c r="K87" i="57"/>
  <c r="J87" i="57"/>
  <c r="I87" i="57"/>
  <c r="K86" i="57"/>
  <c r="J86" i="57"/>
  <c r="I86" i="57"/>
  <c r="K85" i="57"/>
  <c r="J85" i="57"/>
  <c r="I85" i="57"/>
  <c r="K84" i="57"/>
  <c r="J84" i="57"/>
  <c r="I84" i="57"/>
  <c r="K83" i="57"/>
  <c r="J83" i="57"/>
  <c r="I83" i="57"/>
  <c r="K82" i="57"/>
  <c r="J82" i="57"/>
  <c r="I82" i="57"/>
  <c r="K81" i="57"/>
  <c r="J81" i="57"/>
  <c r="I81" i="57"/>
  <c r="K80" i="57"/>
  <c r="J80" i="57"/>
  <c r="I80" i="57"/>
  <c r="K79" i="57"/>
  <c r="J79" i="57"/>
  <c r="I79" i="57"/>
  <c r="K78" i="57"/>
  <c r="J78" i="57"/>
  <c r="I78" i="57"/>
  <c r="K77" i="57"/>
  <c r="J77" i="57"/>
  <c r="I77" i="57"/>
  <c r="K76" i="57"/>
  <c r="J76" i="57"/>
  <c r="I76" i="57"/>
  <c r="K75" i="57"/>
  <c r="J75" i="57"/>
  <c r="I75" i="57"/>
  <c r="K74" i="57"/>
  <c r="J74" i="57"/>
  <c r="I74" i="57"/>
  <c r="K73" i="57"/>
  <c r="J73" i="57"/>
  <c r="I73" i="57"/>
  <c r="K72" i="57"/>
  <c r="J72" i="57"/>
  <c r="I72" i="57"/>
  <c r="K71" i="57"/>
  <c r="J71" i="57"/>
  <c r="I71" i="57"/>
  <c r="K70" i="57"/>
  <c r="J70" i="57"/>
  <c r="I70" i="57"/>
  <c r="K69" i="57"/>
  <c r="J69" i="57"/>
  <c r="I69" i="57"/>
  <c r="K68" i="57"/>
  <c r="J68" i="57"/>
  <c r="I68" i="57"/>
  <c r="K67" i="57"/>
  <c r="J67" i="57"/>
  <c r="I67" i="57"/>
  <c r="K66" i="57"/>
  <c r="J66" i="57"/>
  <c r="I66" i="57"/>
  <c r="K65" i="57"/>
  <c r="J65" i="57"/>
  <c r="I65" i="57"/>
  <c r="K64" i="57"/>
  <c r="J64" i="57"/>
  <c r="I64" i="57"/>
  <c r="K63" i="57"/>
  <c r="J63" i="57"/>
  <c r="I63" i="57"/>
  <c r="K62" i="57"/>
  <c r="J62" i="57"/>
  <c r="I62" i="57"/>
  <c r="K61" i="57"/>
  <c r="J61" i="57"/>
  <c r="I61" i="57"/>
  <c r="K60" i="57"/>
  <c r="J60" i="57"/>
  <c r="I60" i="57"/>
  <c r="K59" i="57"/>
  <c r="J59" i="57"/>
  <c r="I59" i="57"/>
  <c r="K58" i="57"/>
  <c r="J58" i="57"/>
  <c r="I58" i="57"/>
  <c r="K57" i="57"/>
  <c r="J57" i="57"/>
  <c r="I57" i="57"/>
  <c r="K56" i="57"/>
  <c r="J56" i="57"/>
  <c r="I56" i="57"/>
  <c r="K55" i="57"/>
  <c r="J55" i="57"/>
  <c r="I55" i="57"/>
  <c r="K54" i="57"/>
  <c r="J54" i="57"/>
  <c r="I54" i="57"/>
  <c r="K53" i="57"/>
  <c r="J53" i="57"/>
  <c r="I53" i="57"/>
  <c r="K52" i="57"/>
  <c r="J52" i="57"/>
  <c r="I52" i="57"/>
  <c r="K51" i="57"/>
  <c r="J51" i="57"/>
  <c r="I51" i="57"/>
  <c r="K50" i="57"/>
  <c r="J50" i="57"/>
  <c r="I50" i="57"/>
  <c r="K49" i="57"/>
  <c r="J49" i="57"/>
  <c r="I49" i="57"/>
  <c r="K48" i="57"/>
  <c r="J48" i="57"/>
  <c r="I48" i="57"/>
  <c r="K47" i="57"/>
  <c r="J47" i="57"/>
  <c r="I47" i="57"/>
  <c r="K46" i="57"/>
  <c r="J46" i="57"/>
  <c r="I46" i="57"/>
  <c r="K45" i="57"/>
  <c r="J45" i="57"/>
  <c r="I45" i="57"/>
  <c r="K44" i="57"/>
  <c r="J44" i="57"/>
  <c r="I44" i="57"/>
  <c r="K43" i="57"/>
  <c r="J43" i="57"/>
  <c r="I43" i="57"/>
  <c r="K42" i="57"/>
  <c r="J42" i="57"/>
  <c r="I42" i="57"/>
  <c r="K41" i="57"/>
  <c r="J41" i="57"/>
  <c r="I41" i="57"/>
  <c r="K40" i="57"/>
  <c r="J40" i="57"/>
  <c r="I40" i="57"/>
  <c r="K39" i="57"/>
  <c r="J39" i="57"/>
  <c r="I39" i="57"/>
  <c r="K38" i="57"/>
  <c r="J38" i="57"/>
  <c r="I38" i="57"/>
  <c r="K37" i="57"/>
  <c r="J37" i="57"/>
  <c r="I37" i="57"/>
  <c r="K36" i="57"/>
  <c r="J36" i="57"/>
  <c r="I36" i="57"/>
  <c r="K35" i="57"/>
  <c r="J35" i="57"/>
  <c r="I35" i="57"/>
  <c r="K34" i="57"/>
  <c r="J34" i="57"/>
  <c r="I34" i="57"/>
  <c r="K33" i="57"/>
  <c r="J33" i="57"/>
  <c r="I33" i="57"/>
  <c r="K32" i="57"/>
  <c r="J32" i="57"/>
  <c r="I32" i="57"/>
  <c r="K31" i="57"/>
  <c r="J31" i="57"/>
  <c r="I31" i="57"/>
  <c r="K30" i="57"/>
  <c r="J30" i="57"/>
  <c r="I30" i="57"/>
  <c r="K29" i="57"/>
  <c r="J29" i="57"/>
  <c r="I29" i="57"/>
  <c r="K28" i="57"/>
  <c r="J28" i="57"/>
  <c r="I28" i="57"/>
  <c r="K27" i="57"/>
  <c r="J27" i="57"/>
  <c r="I27" i="57"/>
  <c r="K26" i="57"/>
  <c r="J26" i="57"/>
  <c r="I26" i="57"/>
  <c r="K25" i="57"/>
  <c r="J25" i="57"/>
  <c r="I25" i="57"/>
  <c r="K24" i="57"/>
  <c r="J24" i="57"/>
  <c r="I24" i="57"/>
  <c r="K23" i="57"/>
  <c r="J23" i="57"/>
  <c r="I23" i="57"/>
  <c r="K22" i="57"/>
  <c r="J22" i="57"/>
  <c r="I22" i="57"/>
  <c r="K21" i="57"/>
  <c r="J21" i="57"/>
  <c r="I21" i="57"/>
  <c r="K20" i="57"/>
  <c r="J20" i="57"/>
  <c r="I20" i="57"/>
  <c r="K19" i="57"/>
  <c r="J19" i="57"/>
  <c r="I19" i="57"/>
  <c r="K18" i="57"/>
  <c r="J18" i="57"/>
  <c r="I18" i="57"/>
  <c r="K17" i="57"/>
  <c r="J17" i="57"/>
  <c r="I17" i="57"/>
  <c r="K16" i="57"/>
  <c r="J16" i="57"/>
  <c r="I16" i="57"/>
  <c r="K15" i="57"/>
  <c r="J15" i="57"/>
  <c r="I15" i="57"/>
  <c r="K14" i="57"/>
  <c r="J14" i="57"/>
  <c r="I14" i="57"/>
  <c r="K13" i="57"/>
  <c r="J13" i="57"/>
  <c r="I13" i="57"/>
  <c r="K12" i="57"/>
  <c r="J12" i="57"/>
  <c r="I12" i="57"/>
  <c r="K11" i="57"/>
  <c r="J11" i="57"/>
  <c r="I11" i="57"/>
  <c r="K10" i="57"/>
  <c r="J10" i="57"/>
  <c r="I10" i="57"/>
  <c r="K9" i="57"/>
  <c r="J9" i="57"/>
  <c r="I9" i="57"/>
  <c r="K8" i="57"/>
  <c r="J8" i="57"/>
  <c r="I8" i="57"/>
  <c r="K7" i="57"/>
  <c r="J7" i="57"/>
  <c r="I7" i="57"/>
  <c r="K6" i="57"/>
  <c r="J6" i="57"/>
  <c r="I6" i="57"/>
  <c r="K5" i="57"/>
  <c r="J5" i="57"/>
  <c r="I5" i="57"/>
  <c r="K4" i="57"/>
  <c r="J4" i="57"/>
  <c r="I4" i="57"/>
  <c r="K3" i="57"/>
  <c r="J3" i="57"/>
  <c r="I3" i="57"/>
  <c r="K2" i="57"/>
  <c r="J2" i="57"/>
  <c r="I2" i="57"/>
  <c r="K101" i="56"/>
  <c r="J101" i="56"/>
  <c r="I101" i="56"/>
  <c r="K100" i="56"/>
  <c r="J100" i="56"/>
  <c r="I100" i="56"/>
  <c r="K99" i="56"/>
  <c r="J99" i="56"/>
  <c r="I99" i="56"/>
  <c r="K98" i="56"/>
  <c r="J98" i="56"/>
  <c r="I98" i="56"/>
  <c r="K97" i="56"/>
  <c r="J97" i="56"/>
  <c r="I97" i="56"/>
  <c r="K96" i="56"/>
  <c r="J96" i="56"/>
  <c r="I96" i="56"/>
  <c r="K95" i="56"/>
  <c r="J95" i="56"/>
  <c r="I95" i="56"/>
  <c r="K94" i="56"/>
  <c r="J94" i="56"/>
  <c r="I94" i="56"/>
  <c r="K93" i="56"/>
  <c r="J93" i="56"/>
  <c r="I93" i="56"/>
  <c r="K92" i="56"/>
  <c r="J92" i="56"/>
  <c r="I92" i="56"/>
  <c r="K91" i="56"/>
  <c r="J91" i="56"/>
  <c r="I91" i="56"/>
  <c r="K90" i="56"/>
  <c r="J90" i="56"/>
  <c r="I90" i="56"/>
  <c r="K89" i="56"/>
  <c r="J89" i="56"/>
  <c r="I89" i="56"/>
  <c r="K88" i="56"/>
  <c r="J88" i="56"/>
  <c r="I88" i="56"/>
  <c r="K87" i="56"/>
  <c r="J87" i="56"/>
  <c r="I87" i="56"/>
  <c r="K86" i="56"/>
  <c r="J86" i="56"/>
  <c r="I86" i="56"/>
  <c r="K85" i="56"/>
  <c r="J85" i="56"/>
  <c r="I85" i="56"/>
  <c r="K84" i="56"/>
  <c r="J84" i="56"/>
  <c r="I84" i="56"/>
  <c r="K83" i="56"/>
  <c r="J83" i="56"/>
  <c r="I83" i="56"/>
  <c r="K82" i="56"/>
  <c r="J82" i="56"/>
  <c r="I82" i="56"/>
  <c r="K81" i="56"/>
  <c r="J81" i="56"/>
  <c r="I81" i="56"/>
  <c r="K80" i="56"/>
  <c r="J80" i="56"/>
  <c r="I80" i="56"/>
  <c r="K79" i="56"/>
  <c r="J79" i="56"/>
  <c r="I79" i="56"/>
  <c r="K78" i="56"/>
  <c r="J78" i="56"/>
  <c r="I78" i="56"/>
  <c r="K77" i="56"/>
  <c r="J77" i="56"/>
  <c r="I77" i="56"/>
  <c r="K76" i="56"/>
  <c r="J76" i="56"/>
  <c r="I76" i="56"/>
  <c r="K75" i="56"/>
  <c r="J75" i="56"/>
  <c r="I75" i="56"/>
  <c r="K74" i="56"/>
  <c r="J74" i="56"/>
  <c r="I74" i="56"/>
  <c r="K73" i="56"/>
  <c r="J73" i="56"/>
  <c r="I73" i="56"/>
  <c r="K72" i="56"/>
  <c r="J72" i="56"/>
  <c r="I72" i="56"/>
  <c r="K71" i="56"/>
  <c r="J71" i="56"/>
  <c r="I71" i="56"/>
  <c r="K70" i="56"/>
  <c r="J70" i="56"/>
  <c r="I70" i="56"/>
  <c r="K69" i="56"/>
  <c r="J69" i="56"/>
  <c r="I69" i="56"/>
  <c r="K68" i="56"/>
  <c r="J68" i="56"/>
  <c r="I68" i="56"/>
  <c r="K67" i="56"/>
  <c r="J67" i="56"/>
  <c r="I67" i="56"/>
  <c r="K66" i="56"/>
  <c r="J66" i="56"/>
  <c r="I66" i="56"/>
  <c r="K65" i="56"/>
  <c r="J65" i="56"/>
  <c r="I65" i="56"/>
  <c r="K64" i="56"/>
  <c r="J64" i="56"/>
  <c r="I64" i="56"/>
  <c r="K63" i="56"/>
  <c r="J63" i="56"/>
  <c r="I63" i="56"/>
  <c r="K62" i="56"/>
  <c r="J62" i="56"/>
  <c r="I62" i="56"/>
  <c r="K61" i="56"/>
  <c r="J61" i="56"/>
  <c r="I61" i="56"/>
  <c r="K60" i="56"/>
  <c r="J60" i="56"/>
  <c r="I60" i="56"/>
  <c r="K59" i="56"/>
  <c r="J59" i="56"/>
  <c r="I59" i="56"/>
  <c r="K58" i="56"/>
  <c r="J58" i="56"/>
  <c r="I58" i="56"/>
  <c r="K57" i="56"/>
  <c r="J57" i="56"/>
  <c r="I57" i="56"/>
  <c r="K56" i="56"/>
  <c r="J56" i="56"/>
  <c r="I56" i="56"/>
  <c r="K55" i="56"/>
  <c r="J55" i="56"/>
  <c r="I55" i="56"/>
  <c r="K54" i="56"/>
  <c r="J54" i="56"/>
  <c r="I54" i="56"/>
  <c r="K53" i="56"/>
  <c r="J53" i="56"/>
  <c r="I53" i="56"/>
  <c r="K52" i="56"/>
  <c r="J52" i="56"/>
  <c r="I52" i="56"/>
  <c r="K51" i="56"/>
  <c r="J51" i="56"/>
  <c r="I51" i="56"/>
  <c r="K50" i="56"/>
  <c r="J50" i="56"/>
  <c r="I50" i="56"/>
  <c r="K49" i="56"/>
  <c r="J49" i="56"/>
  <c r="I49" i="56"/>
  <c r="K48" i="56"/>
  <c r="J48" i="56"/>
  <c r="I48" i="56"/>
  <c r="K47" i="56"/>
  <c r="J47" i="56"/>
  <c r="I47" i="56"/>
  <c r="K46" i="56"/>
  <c r="J46" i="56"/>
  <c r="I46" i="56"/>
  <c r="K45" i="56"/>
  <c r="J45" i="56"/>
  <c r="I45" i="56"/>
  <c r="K44" i="56"/>
  <c r="J44" i="56"/>
  <c r="I44" i="56"/>
  <c r="K43" i="56"/>
  <c r="J43" i="56"/>
  <c r="I43" i="56"/>
  <c r="K42" i="56"/>
  <c r="J42" i="56"/>
  <c r="I42" i="56"/>
  <c r="K41" i="56"/>
  <c r="J41" i="56"/>
  <c r="I41" i="56"/>
  <c r="K40" i="56"/>
  <c r="J40" i="56"/>
  <c r="I40" i="56"/>
  <c r="K39" i="56"/>
  <c r="J39" i="56"/>
  <c r="I39" i="56"/>
  <c r="K38" i="56"/>
  <c r="J38" i="56"/>
  <c r="I38" i="56"/>
  <c r="K37" i="56"/>
  <c r="J37" i="56"/>
  <c r="I37" i="56"/>
  <c r="K36" i="56"/>
  <c r="J36" i="56"/>
  <c r="I36" i="56"/>
  <c r="K35" i="56"/>
  <c r="J35" i="56"/>
  <c r="I35" i="56"/>
  <c r="K34" i="56"/>
  <c r="J34" i="56"/>
  <c r="I34" i="56"/>
  <c r="K33" i="56"/>
  <c r="J33" i="56"/>
  <c r="I33" i="56"/>
  <c r="K32" i="56"/>
  <c r="J32" i="56"/>
  <c r="I32" i="56"/>
  <c r="K31" i="56"/>
  <c r="J31" i="56"/>
  <c r="I31" i="56"/>
  <c r="K30" i="56"/>
  <c r="J30" i="56"/>
  <c r="I30" i="56"/>
  <c r="K29" i="56"/>
  <c r="J29" i="56"/>
  <c r="I29" i="56"/>
  <c r="K28" i="56"/>
  <c r="J28" i="56"/>
  <c r="I28" i="56"/>
  <c r="K27" i="56"/>
  <c r="J27" i="56"/>
  <c r="I27" i="56"/>
  <c r="K26" i="56"/>
  <c r="J26" i="56"/>
  <c r="I26" i="56"/>
  <c r="K25" i="56"/>
  <c r="J25" i="56"/>
  <c r="I25" i="56"/>
  <c r="K24" i="56"/>
  <c r="J24" i="56"/>
  <c r="I24" i="56"/>
  <c r="K23" i="56"/>
  <c r="J23" i="56"/>
  <c r="I23" i="56"/>
  <c r="K22" i="56"/>
  <c r="J22" i="56"/>
  <c r="I22" i="56"/>
  <c r="K21" i="56"/>
  <c r="J21" i="56"/>
  <c r="I21" i="56"/>
  <c r="K20" i="56"/>
  <c r="J20" i="56"/>
  <c r="I20" i="56"/>
  <c r="K19" i="56"/>
  <c r="J19" i="56"/>
  <c r="I19" i="56"/>
  <c r="K18" i="56"/>
  <c r="J18" i="56"/>
  <c r="I18" i="56"/>
  <c r="K17" i="56"/>
  <c r="J17" i="56"/>
  <c r="I17" i="56"/>
  <c r="K16" i="56"/>
  <c r="J16" i="56"/>
  <c r="I16" i="56"/>
  <c r="K15" i="56"/>
  <c r="J15" i="56"/>
  <c r="I15" i="56"/>
  <c r="K14" i="56"/>
  <c r="J14" i="56"/>
  <c r="I14" i="56"/>
  <c r="K13" i="56"/>
  <c r="J13" i="56"/>
  <c r="I13" i="56"/>
  <c r="K12" i="56"/>
  <c r="J12" i="56"/>
  <c r="I12" i="56"/>
  <c r="K11" i="56"/>
  <c r="J11" i="56"/>
  <c r="I11" i="56"/>
  <c r="K10" i="56"/>
  <c r="J10" i="56"/>
  <c r="I10" i="56"/>
  <c r="K9" i="56"/>
  <c r="J9" i="56"/>
  <c r="I9" i="56"/>
  <c r="K8" i="56"/>
  <c r="J8" i="56"/>
  <c r="I8" i="56"/>
  <c r="K7" i="56"/>
  <c r="J7" i="56"/>
  <c r="I7" i="56"/>
  <c r="K6" i="56"/>
  <c r="J6" i="56"/>
  <c r="I6" i="56"/>
  <c r="K5" i="56"/>
  <c r="J5" i="56"/>
  <c r="I5" i="56"/>
  <c r="K4" i="56"/>
  <c r="J4" i="56"/>
  <c r="I4" i="56"/>
  <c r="K3" i="56"/>
  <c r="J3" i="56"/>
  <c r="I3" i="56"/>
  <c r="K2" i="56"/>
  <c r="J2" i="56"/>
  <c r="I2" i="56"/>
  <c r="K101" i="55"/>
  <c r="J101" i="55"/>
  <c r="I101" i="55"/>
  <c r="K100" i="55"/>
  <c r="J100" i="55"/>
  <c r="I100" i="55"/>
  <c r="K99" i="55"/>
  <c r="J99" i="55"/>
  <c r="I99" i="55"/>
  <c r="K98" i="55"/>
  <c r="J98" i="55"/>
  <c r="I98" i="55"/>
  <c r="K97" i="55"/>
  <c r="J97" i="55"/>
  <c r="I97" i="55"/>
  <c r="K96" i="55"/>
  <c r="J96" i="55"/>
  <c r="I96" i="55"/>
  <c r="K95" i="55"/>
  <c r="J95" i="55"/>
  <c r="I95" i="55"/>
  <c r="K94" i="55"/>
  <c r="J94" i="55"/>
  <c r="I94" i="55"/>
  <c r="K93" i="55"/>
  <c r="J93" i="55"/>
  <c r="I93" i="55"/>
  <c r="K92" i="55"/>
  <c r="J92" i="55"/>
  <c r="I92" i="55"/>
  <c r="K91" i="55"/>
  <c r="J91" i="55"/>
  <c r="I91" i="55"/>
  <c r="K90" i="55"/>
  <c r="J90" i="55"/>
  <c r="I90" i="55"/>
  <c r="K89" i="55"/>
  <c r="J89" i="55"/>
  <c r="I89" i="55"/>
  <c r="K88" i="55"/>
  <c r="J88" i="55"/>
  <c r="I88" i="55"/>
  <c r="K87" i="55"/>
  <c r="J87" i="55"/>
  <c r="I87" i="55"/>
  <c r="K86" i="55"/>
  <c r="J86" i="55"/>
  <c r="I86" i="55"/>
  <c r="K85" i="55"/>
  <c r="J85" i="55"/>
  <c r="I85" i="55"/>
  <c r="K84" i="55"/>
  <c r="J84" i="55"/>
  <c r="I84" i="55"/>
  <c r="K83" i="55"/>
  <c r="J83" i="55"/>
  <c r="I83" i="55"/>
  <c r="K82" i="55"/>
  <c r="J82" i="55"/>
  <c r="I82" i="55"/>
  <c r="K81" i="55"/>
  <c r="J81" i="55"/>
  <c r="I81" i="55"/>
  <c r="K80" i="55"/>
  <c r="J80" i="55"/>
  <c r="I80" i="55"/>
  <c r="K79" i="55"/>
  <c r="J79" i="55"/>
  <c r="I79" i="55"/>
  <c r="K78" i="55"/>
  <c r="J78" i="55"/>
  <c r="I78" i="55"/>
  <c r="K77" i="55"/>
  <c r="J77" i="55"/>
  <c r="I77" i="55"/>
  <c r="K76" i="55"/>
  <c r="J76" i="55"/>
  <c r="I76" i="55"/>
  <c r="K75" i="55"/>
  <c r="J75" i="55"/>
  <c r="I75" i="55"/>
  <c r="K74" i="55"/>
  <c r="J74" i="55"/>
  <c r="I74" i="55"/>
  <c r="K73" i="55"/>
  <c r="J73" i="55"/>
  <c r="I73" i="55"/>
  <c r="K72" i="55"/>
  <c r="J72" i="55"/>
  <c r="I72" i="55"/>
  <c r="K71" i="55"/>
  <c r="J71" i="55"/>
  <c r="I71" i="55"/>
  <c r="K70" i="55"/>
  <c r="J70" i="55"/>
  <c r="I70" i="55"/>
  <c r="K69" i="55"/>
  <c r="J69" i="55"/>
  <c r="I69" i="55"/>
  <c r="K68" i="55"/>
  <c r="J68" i="55"/>
  <c r="I68" i="55"/>
  <c r="K67" i="55"/>
  <c r="J67" i="55"/>
  <c r="I67" i="55"/>
  <c r="K66" i="55"/>
  <c r="J66" i="55"/>
  <c r="I66" i="55"/>
  <c r="K65" i="55"/>
  <c r="J65" i="55"/>
  <c r="I65" i="55"/>
  <c r="K64" i="55"/>
  <c r="J64" i="55"/>
  <c r="I64" i="55"/>
  <c r="K63" i="55"/>
  <c r="J63" i="55"/>
  <c r="I63" i="55"/>
  <c r="K62" i="55"/>
  <c r="J62" i="55"/>
  <c r="I62" i="55"/>
  <c r="K61" i="55"/>
  <c r="J61" i="55"/>
  <c r="I61" i="55"/>
  <c r="K60" i="55"/>
  <c r="J60" i="55"/>
  <c r="I60" i="55"/>
  <c r="K59" i="55"/>
  <c r="J59" i="55"/>
  <c r="I59" i="55"/>
  <c r="K58" i="55"/>
  <c r="J58" i="55"/>
  <c r="I58" i="55"/>
  <c r="K57" i="55"/>
  <c r="J57" i="55"/>
  <c r="I57" i="55"/>
  <c r="K56" i="55"/>
  <c r="J56" i="55"/>
  <c r="I56" i="55"/>
  <c r="K55" i="55"/>
  <c r="J55" i="55"/>
  <c r="I55" i="55"/>
  <c r="K54" i="55"/>
  <c r="J54" i="55"/>
  <c r="I54" i="55"/>
  <c r="K53" i="55"/>
  <c r="J53" i="55"/>
  <c r="I53" i="55"/>
  <c r="K52" i="55"/>
  <c r="J52" i="55"/>
  <c r="I52" i="55"/>
  <c r="K51" i="55"/>
  <c r="J51" i="55"/>
  <c r="I51" i="55"/>
  <c r="K50" i="55"/>
  <c r="J50" i="55"/>
  <c r="I50" i="55"/>
  <c r="K49" i="55"/>
  <c r="J49" i="55"/>
  <c r="I49" i="55"/>
  <c r="K48" i="55"/>
  <c r="J48" i="55"/>
  <c r="I48" i="55"/>
  <c r="K47" i="55"/>
  <c r="J47" i="55"/>
  <c r="I47" i="55"/>
  <c r="K46" i="55"/>
  <c r="J46" i="55"/>
  <c r="I46" i="55"/>
  <c r="K45" i="55"/>
  <c r="J45" i="55"/>
  <c r="I45" i="55"/>
  <c r="K44" i="55"/>
  <c r="J44" i="55"/>
  <c r="I44" i="55"/>
  <c r="K43" i="55"/>
  <c r="J43" i="55"/>
  <c r="I43" i="55"/>
  <c r="K42" i="55"/>
  <c r="J42" i="55"/>
  <c r="I42" i="55"/>
  <c r="K41" i="55"/>
  <c r="J41" i="55"/>
  <c r="I41" i="55"/>
  <c r="K40" i="55"/>
  <c r="J40" i="55"/>
  <c r="I40" i="55"/>
  <c r="K39" i="55"/>
  <c r="J39" i="55"/>
  <c r="I39" i="55"/>
  <c r="K38" i="55"/>
  <c r="J38" i="55"/>
  <c r="I38" i="55"/>
  <c r="K37" i="55"/>
  <c r="J37" i="55"/>
  <c r="I37" i="55"/>
  <c r="K36" i="55"/>
  <c r="J36" i="55"/>
  <c r="I36" i="55"/>
  <c r="K35" i="55"/>
  <c r="J35" i="55"/>
  <c r="I35" i="55"/>
  <c r="K34" i="55"/>
  <c r="J34" i="55"/>
  <c r="I34" i="55"/>
  <c r="K33" i="55"/>
  <c r="J33" i="55"/>
  <c r="I33" i="55"/>
  <c r="K32" i="55"/>
  <c r="J32" i="55"/>
  <c r="I32" i="55"/>
  <c r="K31" i="55"/>
  <c r="J31" i="55"/>
  <c r="I31" i="55"/>
  <c r="K30" i="55"/>
  <c r="J30" i="55"/>
  <c r="I30" i="55"/>
  <c r="K29" i="55"/>
  <c r="J29" i="55"/>
  <c r="I29" i="55"/>
  <c r="K28" i="55"/>
  <c r="J28" i="55"/>
  <c r="I28" i="55"/>
  <c r="K27" i="55"/>
  <c r="J27" i="55"/>
  <c r="I27" i="55"/>
  <c r="K26" i="55"/>
  <c r="J26" i="55"/>
  <c r="I26" i="55"/>
  <c r="K25" i="55"/>
  <c r="J25" i="55"/>
  <c r="I25" i="55"/>
  <c r="K24" i="55"/>
  <c r="J24" i="55"/>
  <c r="I24" i="55"/>
  <c r="K23" i="55"/>
  <c r="J23" i="55"/>
  <c r="I23" i="55"/>
  <c r="K22" i="55"/>
  <c r="J22" i="55"/>
  <c r="I22" i="55"/>
  <c r="K21" i="55"/>
  <c r="J21" i="55"/>
  <c r="I21" i="55"/>
  <c r="K20" i="55"/>
  <c r="J20" i="55"/>
  <c r="I20" i="55"/>
  <c r="K19" i="55"/>
  <c r="J19" i="55"/>
  <c r="I19" i="55"/>
  <c r="K18" i="55"/>
  <c r="J18" i="55"/>
  <c r="I18" i="55"/>
  <c r="K17" i="55"/>
  <c r="J17" i="55"/>
  <c r="I17" i="55"/>
  <c r="K16" i="55"/>
  <c r="J16" i="55"/>
  <c r="I16" i="55"/>
  <c r="K15" i="55"/>
  <c r="J15" i="55"/>
  <c r="I15" i="55"/>
  <c r="K14" i="55"/>
  <c r="J14" i="55"/>
  <c r="I14" i="55"/>
  <c r="K13" i="55"/>
  <c r="J13" i="55"/>
  <c r="I13" i="55"/>
  <c r="K12" i="55"/>
  <c r="J12" i="55"/>
  <c r="I12" i="55"/>
  <c r="K11" i="55"/>
  <c r="J11" i="55"/>
  <c r="I11" i="55"/>
  <c r="K10" i="55"/>
  <c r="J10" i="55"/>
  <c r="I10" i="55"/>
  <c r="K9" i="55"/>
  <c r="J9" i="55"/>
  <c r="I9" i="55"/>
  <c r="K8" i="55"/>
  <c r="J8" i="55"/>
  <c r="I8" i="55"/>
  <c r="K7" i="55"/>
  <c r="J7" i="55"/>
  <c r="I7" i="55"/>
  <c r="K6" i="55"/>
  <c r="J6" i="55"/>
  <c r="I6" i="55"/>
  <c r="K5" i="55"/>
  <c r="J5" i="55"/>
  <c r="I5" i="55"/>
  <c r="K4" i="55"/>
  <c r="J4" i="55"/>
  <c r="I4" i="55"/>
  <c r="K3" i="55"/>
  <c r="J3" i="55"/>
  <c r="I3" i="55"/>
  <c r="K2" i="55"/>
  <c r="J2" i="55"/>
  <c r="I2" i="55"/>
  <c r="K101" i="54"/>
  <c r="J101" i="54"/>
  <c r="I101" i="54"/>
  <c r="K100" i="54"/>
  <c r="J100" i="54"/>
  <c r="I100" i="54"/>
  <c r="K99" i="54"/>
  <c r="J99" i="54"/>
  <c r="I99" i="54"/>
  <c r="K98" i="54"/>
  <c r="J98" i="54"/>
  <c r="I98" i="54"/>
  <c r="K97" i="54"/>
  <c r="J97" i="54"/>
  <c r="I97" i="54"/>
  <c r="K96" i="54"/>
  <c r="J96" i="54"/>
  <c r="I96" i="54"/>
  <c r="K95" i="54"/>
  <c r="J95" i="54"/>
  <c r="I95" i="54"/>
  <c r="K94" i="54"/>
  <c r="J94" i="54"/>
  <c r="I94" i="54"/>
  <c r="K93" i="54"/>
  <c r="J93" i="54"/>
  <c r="I93" i="54"/>
  <c r="K92" i="54"/>
  <c r="J92" i="54"/>
  <c r="I92" i="54"/>
  <c r="K91" i="54"/>
  <c r="J91" i="54"/>
  <c r="I91" i="54"/>
  <c r="K90" i="54"/>
  <c r="J90" i="54"/>
  <c r="I90" i="54"/>
  <c r="K89" i="54"/>
  <c r="J89" i="54"/>
  <c r="I89" i="54"/>
  <c r="K88" i="54"/>
  <c r="J88" i="54"/>
  <c r="I88" i="54"/>
  <c r="K87" i="54"/>
  <c r="J87" i="54"/>
  <c r="I87" i="54"/>
  <c r="K86" i="54"/>
  <c r="J86" i="54"/>
  <c r="I86" i="54"/>
  <c r="K85" i="54"/>
  <c r="J85" i="54"/>
  <c r="I85" i="54"/>
  <c r="K84" i="54"/>
  <c r="J84" i="54"/>
  <c r="I84" i="54"/>
  <c r="K83" i="54"/>
  <c r="J83" i="54"/>
  <c r="I83" i="54"/>
  <c r="K82" i="54"/>
  <c r="J82" i="54"/>
  <c r="I82" i="54"/>
  <c r="K81" i="54"/>
  <c r="J81" i="54"/>
  <c r="I81" i="54"/>
  <c r="K80" i="54"/>
  <c r="J80" i="54"/>
  <c r="I80" i="54"/>
  <c r="K79" i="54"/>
  <c r="J79" i="54"/>
  <c r="I79" i="54"/>
  <c r="K78" i="54"/>
  <c r="J78" i="54"/>
  <c r="I78" i="54"/>
  <c r="K77" i="54"/>
  <c r="J77" i="54"/>
  <c r="I77" i="54"/>
  <c r="K76" i="54"/>
  <c r="J76" i="54"/>
  <c r="I76" i="54"/>
  <c r="K75" i="54"/>
  <c r="J75" i="54"/>
  <c r="I75" i="54"/>
  <c r="K74" i="54"/>
  <c r="J74" i="54"/>
  <c r="I74" i="54"/>
  <c r="K73" i="54"/>
  <c r="J73" i="54"/>
  <c r="I73" i="54"/>
  <c r="K72" i="54"/>
  <c r="J72" i="54"/>
  <c r="I72" i="54"/>
  <c r="K71" i="54"/>
  <c r="J71" i="54"/>
  <c r="I71" i="54"/>
  <c r="K70" i="54"/>
  <c r="J70" i="54"/>
  <c r="I70" i="54"/>
  <c r="K69" i="54"/>
  <c r="J69" i="54"/>
  <c r="I69" i="54"/>
  <c r="K68" i="54"/>
  <c r="J68" i="54"/>
  <c r="I68" i="54"/>
  <c r="K67" i="54"/>
  <c r="J67" i="54"/>
  <c r="I67" i="54"/>
  <c r="K66" i="54"/>
  <c r="J66" i="54"/>
  <c r="I66" i="54"/>
  <c r="K65" i="54"/>
  <c r="J65" i="54"/>
  <c r="I65" i="54"/>
  <c r="K64" i="54"/>
  <c r="J64" i="54"/>
  <c r="I64" i="54"/>
  <c r="K63" i="54"/>
  <c r="J63" i="54"/>
  <c r="I63" i="54"/>
  <c r="K62" i="54"/>
  <c r="J62" i="54"/>
  <c r="I62" i="54"/>
  <c r="K61" i="54"/>
  <c r="J61" i="54"/>
  <c r="I61" i="54"/>
  <c r="K60" i="54"/>
  <c r="J60" i="54"/>
  <c r="I60" i="54"/>
  <c r="K59" i="54"/>
  <c r="J59" i="54"/>
  <c r="I59" i="54"/>
  <c r="K58" i="54"/>
  <c r="J58" i="54"/>
  <c r="I58" i="54"/>
  <c r="K57" i="54"/>
  <c r="J57" i="54"/>
  <c r="I57" i="54"/>
  <c r="K56" i="54"/>
  <c r="J56" i="54"/>
  <c r="I56" i="54"/>
  <c r="K55" i="54"/>
  <c r="J55" i="54"/>
  <c r="I55" i="54"/>
  <c r="K54" i="54"/>
  <c r="J54" i="54"/>
  <c r="I54" i="54"/>
  <c r="K53" i="54"/>
  <c r="J53" i="54"/>
  <c r="I53" i="54"/>
  <c r="K52" i="54"/>
  <c r="J52" i="54"/>
  <c r="I52" i="54"/>
  <c r="K51" i="54"/>
  <c r="J51" i="54"/>
  <c r="I51" i="54"/>
  <c r="K50" i="54"/>
  <c r="J50" i="54"/>
  <c r="I50" i="54"/>
  <c r="K49" i="54"/>
  <c r="J49" i="54"/>
  <c r="I49" i="54"/>
  <c r="K48" i="54"/>
  <c r="J48" i="54"/>
  <c r="I48" i="54"/>
  <c r="K47" i="54"/>
  <c r="J47" i="54"/>
  <c r="I47" i="54"/>
  <c r="K46" i="54"/>
  <c r="J46" i="54"/>
  <c r="I46" i="54"/>
  <c r="K45" i="54"/>
  <c r="J45" i="54"/>
  <c r="I45" i="54"/>
  <c r="K44" i="54"/>
  <c r="J44" i="54"/>
  <c r="I44" i="54"/>
  <c r="K43" i="54"/>
  <c r="J43" i="54"/>
  <c r="I43" i="54"/>
  <c r="K42" i="54"/>
  <c r="J42" i="54"/>
  <c r="I42" i="54"/>
  <c r="K41" i="54"/>
  <c r="J41" i="54"/>
  <c r="I41" i="54"/>
  <c r="K40" i="54"/>
  <c r="J40" i="54"/>
  <c r="I40" i="54"/>
  <c r="K39" i="54"/>
  <c r="J39" i="54"/>
  <c r="I39" i="54"/>
  <c r="K38" i="54"/>
  <c r="J38" i="54"/>
  <c r="I38" i="54"/>
  <c r="K37" i="54"/>
  <c r="J37" i="54"/>
  <c r="I37" i="54"/>
  <c r="K36" i="54"/>
  <c r="J36" i="54"/>
  <c r="I36" i="54"/>
  <c r="K35" i="54"/>
  <c r="J35" i="54"/>
  <c r="I35" i="54"/>
  <c r="K34" i="54"/>
  <c r="J34" i="54"/>
  <c r="I34" i="54"/>
  <c r="K33" i="54"/>
  <c r="J33" i="54"/>
  <c r="I33" i="54"/>
  <c r="K32" i="54"/>
  <c r="J32" i="54"/>
  <c r="I32" i="54"/>
  <c r="K31" i="54"/>
  <c r="J31" i="54"/>
  <c r="I31" i="54"/>
  <c r="K30" i="54"/>
  <c r="J30" i="54"/>
  <c r="I30" i="54"/>
  <c r="K29" i="54"/>
  <c r="J29" i="54"/>
  <c r="I29" i="54"/>
  <c r="K28" i="54"/>
  <c r="J28" i="54"/>
  <c r="I28" i="54"/>
  <c r="K27" i="54"/>
  <c r="J27" i="54"/>
  <c r="I27" i="54"/>
  <c r="K26" i="54"/>
  <c r="J26" i="54"/>
  <c r="I26" i="54"/>
  <c r="K25" i="54"/>
  <c r="J25" i="54"/>
  <c r="I25" i="54"/>
  <c r="K24" i="54"/>
  <c r="J24" i="54"/>
  <c r="I24" i="54"/>
  <c r="K23" i="54"/>
  <c r="J23" i="54"/>
  <c r="I23" i="54"/>
  <c r="K22" i="54"/>
  <c r="J22" i="54"/>
  <c r="I22" i="54"/>
  <c r="K21" i="54"/>
  <c r="J21" i="54"/>
  <c r="I21" i="54"/>
  <c r="K20" i="54"/>
  <c r="J20" i="54"/>
  <c r="I20" i="54"/>
  <c r="K19" i="54"/>
  <c r="J19" i="54"/>
  <c r="I19" i="54"/>
  <c r="K18" i="54"/>
  <c r="J18" i="54"/>
  <c r="I18" i="54"/>
  <c r="K17" i="54"/>
  <c r="J17" i="54"/>
  <c r="I17" i="54"/>
  <c r="K16" i="54"/>
  <c r="J16" i="54"/>
  <c r="I16" i="54"/>
  <c r="K15" i="54"/>
  <c r="J15" i="54"/>
  <c r="I15" i="54"/>
  <c r="K14" i="54"/>
  <c r="J14" i="54"/>
  <c r="I14" i="54"/>
  <c r="K13" i="54"/>
  <c r="J13" i="54"/>
  <c r="I13" i="54"/>
  <c r="K12" i="54"/>
  <c r="J12" i="54"/>
  <c r="I12" i="54"/>
  <c r="K11" i="54"/>
  <c r="J11" i="54"/>
  <c r="I11" i="54"/>
  <c r="K10" i="54"/>
  <c r="J10" i="54"/>
  <c r="I10" i="54"/>
  <c r="K9" i="54"/>
  <c r="J9" i="54"/>
  <c r="I9" i="54"/>
  <c r="K8" i="54"/>
  <c r="J8" i="54"/>
  <c r="I8" i="54"/>
  <c r="K7" i="54"/>
  <c r="J7" i="54"/>
  <c r="I7" i="54"/>
  <c r="K6" i="54"/>
  <c r="J6" i="54"/>
  <c r="I6" i="54"/>
  <c r="K5" i="54"/>
  <c r="J5" i="54"/>
  <c r="I5" i="54"/>
  <c r="K4" i="54"/>
  <c r="J4" i="54"/>
  <c r="I4" i="54"/>
  <c r="K3" i="54"/>
  <c r="J3" i="54"/>
  <c r="I3" i="54"/>
  <c r="K2" i="54"/>
  <c r="J2" i="54"/>
  <c r="I2" i="54"/>
  <c r="K101" i="53"/>
  <c r="J101" i="53"/>
  <c r="I101" i="53"/>
  <c r="K100" i="53"/>
  <c r="J100" i="53"/>
  <c r="I100" i="53"/>
  <c r="K99" i="53"/>
  <c r="J99" i="53"/>
  <c r="I99" i="53"/>
  <c r="K98" i="53"/>
  <c r="J98" i="53"/>
  <c r="I98" i="53"/>
  <c r="K97" i="53"/>
  <c r="J97" i="53"/>
  <c r="I97" i="53"/>
  <c r="K96" i="53"/>
  <c r="J96" i="53"/>
  <c r="I96" i="53"/>
  <c r="K95" i="53"/>
  <c r="J95" i="53"/>
  <c r="I95" i="53"/>
  <c r="K94" i="53"/>
  <c r="J94" i="53"/>
  <c r="I94" i="53"/>
  <c r="K93" i="53"/>
  <c r="J93" i="53"/>
  <c r="I93" i="53"/>
  <c r="K92" i="53"/>
  <c r="J92" i="53"/>
  <c r="I92" i="53"/>
  <c r="K91" i="53"/>
  <c r="J91" i="53"/>
  <c r="I91" i="53"/>
  <c r="K90" i="53"/>
  <c r="J90" i="53"/>
  <c r="I90" i="53"/>
  <c r="K89" i="53"/>
  <c r="J89" i="53"/>
  <c r="I89" i="53"/>
  <c r="K88" i="53"/>
  <c r="J88" i="53"/>
  <c r="I88" i="53"/>
  <c r="K87" i="53"/>
  <c r="J87" i="53"/>
  <c r="I87" i="53"/>
  <c r="K86" i="53"/>
  <c r="J86" i="53"/>
  <c r="I86" i="53"/>
  <c r="K85" i="53"/>
  <c r="J85" i="53"/>
  <c r="I85" i="53"/>
  <c r="K84" i="53"/>
  <c r="J84" i="53"/>
  <c r="I84" i="53"/>
  <c r="K83" i="53"/>
  <c r="J83" i="53"/>
  <c r="I83" i="53"/>
  <c r="K82" i="53"/>
  <c r="J82" i="53"/>
  <c r="I82" i="53"/>
  <c r="K81" i="53"/>
  <c r="J81" i="53"/>
  <c r="I81" i="53"/>
  <c r="K80" i="53"/>
  <c r="J80" i="53"/>
  <c r="I80" i="53"/>
  <c r="K79" i="53"/>
  <c r="J79" i="53"/>
  <c r="I79" i="53"/>
  <c r="K78" i="53"/>
  <c r="J78" i="53"/>
  <c r="I78" i="53"/>
  <c r="K77" i="53"/>
  <c r="J77" i="53"/>
  <c r="I77" i="53"/>
  <c r="K76" i="53"/>
  <c r="J76" i="53"/>
  <c r="I76" i="53"/>
  <c r="K75" i="53"/>
  <c r="J75" i="53"/>
  <c r="I75" i="53"/>
  <c r="K74" i="53"/>
  <c r="J74" i="53"/>
  <c r="I74" i="53"/>
  <c r="K73" i="53"/>
  <c r="J73" i="53"/>
  <c r="I73" i="53"/>
  <c r="K72" i="53"/>
  <c r="J72" i="53"/>
  <c r="I72" i="53"/>
  <c r="K71" i="53"/>
  <c r="J71" i="53"/>
  <c r="I71" i="53"/>
  <c r="K70" i="53"/>
  <c r="J70" i="53"/>
  <c r="I70" i="53"/>
  <c r="K69" i="53"/>
  <c r="J69" i="53"/>
  <c r="I69" i="53"/>
  <c r="K68" i="53"/>
  <c r="J68" i="53"/>
  <c r="I68" i="53"/>
  <c r="K67" i="53"/>
  <c r="J67" i="53"/>
  <c r="I67" i="53"/>
  <c r="K66" i="53"/>
  <c r="J66" i="53"/>
  <c r="I66" i="53"/>
  <c r="K65" i="53"/>
  <c r="J65" i="53"/>
  <c r="I65" i="53"/>
  <c r="K64" i="53"/>
  <c r="J64" i="53"/>
  <c r="I64" i="53"/>
  <c r="K63" i="53"/>
  <c r="J63" i="53"/>
  <c r="I63" i="53"/>
  <c r="K62" i="53"/>
  <c r="J62" i="53"/>
  <c r="I62" i="53"/>
  <c r="K61" i="53"/>
  <c r="J61" i="53"/>
  <c r="I61" i="53"/>
  <c r="K60" i="53"/>
  <c r="J60" i="53"/>
  <c r="I60" i="53"/>
  <c r="K59" i="53"/>
  <c r="J59" i="53"/>
  <c r="I59" i="53"/>
  <c r="K58" i="53"/>
  <c r="J58" i="53"/>
  <c r="I58" i="53"/>
  <c r="K57" i="53"/>
  <c r="J57" i="53"/>
  <c r="I57" i="53"/>
  <c r="K56" i="53"/>
  <c r="J56" i="53"/>
  <c r="I56" i="53"/>
  <c r="K55" i="53"/>
  <c r="J55" i="53"/>
  <c r="I55" i="53"/>
  <c r="K54" i="53"/>
  <c r="J54" i="53"/>
  <c r="I54" i="53"/>
  <c r="K53" i="53"/>
  <c r="J53" i="53"/>
  <c r="I53" i="53"/>
  <c r="K52" i="53"/>
  <c r="J52" i="53"/>
  <c r="I52" i="53"/>
  <c r="K51" i="53"/>
  <c r="J51" i="53"/>
  <c r="I51" i="53"/>
  <c r="K50" i="53"/>
  <c r="J50" i="53"/>
  <c r="I50" i="53"/>
  <c r="K49" i="53"/>
  <c r="J49" i="53"/>
  <c r="I49" i="53"/>
  <c r="K48" i="53"/>
  <c r="J48" i="53"/>
  <c r="I48" i="53"/>
  <c r="K47" i="53"/>
  <c r="J47" i="53"/>
  <c r="I47" i="53"/>
  <c r="K46" i="53"/>
  <c r="J46" i="53"/>
  <c r="I46" i="53"/>
  <c r="K45" i="53"/>
  <c r="J45" i="53"/>
  <c r="I45" i="53"/>
  <c r="K44" i="53"/>
  <c r="J44" i="53"/>
  <c r="I44" i="53"/>
  <c r="K43" i="53"/>
  <c r="J43" i="53"/>
  <c r="I43" i="53"/>
  <c r="K42" i="53"/>
  <c r="J42" i="53"/>
  <c r="I42" i="53"/>
  <c r="K41" i="53"/>
  <c r="J41" i="53"/>
  <c r="I41" i="53"/>
  <c r="K40" i="53"/>
  <c r="J40" i="53"/>
  <c r="I40" i="53"/>
  <c r="K39" i="53"/>
  <c r="J39" i="53"/>
  <c r="I39" i="53"/>
  <c r="K38" i="53"/>
  <c r="J38" i="53"/>
  <c r="I38" i="53"/>
  <c r="K37" i="53"/>
  <c r="J37" i="53"/>
  <c r="I37" i="53"/>
  <c r="K36" i="53"/>
  <c r="J36" i="53"/>
  <c r="I36" i="53"/>
  <c r="K35" i="53"/>
  <c r="J35" i="53"/>
  <c r="I35" i="53"/>
  <c r="K34" i="53"/>
  <c r="J34" i="53"/>
  <c r="I34" i="53"/>
  <c r="K33" i="53"/>
  <c r="J33" i="53"/>
  <c r="I33" i="53"/>
  <c r="K32" i="53"/>
  <c r="J32" i="53"/>
  <c r="I32" i="53"/>
  <c r="K31" i="53"/>
  <c r="J31" i="53"/>
  <c r="I31" i="53"/>
  <c r="K30" i="53"/>
  <c r="J30" i="53"/>
  <c r="I30" i="53"/>
  <c r="K29" i="53"/>
  <c r="J29" i="53"/>
  <c r="I29" i="53"/>
  <c r="K28" i="53"/>
  <c r="J28" i="53"/>
  <c r="I28" i="53"/>
  <c r="K27" i="53"/>
  <c r="J27" i="53"/>
  <c r="I27" i="53"/>
  <c r="K26" i="53"/>
  <c r="J26" i="53"/>
  <c r="I26" i="53"/>
  <c r="K25" i="53"/>
  <c r="J25" i="53"/>
  <c r="I25" i="53"/>
  <c r="K24" i="53"/>
  <c r="J24" i="53"/>
  <c r="I24" i="53"/>
  <c r="K23" i="53"/>
  <c r="J23" i="53"/>
  <c r="I23" i="53"/>
  <c r="K22" i="53"/>
  <c r="J22" i="53"/>
  <c r="I22" i="53"/>
  <c r="K21" i="53"/>
  <c r="J21" i="53"/>
  <c r="I21" i="53"/>
  <c r="K20" i="53"/>
  <c r="J20" i="53"/>
  <c r="I20" i="53"/>
  <c r="K19" i="53"/>
  <c r="J19" i="53"/>
  <c r="I19" i="53"/>
  <c r="K18" i="53"/>
  <c r="J18" i="53"/>
  <c r="I18" i="53"/>
  <c r="K17" i="53"/>
  <c r="J17" i="53"/>
  <c r="I17" i="53"/>
  <c r="K16" i="53"/>
  <c r="J16" i="53"/>
  <c r="I16" i="53"/>
  <c r="K15" i="53"/>
  <c r="J15" i="53"/>
  <c r="I15" i="53"/>
  <c r="K14" i="53"/>
  <c r="J14" i="53"/>
  <c r="I14" i="53"/>
  <c r="K13" i="53"/>
  <c r="J13" i="53"/>
  <c r="I13" i="53"/>
  <c r="K12" i="53"/>
  <c r="J12" i="53"/>
  <c r="I12" i="53"/>
  <c r="K11" i="53"/>
  <c r="J11" i="53"/>
  <c r="I11" i="53"/>
  <c r="K10" i="53"/>
  <c r="J10" i="53"/>
  <c r="I10" i="53"/>
  <c r="K9" i="53"/>
  <c r="J9" i="53"/>
  <c r="I9" i="53"/>
  <c r="K8" i="53"/>
  <c r="J8" i="53"/>
  <c r="I8" i="53"/>
  <c r="K7" i="53"/>
  <c r="J7" i="53"/>
  <c r="I7" i="53"/>
  <c r="K6" i="53"/>
  <c r="J6" i="53"/>
  <c r="I6" i="53"/>
  <c r="K5" i="53"/>
  <c r="J5" i="53"/>
  <c r="I5" i="53"/>
  <c r="K4" i="53"/>
  <c r="J4" i="53"/>
  <c r="I4" i="53"/>
  <c r="K3" i="53"/>
  <c r="J3" i="53"/>
  <c r="I3" i="53"/>
  <c r="K2" i="53"/>
  <c r="J2" i="53"/>
  <c r="I2" i="53"/>
  <c r="K101" i="52"/>
  <c r="J101" i="52"/>
  <c r="I101" i="52"/>
  <c r="K100" i="52"/>
  <c r="J100" i="52"/>
  <c r="I100" i="52"/>
  <c r="K99" i="52"/>
  <c r="J99" i="52"/>
  <c r="I99" i="52"/>
  <c r="K98" i="52"/>
  <c r="J98" i="52"/>
  <c r="I98" i="52"/>
  <c r="K97" i="52"/>
  <c r="J97" i="52"/>
  <c r="I97" i="52"/>
  <c r="K96" i="52"/>
  <c r="J96" i="52"/>
  <c r="I96" i="52"/>
  <c r="K95" i="52"/>
  <c r="J95" i="52"/>
  <c r="I95" i="52"/>
  <c r="K94" i="52"/>
  <c r="J94" i="52"/>
  <c r="I94" i="52"/>
  <c r="K93" i="52"/>
  <c r="J93" i="52"/>
  <c r="I93" i="52"/>
  <c r="K92" i="52"/>
  <c r="J92" i="52"/>
  <c r="I92" i="52"/>
  <c r="K91" i="52"/>
  <c r="J91" i="52"/>
  <c r="I91" i="52"/>
  <c r="K90" i="52"/>
  <c r="J90" i="52"/>
  <c r="I90" i="52"/>
  <c r="K89" i="52"/>
  <c r="J89" i="52"/>
  <c r="I89" i="52"/>
  <c r="K88" i="52"/>
  <c r="J88" i="52"/>
  <c r="I88" i="52"/>
  <c r="K87" i="52"/>
  <c r="J87" i="52"/>
  <c r="I87" i="52"/>
  <c r="K86" i="52"/>
  <c r="J86" i="52"/>
  <c r="I86" i="52"/>
  <c r="K85" i="52"/>
  <c r="J85" i="52"/>
  <c r="I85" i="52"/>
  <c r="K84" i="52"/>
  <c r="J84" i="52"/>
  <c r="I84" i="52"/>
  <c r="K83" i="52"/>
  <c r="J83" i="52"/>
  <c r="I83" i="52"/>
  <c r="K82" i="52"/>
  <c r="J82" i="52"/>
  <c r="I82" i="52"/>
  <c r="K81" i="52"/>
  <c r="J81" i="52"/>
  <c r="I81" i="52"/>
  <c r="K80" i="52"/>
  <c r="J80" i="52"/>
  <c r="I80" i="52"/>
  <c r="K79" i="52"/>
  <c r="J79" i="52"/>
  <c r="I79" i="52"/>
  <c r="K78" i="52"/>
  <c r="J78" i="52"/>
  <c r="I78" i="52"/>
  <c r="K77" i="52"/>
  <c r="J77" i="52"/>
  <c r="I77" i="52"/>
  <c r="K76" i="52"/>
  <c r="J76" i="52"/>
  <c r="I76" i="52"/>
  <c r="K75" i="52"/>
  <c r="J75" i="52"/>
  <c r="I75" i="52"/>
  <c r="K74" i="52"/>
  <c r="J74" i="52"/>
  <c r="I74" i="52"/>
  <c r="K73" i="52"/>
  <c r="J73" i="52"/>
  <c r="I73" i="52"/>
  <c r="K72" i="52"/>
  <c r="J72" i="52"/>
  <c r="I72" i="52"/>
  <c r="K71" i="52"/>
  <c r="J71" i="52"/>
  <c r="I71" i="52"/>
  <c r="K70" i="52"/>
  <c r="J70" i="52"/>
  <c r="I70" i="52"/>
  <c r="K69" i="52"/>
  <c r="J69" i="52"/>
  <c r="I69" i="52"/>
  <c r="K68" i="52"/>
  <c r="J68" i="52"/>
  <c r="I68" i="52"/>
  <c r="K67" i="52"/>
  <c r="J67" i="52"/>
  <c r="I67" i="52"/>
  <c r="K66" i="52"/>
  <c r="J66" i="52"/>
  <c r="I66" i="52"/>
  <c r="K65" i="52"/>
  <c r="J65" i="52"/>
  <c r="I65" i="52"/>
  <c r="K64" i="52"/>
  <c r="J64" i="52"/>
  <c r="I64" i="52"/>
  <c r="K63" i="52"/>
  <c r="J63" i="52"/>
  <c r="I63" i="52"/>
  <c r="K62" i="52"/>
  <c r="J62" i="52"/>
  <c r="I62" i="52"/>
  <c r="K61" i="52"/>
  <c r="J61" i="52"/>
  <c r="I61" i="52"/>
  <c r="K60" i="52"/>
  <c r="J60" i="52"/>
  <c r="I60" i="52"/>
  <c r="K59" i="52"/>
  <c r="J59" i="52"/>
  <c r="I59" i="52"/>
  <c r="K58" i="52"/>
  <c r="J58" i="52"/>
  <c r="I58" i="52"/>
  <c r="K57" i="52"/>
  <c r="J57" i="52"/>
  <c r="I57" i="52"/>
  <c r="K56" i="52"/>
  <c r="J56" i="52"/>
  <c r="I56" i="52"/>
  <c r="K55" i="52"/>
  <c r="J55" i="52"/>
  <c r="I55" i="52"/>
  <c r="K54" i="52"/>
  <c r="J54" i="52"/>
  <c r="I54" i="52"/>
  <c r="K53" i="52"/>
  <c r="J53" i="52"/>
  <c r="I53" i="52"/>
  <c r="K52" i="52"/>
  <c r="J52" i="52"/>
  <c r="I52" i="52"/>
  <c r="K51" i="52"/>
  <c r="J51" i="52"/>
  <c r="I51" i="52"/>
  <c r="K50" i="52"/>
  <c r="J50" i="52"/>
  <c r="I50" i="52"/>
  <c r="K49" i="52"/>
  <c r="J49" i="52"/>
  <c r="I49" i="52"/>
  <c r="K48" i="52"/>
  <c r="J48" i="52"/>
  <c r="I48" i="52"/>
  <c r="K47" i="52"/>
  <c r="J47" i="52"/>
  <c r="I47" i="52"/>
  <c r="K46" i="52"/>
  <c r="J46" i="52"/>
  <c r="I46" i="52"/>
  <c r="K45" i="52"/>
  <c r="J45" i="52"/>
  <c r="I45" i="52"/>
  <c r="K44" i="52"/>
  <c r="J44" i="52"/>
  <c r="I44" i="52"/>
  <c r="K43" i="52"/>
  <c r="J43" i="52"/>
  <c r="I43" i="52"/>
  <c r="K42" i="52"/>
  <c r="J42" i="52"/>
  <c r="I42" i="52"/>
  <c r="K41" i="52"/>
  <c r="J41" i="52"/>
  <c r="I41" i="52"/>
  <c r="K40" i="52"/>
  <c r="J40" i="52"/>
  <c r="I40" i="52"/>
  <c r="K39" i="52"/>
  <c r="J39" i="52"/>
  <c r="I39" i="52"/>
  <c r="K38" i="52"/>
  <c r="J38" i="52"/>
  <c r="I38" i="52"/>
  <c r="K37" i="52"/>
  <c r="J37" i="52"/>
  <c r="I37" i="52"/>
  <c r="K36" i="52"/>
  <c r="J36" i="52"/>
  <c r="I36" i="52"/>
  <c r="K35" i="52"/>
  <c r="J35" i="52"/>
  <c r="I35" i="52"/>
  <c r="K34" i="52"/>
  <c r="J34" i="52"/>
  <c r="I34" i="52"/>
  <c r="K33" i="52"/>
  <c r="J33" i="52"/>
  <c r="I33" i="52"/>
  <c r="K32" i="52"/>
  <c r="J32" i="52"/>
  <c r="I32" i="52"/>
  <c r="K31" i="52"/>
  <c r="J31" i="52"/>
  <c r="I31" i="52"/>
  <c r="K30" i="52"/>
  <c r="J30" i="52"/>
  <c r="I30" i="52"/>
  <c r="K29" i="52"/>
  <c r="J29" i="52"/>
  <c r="I29" i="52"/>
  <c r="K28" i="52"/>
  <c r="J28" i="52"/>
  <c r="I28" i="52"/>
  <c r="K27" i="52"/>
  <c r="J27" i="52"/>
  <c r="I27" i="52"/>
  <c r="K26" i="52"/>
  <c r="J26" i="52"/>
  <c r="I26" i="52"/>
  <c r="K25" i="52"/>
  <c r="J25" i="52"/>
  <c r="I25" i="52"/>
  <c r="K24" i="52"/>
  <c r="J24" i="52"/>
  <c r="I24" i="52"/>
  <c r="K23" i="52"/>
  <c r="J23" i="52"/>
  <c r="I23" i="52"/>
  <c r="K22" i="52"/>
  <c r="J22" i="52"/>
  <c r="I22" i="52"/>
  <c r="K21" i="52"/>
  <c r="J21" i="52"/>
  <c r="I21" i="52"/>
  <c r="K20" i="52"/>
  <c r="J20" i="52"/>
  <c r="I20" i="52"/>
  <c r="K19" i="52"/>
  <c r="J19" i="52"/>
  <c r="I19" i="52"/>
  <c r="K18" i="52"/>
  <c r="J18" i="52"/>
  <c r="I18" i="52"/>
  <c r="K17" i="52"/>
  <c r="J17" i="52"/>
  <c r="I17" i="52"/>
  <c r="K16" i="52"/>
  <c r="J16" i="52"/>
  <c r="I16" i="52"/>
  <c r="K15" i="52"/>
  <c r="J15" i="52"/>
  <c r="I15" i="52"/>
  <c r="K14" i="52"/>
  <c r="J14" i="52"/>
  <c r="I14" i="52"/>
  <c r="K13" i="52"/>
  <c r="J13" i="52"/>
  <c r="I13" i="52"/>
  <c r="K12" i="52"/>
  <c r="J12" i="52"/>
  <c r="I12" i="52"/>
  <c r="K11" i="52"/>
  <c r="J11" i="52"/>
  <c r="I11" i="52"/>
  <c r="K10" i="52"/>
  <c r="J10" i="52"/>
  <c r="I10" i="52"/>
  <c r="K9" i="52"/>
  <c r="J9" i="52"/>
  <c r="I9" i="52"/>
  <c r="K8" i="52"/>
  <c r="J8" i="52"/>
  <c r="I8" i="52"/>
  <c r="K7" i="52"/>
  <c r="J7" i="52"/>
  <c r="I7" i="52"/>
  <c r="K6" i="52"/>
  <c r="J6" i="52"/>
  <c r="I6" i="52"/>
  <c r="K5" i="52"/>
  <c r="J5" i="52"/>
  <c r="I5" i="52"/>
  <c r="K4" i="52"/>
  <c r="J4" i="52"/>
  <c r="I4" i="52"/>
  <c r="K3" i="52"/>
  <c r="J3" i="52"/>
  <c r="I3" i="52"/>
  <c r="K2" i="52"/>
  <c r="J2" i="52"/>
  <c r="I2" i="52"/>
  <c r="K101" i="51"/>
  <c r="J101" i="51"/>
  <c r="I101" i="51"/>
  <c r="K100" i="51"/>
  <c r="J100" i="51"/>
  <c r="I100" i="51"/>
  <c r="K99" i="51"/>
  <c r="J99" i="51"/>
  <c r="I99" i="51"/>
  <c r="K98" i="51"/>
  <c r="J98" i="51"/>
  <c r="I98" i="51"/>
  <c r="K97" i="51"/>
  <c r="J97" i="51"/>
  <c r="I97" i="51"/>
  <c r="K96" i="51"/>
  <c r="J96" i="51"/>
  <c r="I96" i="51"/>
  <c r="K95" i="51"/>
  <c r="J95" i="51"/>
  <c r="I95" i="51"/>
  <c r="K94" i="51"/>
  <c r="J94" i="51"/>
  <c r="I94" i="51"/>
  <c r="K93" i="51"/>
  <c r="J93" i="51"/>
  <c r="I93" i="51"/>
  <c r="K92" i="51"/>
  <c r="J92" i="51"/>
  <c r="I92" i="51"/>
  <c r="K91" i="51"/>
  <c r="J91" i="51"/>
  <c r="I91" i="51"/>
  <c r="K90" i="51"/>
  <c r="J90" i="51"/>
  <c r="I90" i="51"/>
  <c r="K89" i="51"/>
  <c r="J89" i="51"/>
  <c r="I89" i="51"/>
  <c r="K88" i="51"/>
  <c r="J88" i="51"/>
  <c r="I88" i="51"/>
  <c r="K87" i="51"/>
  <c r="J87" i="51"/>
  <c r="I87" i="51"/>
  <c r="K86" i="51"/>
  <c r="J86" i="51"/>
  <c r="I86" i="51"/>
  <c r="K85" i="51"/>
  <c r="J85" i="51"/>
  <c r="I85" i="51"/>
  <c r="K84" i="51"/>
  <c r="J84" i="51"/>
  <c r="I84" i="51"/>
  <c r="K83" i="51"/>
  <c r="J83" i="51"/>
  <c r="I83" i="51"/>
  <c r="K82" i="51"/>
  <c r="J82" i="51"/>
  <c r="I82" i="51"/>
  <c r="K81" i="51"/>
  <c r="J81" i="51"/>
  <c r="I81" i="51"/>
  <c r="K80" i="51"/>
  <c r="J80" i="51"/>
  <c r="I80" i="51"/>
  <c r="K79" i="51"/>
  <c r="J79" i="51"/>
  <c r="I79" i="51"/>
  <c r="K78" i="51"/>
  <c r="J78" i="51"/>
  <c r="I78" i="51"/>
  <c r="K77" i="51"/>
  <c r="J77" i="51"/>
  <c r="I77" i="51"/>
  <c r="K76" i="51"/>
  <c r="J76" i="51"/>
  <c r="I76" i="51"/>
  <c r="K75" i="51"/>
  <c r="J75" i="51"/>
  <c r="I75" i="51"/>
  <c r="K74" i="51"/>
  <c r="J74" i="51"/>
  <c r="I74" i="51"/>
  <c r="K73" i="51"/>
  <c r="J73" i="51"/>
  <c r="I73" i="51"/>
  <c r="K72" i="51"/>
  <c r="J72" i="51"/>
  <c r="I72" i="51"/>
  <c r="K71" i="51"/>
  <c r="J71" i="51"/>
  <c r="I71" i="51"/>
  <c r="K70" i="51"/>
  <c r="J70" i="51"/>
  <c r="I70" i="51"/>
  <c r="K69" i="51"/>
  <c r="J69" i="51"/>
  <c r="I69" i="51"/>
  <c r="K68" i="51"/>
  <c r="J68" i="51"/>
  <c r="I68" i="51"/>
  <c r="K67" i="51"/>
  <c r="J67" i="51"/>
  <c r="I67" i="51"/>
  <c r="K66" i="51"/>
  <c r="J66" i="51"/>
  <c r="I66" i="51"/>
  <c r="K65" i="51"/>
  <c r="J65" i="51"/>
  <c r="I65" i="51"/>
  <c r="K64" i="51"/>
  <c r="J64" i="51"/>
  <c r="I64" i="51"/>
  <c r="K63" i="51"/>
  <c r="J63" i="51"/>
  <c r="I63" i="51"/>
  <c r="K62" i="51"/>
  <c r="J62" i="51"/>
  <c r="I62" i="51"/>
  <c r="K61" i="51"/>
  <c r="J61" i="51"/>
  <c r="I61" i="51"/>
  <c r="K60" i="51"/>
  <c r="J60" i="51"/>
  <c r="I60" i="51"/>
  <c r="K59" i="51"/>
  <c r="J59" i="51"/>
  <c r="I59" i="51"/>
  <c r="K58" i="51"/>
  <c r="J58" i="51"/>
  <c r="I58" i="51"/>
  <c r="K57" i="51"/>
  <c r="J57" i="51"/>
  <c r="I57" i="51"/>
  <c r="K56" i="51"/>
  <c r="J56" i="51"/>
  <c r="I56" i="51"/>
  <c r="K55" i="51"/>
  <c r="J55" i="51"/>
  <c r="I55" i="51"/>
  <c r="K54" i="51"/>
  <c r="J54" i="51"/>
  <c r="I54" i="51"/>
  <c r="K53" i="51"/>
  <c r="J53" i="51"/>
  <c r="I53" i="51"/>
  <c r="K52" i="51"/>
  <c r="J52" i="51"/>
  <c r="I52" i="51"/>
  <c r="K51" i="51"/>
  <c r="J51" i="51"/>
  <c r="I51" i="51"/>
  <c r="K50" i="51"/>
  <c r="J50" i="51"/>
  <c r="I50" i="51"/>
  <c r="K49" i="51"/>
  <c r="J49" i="51"/>
  <c r="I49" i="51"/>
  <c r="K48" i="51"/>
  <c r="J48" i="51"/>
  <c r="I48" i="51"/>
  <c r="K47" i="51"/>
  <c r="J47" i="51"/>
  <c r="I47" i="51"/>
  <c r="K46" i="51"/>
  <c r="J46" i="51"/>
  <c r="I46" i="51"/>
  <c r="K45" i="51"/>
  <c r="J45" i="51"/>
  <c r="I45" i="51"/>
  <c r="K44" i="51"/>
  <c r="J44" i="51"/>
  <c r="I44" i="51"/>
  <c r="K43" i="51"/>
  <c r="J43" i="51"/>
  <c r="I43" i="51"/>
  <c r="K42" i="51"/>
  <c r="J42" i="51"/>
  <c r="I42" i="51"/>
  <c r="K41" i="51"/>
  <c r="J41" i="51"/>
  <c r="I41" i="51"/>
  <c r="K40" i="51"/>
  <c r="J40" i="51"/>
  <c r="I40" i="51"/>
  <c r="K39" i="51"/>
  <c r="J39" i="51"/>
  <c r="I39" i="51"/>
  <c r="K38" i="51"/>
  <c r="J38" i="51"/>
  <c r="I38" i="51"/>
  <c r="K37" i="51"/>
  <c r="J37" i="51"/>
  <c r="I37" i="51"/>
  <c r="K36" i="51"/>
  <c r="J36" i="51"/>
  <c r="I36" i="51"/>
  <c r="K35" i="51"/>
  <c r="J35" i="51"/>
  <c r="I35" i="51"/>
  <c r="K34" i="51"/>
  <c r="J34" i="51"/>
  <c r="I34" i="51"/>
  <c r="K33" i="51"/>
  <c r="J33" i="51"/>
  <c r="I33" i="51"/>
  <c r="K32" i="51"/>
  <c r="J32" i="51"/>
  <c r="I32" i="51"/>
  <c r="K31" i="51"/>
  <c r="J31" i="51"/>
  <c r="I31" i="51"/>
  <c r="K30" i="51"/>
  <c r="J30" i="51"/>
  <c r="I30" i="51"/>
  <c r="K29" i="51"/>
  <c r="J29" i="51"/>
  <c r="I29" i="51"/>
  <c r="K28" i="51"/>
  <c r="J28" i="51"/>
  <c r="I28" i="51"/>
  <c r="K27" i="51"/>
  <c r="J27" i="51"/>
  <c r="I27" i="51"/>
  <c r="K26" i="51"/>
  <c r="J26" i="51"/>
  <c r="I26" i="51"/>
  <c r="K25" i="51"/>
  <c r="J25" i="51"/>
  <c r="I25" i="51"/>
  <c r="K24" i="51"/>
  <c r="J24" i="51"/>
  <c r="I24" i="51"/>
  <c r="K23" i="51"/>
  <c r="J23" i="51"/>
  <c r="I23" i="51"/>
  <c r="K22" i="51"/>
  <c r="J22" i="51"/>
  <c r="I22" i="51"/>
  <c r="K21" i="51"/>
  <c r="J21" i="51"/>
  <c r="I21" i="51"/>
  <c r="K20" i="51"/>
  <c r="J20" i="51"/>
  <c r="I20" i="51"/>
  <c r="K19" i="51"/>
  <c r="J19" i="51"/>
  <c r="I19" i="51"/>
  <c r="K18" i="51"/>
  <c r="J18" i="51"/>
  <c r="I18" i="51"/>
  <c r="K17" i="51"/>
  <c r="J17" i="51"/>
  <c r="I17" i="51"/>
  <c r="K16" i="51"/>
  <c r="J16" i="51"/>
  <c r="I16" i="51"/>
  <c r="K15" i="51"/>
  <c r="J15" i="51"/>
  <c r="I15" i="51"/>
  <c r="K14" i="51"/>
  <c r="J14" i="51"/>
  <c r="I14" i="51"/>
  <c r="K13" i="51"/>
  <c r="J13" i="51"/>
  <c r="I13" i="51"/>
  <c r="K12" i="51"/>
  <c r="J12" i="51"/>
  <c r="I12" i="51"/>
  <c r="K11" i="51"/>
  <c r="J11" i="51"/>
  <c r="I11" i="51"/>
  <c r="K10" i="51"/>
  <c r="J10" i="51"/>
  <c r="I10" i="51"/>
  <c r="K9" i="51"/>
  <c r="J9" i="51"/>
  <c r="I9" i="51"/>
  <c r="K8" i="51"/>
  <c r="J8" i="51"/>
  <c r="I8" i="51"/>
  <c r="K7" i="51"/>
  <c r="J7" i="51"/>
  <c r="I7" i="51"/>
  <c r="K6" i="51"/>
  <c r="J6" i="51"/>
  <c r="I6" i="51"/>
  <c r="K5" i="51"/>
  <c r="J5" i="51"/>
  <c r="I5" i="51"/>
  <c r="K4" i="51"/>
  <c r="J4" i="51"/>
  <c r="I4" i="51"/>
  <c r="K3" i="51"/>
  <c r="J3" i="51"/>
  <c r="I3" i="51"/>
  <c r="K2" i="51"/>
  <c r="J2" i="51"/>
  <c r="I2" i="51"/>
  <c r="K101" i="50"/>
  <c r="J101" i="50"/>
  <c r="I101" i="50"/>
  <c r="K100" i="50"/>
  <c r="J100" i="50"/>
  <c r="I100" i="50"/>
  <c r="K99" i="50"/>
  <c r="J99" i="50"/>
  <c r="I99" i="50"/>
  <c r="K98" i="50"/>
  <c r="J98" i="50"/>
  <c r="I98" i="50"/>
  <c r="K97" i="50"/>
  <c r="J97" i="50"/>
  <c r="I97" i="50"/>
  <c r="K96" i="50"/>
  <c r="J96" i="50"/>
  <c r="I96" i="50"/>
  <c r="K95" i="50"/>
  <c r="J95" i="50"/>
  <c r="I95" i="50"/>
  <c r="K94" i="50"/>
  <c r="J94" i="50"/>
  <c r="I94" i="50"/>
  <c r="K93" i="50"/>
  <c r="J93" i="50"/>
  <c r="I93" i="50"/>
  <c r="K92" i="50"/>
  <c r="J92" i="50"/>
  <c r="I92" i="50"/>
  <c r="K91" i="50"/>
  <c r="J91" i="50"/>
  <c r="I91" i="50"/>
  <c r="K90" i="50"/>
  <c r="J90" i="50"/>
  <c r="I90" i="50"/>
  <c r="K89" i="50"/>
  <c r="J89" i="50"/>
  <c r="I89" i="50"/>
  <c r="K88" i="50"/>
  <c r="J88" i="50"/>
  <c r="I88" i="50"/>
  <c r="K87" i="50"/>
  <c r="J87" i="50"/>
  <c r="I87" i="50"/>
  <c r="K86" i="50"/>
  <c r="J86" i="50"/>
  <c r="I86" i="50"/>
  <c r="K85" i="50"/>
  <c r="J85" i="50"/>
  <c r="I85" i="50"/>
  <c r="K84" i="50"/>
  <c r="J84" i="50"/>
  <c r="I84" i="50"/>
  <c r="K83" i="50"/>
  <c r="J83" i="50"/>
  <c r="I83" i="50"/>
  <c r="K82" i="50"/>
  <c r="J82" i="50"/>
  <c r="I82" i="50"/>
  <c r="K81" i="50"/>
  <c r="J81" i="50"/>
  <c r="I81" i="50"/>
  <c r="K80" i="50"/>
  <c r="J80" i="50"/>
  <c r="I80" i="50"/>
  <c r="K79" i="50"/>
  <c r="J79" i="50"/>
  <c r="I79" i="50"/>
  <c r="K78" i="50"/>
  <c r="J78" i="50"/>
  <c r="I78" i="50"/>
  <c r="K77" i="50"/>
  <c r="J77" i="50"/>
  <c r="I77" i="50"/>
  <c r="K76" i="50"/>
  <c r="J76" i="50"/>
  <c r="I76" i="50"/>
  <c r="K75" i="50"/>
  <c r="J75" i="50"/>
  <c r="I75" i="50"/>
  <c r="K74" i="50"/>
  <c r="J74" i="50"/>
  <c r="I74" i="50"/>
  <c r="K73" i="50"/>
  <c r="J73" i="50"/>
  <c r="I73" i="50"/>
  <c r="K72" i="50"/>
  <c r="J72" i="50"/>
  <c r="I72" i="50"/>
  <c r="K71" i="50"/>
  <c r="J71" i="50"/>
  <c r="I71" i="50"/>
  <c r="K70" i="50"/>
  <c r="J70" i="50"/>
  <c r="I70" i="50"/>
  <c r="K69" i="50"/>
  <c r="J69" i="50"/>
  <c r="I69" i="50"/>
  <c r="K68" i="50"/>
  <c r="J68" i="50"/>
  <c r="I68" i="50"/>
  <c r="K67" i="50"/>
  <c r="J67" i="50"/>
  <c r="I67" i="50"/>
  <c r="K66" i="50"/>
  <c r="J66" i="50"/>
  <c r="I66" i="50"/>
  <c r="K65" i="50"/>
  <c r="J65" i="50"/>
  <c r="I65" i="50"/>
  <c r="K64" i="50"/>
  <c r="J64" i="50"/>
  <c r="I64" i="50"/>
  <c r="K63" i="50"/>
  <c r="J63" i="50"/>
  <c r="I63" i="50"/>
  <c r="K62" i="50"/>
  <c r="J62" i="50"/>
  <c r="I62" i="50"/>
  <c r="K61" i="50"/>
  <c r="J61" i="50"/>
  <c r="I61" i="50"/>
  <c r="K60" i="50"/>
  <c r="J60" i="50"/>
  <c r="I60" i="50"/>
  <c r="K59" i="50"/>
  <c r="J59" i="50"/>
  <c r="I59" i="50"/>
  <c r="K58" i="50"/>
  <c r="J58" i="50"/>
  <c r="I58" i="50"/>
  <c r="K57" i="50"/>
  <c r="J57" i="50"/>
  <c r="I57" i="50"/>
  <c r="K56" i="50"/>
  <c r="J56" i="50"/>
  <c r="I56" i="50"/>
  <c r="K55" i="50"/>
  <c r="J55" i="50"/>
  <c r="I55" i="50"/>
  <c r="K54" i="50"/>
  <c r="J54" i="50"/>
  <c r="I54" i="50"/>
  <c r="K53" i="50"/>
  <c r="J53" i="50"/>
  <c r="I53" i="50"/>
  <c r="K52" i="50"/>
  <c r="J52" i="50"/>
  <c r="I52" i="50"/>
  <c r="K51" i="50"/>
  <c r="J51" i="50"/>
  <c r="I51" i="50"/>
  <c r="K50" i="50"/>
  <c r="J50" i="50"/>
  <c r="I50" i="50"/>
  <c r="K49" i="50"/>
  <c r="J49" i="50"/>
  <c r="I49" i="50"/>
  <c r="K48" i="50"/>
  <c r="J48" i="50"/>
  <c r="I48" i="50"/>
  <c r="K47" i="50"/>
  <c r="J47" i="50"/>
  <c r="I47" i="50"/>
  <c r="K46" i="50"/>
  <c r="J46" i="50"/>
  <c r="I46" i="50"/>
  <c r="K45" i="50"/>
  <c r="J45" i="50"/>
  <c r="I45" i="50"/>
  <c r="K44" i="50"/>
  <c r="J44" i="50"/>
  <c r="I44" i="50"/>
  <c r="K43" i="50"/>
  <c r="J43" i="50"/>
  <c r="I43" i="50"/>
  <c r="K42" i="50"/>
  <c r="J42" i="50"/>
  <c r="I42" i="50"/>
  <c r="K41" i="50"/>
  <c r="J41" i="50"/>
  <c r="I41" i="50"/>
  <c r="K40" i="50"/>
  <c r="J40" i="50"/>
  <c r="I40" i="50"/>
  <c r="K39" i="50"/>
  <c r="J39" i="50"/>
  <c r="I39" i="50"/>
  <c r="K38" i="50"/>
  <c r="J38" i="50"/>
  <c r="I38" i="50"/>
  <c r="K37" i="50"/>
  <c r="J37" i="50"/>
  <c r="I37" i="50"/>
  <c r="K36" i="50"/>
  <c r="J36" i="50"/>
  <c r="I36" i="50"/>
  <c r="K35" i="50"/>
  <c r="J35" i="50"/>
  <c r="I35" i="50"/>
  <c r="K34" i="50"/>
  <c r="J34" i="50"/>
  <c r="I34" i="50"/>
  <c r="K33" i="50"/>
  <c r="J33" i="50"/>
  <c r="I33" i="50"/>
  <c r="K32" i="50"/>
  <c r="J32" i="50"/>
  <c r="I32" i="50"/>
  <c r="K31" i="50"/>
  <c r="J31" i="50"/>
  <c r="I31" i="50"/>
  <c r="K30" i="50"/>
  <c r="J30" i="50"/>
  <c r="I30" i="50"/>
  <c r="K29" i="50"/>
  <c r="J29" i="50"/>
  <c r="I29" i="50"/>
  <c r="K28" i="50"/>
  <c r="J28" i="50"/>
  <c r="I28" i="50"/>
  <c r="K27" i="50"/>
  <c r="J27" i="50"/>
  <c r="I27" i="50"/>
  <c r="K26" i="50"/>
  <c r="J26" i="50"/>
  <c r="I26" i="50"/>
  <c r="K25" i="50"/>
  <c r="J25" i="50"/>
  <c r="I25" i="50"/>
  <c r="K24" i="50"/>
  <c r="J24" i="50"/>
  <c r="I24" i="50"/>
  <c r="K23" i="50"/>
  <c r="J23" i="50"/>
  <c r="I23" i="50"/>
  <c r="K22" i="50"/>
  <c r="J22" i="50"/>
  <c r="I22" i="50"/>
  <c r="K21" i="50"/>
  <c r="J21" i="50"/>
  <c r="I21" i="50"/>
  <c r="K20" i="50"/>
  <c r="J20" i="50"/>
  <c r="I20" i="50"/>
  <c r="K19" i="50"/>
  <c r="J19" i="50"/>
  <c r="I19" i="50"/>
  <c r="K18" i="50"/>
  <c r="J18" i="50"/>
  <c r="I18" i="50"/>
  <c r="K17" i="50"/>
  <c r="J17" i="50"/>
  <c r="I17" i="50"/>
  <c r="K16" i="50"/>
  <c r="J16" i="50"/>
  <c r="I16" i="50"/>
  <c r="K15" i="50"/>
  <c r="J15" i="50"/>
  <c r="I15" i="50"/>
  <c r="K14" i="50"/>
  <c r="J14" i="50"/>
  <c r="I14" i="50"/>
  <c r="K13" i="50"/>
  <c r="J13" i="50"/>
  <c r="I13" i="50"/>
  <c r="K12" i="50"/>
  <c r="J12" i="50"/>
  <c r="I12" i="50"/>
  <c r="K11" i="50"/>
  <c r="J11" i="50"/>
  <c r="I11" i="50"/>
  <c r="K10" i="50"/>
  <c r="J10" i="50"/>
  <c r="I10" i="50"/>
  <c r="K9" i="50"/>
  <c r="J9" i="50"/>
  <c r="I9" i="50"/>
  <c r="K8" i="50"/>
  <c r="J8" i="50"/>
  <c r="I8" i="50"/>
  <c r="K7" i="50"/>
  <c r="J7" i="50"/>
  <c r="I7" i="50"/>
  <c r="K6" i="50"/>
  <c r="J6" i="50"/>
  <c r="I6" i="50"/>
  <c r="K5" i="50"/>
  <c r="J5" i="50"/>
  <c r="I5" i="50"/>
  <c r="K4" i="50"/>
  <c r="J4" i="50"/>
  <c r="I4" i="50"/>
  <c r="K3" i="50"/>
  <c r="J3" i="50"/>
  <c r="I3" i="50"/>
  <c r="K2" i="50"/>
  <c r="J2" i="50"/>
  <c r="I2" i="50"/>
  <c r="K101" i="49"/>
  <c r="J101" i="49"/>
  <c r="I101" i="49"/>
  <c r="K100" i="49"/>
  <c r="J100" i="49"/>
  <c r="I100" i="49"/>
  <c r="K99" i="49"/>
  <c r="J99" i="49"/>
  <c r="I99" i="49"/>
  <c r="K98" i="49"/>
  <c r="J98" i="49"/>
  <c r="I98" i="49"/>
  <c r="K97" i="49"/>
  <c r="J97" i="49"/>
  <c r="I97" i="49"/>
  <c r="K96" i="49"/>
  <c r="J96" i="49"/>
  <c r="I96" i="49"/>
  <c r="K95" i="49"/>
  <c r="J95" i="49"/>
  <c r="I95" i="49"/>
  <c r="K94" i="49"/>
  <c r="J94" i="49"/>
  <c r="I94" i="49"/>
  <c r="K93" i="49"/>
  <c r="J93" i="49"/>
  <c r="I93" i="49"/>
  <c r="K92" i="49"/>
  <c r="J92" i="49"/>
  <c r="I92" i="49"/>
  <c r="K91" i="49"/>
  <c r="J91" i="49"/>
  <c r="I91" i="49"/>
  <c r="K90" i="49"/>
  <c r="J90" i="49"/>
  <c r="I90" i="49"/>
  <c r="K89" i="49"/>
  <c r="J89" i="49"/>
  <c r="I89" i="49"/>
  <c r="K88" i="49"/>
  <c r="J88" i="49"/>
  <c r="I88" i="49"/>
  <c r="K87" i="49"/>
  <c r="J87" i="49"/>
  <c r="I87" i="49"/>
  <c r="K86" i="49"/>
  <c r="J86" i="49"/>
  <c r="I86" i="49"/>
  <c r="K85" i="49"/>
  <c r="J85" i="49"/>
  <c r="I85" i="49"/>
  <c r="K84" i="49"/>
  <c r="J84" i="49"/>
  <c r="I84" i="49"/>
  <c r="K83" i="49"/>
  <c r="J83" i="49"/>
  <c r="I83" i="49"/>
  <c r="K82" i="49"/>
  <c r="J82" i="49"/>
  <c r="I82" i="49"/>
  <c r="K81" i="49"/>
  <c r="J81" i="49"/>
  <c r="I81" i="49"/>
  <c r="K80" i="49"/>
  <c r="J80" i="49"/>
  <c r="I80" i="49"/>
  <c r="K79" i="49"/>
  <c r="J79" i="49"/>
  <c r="I79" i="49"/>
  <c r="K78" i="49"/>
  <c r="J78" i="49"/>
  <c r="I78" i="49"/>
  <c r="K77" i="49"/>
  <c r="J77" i="49"/>
  <c r="I77" i="49"/>
  <c r="K76" i="49"/>
  <c r="J76" i="49"/>
  <c r="I76" i="49"/>
  <c r="K75" i="49"/>
  <c r="J75" i="49"/>
  <c r="I75" i="49"/>
  <c r="K74" i="49"/>
  <c r="J74" i="49"/>
  <c r="I74" i="49"/>
  <c r="K73" i="49"/>
  <c r="J73" i="49"/>
  <c r="I73" i="49"/>
  <c r="K72" i="49"/>
  <c r="J72" i="49"/>
  <c r="I72" i="49"/>
  <c r="K71" i="49"/>
  <c r="J71" i="49"/>
  <c r="I71" i="49"/>
  <c r="K70" i="49"/>
  <c r="J70" i="49"/>
  <c r="I70" i="49"/>
  <c r="K69" i="49"/>
  <c r="J69" i="49"/>
  <c r="I69" i="49"/>
  <c r="K68" i="49"/>
  <c r="J68" i="49"/>
  <c r="I68" i="49"/>
  <c r="K67" i="49"/>
  <c r="J67" i="49"/>
  <c r="I67" i="49"/>
  <c r="K66" i="49"/>
  <c r="J66" i="49"/>
  <c r="I66" i="49"/>
  <c r="K65" i="49"/>
  <c r="J65" i="49"/>
  <c r="I65" i="49"/>
  <c r="K64" i="49"/>
  <c r="J64" i="49"/>
  <c r="I64" i="49"/>
  <c r="K63" i="49"/>
  <c r="J63" i="49"/>
  <c r="I63" i="49"/>
  <c r="K62" i="49"/>
  <c r="J62" i="49"/>
  <c r="I62" i="49"/>
  <c r="K61" i="49"/>
  <c r="J61" i="49"/>
  <c r="I61" i="49"/>
  <c r="K60" i="49"/>
  <c r="J60" i="49"/>
  <c r="I60" i="49"/>
  <c r="K59" i="49"/>
  <c r="J59" i="49"/>
  <c r="I59" i="49"/>
  <c r="K58" i="49"/>
  <c r="J58" i="49"/>
  <c r="I58" i="49"/>
  <c r="K57" i="49"/>
  <c r="J57" i="49"/>
  <c r="I57" i="49"/>
  <c r="K56" i="49"/>
  <c r="J56" i="49"/>
  <c r="I56" i="49"/>
  <c r="K55" i="49"/>
  <c r="J55" i="49"/>
  <c r="I55" i="49"/>
  <c r="K54" i="49"/>
  <c r="J54" i="49"/>
  <c r="I54" i="49"/>
  <c r="K53" i="49"/>
  <c r="J53" i="49"/>
  <c r="I53" i="49"/>
  <c r="K52" i="49"/>
  <c r="J52" i="49"/>
  <c r="I52" i="49"/>
  <c r="K51" i="49"/>
  <c r="J51" i="49"/>
  <c r="I51" i="49"/>
  <c r="K50" i="49"/>
  <c r="J50" i="49"/>
  <c r="I50" i="49"/>
  <c r="K49" i="49"/>
  <c r="J49" i="49"/>
  <c r="I49" i="49"/>
  <c r="K48" i="49"/>
  <c r="J48" i="49"/>
  <c r="I48" i="49"/>
  <c r="K47" i="49"/>
  <c r="J47" i="49"/>
  <c r="K46" i="49"/>
  <c r="J46" i="49"/>
  <c r="I46" i="49"/>
  <c r="K45" i="49"/>
  <c r="J45" i="49"/>
  <c r="I45" i="49"/>
  <c r="K44" i="49"/>
  <c r="J44" i="49"/>
  <c r="I44" i="49"/>
  <c r="K43" i="49"/>
  <c r="J43" i="49"/>
  <c r="I43" i="49"/>
  <c r="K42" i="49"/>
  <c r="J42" i="49"/>
  <c r="I42" i="49"/>
  <c r="K41" i="49"/>
  <c r="J41" i="49"/>
  <c r="I41" i="49"/>
  <c r="K40" i="49"/>
  <c r="J40" i="49"/>
  <c r="I40" i="49"/>
  <c r="K39" i="49"/>
  <c r="J39" i="49"/>
  <c r="I39" i="49"/>
  <c r="K38" i="49"/>
  <c r="J38" i="49"/>
  <c r="I38" i="49"/>
  <c r="K37" i="49"/>
  <c r="J37" i="49"/>
  <c r="I37" i="49"/>
  <c r="K36" i="49"/>
  <c r="J36" i="49"/>
  <c r="I36" i="49"/>
  <c r="K35" i="49"/>
  <c r="J35" i="49"/>
  <c r="I35" i="49"/>
  <c r="K34" i="49"/>
  <c r="J34" i="49"/>
  <c r="I34" i="49"/>
  <c r="K33" i="49"/>
  <c r="J33" i="49"/>
  <c r="I33" i="49"/>
  <c r="K32" i="49"/>
  <c r="J32" i="49"/>
  <c r="I32" i="49"/>
  <c r="K31" i="49"/>
  <c r="J31" i="49"/>
  <c r="I31" i="49"/>
  <c r="K30" i="49"/>
  <c r="J30" i="49"/>
  <c r="I30" i="49"/>
  <c r="K29" i="49"/>
  <c r="J29" i="49"/>
  <c r="I29" i="49"/>
  <c r="K28" i="49"/>
  <c r="J28" i="49"/>
  <c r="I28" i="49"/>
  <c r="K27" i="49"/>
  <c r="J27" i="49"/>
  <c r="I27" i="49"/>
  <c r="K26" i="49"/>
  <c r="J26" i="49"/>
  <c r="I26" i="49"/>
  <c r="K25" i="49"/>
  <c r="J25" i="49"/>
  <c r="I25" i="49"/>
  <c r="K24" i="49"/>
  <c r="J24" i="49"/>
  <c r="I24" i="49"/>
  <c r="K23" i="49"/>
  <c r="J23" i="49"/>
  <c r="I23" i="49"/>
  <c r="K22" i="49"/>
  <c r="J22" i="49"/>
  <c r="I22" i="49"/>
  <c r="K21" i="49"/>
  <c r="J21" i="49"/>
  <c r="I21" i="49"/>
  <c r="K20" i="49"/>
  <c r="J20" i="49"/>
  <c r="I20" i="49"/>
  <c r="K19" i="49"/>
  <c r="J19" i="49"/>
  <c r="I19" i="49"/>
  <c r="K18" i="49"/>
  <c r="J18" i="49"/>
  <c r="I18" i="49"/>
  <c r="K17" i="49"/>
  <c r="J17" i="49"/>
  <c r="I17" i="49"/>
  <c r="K16" i="49"/>
  <c r="J16" i="49"/>
  <c r="I16" i="49"/>
  <c r="K15" i="49"/>
  <c r="J15" i="49"/>
  <c r="I15" i="49"/>
  <c r="K14" i="49"/>
  <c r="J14" i="49"/>
  <c r="I14" i="49"/>
  <c r="K13" i="49"/>
  <c r="J13" i="49"/>
  <c r="I13" i="49"/>
  <c r="K12" i="49"/>
  <c r="J12" i="49"/>
  <c r="I12" i="49"/>
  <c r="K11" i="49"/>
  <c r="J11" i="49"/>
  <c r="I11" i="49"/>
  <c r="K10" i="49"/>
  <c r="J10" i="49"/>
  <c r="I10" i="49"/>
  <c r="K9" i="49"/>
  <c r="J9" i="49"/>
  <c r="I9" i="49"/>
  <c r="K8" i="49"/>
  <c r="J8" i="49"/>
  <c r="I8" i="49"/>
  <c r="K7" i="49"/>
  <c r="J7" i="49"/>
  <c r="I7" i="49"/>
  <c r="K6" i="49"/>
  <c r="J6" i="49"/>
  <c r="I6" i="49"/>
  <c r="K5" i="49"/>
  <c r="J5" i="49"/>
  <c r="I5" i="49"/>
  <c r="K4" i="49"/>
  <c r="J4" i="49"/>
  <c r="I4" i="49"/>
  <c r="K3" i="49"/>
  <c r="J3" i="49"/>
  <c r="I3" i="49"/>
  <c r="K2" i="49"/>
  <c r="J2" i="49"/>
  <c r="I2" i="49"/>
  <c r="K101" i="48"/>
  <c r="J101" i="48"/>
  <c r="I101" i="48"/>
  <c r="K100" i="48"/>
  <c r="J100" i="48"/>
  <c r="I100" i="48"/>
  <c r="K99" i="48"/>
  <c r="J99" i="48"/>
  <c r="I99" i="48"/>
  <c r="K98" i="48"/>
  <c r="J98" i="48"/>
  <c r="I98" i="48"/>
  <c r="K97" i="48"/>
  <c r="J97" i="48"/>
  <c r="I97" i="48"/>
  <c r="K96" i="48"/>
  <c r="J96" i="48"/>
  <c r="I96" i="48"/>
  <c r="K95" i="48"/>
  <c r="J95" i="48"/>
  <c r="I95" i="48"/>
  <c r="K94" i="48"/>
  <c r="J94" i="48"/>
  <c r="I94" i="48"/>
  <c r="K93" i="48"/>
  <c r="J93" i="48"/>
  <c r="I93" i="48"/>
  <c r="K92" i="48"/>
  <c r="J92" i="48"/>
  <c r="I92" i="48"/>
  <c r="K91" i="48"/>
  <c r="J91" i="48"/>
  <c r="I91" i="48"/>
  <c r="K90" i="48"/>
  <c r="J90" i="48"/>
  <c r="I90" i="48"/>
  <c r="K89" i="48"/>
  <c r="J89" i="48"/>
  <c r="I89" i="48"/>
  <c r="K88" i="48"/>
  <c r="J88" i="48"/>
  <c r="I88" i="48"/>
  <c r="K87" i="48"/>
  <c r="J87" i="48"/>
  <c r="I87" i="48"/>
  <c r="K86" i="48"/>
  <c r="J86" i="48"/>
  <c r="I86" i="48"/>
  <c r="K85" i="48"/>
  <c r="J85" i="48"/>
  <c r="I85" i="48"/>
  <c r="K84" i="48"/>
  <c r="J84" i="48"/>
  <c r="I84" i="48"/>
  <c r="K83" i="48"/>
  <c r="J83" i="48"/>
  <c r="I83" i="48"/>
  <c r="K82" i="48"/>
  <c r="J82" i="48"/>
  <c r="I82" i="48"/>
  <c r="K81" i="48"/>
  <c r="J81" i="48"/>
  <c r="I81" i="48"/>
  <c r="K80" i="48"/>
  <c r="J80" i="48"/>
  <c r="I80" i="48"/>
  <c r="K79" i="48"/>
  <c r="J79" i="48"/>
  <c r="I79" i="48"/>
  <c r="K78" i="48"/>
  <c r="J78" i="48"/>
  <c r="I78" i="48"/>
  <c r="K77" i="48"/>
  <c r="J77" i="48"/>
  <c r="I77" i="48"/>
  <c r="K76" i="48"/>
  <c r="J76" i="48"/>
  <c r="I76" i="48"/>
  <c r="K75" i="48"/>
  <c r="J75" i="48"/>
  <c r="I75" i="48"/>
  <c r="K74" i="48"/>
  <c r="J74" i="48"/>
  <c r="I74" i="48"/>
  <c r="K73" i="48"/>
  <c r="J73" i="48"/>
  <c r="I73" i="48"/>
  <c r="K72" i="48"/>
  <c r="J72" i="48"/>
  <c r="I72" i="48"/>
  <c r="K71" i="48"/>
  <c r="J71" i="48"/>
  <c r="I71" i="48"/>
  <c r="K70" i="48"/>
  <c r="J70" i="48"/>
  <c r="I70" i="48"/>
  <c r="K69" i="48"/>
  <c r="J69" i="48"/>
  <c r="I69" i="48"/>
  <c r="K68" i="48"/>
  <c r="J68" i="48"/>
  <c r="I68" i="48"/>
  <c r="K67" i="48"/>
  <c r="J67" i="48"/>
  <c r="I67" i="48"/>
  <c r="K66" i="48"/>
  <c r="J66" i="48"/>
  <c r="I66" i="48"/>
  <c r="K65" i="48"/>
  <c r="J65" i="48"/>
  <c r="I65" i="48"/>
  <c r="K64" i="48"/>
  <c r="J64" i="48"/>
  <c r="I64" i="48"/>
  <c r="K63" i="48"/>
  <c r="J63" i="48"/>
  <c r="I63" i="48"/>
  <c r="K62" i="48"/>
  <c r="J62" i="48"/>
  <c r="I62" i="48"/>
  <c r="K61" i="48"/>
  <c r="J61" i="48"/>
  <c r="I61" i="48"/>
  <c r="K60" i="48"/>
  <c r="J60" i="48"/>
  <c r="I60" i="48"/>
  <c r="K59" i="48"/>
  <c r="J59" i="48"/>
  <c r="I59" i="48"/>
  <c r="K58" i="48"/>
  <c r="J58" i="48"/>
  <c r="I58" i="48"/>
  <c r="K57" i="48"/>
  <c r="J57" i="48"/>
  <c r="I57" i="48"/>
  <c r="K56" i="48"/>
  <c r="J56" i="48"/>
  <c r="I56" i="48"/>
  <c r="K55" i="48"/>
  <c r="J55" i="48"/>
  <c r="I55" i="48"/>
  <c r="K54" i="48"/>
  <c r="J54" i="48"/>
  <c r="I54" i="48"/>
  <c r="K53" i="48"/>
  <c r="J53" i="48"/>
  <c r="I53" i="48"/>
  <c r="K52" i="48"/>
  <c r="J52" i="48"/>
  <c r="I52" i="48"/>
  <c r="K51" i="48"/>
  <c r="J51" i="48"/>
  <c r="I51" i="48"/>
  <c r="K50" i="48"/>
  <c r="J50" i="48"/>
  <c r="I50" i="48"/>
  <c r="K49" i="48"/>
  <c r="J49" i="48"/>
  <c r="I49" i="48"/>
  <c r="K48" i="48"/>
  <c r="J48" i="48"/>
  <c r="I48" i="48"/>
  <c r="K47" i="48"/>
  <c r="J47" i="48"/>
  <c r="I47" i="48"/>
  <c r="K46" i="48"/>
  <c r="J46" i="48"/>
  <c r="I46" i="48"/>
  <c r="K45" i="48"/>
  <c r="J45" i="48"/>
  <c r="I45" i="48"/>
  <c r="K44" i="48"/>
  <c r="J44" i="48"/>
  <c r="I44" i="48"/>
  <c r="K43" i="48"/>
  <c r="J43" i="48"/>
  <c r="I43" i="48"/>
  <c r="K42" i="48"/>
  <c r="J42" i="48"/>
  <c r="I42" i="48"/>
  <c r="K41" i="48"/>
  <c r="J41" i="48"/>
  <c r="I41" i="48"/>
  <c r="K40" i="48"/>
  <c r="J40" i="48"/>
  <c r="I40" i="48"/>
  <c r="K39" i="48"/>
  <c r="J39" i="48"/>
  <c r="I39" i="48"/>
  <c r="K38" i="48"/>
  <c r="J38" i="48"/>
  <c r="I38" i="48"/>
  <c r="K37" i="48"/>
  <c r="J37" i="48"/>
  <c r="I37" i="48"/>
  <c r="K36" i="48"/>
  <c r="J36" i="48"/>
  <c r="I36" i="48"/>
  <c r="K35" i="48"/>
  <c r="J35" i="48"/>
  <c r="I35" i="48"/>
  <c r="K34" i="48"/>
  <c r="J34" i="48"/>
  <c r="I34" i="48"/>
  <c r="K33" i="48"/>
  <c r="J33" i="48"/>
  <c r="I33" i="48"/>
  <c r="K32" i="48"/>
  <c r="J32" i="48"/>
  <c r="I32" i="48"/>
  <c r="K31" i="48"/>
  <c r="J31" i="48"/>
  <c r="I31" i="48"/>
  <c r="K30" i="48"/>
  <c r="J30" i="48"/>
  <c r="I30" i="48"/>
  <c r="K29" i="48"/>
  <c r="J29" i="48"/>
  <c r="I29" i="48"/>
  <c r="K28" i="48"/>
  <c r="J28" i="48"/>
  <c r="I28" i="48"/>
  <c r="K27" i="48"/>
  <c r="J27" i="48"/>
  <c r="I27" i="48"/>
  <c r="K26" i="48"/>
  <c r="J26" i="48"/>
  <c r="I26" i="48"/>
  <c r="K25" i="48"/>
  <c r="J25" i="48"/>
  <c r="I25" i="48"/>
  <c r="K24" i="48"/>
  <c r="J24" i="48"/>
  <c r="I24" i="48"/>
  <c r="K23" i="48"/>
  <c r="J23" i="48"/>
  <c r="I23" i="48"/>
  <c r="K22" i="48"/>
  <c r="J22" i="48"/>
  <c r="I22" i="48"/>
  <c r="K21" i="48"/>
  <c r="J21" i="48"/>
  <c r="I21" i="48"/>
  <c r="K20" i="48"/>
  <c r="J20" i="48"/>
  <c r="I20" i="48"/>
  <c r="K19" i="48"/>
  <c r="J19" i="48"/>
  <c r="I19" i="48"/>
  <c r="K18" i="48"/>
  <c r="J18" i="48"/>
  <c r="I18" i="48"/>
  <c r="K17" i="48"/>
  <c r="J17" i="48"/>
  <c r="I17" i="48"/>
  <c r="K16" i="48"/>
  <c r="J16" i="48"/>
  <c r="I16" i="48"/>
  <c r="K15" i="48"/>
  <c r="J15" i="48"/>
  <c r="I15" i="48"/>
  <c r="K14" i="48"/>
  <c r="J14" i="48"/>
  <c r="I14" i="48"/>
  <c r="K13" i="48"/>
  <c r="J13" i="48"/>
  <c r="I13" i="48"/>
  <c r="K12" i="48"/>
  <c r="J12" i="48"/>
  <c r="I12" i="48"/>
  <c r="K11" i="48"/>
  <c r="J11" i="48"/>
  <c r="I11" i="48"/>
  <c r="K10" i="48"/>
  <c r="J10" i="48"/>
  <c r="I10" i="48"/>
  <c r="K9" i="48"/>
  <c r="J9" i="48"/>
  <c r="I9" i="48"/>
  <c r="K8" i="48"/>
  <c r="J8" i="48"/>
  <c r="I8" i="48"/>
  <c r="K7" i="48"/>
  <c r="J7" i="48"/>
  <c r="I7" i="48"/>
  <c r="K6" i="48"/>
  <c r="J6" i="48"/>
  <c r="I6" i="48"/>
  <c r="K5" i="48"/>
  <c r="J5" i="48"/>
  <c r="I5" i="48"/>
  <c r="K4" i="48"/>
  <c r="J4" i="48"/>
  <c r="I4" i="48"/>
  <c r="K3" i="48"/>
  <c r="J3" i="48"/>
  <c r="I3" i="48"/>
  <c r="K2" i="48"/>
  <c r="J2" i="48"/>
  <c r="K101" i="47"/>
  <c r="J101" i="47"/>
  <c r="I101" i="47"/>
  <c r="K100" i="47"/>
  <c r="J100" i="47"/>
  <c r="I100" i="47"/>
  <c r="K99" i="47"/>
  <c r="J99" i="47"/>
  <c r="I99" i="47"/>
  <c r="K98" i="47"/>
  <c r="J98" i="47"/>
  <c r="I98" i="47"/>
  <c r="K97" i="47"/>
  <c r="J97" i="47"/>
  <c r="I97" i="47"/>
  <c r="K96" i="47"/>
  <c r="J96" i="47"/>
  <c r="I96" i="47"/>
  <c r="K95" i="47"/>
  <c r="J95" i="47"/>
  <c r="I95" i="47"/>
  <c r="K94" i="47"/>
  <c r="J94" i="47"/>
  <c r="I94" i="47"/>
  <c r="K93" i="47"/>
  <c r="J93" i="47"/>
  <c r="I93" i="47"/>
  <c r="K92" i="47"/>
  <c r="J92" i="47"/>
  <c r="I92" i="47"/>
  <c r="K91" i="47"/>
  <c r="J91" i="47"/>
  <c r="I91" i="47"/>
  <c r="K90" i="47"/>
  <c r="J90" i="47"/>
  <c r="I90" i="47"/>
  <c r="K89" i="47"/>
  <c r="J89" i="47"/>
  <c r="I89" i="47"/>
  <c r="K88" i="47"/>
  <c r="J88" i="47"/>
  <c r="I88" i="47"/>
  <c r="K87" i="47"/>
  <c r="J87" i="47"/>
  <c r="I87" i="47"/>
  <c r="K86" i="47"/>
  <c r="J86" i="47"/>
  <c r="I86" i="47"/>
  <c r="K85" i="47"/>
  <c r="J85" i="47"/>
  <c r="I85" i="47"/>
  <c r="K84" i="47"/>
  <c r="J84" i="47"/>
  <c r="I84" i="47"/>
  <c r="K83" i="47"/>
  <c r="J83" i="47"/>
  <c r="I83" i="47"/>
  <c r="K82" i="47"/>
  <c r="J82" i="47"/>
  <c r="I82" i="47"/>
  <c r="K81" i="47"/>
  <c r="J81" i="47"/>
  <c r="I81" i="47"/>
  <c r="K80" i="47"/>
  <c r="J80" i="47"/>
  <c r="I80" i="47"/>
  <c r="K79" i="47"/>
  <c r="J79" i="47"/>
  <c r="I79" i="47"/>
  <c r="K78" i="47"/>
  <c r="J78" i="47"/>
  <c r="I78" i="47"/>
  <c r="K77" i="47"/>
  <c r="J77" i="47"/>
  <c r="I77" i="47"/>
  <c r="K76" i="47"/>
  <c r="J76" i="47"/>
  <c r="I76" i="47"/>
  <c r="K75" i="47"/>
  <c r="J75" i="47"/>
  <c r="I75" i="47"/>
  <c r="K74" i="47"/>
  <c r="J74" i="47"/>
  <c r="I74" i="47"/>
  <c r="K73" i="47"/>
  <c r="J73" i="47"/>
  <c r="I73" i="47"/>
  <c r="K72" i="47"/>
  <c r="J72" i="47"/>
  <c r="I72" i="47"/>
  <c r="K71" i="47"/>
  <c r="J71" i="47"/>
  <c r="I71" i="47"/>
  <c r="K70" i="47"/>
  <c r="J70" i="47"/>
  <c r="I70" i="47"/>
  <c r="K69" i="47"/>
  <c r="J69" i="47"/>
  <c r="I69" i="47"/>
  <c r="K68" i="47"/>
  <c r="J68" i="47"/>
  <c r="I68" i="47"/>
  <c r="K67" i="47"/>
  <c r="J67" i="47"/>
  <c r="I67" i="47"/>
  <c r="K66" i="47"/>
  <c r="J66" i="47"/>
  <c r="I66" i="47"/>
  <c r="K65" i="47"/>
  <c r="J65" i="47"/>
  <c r="I65" i="47"/>
  <c r="K64" i="47"/>
  <c r="J64" i="47"/>
  <c r="I64" i="47"/>
  <c r="K63" i="47"/>
  <c r="J63" i="47"/>
  <c r="I63" i="47"/>
  <c r="K62" i="47"/>
  <c r="J62" i="47"/>
  <c r="I62" i="47"/>
  <c r="K61" i="47"/>
  <c r="J61" i="47"/>
  <c r="I61" i="47"/>
  <c r="K60" i="47"/>
  <c r="J60" i="47"/>
  <c r="I60" i="47"/>
  <c r="K59" i="47"/>
  <c r="J59" i="47"/>
  <c r="I59" i="47"/>
  <c r="K58" i="47"/>
  <c r="J58" i="47"/>
  <c r="I58" i="47"/>
  <c r="K57" i="47"/>
  <c r="J57" i="47"/>
  <c r="I57" i="47"/>
  <c r="K56" i="47"/>
  <c r="J56" i="47"/>
  <c r="I56" i="47"/>
  <c r="K55" i="47"/>
  <c r="J55" i="47"/>
  <c r="I55" i="47"/>
  <c r="K54" i="47"/>
  <c r="J54" i="47"/>
  <c r="I54" i="47"/>
  <c r="K53" i="47"/>
  <c r="J53" i="47"/>
  <c r="I53" i="47"/>
  <c r="K52" i="47"/>
  <c r="J52" i="47"/>
  <c r="I52" i="47"/>
  <c r="K51" i="47"/>
  <c r="J51" i="47"/>
  <c r="I51" i="47"/>
  <c r="K50" i="47"/>
  <c r="J50" i="47"/>
  <c r="I50" i="47"/>
  <c r="K49" i="47"/>
  <c r="J49" i="47"/>
  <c r="I49" i="47"/>
  <c r="K48" i="47"/>
  <c r="J48" i="47"/>
  <c r="I48" i="47"/>
  <c r="K47" i="47"/>
  <c r="J47" i="47"/>
  <c r="I47" i="47"/>
  <c r="K46" i="47"/>
  <c r="J46" i="47"/>
  <c r="I46" i="47"/>
  <c r="K45" i="47"/>
  <c r="J45" i="47"/>
  <c r="I45" i="47"/>
  <c r="K44" i="47"/>
  <c r="J44" i="47"/>
  <c r="I44" i="47"/>
  <c r="K43" i="47"/>
  <c r="J43" i="47"/>
  <c r="I43" i="47"/>
  <c r="K42" i="47"/>
  <c r="J42" i="47"/>
  <c r="I42" i="47"/>
  <c r="K41" i="47"/>
  <c r="J41" i="47"/>
  <c r="I41" i="47"/>
  <c r="K40" i="47"/>
  <c r="J40" i="47"/>
  <c r="I40" i="47"/>
  <c r="K39" i="47"/>
  <c r="J39" i="47"/>
  <c r="I39" i="47"/>
  <c r="K38" i="47"/>
  <c r="J38" i="47"/>
  <c r="I38" i="47"/>
  <c r="K37" i="47"/>
  <c r="J37" i="47"/>
  <c r="I37" i="47"/>
  <c r="K36" i="47"/>
  <c r="J36" i="47"/>
  <c r="I36" i="47"/>
  <c r="K35" i="47"/>
  <c r="J35" i="47"/>
  <c r="I35" i="47"/>
  <c r="K34" i="47"/>
  <c r="J34" i="47"/>
  <c r="I34" i="47"/>
  <c r="K33" i="47"/>
  <c r="J33" i="47"/>
  <c r="I33" i="47"/>
  <c r="K32" i="47"/>
  <c r="J32" i="47"/>
  <c r="I32" i="47"/>
  <c r="K31" i="47"/>
  <c r="J31" i="47"/>
  <c r="I31" i="47"/>
  <c r="K30" i="47"/>
  <c r="J30" i="47"/>
  <c r="I30" i="47"/>
  <c r="K29" i="47"/>
  <c r="J29" i="47"/>
  <c r="I29" i="47"/>
  <c r="K28" i="47"/>
  <c r="J28" i="47"/>
  <c r="I28" i="47"/>
  <c r="K27" i="47"/>
  <c r="J27" i="47"/>
  <c r="I27" i="47"/>
  <c r="K26" i="47"/>
  <c r="J26" i="47"/>
  <c r="I26" i="47"/>
  <c r="K25" i="47"/>
  <c r="J25" i="47"/>
  <c r="I25" i="47"/>
  <c r="K24" i="47"/>
  <c r="J24" i="47"/>
  <c r="I24" i="47"/>
  <c r="K23" i="47"/>
  <c r="J23" i="47"/>
  <c r="I23" i="47"/>
  <c r="K22" i="47"/>
  <c r="J22" i="47"/>
  <c r="I22" i="47"/>
  <c r="K21" i="47"/>
  <c r="J21" i="47"/>
  <c r="I21" i="47"/>
  <c r="K20" i="47"/>
  <c r="J20" i="47"/>
  <c r="I20" i="47"/>
  <c r="K19" i="47"/>
  <c r="J19" i="47"/>
  <c r="I19" i="47"/>
  <c r="K18" i="47"/>
  <c r="J18" i="47"/>
  <c r="I18" i="47"/>
  <c r="K17" i="47"/>
  <c r="J17" i="47"/>
  <c r="I17" i="47"/>
  <c r="K16" i="47"/>
  <c r="J16" i="47"/>
  <c r="K15" i="47"/>
  <c r="J15" i="47"/>
  <c r="I15" i="47"/>
  <c r="K14" i="47"/>
  <c r="J14" i="47"/>
  <c r="I14" i="47"/>
  <c r="K13" i="47"/>
  <c r="J13" i="47"/>
  <c r="I13" i="47"/>
  <c r="K12" i="47"/>
  <c r="J12" i="47"/>
  <c r="I12" i="47"/>
  <c r="K11" i="47"/>
  <c r="J11" i="47"/>
  <c r="I11" i="47"/>
  <c r="K10" i="47"/>
  <c r="J10" i="47"/>
  <c r="I10" i="47"/>
  <c r="K9" i="47"/>
  <c r="J9" i="47"/>
  <c r="I9" i="47"/>
  <c r="K8" i="47"/>
  <c r="J8" i="47"/>
  <c r="I8" i="47"/>
  <c r="K7" i="47"/>
  <c r="J7" i="47"/>
  <c r="I7" i="47"/>
  <c r="K6" i="47"/>
  <c r="J6" i="47"/>
  <c r="I6" i="47"/>
  <c r="K5" i="47"/>
  <c r="J5" i="47"/>
  <c r="I5" i="47"/>
  <c r="K4" i="47"/>
  <c r="J4" i="47"/>
  <c r="I4" i="47"/>
  <c r="K3" i="47"/>
  <c r="J3" i="47"/>
  <c r="I3" i="47"/>
  <c r="K2" i="47"/>
  <c r="J2" i="47"/>
  <c r="I2" i="47"/>
  <c r="K101" i="46"/>
  <c r="J101" i="46"/>
  <c r="I101" i="46"/>
  <c r="K100" i="46"/>
  <c r="J100" i="46"/>
  <c r="I100" i="46"/>
  <c r="K99" i="46"/>
  <c r="J99" i="46"/>
  <c r="I99" i="46"/>
  <c r="K98" i="46"/>
  <c r="J98" i="46"/>
  <c r="I98" i="46"/>
  <c r="K97" i="46"/>
  <c r="J97" i="46"/>
  <c r="I97" i="46"/>
  <c r="K96" i="46"/>
  <c r="J96" i="46"/>
  <c r="I96" i="46"/>
  <c r="K95" i="46"/>
  <c r="J95" i="46"/>
  <c r="I95" i="46"/>
  <c r="K94" i="46"/>
  <c r="J94" i="46"/>
  <c r="I94" i="46"/>
  <c r="K93" i="46"/>
  <c r="J93" i="46"/>
  <c r="I93" i="46"/>
  <c r="K92" i="46"/>
  <c r="J92" i="46"/>
  <c r="I92" i="46"/>
  <c r="K91" i="46"/>
  <c r="J91" i="46"/>
  <c r="I91" i="46"/>
  <c r="K90" i="46"/>
  <c r="J90" i="46"/>
  <c r="I90" i="46"/>
  <c r="K89" i="46"/>
  <c r="J89" i="46"/>
  <c r="I89" i="46"/>
  <c r="K88" i="46"/>
  <c r="J88" i="46"/>
  <c r="I88" i="46"/>
  <c r="K87" i="46"/>
  <c r="J87" i="46"/>
  <c r="I87" i="46"/>
  <c r="K86" i="46"/>
  <c r="J86" i="46"/>
  <c r="I86" i="46"/>
  <c r="K85" i="46"/>
  <c r="J85" i="46"/>
  <c r="I85" i="46"/>
  <c r="K84" i="46"/>
  <c r="J84" i="46"/>
  <c r="I84" i="46"/>
  <c r="K83" i="46"/>
  <c r="J83" i="46"/>
  <c r="I83" i="46"/>
  <c r="K82" i="46"/>
  <c r="J82" i="46"/>
  <c r="I82" i="46"/>
  <c r="K81" i="46"/>
  <c r="J81" i="46"/>
  <c r="I81" i="46"/>
  <c r="K80" i="46"/>
  <c r="J80" i="46"/>
  <c r="I80" i="46"/>
  <c r="K79" i="46"/>
  <c r="J79" i="46"/>
  <c r="I79" i="46"/>
  <c r="K78" i="46"/>
  <c r="J78" i="46"/>
  <c r="I78" i="46"/>
  <c r="K77" i="46"/>
  <c r="J77" i="46"/>
  <c r="I77" i="46"/>
  <c r="K76" i="46"/>
  <c r="J76" i="46"/>
  <c r="I76" i="46"/>
  <c r="K75" i="46"/>
  <c r="J75" i="46"/>
  <c r="I75" i="46"/>
  <c r="K74" i="46"/>
  <c r="J74" i="46"/>
  <c r="I74" i="46"/>
  <c r="K73" i="46"/>
  <c r="J73" i="46"/>
  <c r="I73" i="46"/>
  <c r="K72" i="46"/>
  <c r="J72" i="46"/>
  <c r="I72" i="46"/>
  <c r="K71" i="46"/>
  <c r="J71" i="46"/>
  <c r="I71" i="46"/>
  <c r="K70" i="46"/>
  <c r="J70" i="46"/>
  <c r="I70" i="46"/>
  <c r="K69" i="46"/>
  <c r="J69" i="46"/>
  <c r="I69" i="46"/>
  <c r="K68" i="46"/>
  <c r="J68" i="46"/>
  <c r="I68" i="46"/>
  <c r="K67" i="46"/>
  <c r="J67" i="46"/>
  <c r="I67" i="46"/>
  <c r="K66" i="46"/>
  <c r="J66" i="46"/>
  <c r="I66" i="46"/>
  <c r="K65" i="46"/>
  <c r="J65" i="46"/>
  <c r="I65" i="46"/>
  <c r="K64" i="46"/>
  <c r="J64" i="46"/>
  <c r="I64" i="46"/>
  <c r="K63" i="46"/>
  <c r="J63" i="46"/>
  <c r="I63" i="46"/>
  <c r="K62" i="46"/>
  <c r="J62" i="46"/>
  <c r="I62" i="46"/>
  <c r="K61" i="46"/>
  <c r="J61" i="46"/>
  <c r="I61" i="46"/>
  <c r="K60" i="46"/>
  <c r="J60" i="46"/>
  <c r="I60" i="46"/>
  <c r="K59" i="46"/>
  <c r="J59" i="46"/>
  <c r="I59" i="46"/>
  <c r="K58" i="46"/>
  <c r="J58" i="46"/>
  <c r="I58" i="46"/>
  <c r="K57" i="46"/>
  <c r="J57" i="46"/>
  <c r="I57" i="46"/>
  <c r="K56" i="46"/>
  <c r="J56" i="46"/>
  <c r="I56" i="46"/>
  <c r="K55" i="46"/>
  <c r="J55" i="46"/>
  <c r="I55" i="46"/>
  <c r="K54" i="46"/>
  <c r="J54" i="46"/>
  <c r="I54" i="46"/>
  <c r="K53" i="46"/>
  <c r="J53" i="46"/>
  <c r="I53" i="46"/>
  <c r="K52" i="46"/>
  <c r="J52" i="46"/>
  <c r="I52" i="46"/>
  <c r="K51" i="46"/>
  <c r="J51" i="46"/>
  <c r="I51" i="46"/>
  <c r="K50" i="46"/>
  <c r="J50" i="46"/>
  <c r="I50" i="46"/>
  <c r="K49" i="46"/>
  <c r="J49" i="46"/>
  <c r="I49" i="46"/>
  <c r="K48" i="46"/>
  <c r="J48" i="46"/>
  <c r="I48" i="46"/>
  <c r="K47" i="46"/>
  <c r="J47" i="46"/>
  <c r="I47" i="46"/>
  <c r="K46" i="46"/>
  <c r="J46" i="46"/>
  <c r="I46" i="46"/>
  <c r="K45" i="46"/>
  <c r="J45" i="46"/>
  <c r="I45" i="46"/>
  <c r="K44" i="46"/>
  <c r="J44" i="46"/>
  <c r="I44" i="46"/>
  <c r="K43" i="46"/>
  <c r="J43" i="46"/>
  <c r="I43" i="46"/>
  <c r="K42" i="46"/>
  <c r="J42" i="46"/>
  <c r="I42" i="46"/>
  <c r="K41" i="46"/>
  <c r="J41" i="46"/>
  <c r="I41" i="46"/>
  <c r="K40" i="46"/>
  <c r="J40" i="46"/>
  <c r="I40" i="46"/>
  <c r="K39" i="46"/>
  <c r="J39" i="46"/>
  <c r="I39" i="46"/>
  <c r="K38" i="46"/>
  <c r="J38" i="46"/>
  <c r="I38" i="46"/>
  <c r="K37" i="46"/>
  <c r="J37" i="46"/>
  <c r="I37" i="46"/>
  <c r="K36" i="46"/>
  <c r="J36" i="46"/>
  <c r="I36" i="46"/>
  <c r="K35" i="46"/>
  <c r="J35" i="46"/>
  <c r="I35" i="46"/>
  <c r="K34" i="46"/>
  <c r="J34" i="46"/>
  <c r="I34" i="46"/>
  <c r="K33" i="46"/>
  <c r="J33" i="46"/>
  <c r="I33" i="46"/>
  <c r="K32" i="46"/>
  <c r="J32" i="46"/>
  <c r="I32" i="46"/>
  <c r="K31" i="46"/>
  <c r="J31" i="46"/>
  <c r="I31" i="46"/>
  <c r="K30" i="46"/>
  <c r="J30" i="46"/>
  <c r="I30" i="46"/>
  <c r="K29" i="46"/>
  <c r="J29" i="46"/>
  <c r="I29" i="46"/>
  <c r="K28" i="46"/>
  <c r="J28" i="46"/>
  <c r="I28" i="46"/>
  <c r="K27" i="46"/>
  <c r="J27" i="46"/>
  <c r="I27" i="46"/>
  <c r="K26" i="46"/>
  <c r="J26" i="46"/>
  <c r="I26" i="46"/>
  <c r="K25" i="46"/>
  <c r="J25" i="46"/>
  <c r="I25" i="46"/>
  <c r="K24" i="46"/>
  <c r="J24" i="46"/>
  <c r="K23" i="46"/>
  <c r="J23" i="46"/>
  <c r="I23" i="46"/>
  <c r="K22" i="46"/>
  <c r="J22" i="46"/>
  <c r="I22" i="46"/>
  <c r="K21" i="46"/>
  <c r="J21" i="46"/>
  <c r="I21" i="46"/>
  <c r="K20" i="46"/>
  <c r="J20" i="46"/>
  <c r="I20" i="46"/>
  <c r="K19" i="46"/>
  <c r="J19" i="46"/>
  <c r="I19" i="46"/>
  <c r="K18" i="46"/>
  <c r="J18" i="46"/>
  <c r="I18" i="46"/>
  <c r="K17" i="46"/>
  <c r="J17" i="46"/>
  <c r="I17" i="46"/>
  <c r="K16" i="46"/>
  <c r="J16" i="46"/>
  <c r="I16" i="46"/>
  <c r="K15" i="46"/>
  <c r="J15" i="46"/>
  <c r="I15" i="46"/>
  <c r="K14" i="46"/>
  <c r="J14" i="46"/>
  <c r="I14" i="46"/>
  <c r="K13" i="46"/>
  <c r="J13" i="46"/>
  <c r="I13" i="46"/>
  <c r="K12" i="46"/>
  <c r="J12" i="46"/>
  <c r="I12" i="46"/>
  <c r="K11" i="46"/>
  <c r="J11" i="46"/>
  <c r="I11" i="46"/>
  <c r="K10" i="46"/>
  <c r="J10" i="46"/>
  <c r="I10" i="46"/>
  <c r="K9" i="46"/>
  <c r="J9" i="46"/>
  <c r="I9" i="46"/>
  <c r="K8" i="46"/>
  <c r="J8" i="46"/>
  <c r="I8" i="46"/>
  <c r="K7" i="46"/>
  <c r="J7" i="46"/>
  <c r="I7" i="46"/>
  <c r="K6" i="46"/>
  <c r="J6" i="46"/>
  <c r="I6" i="46"/>
  <c r="K5" i="46"/>
  <c r="J5" i="46"/>
  <c r="I5" i="46"/>
  <c r="K4" i="46"/>
  <c r="J4" i="46"/>
  <c r="I4" i="46"/>
  <c r="K3" i="46"/>
  <c r="J3" i="46"/>
  <c r="I3" i="46"/>
  <c r="K2" i="46"/>
  <c r="J2" i="46"/>
  <c r="I2" i="46"/>
  <c r="K101" i="45"/>
  <c r="J101" i="45"/>
  <c r="I101" i="45"/>
  <c r="K100" i="45"/>
  <c r="J100" i="45"/>
  <c r="I100" i="45"/>
  <c r="K99" i="45"/>
  <c r="J99" i="45"/>
  <c r="I99" i="45"/>
  <c r="K98" i="45"/>
  <c r="J98" i="45"/>
  <c r="I98" i="45"/>
  <c r="K97" i="45"/>
  <c r="J97" i="45"/>
  <c r="I97" i="45"/>
  <c r="K96" i="45"/>
  <c r="J96" i="45"/>
  <c r="I96" i="45"/>
  <c r="K95" i="45"/>
  <c r="J95" i="45"/>
  <c r="I95" i="45"/>
  <c r="K94" i="45"/>
  <c r="J94" i="45"/>
  <c r="I94" i="45"/>
  <c r="K93" i="45"/>
  <c r="J93" i="45"/>
  <c r="I93" i="45"/>
  <c r="K92" i="45"/>
  <c r="J92" i="45"/>
  <c r="I92" i="45"/>
  <c r="K91" i="45"/>
  <c r="J91" i="45"/>
  <c r="I91" i="45"/>
  <c r="K90" i="45"/>
  <c r="J90" i="45"/>
  <c r="I90" i="45"/>
  <c r="K89" i="45"/>
  <c r="J89" i="45"/>
  <c r="I89" i="45"/>
  <c r="K88" i="45"/>
  <c r="J88" i="45"/>
  <c r="I88" i="45"/>
  <c r="K87" i="45"/>
  <c r="J87" i="45"/>
  <c r="I87" i="45"/>
  <c r="K86" i="45"/>
  <c r="J86" i="45"/>
  <c r="I86" i="45"/>
  <c r="K85" i="45"/>
  <c r="J85" i="45"/>
  <c r="I85" i="45"/>
  <c r="K84" i="45"/>
  <c r="J84" i="45"/>
  <c r="I84" i="45"/>
  <c r="K83" i="45"/>
  <c r="J83" i="45"/>
  <c r="I83" i="45"/>
  <c r="K82" i="45"/>
  <c r="J82" i="45"/>
  <c r="I82" i="45"/>
  <c r="K81" i="45"/>
  <c r="J81" i="45"/>
  <c r="I81" i="45"/>
  <c r="K80" i="45"/>
  <c r="J80" i="45"/>
  <c r="I80" i="45"/>
  <c r="K79" i="45"/>
  <c r="J79" i="45"/>
  <c r="I79" i="45"/>
  <c r="K78" i="45"/>
  <c r="J78" i="45"/>
  <c r="I78" i="45"/>
  <c r="K77" i="45"/>
  <c r="J77" i="45"/>
  <c r="I77" i="45"/>
  <c r="K76" i="45"/>
  <c r="J76" i="45"/>
  <c r="I76" i="45"/>
  <c r="K75" i="45"/>
  <c r="J75" i="45"/>
  <c r="I75" i="45"/>
  <c r="K74" i="45"/>
  <c r="J74" i="45"/>
  <c r="I74" i="45"/>
  <c r="K73" i="45"/>
  <c r="J73" i="45"/>
  <c r="I73" i="45"/>
  <c r="K72" i="45"/>
  <c r="J72" i="45"/>
  <c r="I72" i="45"/>
  <c r="K71" i="45"/>
  <c r="J71" i="45"/>
  <c r="I71" i="45"/>
  <c r="K70" i="45"/>
  <c r="J70" i="45"/>
  <c r="I70" i="45"/>
  <c r="K69" i="45"/>
  <c r="J69" i="45"/>
  <c r="I69" i="45"/>
  <c r="K68" i="45"/>
  <c r="J68" i="45"/>
  <c r="I68" i="45"/>
  <c r="K67" i="45"/>
  <c r="J67" i="45"/>
  <c r="I67" i="45"/>
  <c r="K66" i="45"/>
  <c r="J66" i="45"/>
  <c r="I66" i="45"/>
  <c r="K65" i="45"/>
  <c r="J65" i="45"/>
  <c r="I65" i="45"/>
  <c r="K64" i="45"/>
  <c r="J64" i="45"/>
  <c r="I64" i="45"/>
  <c r="K63" i="45"/>
  <c r="J63" i="45"/>
  <c r="I63" i="45"/>
  <c r="K62" i="45"/>
  <c r="J62" i="45"/>
  <c r="I62" i="45"/>
  <c r="K61" i="45"/>
  <c r="J61" i="45"/>
  <c r="I61" i="45"/>
  <c r="K60" i="45"/>
  <c r="J60" i="45"/>
  <c r="I60" i="45"/>
  <c r="K59" i="45"/>
  <c r="J59" i="45"/>
  <c r="I59" i="45"/>
  <c r="K58" i="45"/>
  <c r="J58" i="45"/>
  <c r="I58" i="45"/>
  <c r="K57" i="45"/>
  <c r="J57" i="45"/>
  <c r="I57" i="45"/>
  <c r="K56" i="45"/>
  <c r="J56" i="45"/>
  <c r="K55" i="45"/>
  <c r="J55" i="45"/>
  <c r="I55" i="45"/>
  <c r="K54" i="45"/>
  <c r="J54" i="45"/>
  <c r="I54" i="45"/>
  <c r="K53" i="45"/>
  <c r="J53" i="45"/>
  <c r="I53" i="45"/>
  <c r="K52" i="45"/>
  <c r="J52" i="45"/>
  <c r="I52" i="45"/>
  <c r="K51" i="45"/>
  <c r="J51" i="45"/>
  <c r="I51" i="45"/>
  <c r="K50" i="45"/>
  <c r="J50" i="45"/>
  <c r="I50" i="45"/>
  <c r="K49" i="45"/>
  <c r="J49" i="45"/>
  <c r="I49" i="45"/>
  <c r="K48" i="45"/>
  <c r="J48" i="45"/>
  <c r="I48" i="45"/>
  <c r="K47" i="45"/>
  <c r="J47" i="45"/>
  <c r="I47" i="45"/>
  <c r="K46" i="45"/>
  <c r="J46" i="45"/>
  <c r="I46" i="45"/>
  <c r="K45" i="45"/>
  <c r="J45" i="45"/>
  <c r="I45" i="45"/>
  <c r="K44" i="45"/>
  <c r="J44" i="45"/>
  <c r="I44" i="45"/>
  <c r="K43" i="45"/>
  <c r="J43" i="45"/>
  <c r="I43" i="45"/>
  <c r="K42" i="45"/>
  <c r="J42" i="45"/>
  <c r="I42" i="45"/>
  <c r="K41" i="45"/>
  <c r="J41" i="45"/>
  <c r="I41" i="45"/>
  <c r="K40" i="45"/>
  <c r="J40" i="45"/>
  <c r="I40" i="45"/>
  <c r="K39" i="45"/>
  <c r="J39" i="45"/>
  <c r="I39" i="45"/>
  <c r="K38" i="45"/>
  <c r="J38" i="45"/>
  <c r="I38" i="45"/>
  <c r="K37" i="45"/>
  <c r="J37" i="45"/>
  <c r="I37" i="45"/>
  <c r="K36" i="45"/>
  <c r="J36" i="45"/>
  <c r="I36" i="45"/>
  <c r="K35" i="45"/>
  <c r="J35" i="45"/>
  <c r="I35" i="45"/>
  <c r="K34" i="45"/>
  <c r="J34" i="45"/>
  <c r="I34" i="45"/>
  <c r="K33" i="45"/>
  <c r="J33" i="45"/>
  <c r="I33" i="45"/>
  <c r="K32" i="45"/>
  <c r="J32" i="45"/>
  <c r="I32" i="45"/>
  <c r="K31" i="45"/>
  <c r="J31" i="45"/>
  <c r="I31" i="45"/>
  <c r="K30" i="45"/>
  <c r="J30" i="45"/>
  <c r="I30" i="45"/>
  <c r="K29" i="45"/>
  <c r="J29" i="45"/>
  <c r="I29" i="45"/>
  <c r="K28" i="45"/>
  <c r="J28" i="45"/>
  <c r="I28" i="45"/>
  <c r="K27" i="45"/>
  <c r="J27" i="45"/>
  <c r="I27" i="45"/>
  <c r="K26" i="45"/>
  <c r="J26" i="45"/>
  <c r="I26" i="45"/>
  <c r="K25" i="45"/>
  <c r="J25" i="45"/>
  <c r="I25" i="45"/>
  <c r="K24" i="45"/>
  <c r="J24" i="45"/>
  <c r="I24" i="45"/>
  <c r="K23" i="45"/>
  <c r="J23" i="45"/>
  <c r="I23" i="45"/>
  <c r="K22" i="45"/>
  <c r="J22" i="45"/>
  <c r="I22" i="45"/>
  <c r="K21" i="45"/>
  <c r="J21" i="45"/>
  <c r="I21" i="45"/>
  <c r="K20" i="45"/>
  <c r="J20" i="45"/>
  <c r="I20" i="45"/>
  <c r="K19" i="45"/>
  <c r="J19" i="45"/>
  <c r="I19" i="45"/>
  <c r="K18" i="45"/>
  <c r="J18" i="45"/>
  <c r="I18" i="45"/>
  <c r="K17" i="45"/>
  <c r="J17" i="45"/>
  <c r="I17" i="45"/>
  <c r="K16" i="45"/>
  <c r="J16" i="45"/>
  <c r="I16" i="45"/>
  <c r="K15" i="45"/>
  <c r="J15" i="45"/>
  <c r="I15" i="45"/>
  <c r="K14" i="45"/>
  <c r="J14" i="45"/>
  <c r="I14" i="45"/>
  <c r="K13" i="45"/>
  <c r="J13" i="45"/>
  <c r="I13" i="45"/>
  <c r="K12" i="45"/>
  <c r="J12" i="45"/>
  <c r="I12" i="45"/>
  <c r="K11" i="45"/>
  <c r="J11" i="45"/>
  <c r="I11" i="45"/>
  <c r="K10" i="45"/>
  <c r="J10" i="45"/>
  <c r="I10" i="45"/>
  <c r="K9" i="45"/>
  <c r="J9" i="45"/>
  <c r="I9" i="45"/>
  <c r="K8" i="45"/>
  <c r="J8" i="45"/>
  <c r="I8" i="45"/>
  <c r="K7" i="45"/>
  <c r="J7" i="45"/>
  <c r="I7" i="45"/>
  <c r="K6" i="45"/>
  <c r="J6" i="45"/>
  <c r="I6" i="45"/>
  <c r="K5" i="45"/>
  <c r="J5" i="45"/>
  <c r="I5" i="45"/>
  <c r="K4" i="45"/>
  <c r="J4" i="45"/>
  <c r="I4" i="45"/>
  <c r="K3" i="45"/>
  <c r="J3" i="45"/>
  <c r="I3" i="45"/>
  <c r="K2" i="45"/>
  <c r="J2" i="45"/>
  <c r="I2" i="45"/>
  <c r="K101" i="44"/>
  <c r="J101" i="44"/>
  <c r="I101" i="44"/>
  <c r="K100" i="44"/>
  <c r="J100" i="44"/>
  <c r="I100" i="44"/>
  <c r="K99" i="44"/>
  <c r="J99" i="44"/>
  <c r="I99" i="44"/>
  <c r="K98" i="44"/>
  <c r="J98" i="44"/>
  <c r="I98" i="44"/>
  <c r="K97" i="44"/>
  <c r="J97" i="44"/>
  <c r="I97" i="44"/>
  <c r="K96" i="44"/>
  <c r="J96" i="44"/>
  <c r="I96" i="44"/>
  <c r="K95" i="44"/>
  <c r="J95" i="44"/>
  <c r="I95" i="44"/>
  <c r="K94" i="44"/>
  <c r="J94" i="44"/>
  <c r="I94" i="44"/>
  <c r="K93" i="44"/>
  <c r="J93" i="44"/>
  <c r="I93" i="44"/>
  <c r="K92" i="44"/>
  <c r="J92" i="44"/>
  <c r="I92" i="44"/>
  <c r="K91" i="44"/>
  <c r="J91" i="44"/>
  <c r="I91" i="44"/>
  <c r="K90" i="44"/>
  <c r="J90" i="44"/>
  <c r="I90" i="44"/>
  <c r="K89" i="44"/>
  <c r="J89" i="44"/>
  <c r="I89" i="44"/>
  <c r="K88" i="44"/>
  <c r="J88" i="44"/>
  <c r="I88" i="44"/>
  <c r="K87" i="44"/>
  <c r="J87" i="44"/>
  <c r="I87" i="44"/>
  <c r="K86" i="44"/>
  <c r="J86" i="44"/>
  <c r="I86" i="44"/>
  <c r="K85" i="44"/>
  <c r="J85" i="44"/>
  <c r="I85" i="44"/>
  <c r="K84" i="44"/>
  <c r="J84" i="44"/>
  <c r="I84" i="44"/>
  <c r="K83" i="44"/>
  <c r="J83" i="44"/>
  <c r="I83" i="44"/>
  <c r="K82" i="44"/>
  <c r="J82" i="44"/>
  <c r="I82" i="44"/>
  <c r="K81" i="44"/>
  <c r="J81" i="44"/>
  <c r="I81" i="44"/>
  <c r="K80" i="44"/>
  <c r="J80" i="44"/>
  <c r="I80" i="44"/>
  <c r="K79" i="44"/>
  <c r="J79" i="44"/>
  <c r="I79" i="44"/>
  <c r="K78" i="44"/>
  <c r="J78" i="44"/>
  <c r="I78" i="44"/>
  <c r="K77" i="44"/>
  <c r="J77" i="44"/>
  <c r="I77" i="44"/>
  <c r="K76" i="44"/>
  <c r="J76" i="44"/>
  <c r="I76" i="44"/>
  <c r="K75" i="44"/>
  <c r="J75" i="44"/>
  <c r="I75" i="44"/>
  <c r="K74" i="44"/>
  <c r="J74" i="44"/>
  <c r="I74" i="44"/>
  <c r="K73" i="44"/>
  <c r="J73" i="44"/>
  <c r="I73" i="44"/>
  <c r="K72" i="44"/>
  <c r="J72" i="44"/>
  <c r="I72" i="44"/>
  <c r="K71" i="44"/>
  <c r="J71" i="44"/>
  <c r="I71" i="44"/>
  <c r="K70" i="44"/>
  <c r="J70" i="44"/>
  <c r="I70" i="44"/>
  <c r="K69" i="44"/>
  <c r="J69" i="44"/>
  <c r="I69" i="44"/>
  <c r="K68" i="44"/>
  <c r="J68" i="44"/>
  <c r="I68" i="44"/>
  <c r="K67" i="44"/>
  <c r="J67" i="44"/>
  <c r="I67" i="44"/>
  <c r="K66" i="44"/>
  <c r="J66" i="44"/>
  <c r="I66" i="44"/>
  <c r="K65" i="44"/>
  <c r="J65" i="44"/>
  <c r="I65" i="44"/>
  <c r="K64" i="44"/>
  <c r="J64" i="44"/>
  <c r="I64" i="44"/>
  <c r="K63" i="44"/>
  <c r="J63" i="44"/>
  <c r="K62" i="44"/>
  <c r="J62" i="44"/>
  <c r="I62" i="44"/>
  <c r="K61" i="44"/>
  <c r="J61" i="44"/>
  <c r="I61" i="44"/>
  <c r="K60" i="44"/>
  <c r="J60" i="44"/>
  <c r="I60" i="44"/>
  <c r="K59" i="44"/>
  <c r="J59" i="44"/>
  <c r="I59" i="44"/>
  <c r="K58" i="44"/>
  <c r="J58" i="44"/>
  <c r="I58" i="44"/>
  <c r="K57" i="44"/>
  <c r="J57" i="44"/>
  <c r="I57" i="44"/>
  <c r="K56" i="44"/>
  <c r="J56" i="44"/>
  <c r="I56" i="44"/>
  <c r="K55" i="44"/>
  <c r="J55" i="44"/>
  <c r="I55" i="44"/>
  <c r="K54" i="44"/>
  <c r="J54" i="44"/>
  <c r="I54" i="44"/>
  <c r="K53" i="44"/>
  <c r="J53" i="44"/>
  <c r="I53" i="44"/>
  <c r="K52" i="44"/>
  <c r="J52" i="44"/>
  <c r="I52" i="44"/>
  <c r="K51" i="44"/>
  <c r="J51" i="44"/>
  <c r="I51" i="44"/>
  <c r="K50" i="44"/>
  <c r="J50" i="44"/>
  <c r="I50" i="44"/>
  <c r="K49" i="44"/>
  <c r="J49" i="44"/>
  <c r="I49" i="44"/>
  <c r="K48" i="44"/>
  <c r="J48" i="44"/>
  <c r="I48" i="44"/>
  <c r="K47" i="44"/>
  <c r="J47" i="44"/>
  <c r="I47" i="44"/>
  <c r="K46" i="44"/>
  <c r="J46" i="44"/>
  <c r="I46" i="44"/>
  <c r="K45" i="44"/>
  <c r="J45" i="44"/>
  <c r="I45" i="44"/>
  <c r="K44" i="44"/>
  <c r="J44" i="44"/>
  <c r="I44" i="44"/>
  <c r="K43" i="44"/>
  <c r="J43" i="44"/>
  <c r="I43" i="44"/>
  <c r="K42" i="44"/>
  <c r="J42" i="44"/>
  <c r="I42" i="44"/>
  <c r="K41" i="44"/>
  <c r="J41" i="44"/>
  <c r="I41" i="44"/>
  <c r="K40" i="44"/>
  <c r="J40" i="44"/>
  <c r="I40" i="44"/>
  <c r="K39" i="44"/>
  <c r="J39" i="44"/>
  <c r="I39" i="44"/>
  <c r="K38" i="44"/>
  <c r="J38" i="44"/>
  <c r="I38" i="44"/>
  <c r="K37" i="44"/>
  <c r="J37" i="44"/>
  <c r="I37" i="44"/>
  <c r="K36" i="44"/>
  <c r="J36" i="44"/>
  <c r="I36" i="44"/>
  <c r="K35" i="44"/>
  <c r="J35" i="44"/>
  <c r="I35" i="44"/>
  <c r="K34" i="44"/>
  <c r="J34" i="44"/>
  <c r="I34" i="44"/>
  <c r="K33" i="44"/>
  <c r="J33" i="44"/>
  <c r="I33" i="44"/>
  <c r="K32" i="44"/>
  <c r="J32" i="44"/>
  <c r="I32" i="44"/>
  <c r="K31" i="44"/>
  <c r="J31" i="44"/>
  <c r="I31" i="44"/>
  <c r="K30" i="44"/>
  <c r="J30" i="44"/>
  <c r="I30" i="44"/>
  <c r="K29" i="44"/>
  <c r="J29" i="44"/>
  <c r="I29" i="44"/>
  <c r="K28" i="44"/>
  <c r="J28" i="44"/>
  <c r="I28" i="44"/>
  <c r="K27" i="44"/>
  <c r="J27" i="44"/>
  <c r="I27" i="44"/>
  <c r="K26" i="44"/>
  <c r="J26" i="44"/>
  <c r="I26" i="44"/>
  <c r="K25" i="44"/>
  <c r="J25" i="44"/>
  <c r="I25" i="44"/>
  <c r="K24" i="44"/>
  <c r="J24" i="44"/>
  <c r="I24" i="44"/>
  <c r="K23" i="44"/>
  <c r="J23" i="44"/>
  <c r="I23" i="44"/>
  <c r="K22" i="44"/>
  <c r="J22" i="44"/>
  <c r="I22" i="44"/>
  <c r="K21" i="44"/>
  <c r="J21" i="44"/>
  <c r="I21" i="44"/>
  <c r="K20" i="44"/>
  <c r="J20" i="44"/>
  <c r="I20" i="44"/>
  <c r="K19" i="44"/>
  <c r="J19" i="44"/>
  <c r="I19" i="44"/>
  <c r="K18" i="44"/>
  <c r="J18" i="44"/>
  <c r="I18" i="44"/>
  <c r="K17" i="44"/>
  <c r="J17" i="44"/>
  <c r="I17" i="44"/>
  <c r="K16" i="44"/>
  <c r="J16" i="44"/>
  <c r="I16" i="44"/>
  <c r="K15" i="44"/>
  <c r="J15" i="44"/>
  <c r="I15" i="44"/>
  <c r="K14" i="44"/>
  <c r="J14" i="44"/>
  <c r="I14" i="44"/>
  <c r="K13" i="44"/>
  <c r="J13" i="44"/>
  <c r="I13" i="44"/>
  <c r="K12" i="44"/>
  <c r="J12" i="44"/>
  <c r="I12" i="44"/>
  <c r="K11" i="44"/>
  <c r="J11" i="44"/>
  <c r="I11" i="44"/>
  <c r="K10" i="44"/>
  <c r="J10" i="44"/>
  <c r="I10" i="44"/>
  <c r="K9" i="44"/>
  <c r="J9" i="44"/>
  <c r="I9" i="44"/>
  <c r="K8" i="44"/>
  <c r="J8" i="44"/>
  <c r="I8" i="44"/>
  <c r="K7" i="44"/>
  <c r="J7" i="44"/>
  <c r="I7" i="44"/>
  <c r="K6" i="44"/>
  <c r="J6" i="44"/>
  <c r="I6" i="44"/>
  <c r="K5" i="44"/>
  <c r="J5" i="44"/>
  <c r="I5" i="44"/>
  <c r="K4" i="44"/>
  <c r="J4" i="44"/>
  <c r="I4" i="44"/>
  <c r="K3" i="44"/>
  <c r="J3" i="44"/>
  <c r="I3" i="44"/>
  <c r="K2" i="44"/>
  <c r="J2" i="44"/>
  <c r="I2" i="44"/>
  <c r="K101" i="43"/>
  <c r="J101" i="43"/>
  <c r="I101" i="43"/>
  <c r="K100" i="43"/>
  <c r="J100" i="43"/>
  <c r="I100" i="43"/>
  <c r="K99" i="43"/>
  <c r="J99" i="43"/>
  <c r="I99" i="43"/>
  <c r="K98" i="43"/>
  <c r="J98" i="43"/>
  <c r="I98" i="43"/>
  <c r="K97" i="43"/>
  <c r="J97" i="43"/>
  <c r="I97" i="43"/>
  <c r="K96" i="43"/>
  <c r="J96" i="43"/>
  <c r="I96" i="43"/>
  <c r="K95" i="43"/>
  <c r="J95" i="43"/>
  <c r="I95" i="43"/>
  <c r="K94" i="43"/>
  <c r="J94" i="43"/>
  <c r="I94" i="43"/>
  <c r="K93" i="43"/>
  <c r="J93" i="43"/>
  <c r="I93" i="43"/>
  <c r="K92" i="43"/>
  <c r="J92" i="43"/>
  <c r="I92" i="43"/>
  <c r="K91" i="43"/>
  <c r="J91" i="43"/>
  <c r="I91" i="43"/>
  <c r="K90" i="43"/>
  <c r="J90" i="43"/>
  <c r="I90" i="43"/>
  <c r="K89" i="43"/>
  <c r="J89" i="43"/>
  <c r="I89" i="43"/>
  <c r="K88" i="43"/>
  <c r="J88" i="43"/>
  <c r="I88" i="43"/>
  <c r="K87" i="43"/>
  <c r="J87" i="43"/>
  <c r="I87" i="43"/>
  <c r="K86" i="43"/>
  <c r="J86" i="43"/>
  <c r="I86" i="43"/>
  <c r="K85" i="43"/>
  <c r="J85" i="43"/>
  <c r="I85" i="43"/>
  <c r="K84" i="43"/>
  <c r="J84" i="43"/>
  <c r="I84" i="43"/>
  <c r="K83" i="43"/>
  <c r="J83" i="43"/>
  <c r="I83" i="43"/>
  <c r="K82" i="43"/>
  <c r="J82" i="43"/>
  <c r="I82" i="43"/>
  <c r="K81" i="43"/>
  <c r="J81" i="43"/>
  <c r="K80" i="43"/>
  <c r="J80" i="43"/>
  <c r="I80" i="43"/>
  <c r="K79" i="43"/>
  <c r="J79" i="43"/>
  <c r="I79" i="43"/>
  <c r="K78" i="43"/>
  <c r="J78" i="43"/>
  <c r="I78" i="43"/>
  <c r="K77" i="43"/>
  <c r="J77" i="43"/>
  <c r="I77" i="43"/>
  <c r="K76" i="43"/>
  <c r="J76" i="43"/>
  <c r="I76" i="43"/>
  <c r="K75" i="43"/>
  <c r="J75" i="43"/>
  <c r="I75" i="43"/>
  <c r="K74" i="43"/>
  <c r="J74" i="43"/>
  <c r="I74" i="43"/>
  <c r="K73" i="43"/>
  <c r="J73" i="43"/>
  <c r="I73" i="43"/>
  <c r="K72" i="43"/>
  <c r="J72" i="43"/>
  <c r="I72" i="43"/>
  <c r="K71" i="43"/>
  <c r="J71" i="43"/>
  <c r="I71" i="43"/>
  <c r="K70" i="43"/>
  <c r="J70" i="43"/>
  <c r="I70" i="43"/>
  <c r="K69" i="43"/>
  <c r="J69" i="43"/>
  <c r="I69" i="43"/>
  <c r="K68" i="43"/>
  <c r="J68" i="43"/>
  <c r="I68" i="43"/>
  <c r="K67" i="43"/>
  <c r="J67" i="43"/>
  <c r="I67" i="43"/>
  <c r="K66" i="43"/>
  <c r="J66" i="43"/>
  <c r="I66" i="43"/>
  <c r="K65" i="43"/>
  <c r="J65" i="43"/>
  <c r="I65" i="43"/>
  <c r="K64" i="43"/>
  <c r="J64" i="43"/>
  <c r="I64" i="43"/>
  <c r="K63" i="43"/>
  <c r="J63" i="43"/>
  <c r="I63" i="43"/>
  <c r="K62" i="43"/>
  <c r="J62" i="43"/>
  <c r="I62" i="43"/>
  <c r="K61" i="43"/>
  <c r="J61" i="43"/>
  <c r="I61" i="43"/>
  <c r="K60" i="43"/>
  <c r="J60" i="43"/>
  <c r="I60" i="43"/>
  <c r="K59" i="43"/>
  <c r="J59" i="43"/>
  <c r="I59" i="43"/>
  <c r="K58" i="43"/>
  <c r="J58" i="43"/>
  <c r="I58" i="43"/>
  <c r="K57" i="43"/>
  <c r="J57" i="43"/>
  <c r="I57" i="43"/>
  <c r="K56" i="43"/>
  <c r="J56" i="43"/>
  <c r="I56" i="43"/>
  <c r="K55" i="43"/>
  <c r="J55" i="43"/>
  <c r="I55" i="43"/>
  <c r="K54" i="43"/>
  <c r="J54" i="43"/>
  <c r="I54" i="43"/>
  <c r="K53" i="43"/>
  <c r="J53" i="43"/>
  <c r="I53" i="43"/>
  <c r="K52" i="43"/>
  <c r="J52" i="43"/>
  <c r="I52" i="43"/>
  <c r="K51" i="43"/>
  <c r="J51" i="43"/>
  <c r="I51" i="43"/>
  <c r="K50" i="43"/>
  <c r="J50" i="43"/>
  <c r="I50" i="43"/>
  <c r="K49" i="43"/>
  <c r="J49" i="43"/>
  <c r="I49" i="43"/>
  <c r="K48" i="43"/>
  <c r="J48" i="43"/>
  <c r="I48" i="43"/>
  <c r="K47" i="43"/>
  <c r="J47" i="43"/>
  <c r="I47" i="43"/>
  <c r="K46" i="43"/>
  <c r="J46" i="43"/>
  <c r="I46" i="43"/>
  <c r="K45" i="43"/>
  <c r="J45" i="43"/>
  <c r="I45" i="43"/>
  <c r="K44" i="43"/>
  <c r="J44" i="43"/>
  <c r="I44" i="43"/>
  <c r="K43" i="43"/>
  <c r="J43" i="43"/>
  <c r="I43" i="43"/>
  <c r="K42" i="43"/>
  <c r="J42" i="43"/>
  <c r="I42" i="43"/>
  <c r="K41" i="43"/>
  <c r="J41" i="43"/>
  <c r="I41" i="43"/>
  <c r="K40" i="43"/>
  <c r="J40" i="43"/>
  <c r="I40" i="43"/>
  <c r="K39" i="43"/>
  <c r="J39" i="43"/>
  <c r="I39" i="43"/>
  <c r="K38" i="43"/>
  <c r="J38" i="43"/>
  <c r="I38" i="43"/>
  <c r="K37" i="43"/>
  <c r="J37" i="43"/>
  <c r="I37" i="43"/>
  <c r="K36" i="43"/>
  <c r="J36" i="43"/>
  <c r="I36" i="43"/>
  <c r="K35" i="43"/>
  <c r="J35" i="43"/>
  <c r="I35" i="43"/>
  <c r="K34" i="43"/>
  <c r="J34" i="43"/>
  <c r="I34" i="43"/>
  <c r="K33" i="43"/>
  <c r="J33" i="43"/>
  <c r="I33" i="43"/>
  <c r="K32" i="43"/>
  <c r="J32" i="43"/>
  <c r="I32" i="43"/>
  <c r="K31" i="43"/>
  <c r="J31" i="43"/>
  <c r="I31" i="43"/>
  <c r="K30" i="43"/>
  <c r="J30" i="43"/>
  <c r="I30" i="43"/>
  <c r="K29" i="43"/>
  <c r="J29" i="43"/>
  <c r="I29" i="43"/>
  <c r="K28" i="43"/>
  <c r="J28" i="43"/>
  <c r="I28" i="43"/>
  <c r="K27" i="43"/>
  <c r="J27" i="43"/>
  <c r="I27" i="43"/>
  <c r="K26" i="43"/>
  <c r="J26" i="43"/>
  <c r="I26" i="43"/>
  <c r="K25" i="43"/>
  <c r="J25" i="43"/>
  <c r="I25" i="43"/>
  <c r="K24" i="43"/>
  <c r="J24" i="43"/>
  <c r="I24" i="43"/>
  <c r="K23" i="43"/>
  <c r="J23" i="43"/>
  <c r="I23" i="43"/>
  <c r="K22" i="43"/>
  <c r="J22" i="43"/>
  <c r="I22" i="43"/>
  <c r="K21" i="43"/>
  <c r="J21" i="43"/>
  <c r="I21" i="43"/>
  <c r="K20" i="43"/>
  <c r="J20" i="43"/>
  <c r="I20" i="43"/>
  <c r="K19" i="43"/>
  <c r="J19" i="43"/>
  <c r="I19" i="43"/>
  <c r="K18" i="43"/>
  <c r="J18" i="43"/>
  <c r="I18" i="43"/>
  <c r="K17" i="43"/>
  <c r="J17" i="43"/>
  <c r="I17" i="43"/>
  <c r="K16" i="43"/>
  <c r="J16" i="43"/>
  <c r="I16" i="43"/>
  <c r="K15" i="43"/>
  <c r="J15" i="43"/>
  <c r="I15" i="43"/>
  <c r="K14" i="43"/>
  <c r="J14" i="43"/>
  <c r="I14" i="43"/>
  <c r="K13" i="43"/>
  <c r="J13" i="43"/>
  <c r="I13" i="43"/>
  <c r="K12" i="43"/>
  <c r="J12" i="43"/>
  <c r="I12" i="43"/>
  <c r="K11" i="43"/>
  <c r="J11" i="43"/>
  <c r="I11" i="43"/>
  <c r="K10" i="43"/>
  <c r="J10" i="43"/>
  <c r="I10" i="43"/>
  <c r="K9" i="43"/>
  <c r="J9" i="43"/>
  <c r="I9" i="43"/>
  <c r="K8" i="43"/>
  <c r="J8" i="43"/>
  <c r="I8" i="43"/>
  <c r="K7" i="43"/>
  <c r="J7" i="43"/>
  <c r="I7" i="43"/>
  <c r="K6" i="43"/>
  <c r="J6" i="43"/>
  <c r="I6" i="43"/>
  <c r="K5" i="43"/>
  <c r="J5" i="43"/>
  <c r="I5" i="43"/>
  <c r="K4" i="43"/>
  <c r="J4" i="43"/>
  <c r="I4" i="43"/>
  <c r="K3" i="43"/>
  <c r="J3" i="43"/>
  <c r="I3" i="43"/>
  <c r="K2" i="43"/>
  <c r="J2" i="43"/>
  <c r="I2" i="43"/>
  <c r="K101" i="42"/>
  <c r="J101" i="42"/>
  <c r="I101" i="42"/>
  <c r="K100" i="42"/>
  <c r="J100" i="42"/>
  <c r="I100" i="42"/>
  <c r="K99" i="42"/>
  <c r="J99" i="42"/>
  <c r="I99" i="42"/>
  <c r="K98" i="42"/>
  <c r="J98" i="42"/>
  <c r="I98" i="42"/>
  <c r="K97" i="42"/>
  <c r="J97" i="42"/>
  <c r="I97" i="42"/>
  <c r="K96" i="42"/>
  <c r="J96" i="42"/>
  <c r="I96" i="42"/>
  <c r="K95" i="42"/>
  <c r="J95" i="42"/>
  <c r="I95" i="42"/>
  <c r="K94" i="42"/>
  <c r="J94" i="42"/>
  <c r="I94" i="42"/>
  <c r="K93" i="42"/>
  <c r="J93" i="42"/>
  <c r="I93" i="42"/>
  <c r="K92" i="42"/>
  <c r="J92" i="42"/>
  <c r="I92" i="42"/>
  <c r="K91" i="42"/>
  <c r="J91" i="42"/>
  <c r="I91" i="42"/>
  <c r="K90" i="42"/>
  <c r="J90" i="42"/>
  <c r="I90" i="42"/>
  <c r="K89" i="42"/>
  <c r="J89" i="42"/>
  <c r="I89" i="42"/>
  <c r="K88" i="42"/>
  <c r="J88" i="42"/>
  <c r="I88" i="42"/>
  <c r="K87" i="42"/>
  <c r="J87" i="42"/>
  <c r="I87" i="42"/>
  <c r="K86" i="42"/>
  <c r="J86" i="42"/>
  <c r="I86" i="42"/>
  <c r="K85" i="42"/>
  <c r="J85" i="42"/>
  <c r="I85" i="42"/>
  <c r="K84" i="42"/>
  <c r="J84" i="42"/>
  <c r="I84" i="42"/>
  <c r="K83" i="42"/>
  <c r="J83" i="42"/>
  <c r="I83" i="42"/>
  <c r="K82" i="42"/>
  <c r="J82" i="42"/>
  <c r="I82" i="42"/>
  <c r="K81" i="42"/>
  <c r="J81" i="42"/>
  <c r="I81" i="42"/>
  <c r="K80" i="42"/>
  <c r="J80" i="42"/>
  <c r="I80" i="42"/>
  <c r="K79" i="42"/>
  <c r="J79" i="42"/>
  <c r="I79" i="42"/>
  <c r="K78" i="42"/>
  <c r="J78" i="42"/>
  <c r="I78" i="42"/>
  <c r="K77" i="42"/>
  <c r="J77" i="42"/>
  <c r="I77" i="42"/>
  <c r="K76" i="42"/>
  <c r="J76" i="42"/>
  <c r="I76" i="42"/>
  <c r="K75" i="42"/>
  <c r="J75" i="42"/>
  <c r="I75" i="42"/>
  <c r="K74" i="42"/>
  <c r="J74" i="42"/>
  <c r="I74" i="42"/>
  <c r="K73" i="42"/>
  <c r="J73" i="42"/>
  <c r="I73" i="42"/>
  <c r="K72" i="42"/>
  <c r="J72" i="42"/>
  <c r="I72" i="42"/>
  <c r="K71" i="42"/>
  <c r="J71" i="42"/>
  <c r="I71" i="42"/>
  <c r="K70" i="42"/>
  <c r="J70" i="42"/>
  <c r="I70" i="42"/>
  <c r="K69" i="42"/>
  <c r="J69" i="42"/>
  <c r="I69" i="42"/>
  <c r="K68" i="42"/>
  <c r="J68" i="42"/>
  <c r="I68" i="42"/>
  <c r="K67" i="42"/>
  <c r="J67" i="42"/>
  <c r="I67" i="42"/>
  <c r="K66" i="42"/>
  <c r="J66" i="42"/>
  <c r="I66" i="42"/>
  <c r="K65" i="42"/>
  <c r="J65" i="42"/>
  <c r="I65" i="42"/>
  <c r="K64" i="42"/>
  <c r="J64" i="42"/>
  <c r="I64" i="42"/>
  <c r="K63" i="42"/>
  <c r="J63" i="42"/>
  <c r="I63" i="42"/>
  <c r="K62" i="42"/>
  <c r="J62" i="42"/>
  <c r="I62" i="42"/>
  <c r="K61" i="42"/>
  <c r="J61" i="42"/>
  <c r="I61" i="42"/>
  <c r="K60" i="42"/>
  <c r="J60" i="42"/>
  <c r="I60" i="42"/>
  <c r="K59" i="42"/>
  <c r="J59" i="42"/>
  <c r="I59" i="42"/>
  <c r="K58" i="42"/>
  <c r="J58" i="42"/>
  <c r="I58" i="42"/>
  <c r="K57" i="42"/>
  <c r="J57" i="42"/>
  <c r="I57" i="42"/>
  <c r="K56" i="42"/>
  <c r="J56" i="42"/>
  <c r="I56" i="42"/>
  <c r="K55" i="42"/>
  <c r="J55" i="42"/>
  <c r="I55" i="42"/>
  <c r="K54" i="42"/>
  <c r="J54" i="42"/>
  <c r="I54" i="42"/>
  <c r="K53" i="42"/>
  <c r="J53" i="42"/>
  <c r="I53" i="42"/>
  <c r="K52" i="42"/>
  <c r="J52" i="42"/>
  <c r="I52" i="42"/>
  <c r="K51" i="42"/>
  <c r="J51" i="42"/>
  <c r="I51" i="42"/>
  <c r="K50" i="42"/>
  <c r="J50" i="42"/>
  <c r="I50" i="42"/>
  <c r="K49" i="42"/>
  <c r="J49" i="42"/>
  <c r="I49" i="42"/>
  <c r="K48" i="42"/>
  <c r="J48" i="42"/>
  <c r="I48" i="42"/>
  <c r="K47" i="42"/>
  <c r="J47" i="42"/>
  <c r="I47" i="42"/>
  <c r="K46" i="42"/>
  <c r="J46" i="42"/>
  <c r="I46" i="42"/>
  <c r="K45" i="42"/>
  <c r="J45" i="42"/>
  <c r="I45" i="42"/>
  <c r="K44" i="42"/>
  <c r="J44" i="42"/>
  <c r="I44" i="42"/>
  <c r="K43" i="42"/>
  <c r="J43" i="42"/>
  <c r="I43" i="42"/>
  <c r="K42" i="42"/>
  <c r="J42" i="42"/>
  <c r="I42" i="42"/>
  <c r="K41" i="42"/>
  <c r="J41" i="42"/>
  <c r="I41" i="42"/>
  <c r="K40" i="42"/>
  <c r="J40" i="42"/>
  <c r="I40" i="42"/>
  <c r="K39" i="42"/>
  <c r="J39" i="42"/>
  <c r="I39" i="42"/>
  <c r="K38" i="42"/>
  <c r="J38" i="42"/>
  <c r="I38" i="42"/>
  <c r="K37" i="42"/>
  <c r="J37" i="42"/>
  <c r="I37" i="42"/>
  <c r="K36" i="42"/>
  <c r="J36" i="42"/>
  <c r="I36" i="42"/>
  <c r="K35" i="42"/>
  <c r="J35" i="42"/>
  <c r="I35" i="42"/>
  <c r="K34" i="42"/>
  <c r="J34" i="42"/>
  <c r="I34" i="42"/>
  <c r="K33" i="42"/>
  <c r="J33" i="42"/>
  <c r="I33" i="42"/>
  <c r="K32" i="42"/>
  <c r="J32" i="42"/>
  <c r="I32" i="42"/>
  <c r="K31" i="42"/>
  <c r="J31" i="42"/>
  <c r="I31" i="42"/>
  <c r="K30" i="42"/>
  <c r="J30" i="42"/>
  <c r="I30" i="42"/>
  <c r="K29" i="42"/>
  <c r="J29" i="42"/>
  <c r="I29" i="42"/>
  <c r="K28" i="42"/>
  <c r="J28" i="42"/>
  <c r="I28" i="42"/>
  <c r="K27" i="42"/>
  <c r="J27" i="42"/>
  <c r="I27" i="42"/>
  <c r="K26" i="42"/>
  <c r="J26" i="42"/>
  <c r="I26" i="42"/>
  <c r="K25" i="42"/>
  <c r="J25" i="42"/>
  <c r="I25" i="42"/>
  <c r="K24" i="42"/>
  <c r="J24" i="42"/>
  <c r="I24" i="42"/>
  <c r="K23" i="42"/>
  <c r="J23" i="42"/>
  <c r="I23" i="42"/>
  <c r="K22" i="42"/>
  <c r="J22" i="42"/>
  <c r="I22" i="42"/>
  <c r="K21" i="42"/>
  <c r="J21" i="42"/>
  <c r="I21" i="42"/>
  <c r="K20" i="42"/>
  <c r="J20" i="42"/>
  <c r="I20" i="42"/>
  <c r="K19" i="42"/>
  <c r="J19" i="42"/>
  <c r="I19" i="42"/>
  <c r="K18" i="42"/>
  <c r="J18" i="42"/>
  <c r="I18" i="42"/>
  <c r="K17" i="42"/>
  <c r="J17" i="42"/>
  <c r="I17" i="42"/>
  <c r="K16" i="42"/>
  <c r="J16" i="42"/>
  <c r="I16" i="42"/>
  <c r="K15" i="42"/>
  <c r="J15" i="42"/>
  <c r="I15" i="42"/>
  <c r="K14" i="42"/>
  <c r="J14" i="42"/>
  <c r="I14" i="42"/>
  <c r="K13" i="42"/>
  <c r="J13" i="42"/>
  <c r="I13" i="42"/>
  <c r="K12" i="42"/>
  <c r="J12" i="42"/>
  <c r="I12" i="42"/>
  <c r="K11" i="42"/>
  <c r="J11" i="42"/>
  <c r="I11" i="42"/>
  <c r="K10" i="42"/>
  <c r="J10" i="42"/>
  <c r="I10" i="42"/>
  <c r="K9" i="42"/>
  <c r="J9" i="42"/>
  <c r="I9" i="42"/>
  <c r="K8" i="42"/>
  <c r="J8" i="42"/>
  <c r="I8" i="42"/>
  <c r="K7" i="42"/>
  <c r="J7" i="42"/>
  <c r="I7" i="42"/>
  <c r="K6" i="42"/>
  <c r="J6" i="42"/>
  <c r="I6" i="42"/>
  <c r="K5" i="42"/>
  <c r="J5" i="42"/>
  <c r="I5" i="42"/>
  <c r="K4" i="42"/>
  <c r="J4" i="42"/>
  <c r="I4" i="42"/>
  <c r="K3" i="42"/>
  <c r="J3" i="42"/>
  <c r="I3" i="42"/>
  <c r="K2" i="42"/>
  <c r="J2" i="42"/>
  <c r="I2" i="42"/>
  <c r="K101" i="41"/>
  <c r="J101" i="41"/>
  <c r="I101" i="41"/>
  <c r="K100" i="41"/>
  <c r="J100" i="41"/>
  <c r="I100" i="41"/>
  <c r="K99" i="41"/>
  <c r="J99" i="41"/>
  <c r="I99" i="41"/>
  <c r="K98" i="41"/>
  <c r="J98" i="41"/>
  <c r="I98" i="41"/>
  <c r="K97" i="41"/>
  <c r="J97" i="41"/>
  <c r="I97" i="41"/>
  <c r="K96" i="41"/>
  <c r="J96" i="41"/>
  <c r="I96" i="41"/>
  <c r="K95" i="41"/>
  <c r="J95" i="41"/>
  <c r="I95" i="41"/>
  <c r="K94" i="41"/>
  <c r="J94" i="41"/>
  <c r="I94" i="41"/>
  <c r="K93" i="41"/>
  <c r="J93" i="41"/>
  <c r="I93" i="41"/>
  <c r="K92" i="41"/>
  <c r="J92" i="41"/>
  <c r="I92" i="41"/>
  <c r="K91" i="41"/>
  <c r="J91" i="41"/>
  <c r="I91" i="41"/>
  <c r="K90" i="41"/>
  <c r="J90" i="41"/>
  <c r="I90" i="41"/>
  <c r="K89" i="41"/>
  <c r="J89" i="41"/>
  <c r="I89" i="41"/>
  <c r="K88" i="41"/>
  <c r="J88" i="41"/>
  <c r="I88" i="41"/>
  <c r="K87" i="41"/>
  <c r="J87" i="41"/>
  <c r="I87" i="41"/>
  <c r="K86" i="41"/>
  <c r="J86" i="41"/>
  <c r="I86" i="41"/>
  <c r="K85" i="41"/>
  <c r="J85" i="41"/>
  <c r="I85" i="41"/>
  <c r="K84" i="41"/>
  <c r="J84" i="41"/>
  <c r="I84" i="41"/>
  <c r="K83" i="41"/>
  <c r="J83" i="41"/>
  <c r="I83" i="41"/>
  <c r="K82" i="41"/>
  <c r="J82" i="41"/>
  <c r="I82" i="41"/>
  <c r="K81" i="41"/>
  <c r="J81" i="41"/>
  <c r="I81" i="41"/>
  <c r="K80" i="41"/>
  <c r="J80" i="41"/>
  <c r="I80" i="41"/>
  <c r="K79" i="41"/>
  <c r="J79" i="41"/>
  <c r="I79" i="41"/>
  <c r="K78" i="41"/>
  <c r="J78" i="41"/>
  <c r="I78" i="41"/>
  <c r="K77" i="41"/>
  <c r="J77" i="41"/>
  <c r="I77" i="41"/>
  <c r="K76" i="41"/>
  <c r="J76" i="41"/>
  <c r="I76" i="41"/>
  <c r="K75" i="41"/>
  <c r="J75" i="41"/>
  <c r="I75" i="41"/>
  <c r="K74" i="41"/>
  <c r="J74" i="41"/>
  <c r="I74" i="41"/>
  <c r="K73" i="41"/>
  <c r="J73" i="41"/>
  <c r="I73" i="41"/>
  <c r="K72" i="41"/>
  <c r="J72" i="41"/>
  <c r="I72" i="41"/>
  <c r="K71" i="41"/>
  <c r="J71" i="41"/>
  <c r="I71" i="41"/>
  <c r="K70" i="41"/>
  <c r="J70" i="41"/>
  <c r="I70" i="41"/>
  <c r="K69" i="41"/>
  <c r="J69" i="41"/>
  <c r="I69" i="41"/>
  <c r="K68" i="41"/>
  <c r="J68" i="41"/>
  <c r="I68" i="41"/>
  <c r="K67" i="41"/>
  <c r="J67" i="41"/>
  <c r="I67" i="41"/>
  <c r="K66" i="41"/>
  <c r="J66" i="41"/>
  <c r="I66" i="41"/>
  <c r="K65" i="41"/>
  <c r="J65" i="41"/>
  <c r="I65" i="41"/>
  <c r="K64" i="41"/>
  <c r="J64" i="41"/>
  <c r="I64" i="41"/>
  <c r="K63" i="41"/>
  <c r="J63" i="41"/>
  <c r="I63" i="41"/>
  <c r="K62" i="41"/>
  <c r="J62" i="41"/>
  <c r="I62" i="41"/>
  <c r="K61" i="41"/>
  <c r="J61" i="41"/>
  <c r="I61" i="41"/>
  <c r="K60" i="41"/>
  <c r="J60" i="41"/>
  <c r="I60" i="41"/>
  <c r="K59" i="41"/>
  <c r="J59" i="41"/>
  <c r="I59" i="41"/>
  <c r="K58" i="41"/>
  <c r="J58" i="41"/>
  <c r="I58" i="41"/>
  <c r="K57" i="41"/>
  <c r="J57" i="41"/>
  <c r="I57" i="41"/>
  <c r="K56" i="41"/>
  <c r="J56" i="41"/>
  <c r="I56" i="41"/>
  <c r="K55" i="41"/>
  <c r="J55" i="41"/>
  <c r="I55" i="41"/>
  <c r="K54" i="41"/>
  <c r="J54" i="41"/>
  <c r="I54" i="41"/>
  <c r="K53" i="41"/>
  <c r="J53" i="41"/>
  <c r="I53" i="41"/>
  <c r="K52" i="41"/>
  <c r="J52" i="41"/>
  <c r="I52" i="41"/>
  <c r="K51" i="41"/>
  <c r="J51" i="41"/>
  <c r="I51" i="41"/>
  <c r="K50" i="41"/>
  <c r="J50" i="41"/>
  <c r="I50" i="41"/>
  <c r="K49" i="41"/>
  <c r="J49" i="41"/>
  <c r="I49" i="41"/>
  <c r="K48" i="41"/>
  <c r="J48" i="41"/>
  <c r="I48" i="41"/>
  <c r="K47" i="41"/>
  <c r="J47" i="41"/>
  <c r="I47" i="41"/>
  <c r="K46" i="41"/>
  <c r="J46" i="41"/>
  <c r="I46" i="41"/>
  <c r="K45" i="41"/>
  <c r="J45" i="41"/>
  <c r="I45" i="41"/>
  <c r="K44" i="41"/>
  <c r="J44" i="41"/>
  <c r="I44" i="41"/>
  <c r="K43" i="41"/>
  <c r="J43" i="41"/>
  <c r="I43" i="41"/>
  <c r="K42" i="41"/>
  <c r="J42" i="41"/>
  <c r="I42" i="41"/>
  <c r="K41" i="41"/>
  <c r="J41" i="41"/>
  <c r="I41" i="41"/>
  <c r="K40" i="41"/>
  <c r="J40" i="41"/>
  <c r="I40" i="41"/>
  <c r="K39" i="41"/>
  <c r="J39" i="41"/>
  <c r="I39" i="41"/>
  <c r="K38" i="41"/>
  <c r="J38" i="41"/>
  <c r="I38" i="41"/>
  <c r="K37" i="41"/>
  <c r="J37" i="41"/>
  <c r="I37" i="41"/>
  <c r="K36" i="41"/>
  <c r="J36" i="41"/>
  <c r="I36" i="41"/>
  <c r="K35" i="41"/>
  <c r="J35" i="41"/>
  <c r="I35" i="41"/>
  <c r="K34" i="41"/>
  <c r="J34" i="41"/>
  <c r="I34" i="41"/>
  <c r="K33" i="41"/>
  <c r="J33" i="41"/>
  <c r="I33" i="41"/>
  <c r="K32" i="41"/>
  <c r="J32" i="41"/>
  <c r="I32" i="41"/>
  <c r="K31" i="41"/>
  <c r="J31" i="41"/>
  <c r="I31" i="41"/>
  <c r="K30" i="41"/>
  <c r="J30" i="41"/>
  <c r="I30" i="41"/>
  <c r="K29" i="41"/>
  <c r="J29" i="41"/>
  <c r="I29" i="41"/>
  <c r="K28" i="41"/>
  <c r="J28" i="41"/>
  <c r="I28" i="41"/>
  <c r="K27" i="41"/>
  <c r="J27" i="41"/>
  <c r="I27" i="41"/>
  <c r="K26" i="41"/>
  <c r="J26" i="41"/>
  <c r="I26" i="41"/>
  <c r="K25" i="41"/>
  <c r="J25" i="41"/>
  <c r="I25" i="41"/>
  <c r="K24" i="41"/>
  <c r="J24" i="41"/>
  <c r="I24" i="41"/>
  <c r="K23" i="41"/>
  <c r="J23" i="41"/>
  <c r="I23" i="41"/>
  <c r="K22" i="41"/>
  <c r="J22" i="41"/>
  <c r="I22" i="41"/>
  <c r="K21" i="41"/>
  <c r="J21" i="41"/>
  <c r="I21" i="41"/>
  <c r="K20" i="41"/>
  <c r="J20" i="41"/>
  <c r="I20" i="41"/>
  <c r="K19" i="41"/>
  <c r="J19" i="41"/>
  <c r="I19" i="41"/>
  <c r="K18" i="41"/>
  <c r="J18" i="41"/>
  <c r="I18" i="41"/>
  <c r="K17" i="41"/>
  <c r="J17" i="41"/>
  <c r="I17" i="41"/>
  <c r="K16" i="41"/>
  <c r="J16" i="41"/>
  <c r="I16" i="41"/>
  <c r="K15" i="41"/>
  <c r="J15" i="41"/>
  <c r="I15" i="41"/>
  <c r="K14" i="41"/>
  <c r="J14" i="41"/>
  <c r="I14" i="41"/>
  <c r="K13" i="41"/>
  <c r="J13" i="41"/>
  <c r="I13" i="41"/>
  <c r="K12" i="41"/>
  <c r="J12" i="41"/>
  <c r="I12" i="41"/>
  <c r="K11" i="41"/>
  <c r="J11" i="41"/>
  <c r="I11" i="41"/>
  <c r="K10" i="41"/>
  <c r="J10" i="41"/>
  <c r="I10" i="41"/>
  <c r="K9" i="41"/>
  <c r="J9" i="41"/>
  <c r="I9" i="41"/>
  <c r="K8" i="41"/>
  <c r="J8" i="41"/>
  <c r="I8" i="41"/>
  <c r="K7" i="41"/>
  <c r="J7" i="41"/>
  <c r="I7" i="41"/>
  <c r="K6" i="41"/>
  <c r="J6" i="41"/>
  <c r="I6" i="41"/>
  <c r="K5" i="41"/>
  <c r="J5" i="41"/>
  <c r="I5" i="41"/>
  <c r="K4" i="41"/>
  <c r="J4" i="41"/>
  <c r="I4" i="41"/>
  <c r="K3" i="41"/>
  <c r="J3" i="41"/>
  <c r="I3" i="41"/>
  <c r="K2" i="41"/>
  <c r="J2" i="41"/>
  <c r="I2" i="41"/>
  <c r="K101" i="40"/>
  <c r="J101" i="40"/>
  <c r="I101" i="40"/>
  <c r="K100" i="40"/>
  <c r="J100" i="40"/>
  <c r="I100" i="40"/>
  <c r="K99" i="40"/>
  <c r="J99" i="40"/>
  <c r="I99" i="40"/>
  <c r="K98" i="40"/>
  <c r="J98" i="40"/>
  <c r="I98" i="40"/>
  <c r="K97" i="40"/>
  <c r="J97" i="40"/>
  <c r="I97" i="40"/>
  <c r="K96" i="40"/>
  <c r="J96" i="40"/>
  <c r="I96" i="40"/>
  <c r="K95" i="40"/>
  <c r="J95" i="40"/>
  <c r="I95" i="40"/>
  <c r="K94" i="40"/>
  <c r="J94" i="40"/>
  <c r="I94" i="40"/>
  <c r="K93" i="40"/>
  <c r="J93" i="40"/>
  <c r="I93" i="40"/>
  <c r="K92" i="40"/>
  <c r="J92" i="40"/>
  <c r="I92" i="40"/>
  <c r="K91" i="40"/>
  <c r="J91" i="40"/>
  <c r="I91" i="40"/>
  <c r="K90" i="40"/>
  <c r="J90" i="40"/>
  <c r="I90" i="40"/>
  <c r="K89" i="40"/>
  <c r="J89" i="40"/>
  <c r="I89" i="40"/>
  <c r="K88" i="40"/>
  <c r="J88" i="40"/>
  <c r="I88" i="40"/>
  <c r="K87" i="40"/>
  <c r="J87" i="40"/>
  <c r="I87" i="40"/>
  <c r="K86" i="40"/>
  <c r="J86" i="40"/>
  <c r="I86" i="40"/>
  <c r="K85" i="40"/>
  <c r="J85" i="40"/>
  <c r="I85" i="40"/>
  <c r="K84" i="40"/>
  <c r="J84" i="40"/>
  <c r="K83" i="40"/>
  <c r="J83" i="40"/>
  <c r="I83" i="40"/>
  <c r="K82" i="40"/>
  <c r="J82" i="40"/>
  <c r="I82" i="40"/>
  <c r="K81" i="40"/>
  <c r="J81" i="40"/>
  <c r="I81" i="40"/>
  <c r="K80" i="40"/>
  <c r="J80" i="40"/>
  <c r="I80" i="40"/>
  <c r="K79" i="40"/>
  <c r="J79" i="40"/>
  <c r="I79" i="40"/>
  <c r="K78" i="40"/>
  <c r="J78" i="40"/>
  <c r="I78" i="40"/>
  <c r="K77" i="40"/>
  <c r="J77" i="40"/>
  <c r="I77" i="40"/>
  <c r="K76" i="40"/>
  <c r="J76" i="40"/>
  <c r="I76" i="40"/>
  <c r="K75" i="40"/>
  <c r="J75" i="40"/>
  <c r="I75" i="40"/>
  <c r="K74" i="40"/>
  <c r="J74" i="40"/>
  <c r="I74" i="40"/>
  <c r="K73" i="40"/>
  <c r="J73" i="40"/>
  <c r="I73" i="40"/>
  <c r="K72" i="40"/>
  <c r="J72" i="40"/>
  <c r="I72" i="40"/>
  <c r="K71" i="40"/>
  <c r="J71" i="40"/>
  <c r="I71" i="40"/>
  <c r="K70" i="40"/>
  <c r="J70" i="40"/>
  <c r="I70" i="40"/>
  <c r="K69" i="40"/>
  <c r="J69" i="40"/>
  <c r="I69" i="40"/>
  <c r="K68" i="40"/>
  <c r="J68" i="40"/>
  <c r="I68" i="40"/>
  <c r="K67" i="40"/>
  <c r="J67" i="40"/>
  <c r="I67" i="40"/>
  <c r="K66" i="40"/>
  <c r="J66" i="40"/>
  <c r="I66" i="40"/>
  <c r="K65" i="40"/>
  <c r="J65" i="40"/>
  <c r="I65" i="40"/>
  <c r="K64" i="40"/>
  <c r="J64" i="40"/>
  <c r="I64" i="40"/>
  <c r="K63" i="40"/>
  <c r="J63" i="40"/>
  <c r="I63" i="40"/>
  <c r="K62" i="40"/>
  <c r="J62" i="40"/>
  <c r="I62" i="40"/>
  <c r="K61" i="40"/>
  <c r="J61" i="40"/>
  <c r="I61" i="40"/>
  <c r="K60" i="40"/>
  <c r="J60" i="40"/>
  <c r="I60" i="40"/>
  <c r="K59" i="40"/>
  <c r="J59" i="40"/>
  <c r="I59" i="40"/>
  <c r="K58" i="40"/>
  <c r="J58" i="40"/>
  <c r="I58" i="40"/>
  <c r="K57" i="40"/>
  <c r="J57" i="40"/>
  <c r="I57" i="40"/>
  <c r="K56" i="40"/>
  <c r="J56" i="40"/>
  <c r="I56" i="40"/>
  <c r="K55" i="40"/>
  <c r="J55" i="40"/>
  <c r="I55" i="40"/>
  <c r="K54" i="40"/>
  <c r="J54" i="40"/>
  <c r="I54" i="40"/>
  <c r="K53" i="40"/>
  <c r="J53" i="40"/>
  <c r="I53" i="40"/>
  <c r="K52" i="40"/>
  <c r="J52" i="40"/>
  <c r="I52" i="40"/>
  <c r="K51" i="40"/>
  <c r="J51" i="40"/>
  <c r="I51" i="40"/>
  <c r="K50" i="40"/>
  <c r="J50" i="40"/>
  <c r="I50" i="40"/>
  <c r="K49" i="40"/>
  <c r="J49" i="40"/>
  <c r="I49" i="40"/>
  <c r="K48" i="40"/>
  <c r="J48" i="40"/>
  <c r="I48" i="40"/>
  <c r="K47" i="40"/>
  <c r="J47" i="40"/>
  <c r="I47" i="40"/>
  <c r="K46" i="40"/>
  <c r="J46" i="40"/>
  <c r="I46" i="40"/>
  <c r="K45" i="40"/>
  <c r="J45" i="40"/>
  <c r="I45" i="40"/>
  <c r="K44" i="40"/>
  <c r="J44" i="40"/>
  <c r="I44" i="40"/>
  <c r="K43" i="40"/>
  <c r="J43" i="40"/>
  <c r="I43" i="40"/>
  <c r="K42" i="40"/>
  <c r="J42" i="40"/>
  <c r="I42" i="40"/>
  <c r="K41" i="40"/>
  <c r="J41" i="40"/>
  <c r="I41" i="40"/>
  <c r="K40" i="40"/>
  <c r="J40" i="40"/>
  <c r="I40" i="40"/>
  <c r="K39" i="40"/>
  <c r="J39" i="40"/>
  <c r="I39" i="40"/>
  <c r="K38" i="40"/>
  <c r="J38" i="40"/>
  <c r="I38" i="40"/>
  <c r="K37" i="40"/>
  <c r="J37" i="40"/>
  <c r="I37" i="40"/>
  <c r="K36" i="40"/>
  <c r="J36" i="40"/>
  <c r="I36" i="40"/>
  <c r="K35" i="40"/>
  <c r="J35" i="40"/>
  <c r="I35" i="40"/>
  <c r="K34" i="40"/>
  <c r="J34" i="40"/>
  <c r="I34" i="40"/>
  <c r="K33" i="40"/>
  <c r="J33" i="40"/>
  <c r="I33" i="40"/>
  <c r="K32" i="40"/>
  <c r="J32" i="40"/>
  <c r="I32" i="40"/>
  <c r="K31" i="40"/>
  <c r="J31" i="40"/>
  <c r="I31" i="40"/>
  <c r="K30" i="40"/>
  <c r="J30" i="40"/>
  <c r="I30" i="40"/>
  <c r="K29" i="40"/>
  <c r="J29" i="40"/>
  <c r="I29" i="40"/>
  <c r="K28" i="40"/>
  <c r="J28" i="40"/>
  <c r="I28" i="40"/>
  <c r="K27" i="40"/>
  <c r="J27" i="40"/>
  <c r="I27" i="40"/>
  <c r="K26" i="40"/>
  <c r="J26" i="40"/>
  <c r="I26" i="40"/>
  <c r="K25" i="40"/>
  <c r="J25" i="40"/>
  <c r="I25" i="40"/>
  <c r="K24" i="40"/>
  <c r="J24" i="40"/>
  <c r="I24" i="40"/>
  <c r="K23" i="40"/>
  <c r="J23" i="40"/>
  <c r="I23" i="40"/>
  <c r="K22" i="40"/>
  <c r="J22" i="40"/>
  <c r="I22" i="40"/>
  <c r="K21" i="40"/>
  <c r="J21" i="40"/>
  <c r="I21" i="40"/>
  <c r="K20" i="40"/>
  <c r="J20" i="40"/>
  <c r="I20" i="40"/>
  <c r="K19" i="40"/>
  <c r="J19" i="40"/>
  <c r="I19" i="40"/>
  <c r="K18" i="40"/>
  <c r="J18" i="40"/>
  <c r="I18" i="40"/>
  <c r="K17" i="40"/>
  <c r="J17" i="40"/>
  <c r="I17" i="40"/>
  <c r="K16" i="40"/>
  <c r="J16" i="40"/>
  <c r="I16" i="40"/>
  <c r="K15" i="40"/>
  <c r="J15" i="40"/>
  <c r="I15" i="40"/>
  <c r="K14" i="40"/>
  <c r="J14" i="40"/>
  <c r="I14" i="40"/>
  <c r="K13" i="40"/>
  <c r="J13" i="40"/>
  <c r="I13" i="40"/>
  <c r="K12" i="40"/>
  <c r="J12" i="40"/>
  <c r="I12" i="40"/>
  <c r="K11" i="40"/>
  <c r="J11" i="40"/>
  <c r="I11" i="40"/>
  <c r="K10" i="40"/>
  <c r="J10" i="40"/>
  <c r="I10" i="40"/>
  <c r="K9" i="40"/>
  <c r="J9" i="40"/>
  <c r="I9" i="40"/>
  <c r="K8" i="40"/>
  <c r="J8" i="40"/>
  <c r="I8" i="40"/>
  <c r="K7" i="40"/>
  <c r="J7" i="40"/>
  <c r="I7" i="40"/>
  <c r="K6" i="40"/>
  <c r="J6" i="40"/>
  <c r="I6" i="40"/>
  <c r="K5" i="40"/>
  <c r="J5" i="40"/>
  <c r="I5" i="40"/>
  <c r="K4" i="40"/>
  <c r="J4" i="40"/>
  <c r="I4" i="40"/>
  <c r="K3" i="40"/>
  <c r="J3" i="40"/>
  <c r="I3" i="40"/>
  <c r="K2" i="40"/>
  <c r="J2" i="40"/>
  <c r="I2" i="40"/>
  <c r="K101" i="39"/>
  <c r="J101" i="39"/>
  <c r="I101" i="39"/>
  <c r="K100" i="39"/>
  <c r="J100" i="39"/>
  <c r="I100" i="39"/>
  <c r="K99" i="39"/>
  <c r="J99" i="39"/>
  <c r="K98" i="39"/>
  <c r="J98" i="39"/>
  <c r="I98" i="39"/>
  <c r="K97" i="39"/>
  <c r="J97" i="39"/>
  <c r="I97" i="39"/>
  <c r="K96" i="39"/>
  <c r="J96" i="39"/>
  <c r="I96" i="39"/>
  <c r="K95" i="39"/>
  <c r="J95" i="39"/>
  <c r="I95" i="39"/>
  <c r="K94" i="39"/>
  <c r="J94" i="39"/>
  <c r="I94" i="39"/>
  <c r="K93" i="39"/>
  <c r="J93" i="39"/>
  <c r="I93" i="39"/>
  <c r="K92" i="39"/>
  <c r="J92" i="39"/>
  <c r="I92" i="39"/>
  <c r="K91" i="39"/>
  <c r="J91" i="39"/>
  <c r="I91" i="39"/>
  <c r="K90" i="39"/>
  <c r="J90" i="39"/>
  <c r="I90" i="39"/>
  <c r="K89" i="39"/>
  <c r="J89" i="39"/>
  <c r="I89" i="39"/>
  <c r="K88" i="39"/>
  <c r="J88" i="39"/>
  <c r="I88" i="39"/>
  <c r="K87" i="39"/>
  <c r="J87" i="39"/>
  <c r="I87" i="39"/>
  <c r="K86" i="39"/>
  <c r="J86" i="39"/>
  <c r="I86" i="39"/>
  <c r="K85" i="39"/>
  <c r="J85" i="39"/>
  <c r="I85" i="39"/>
  <c r="K84" i="39"/>
  <c r="J84" i="39"/>
  <c r="I84" i="39"/>
  <c r="K83" i="39"/>
  <c r="J83" i="39"/>
  <c r="I83" i="39"/>
  <c r="K82" i="39"/>
  <c r="J82" i="39"/>
  <c r="I82" i="39"/>
  <c r="K81" i="39"/>
  <c r="J81" i="39"/>
  <c r="I81" i="39"/>
  <c r="K80" i="39"/>
  <c r="J80" i="39"/>
  <c r="I80" i="39"/>
  <c r="K79" i="39"/>
  <c r="J79" i="39"/>
  <c r="I79" i="39"/>
  <c r="K78" i="39"/>
  <c r="J78" i="39"/>
  <c r="I78" i="39"/>
  <c r="K77" i="39"/>
  <c r="J77" i="39"/>
  <c r="I77" i="39"/>
  <c r="K76" i="39"/>
  <c r="J76" i="39"/>
  <c r="I76" i="39"/>
  <c r="K75" i="39"/>
  <c r="J75" i="39"/>
  <c r="I75" i="39"/>
  <c r="K74" i="39"/>
  <c r="J74" i="39"/>
  <c r="I74" i="39"/>
  <c r="K73" i="39"/>
  <c r="J73" i="39"/>
  <c r="I73" i="39"/>
  <c r="K72" i="39"/>
  <c r="J72" i="39"/>
  <c r="I72" i="39"/>
  <c r="K71" i="39"/>
  <c r="J71" i="39"/>
  <c r="I71" i="39"/>
  <c r="K70" i="39"/>
  <c r="J70" i="39"/>
  <c r="I70" i="39"/>
  <c r="K69" i="39"/>
  <c r="J69" i="39"/>
  <c r="I69" i="39"/>
  <c r="K68" i="39"/>
  <c r="J68" i="39"/>
  <c r="I68" i="39"/>
  <c r="K67" i="39"/>
  <c r="J67" i="39"/>
  <c r="I67" i="39"/>
  <c r="K66" i="39"/>
  <c r="J66" i="39"/>
  <c r="I66" i="39"/>
  <c r="K65" i="39"/>
  <c r="J65" i="39"/>
  <c r="I65" i="39"/>
  <c r="K64" i="39"/>
  <c r="J64" i="39"/>
  <c r="I64" i="39"/>
  <c r="K63" i="39"/>
  <c r="J63" i="39"/>
  <c r="I63" i="39"/>
  <c r="K62" i="39"/>
  <c r="J62" i="39"/>
  <c r="I62" i="39"/>
  <c r="K61" i="39"/>
  <c r="J61" i="39"/>
  <c r="I61" i="39"/>
  <c r="K60" i="39"/>
  <c r="J60" i="39"/>
  <c r="I60" i="39"/>
  <c r="K59" i="39"/>
  <c r="J59" i="39"/>
  <c r="I59" i="39"/>
  <c r="K58" i="39"/>
  <c r="J58" i="39"/>
  <c r="I58" i="39"/>
  <c r="K57" i="39"/>
  <c r="J57" i="39"/>
  <c r="I57" i="39"/>
  <c r="K56" i="39"/>
  <c r="J56" i="39"/>
  <c r="I56" i="39"/>
  <c r="K55" i="39"/>
  <c r="J55" i="39"/>
  <c r="I55" i="39"/>
  <c r="K54" i="39"/>
  <c r="J54" i="39"/>
  <c r="I54" i="39"/>
  <c r="K53" i="39"/>
  <c r="J53" i="39"/>
  <c r="I53" i="39"/>
  <c r="K52" i="39"/>
  <c r="J52" i="39"/>
  <c r="I52" i="39"/>
  <c r="K51" i="39"/>
  <c r="J51" i="39"/>
  <c r="I51" i="39"/>
  <c r="K50" i="39"/>
  <c r="J50" i="39"/>
  <c r="I50" i="39"/>
  <c r="K49" i="39"/>
  <c r="J49" i="39"/>
  <c r="I49" i="39"/>
  <c r="K48" i="39"/>
  <c r="J48" i="39"/>
  <c r="I48" i="39"/>
  <c r="K47" i="39"/>
  <c r="J47" i="39"/>
  <c r="I47" i="39"/>
  <c r="K46" i="39"/>
  <c r="J46" i="39"/>
  <c r="I46" i="39"/>
  <c r="K45" i="39"/>
  <c r="J45" i="39"/>
  <c r="I45" i="39"/>
  <c r="K44" i="39"/>
  <c r="J44" i="39"/>
  <c r="I44" i="39"/>
  <c r="K43" i="39"/>
  <c r="J43" i="39"/>
  <c r="I43" i="39"/>
  <c r="K42" i="39"/>
  <c r="J42" i="39"/>
  <c r="I42" i="39"/>
  <c r="K41" i="39"/>
  <c r="J41" i="39"/>
  <c r="I41" i="39"/>
  <c r="K40" i="39"/>
  <c r="J40" i="39"/>
  <c r="I40" i="39"/>
  <c r="K39" i="39"/>
  <c r="J39" i="39"/>
  <c r="I39" i="39"/>
  <c r="K38" i="39"/>
  <c r="J38" i="39"/>
  <c r="I38" i="39"/>
  <c r="K37" i="39"/>
  <c r="J37" i="39"/>
  <c r="I37" i="39"/>
  <c r="K36" i="39"/>
  <c r="J36" i="39"/>
  <c r="I36" i="39"/>
  <c r="K35" i="39"/>
  <c r="J35" i="39"/>
  <c r="I35" i="39"/>
  <c r="K34" i="39"/>
  <c r="J34" i="39"/>
  <c r="I34" i="39"/>
  <c r="K33" i="39"/>
  <c r="J33" i="39"/>
  <c r="I33" i="39"/>
  <c r="K32" i="39"/>
  <c r="J32" i="39"/>
  <c r="I32" i="39"/>
  <c r="K31" i="39"/>
  <c r="J31" i="39"/>
  <c r="I31" i="39"/>
  <c r="K30" i="39"/>
  <c r="J30" i="39"/>
  <c r="I30" i="39"/>
  <c r="K29" i="39"/>
  <c r="J29" i="39"/>
  <c r="I29" i="39"/>
  <c r="K28" i="39"/>
  <c r="J28" i="39"/>
  <c r="I28" i="39"/>
  <c r="K27" i="39"/>
  <c r="J27" i="39"/>
  <c r="I27" i="39"/>
  <c r="K26" i="39"/>
  <c r="J26" i="39"/>
  <c r="I26" i="39"/>
  <c r="K25" i="39"/>
  <c r="J25" i="39"/>
  <c r="I25" i="39"/>
  <c r="K24" i="39"/>
  <c r="J24" i="39"/>
  <c r="I24" i="39"/>
  <c r="K23" i="39"/>
  <c r="J23" i="39"/>
  <c r="I23" i="39"/>
  <c r="K22" i="39"/>
  <c r="J22" i="39"/>
  <c r="I22" i="39"/>
  <c r="K21" i="39"/>
  <c r="J21" i="39"/>
  <c r="I21" i="39"/>
  <c r="K20" i="39"/>
  <c r="J20" i="39"/>
  <c r="I20" i="39"/>
  <c r="K19" i="39"/>
  <c r="J19" i="39"/>
  <c r="I19" i="39"/>
  <c r="K18" i="39"/>
  <c r="J18" i="39"/>
  <c r="I18" i="39"/>
  <c r="K17" i="39"/>
  <c r="J17" i="39"/>
  <c r="I17" i="39"/>
  <c r="K16" i="39"/>
  <c r="J16" i="39"/>
  <c r="I16" i="39"/>
  <c r="K15" i="39"/>
  <c r="J15" i="39"/>
  <c r="I15" i="39"/>
  <c r="K14" i="39"/>
  <c r="J14" i="39"/>
  <c r="I14" i="39"/>
  <c r="K13" i="39"/>
  <c r="J13" i="39"/>
  <c r="I13" i="39"/>
  <c r="K12" i="39"/>
  <c r="J12" i="39"/>
  <c r="I12" i="39"/>
  <c r="K11" i="39"/>
  <c r="J11" i="39"/>
  <c r="I11" i="39"/>
  <c r="K10" i="39"/>
  <c r="J10" i="39"/>
  <c r="I10" i="39"/>
  <c r="K9" i="39"/>
  <c r="J9" i="39"/>
  <c r="I9" i="39"/>
  <c r="K8" i="39"/>
  <c r="J8" i="39"/>
  <c r="I8" i="39"/>
  <c r="K7" i="39"/>
  <c r="J7" i="39"/>
  <c r="I7" i="39"/>
  <c r="K6" i="39"/>
  <c r="J6" i="39"/>
  <c r="I6" i="39"/>
  <c r="K5" i="39"/>
  <c r="J5" i="39"/>
  <c r="I5" i="39"/>
  <c r="K4" i="39"/>
  <c r="J4" i="39"/>
  <c r="I4" i="39"/>
  <c r="K3" i="39"/>
  <c r="J3" i="39"/>
  <c r="I3" i="39"/>
  <c r="K2" i="39"/>
  <c r="J2" i="39"/>
  <c r="I2" i="39"/>
  <c r="K101" i="38"/>
  <c r="J101" i="38"/>
  <c r="I101" i="38"/>
  <c r="K100" i="38"/>
  <c r="J100" i="38"/>
  <c r="I100" i="38"/>
  <c r="K99" i="38"/>
  <c r="J99" i="38"/>
  <c r="I99" i="38"/>
  <c r="K98" i="38"/>
  <c r="J98" i="38"/>
  <c r="I98" i="38"/>
  <c r="K97" i="38"/>
  <c r="J97" i="38"/>
  <c r="I97" i="38"/>
  <c r="K96" i="38"/>
  <c r="J96" i="38"/>
  <c r="I96" i="38"/>
  <c r="K95" i="38"/>
  <c r="J95" i="38"/>
  <c r="I95" i="38"/>
  <c r="K94" i="38"/>
  <c r="J94" i="38"/>
  <c r="I94" i="38"/>
  <c r="K93" i="38"/>
  <c r="J93" i="38"/>
  <c r="I93" i="38"/>
  <c r="K92" i="38"/>
  <c r="J92" i="38"/>
  <c r="I92" i="38"/>
  <c r="K91" i="38"/>
  <c r="J91" i="38"/>
  <c r="I91" i="38"/>
  <c r="K90" i="38"/>
  <c r="J90" i="38"/>
  <c r="I90" i="38"/>
  <c r="K89" i="38"/>
  <c r="J89" i="38"/>
  <c r="I89" i="38"/>
  <c r="K88" i="38"/>
  <c r="J88" i="38"/>
  <c r="I88" i="38"/>
  <c r="K87" i="38"/>
  <c r="J87" i="38"/>
  <c r="I87" i="38"/>
  <c r="K86" i="38"/>
  <c r="J86" i="38"/>
  <c r="I86" i="38"/>
  <c r="K85" i="38"/>
  <c r="J85" i="38"/>
  <c r="I85" i="38"/>
  <c r="K84" i="38"/>
  <c r="J84" i="38"/>
  <c r="I84" i="38"/>
  <c r="K83" i="38"/>
  <c r="J83" i="38"/>
  <c r="I83" i="38"/>
  <c r="K82" i="38"/>
  <c r="J82" i="38"/>
  <c r="I82" i="38"/>
  <c r="K81" i="38"/>
  <c r="J81" i="38"/>
  <c r="I81" i="38"/>
  <c r="K80" i="38"/>
  <c r="J80" i="38"/>
  <c r="I80" i="38"/>
  <c r="K79" i="38"/>
  <c r="J79" i="38"/>
  <c r="I79" i="38"/>
  <c r="K78" i="38"/>
  <c r="J78" i="38"/>
  <c r="I78" i="38"/>
  <c r="K77" i="38"/>
  <c r="J77" i="38"/>
  <c r="I77" i="38"/>
  <c r="K76" i="38"/>
  <c r="J76" i="38"/>
  <c r="I76" i="38"/>
  <c r="K75" i="38"/>
  <c r="J75" i="38"/>
  <c r="I75" i="38"/>
  <c r="K74" i="38"/>
  <c r="J74" i="38"/>
  <c r="I74" i="38"/>
  <c r="K73" i="38"/>
  <c r="J73" i="38"/>
  <c r="I73" i="38"/>
  <c r="K72" i="38"/>
  <c r="J72" i="38"/>
  <c r="I72" i="38"/>
  <c r="K71" i="38"/>
  <c r="J71" i="38"/>
  <c r="I71" i="38"/>
  <c r="K70" i="38"/>
  <c r="J70" i="38"/>
  <c r="I70" i="38"/>
  <c r="K69" i="38"/>
  <c r="J69" i="38"/>
  <c r="I69" i="38"/>
  <c r="K68" i="38"/>
  <c r="J68" i="38"/>
  <c r="I68" i="38"/>
  <c r="K67" i="38"/>
  <c r="J67" i="38"/>
  <c r="I67" i="38"/>
  <c r="K66" i="38"/>
  <c r="J66" i="38"/>
  <c r="I66" i="38"/>
  <c r="K65" i="38"/>
  <c r="J65" i="38"/>
  <c r="I65" i="38"/>
  <c r="K64" i="38"/>
  <c r="J64" i="38"/>
  <c r="I64" i="38"/>
  <c r="K63" i="38"/>
  <c r="J63" i="38"/>
  <c r="I63" i="38"/>
  <c r="K62" i="38"/>
  <c r="J62" i="38"/>
  <c r="I62" i="38"/>
  <c r="K61" i="38"/>
  <c r="J61" i="38"/>
  <c r="I61" i="38"/>
  <c r="K60" i="38"/>
  <c r="J60" i="38"/>
  <c r="I60" i="38"/>
  <c r="K59" i="38"/>
  <c r="J59" i="38"/>
  <c r="I59" i="38"/>
  <c r="K58" i="38"/>
  <c r="J58" i="38"/>
  <c r="I58" i="38"/>
  <c r="K57" i="38"/>
  <c r="J57" i="38"/>
  <c r="I57" i="38"/>
  <c r="K56" i="38"/>
  <c r="J56" i="38"/>
  <c r="I56" i="38"/>
  <c r="K55" i="38"/>
  <c r="J55" i="38"/>
  <c r="I55" i="38"/>
  <c r="K54" i="38"/>
  <c r="J54" i="38"/>
  <c r="I54" i="38"/>
  <c r="K53" i="38"/>
  <c r="J53" i="38"/>
  <c r="I53" i="38"/>
  <c r="K52" i="38"/>
  <c r="J52" i="38"/>
  <c r="I52" i="38"/>
  <c r="K51" i="38"/>
  <c r="J51" i="38"/>
  <c r="I51" i="38"/>
  <c r="K50" i="38"/>
  <c r="J50" i="38"/>
  <c r="I50" i="38"/>
  <c r="K49" i="38"/>
  <c r="J49" i="38"/>
  <c r="I49" i="38"/>
  <c r="K48" i="38"/>
  <c r="J48" i="38"/>
  <c r="I48" i="38"/>
  <c r="K47" i="38"/>
  <c r="J47" i="38"/>
  <c r="I47" i="38"/>
  <c r="K46" i="38"/>
  <c r="J46" i="38"/>
  <c r="I46" i="38"/>
  <c r="K45" i="38"/>
  <c r="J45" i="38"/>
  <c r="I45" i="38"/>
  <c r="K44" i="38"/>
  <c r="J44" i="38"/>
  <c r="I44" i="38"/>
  <c r="K43" i="38"/>
  <c r="J43" i="38"/>
  <c r="I43" i="38"/>
  <c r="K42" i="38"/>
  <c r="J42" i="38"/>
  <c r="I42" i="38"/>
  <c r="K41" i="38"/>
  <c r="J41" i="38"/>
  <c r="I41" i="38"/>
  <c r="K40" i="38"/>
  <c r="J40" i="38"/>
  <c r="I40" i="38"/>
  <c r="K39" i="38"/>
  <c r="J39" i="38"/>
  <c r="I39" i="38"/>
  <c r="K38" i="38"/>
  <c r="J38" i="38"/>
  <c r="I38" i="38"/>
  <c r="K37" i="38"/>
  <c r="J37" i="38"/>
  <c r="I37" i="38"/>
  <c r="K36" i="38"/>
  <c r="J36" i="38"/>
  <c r="I36" i="38"/>
  <c r="K35" i="38"/>
  <c r="J35" i="38"/>
  <c r="I35" i="38"/>
  <c r="K34" i="38"/>
  <c r="J34" i="38"/>
  <c r="I34" i="38"/>
  <c r="K33" i="38"/>
  <c r="J33" i="38"/>
  <c r="I33" i="38"/>
  <c r="K32" i="38"/>
  <c r="J32" i="38"/>
  <c r="I32" i="38"/>
  <c r="K31" i="38"/>
  <c r="J31" i="38"/>
  <c r="I31" i="38"/>
  <c r="K30" i="38"/>
  <c r="J30" i="38"/>
  <c r="I30" i="38"/>
  <c r="K29" i="38"/>
  <c r="J29" i="38"/>
  <c r="I29" i="38"/>
  <c r="K28" i="38"/>
  <c r="J28" i="38"/>
  <c r="I28" i="38"/>
  <c r="K27" i="38"/>
  <c r="J27" i="38"/>
  <c r="I27" i="38"/>
  <c r="K26" i="38"/>
  <c r="J26" i="38"/>
  <c r="I26" i="38"/>
  <c r="K25" i="38"/>
  <c r="J25" i="38"/>
  <c r="I25" i="38"/>
  <c r="K24" i="38"/>
  <c r="J24" i="38"/>
  <c r="I24" i="38"/>
  <c r="K23" i="38"/>
  <c r="J23" i="38"/>
  <c r="I23" i="38"/>
  <c r="K22" i="38"/>
  <c r="J22" i="38"/>
  <c r="I22" i="38"/>
  <c r="K21" i="38"/>
  <c r="J21" i="38"/>
  <c r="I21" i="38"/>
  <c r="K20" i="38"/>
  <c r="J20" i="38"/>
  <c r="I20" i="38"/>
  <c r="K19" i="38"/>
  <c r="J19" i="38"/>
  <c r="I19" i="38"/>
  <c r="K18" i="38"/>
  <c r="J18" i="38"/>
  <c r="I18" i="38"/>
  <c r="K17" i="38"/>
  <c r="J17" i="38"/>
  <c r="I17" i="38"/>
  <c r="K16" i="38"/>
  <c r="J16" i="38"/>
  <c r="I16" i="38"/>
  <c r="K15" i="38"/>
  <c r="J15" i="38"/>
  <c r="I15" i="38"/>
  <c r="K14" i="38"/>
  <c r="J14" i="38"/>
  <c r="I14" i="38"/>
  <c r="K13" i="38"/>
  <c r="J13" i="38"/>
  <c r="I13" i="38"/>
  <c r="K12" i="38"/>
  <c r="J12" i="38"/>
  <c r="I12" i="38"/>
  <c r="K11" i="38"/>
  <c r="J11" i="38"/>
  <c r="I11" i="38"/>
  <c r="K10" i="38"/>
  <c r="J10" i="38"/>
  <c r="I10" i="38"/>
  <c r="K9" i="38"/>
  <c r="J9" i="38"/>
  <c r="I9" i="38"/>
  <c r="K8" i="38"/>
  <c r="J8" i="38"/>
  <c r="I8" i="38"/>
  <c r="K7" i="38"/>
  <c r="J7" i="38"/>
  <c r="I7" i="38"/>
  <c r="K6" i="38"/>
  <c r="J6" i="38"/>
  <c r="I6" i="38"/>
  <c r="K5" i="38"/>
  <c r="J5" i="38"/>
  <c r="I5" i="38"/>
  <c r="K4" i="38"/>
  <c r="J4" i="38"/>
  <c r="I4" i="38"/>
  <c r="K3" i="38"/>
  <c r="J3" i="38"/>
  <c r="I3" i="38"/>
  <c r="K2" i="38"/>
  <c r="J2" i="38"/>
  <c r="I2" i="38"/>
  <c r="K101" i="37"/>
  <c r="J101" i="37"/>
  <c r="I101" i="37"/>
  <c r="K100" i="37"/>
  <c r="J100" i="37"/>
  <c r="I100" i="37"/>
  <c r="K99" i="37"/>
  <c r="J99" i="37"/>
  <c r="I99" i="37"/>
  <c r="K98" i="37"/>
  <c r="J98" i="37"/>
  <c r="I98" i="37"/>
  <c r="K97" i="37"/>
  <c r="J97" i="37"/>
  <c r="I97" i="37"/>
  <c r="K96" i="37"/>
  <c r="J96" i="37"/>
  <c r="I96" i="37"/>
  <c r="K95" i="37"/>
  <c r="J95" i="37"/>
  <c r="I95" i="37"/>
  <c r="K94" i="37"/>
  <c r="J94" i="37"/>
  <c r="I94" i="37"/>
  <c r="K93" i="37"/>
  <c r="J93" i="37"/>
  <c r="I93" i="37"/>
  <c r="K92" i="37"/>
  <c r="J92" i="37"/>
  <c r="I92" i="37"/>
  <c r="K91" i="37"/>
  <c r="J91" i="37"/>
  <c r="I91" i="37"/>
  <c r="K90" i="37"/>
  <c r="J90" i="37"/>
  <c r="I90" i="37"/>
  <c r="K89" i="37"/>
  <c r="J89" i="37"/>
  <c r="I89" i="37"/>
  <c r="K88" i="37"/>
  <c r="J88" i="37"/>
  <c r="I88" i="37"/>
  <c r="K87" i="37"/>
  <c r="J87" i="37"/>
  <c r="I87" i="37"/>
  <c r="K86" i="37"/>
  <c r="J86" i="37"/>
  <c r="I86" i="37"/>
  <c r="K85" i="37"/>
  <c r="J85" i="37"/>
  <c r="I85" i="37"/>
  <c r="K84" i="37"/>
  <c r="J84" i="37"/>
  <c r="I84" i="37"/>
  <c r="K83" i="37"/>
  <c r="J83" i="37"/>
  <c r="I83" i="37"/>
  <c r="K82" i="37"/>
  <c r="J82" i="37"/>
  <c r="I82" i="37"/>
  <c r="K81" i="37"/>
  <c r="J81" i="37"/>
  <c r="I81" i="37"/>
  <c r="K80" i="37"/>
  <c r="J80" i="37"/>
  <c r="I80" i="37"/>
  <c r="K79" i="37"/>
  <c r="J79" i="37"/>
  <c r="I79" i="37"/>
  <c r="K78" i="37"/>
  <c r="J78" i="37"/>
  <c r="I78" i="37"/>
  <c r="K77" i="37"/>
  <c r="J77" i="37"/>
  <c r="I77" i="37"/>
  <c r="K76" i="37"/>
  <c r="J76" i="37"/>
  <c r="I76" i="37"/>
  <c r="K75" i="37"/>
  <c r="J75" i="37"/>
  <c r="I75" i="37"/>
  <c r="K74" i="37"/>
  <c r="J74" i="37"/>
  <c r="I74" i="37"/>
  <c r="K73" i="37"/>
  <c r="J73" i="37"/>
  <c r="I73" i="37"/>
  <c r="K72" i="37"/>
  <c r="J72" i="37"/>
  <c r="I72" i="37"/>
  <c r="K71" i="37"/>
  <c r="J71" i="37"/>
  <c r="I71" i="37"/>
  <c r="K70" i="37"/>
  <c r="J70" i="37"/>
  <c r="I70" i="37"/>
  <c r="K69" i="37"/>
  <c r="J69" i="37"/>
  <c r="I69" i="37"/>
  <c r="K68" i="37"/>
  <c r="J68" i="37"/>
  <c r="I68" i="37"/>
  <c r="K67" i="37"/>
  <c r="J67" i="37"/>
  <c r="I67" i="37"/>
  <c r="K66" i="37"/>
  <c r="J66" i="37"/>
  <c r="I66" i="37"/>
  <c r="K65" i="37"/>
  <c r="J65" i="37"/>
  <c r="I65" i="37"/>
  <c r="K64" i="37"/>
  <c r="J64" i="37"/>
  <c r="I64" i="37"/>
  <c r="K63" i="37"/>
  <c r="J63" i="37"/>
  <c r="I63" i="37"/>
  <c r="K62" i="37"/>
  <c r="J62" i="37"/>
  <c r="I62" i="37"/>
  <c r="K61" i="37"/>
  <c r="J61" i="37"/>
  <c r="I61" i="37"/>
  <c r="K60" i="37"/>
  <c r="J60" i="37"/>
  <c r="I60" i="37"/>
  <c r="K59" i="37"/>
  <c r="J59" i="37"/>
  <c r="I59" i="37"/>
  <c r="K58" i="37"/>
  <c r="J58" i="37"/>
  <c r="I58" i="37"/>
  <c r="K57" i="37"/>
  <c r="J57" i="37"/>
  <c r="I57" i="37"/>
  <c r="K56" i="37"/>
  <c r="J56" i="37"/>
  <c r="I56" i="37"/>
  <c r="K55" i="37"/>
  <c r="J55" i="37"/>
  <c r="I55" i="37"/>
  <c r="K54" i="37"/>
  <c r="J54" i="37"/>
  <c r="I54" i="37"/>
  <c r="K53" i="37"/>
  <c r="J53" i="37"/>
  <c r="I53" i="37"/>
  <c r="K52" i="37"/>
  <c r="J52" i="37"/>
  <c r="I52" i="37"/>
  <c r="K51" i="37"/>
  <c r="J51" i="37"/>
  <c r="I51" i="37"/>
  <c r="K50" i="37"/>
  <c r="J50" i="37"/>
  <c r="I50" i="37"/>
  <c r="K49" i="37"/>
  <c r="J49" i="37"/>
  <c r="I49" i="37"/>
  <c r="K48" i="37"/>
  <c r="J48" i="37"/>
  <c r="I48" i="37"/>
  <c r="K47" i="37"/>
  <c r="J47" i="37"/>
  <c r="I47" i="37"/>
  <c r="K46" i="37"/>
  <c r="J46" i="37"/>
  <c r="I46" i="37"/>
  <c r="K45" i="37"/>
  <c r="J45" i="37"/>
  <c r="I45" i="37"/>
  <c r="K44" i="37"/>
  <c r="J44" i="37"/>
  <c r="I44" i="37"/>
  <c r="K43" i="37"/>
  <c r="J43" i="37"/>
  <c r="I43" i="37"/>
  <c r="K42" i="37"/>
  <c r="J42" i="37"/>
  <c r="I42" i="37"/>
  <c r="K41" i="37"/>
  <c r="J41" i="37"/>
  <c r="I41" i="37"/>
  <c r="K40" i="37"/>
  <c r="J40" i="37"/>
  <c r="I40" i="37"/>
  <c r="K39" i="37"/>
  <c r="J39" i="37"/>
  <c r="I39" i="37"/>
  <c r="K38" i="37"/>
  <c r="J38" i="37"/>
  <c r="I38" i="37"/>
  <c r="K37" i="37"/>
  <c r="J37" i="37"/>
  <c r="I37" i="37"/>
  <c r="K36" i="37"/>
  <c r="J36" i="37"/>
  <c r="I36" i="37"/>
  <c r="K35" i="37"/>
  <c r="J35" i="37"/>
  <c r="I35" i="37"/>
  <c r="K34" i="37"/>
  <c r="J34" i="37"/>
  <c r="I34" i="37"/>
  <c r="K33" i="37"/>
  <c r="J33" i="37"/>
  <c r="I33" i="37"/>
  <c r="K32" i="37"/>
  <c r="J32" i="37"/>
  <c r="I32" i="37"/>
  <c r="K31" i="37"/>
  <c r="J31" i="37"/>
  <c r="I31" i="37"/>
  <c r="K30" i="37"/>
  <c r="J30" i="37"/>
  <c r="I30" i="37"/>
  <c r="K29" i="37"/>
  <c r="J29" i="37"/>
  <c r="I29" i="37"/>
  <c r="K28" i="37"/>
  <c r="J28" i="37"/>
  <c r="I28" i="37"/>
  <c r="K27" i="37"/>
  <c r="J27" i="37"/>
  <c r="I27" i="37"/>
  <c r="K26" i="37"/>
  <c r="J26" i="37"/>
  <c r="I26" i="37"/>
  <c r="K25" i="37"/>
  <c r="J25" i="37"/>
  <c r="I25" i="37"/>
  <c r="K24" i="37"/>
  <c r="J24" i="37"/>
  <c r="I24" i="37"/>
  <c r="K23" i="37"/>
  <c r="J23" i="37"/>
  <c r="I23" i="37"/>
  <c r="K22" i="37"/>
  <c r="J22" i="37"/>
  <c r="I22" i="37"/>
  <c r="K21" i="37"/>
  <c r="J21" i="37"/>
  <c r="I21" i="37"/>
  <c r="K20" i="37"/>
  <c r="J20" i="37"/>
  <c r="I20" i="37"/>
  <c r="K19" i="37"/>
  <c r="J19" i="37"/>
  <c r="I19" i="37"/>
  <c r="K18" i="37"/>
  <c r="J18" i="37"/>
  <c r="I18" i="37"/>
  <c r="K17" i="37"/>
  <c r="J17" i="37"/>
  <c r="I17" i="37"/>
  <c r="K16" i="37"/>
  <c r="J16" i="37"/>
  <c r="I16" i="37"/>
  <c r="K15" i="37"/>
  <c r="J15" i="37"/>
  <c r="I15" i="37"/>
  <c r="K14" i="37"/>
  <c r="J14" i="37"/>
  <c r="I14" i="37"/>
  <c r="K13" i="37"/>
  <c r="J13" i="37"/>
  <c r="I13" i="37"/>
  <c r="K12" i="37"/>
  <c r="J12" i="37"/>
  <c r="I12" i="37"/>
  <c r="K11" i="37"/>
  <c r="J11" i="37"/>
  <c r="I11" i="37"/>
  <c r="K10" i="37"/>
  <c r="J10" i="37"/>
  <c r="I10" i="37"/>
  <c r="K9" i="37"/>
  <c r="J9" i="37"/>
  <c r="I9" i="37"/>
  <c r="K8" i="37"/>
  <c r="J8" i="37"/>
  <c r="I8" i="37"/>
  <c r="K7" i="37"/>
  <c r="J7" i="37"/>
  <c r="I7" i="37"/>
  <c r="K6" i="37"/>
  <c r="J6" i="37"/>
  <c r="I6" i="37"/>
  <c r="K5" i="37"/>
  <c r="J5" i="37"/>
  <c r="I5" i="37"/>
  <c r="K4" i="37"/>
  <c r="J4" i="37"/>
  <c r="I4" i="37"/>
  <c r="K3" i="37"/>
  <c r="J3" i="37"/>
  <c r="I3" i="37"/>
  <c r="K2" i="37"/>
  <c r="J2" i="37"/>
  <c r="I2" i="37"/>
  <c r="K101" i="36"/>
  <c r="J101" i="36"/>
  <c r="I101" i="36"/>
  <c r="K100" i="36"/>
  <c r="J100" i="36"/>
  <c r="I100" i="36"/>
  <c r="K99" i="36"/>
  <c r="J99" i="36"/>
  <c r="I99" i="36"/>
  <c r="K98" i="36"/>
  <c r="J98" i="36"/>
  <c r="I98" i="36"/>
  <c r="K97" i="36"/>
  <c r="J97" i="36"/>
  <c r="I97" i="36"/>
  <c r="K96" i="36"/>
  <c r="J96" i="36"/>
  <c r="I96" i="36"/>
  <c r="K95" i="36"/>
  <c r="J95" i="36"/>
  <c r="I95" i="36"/>
  <c r="K94" i="36"/>
  <c r="J94" i="36"/>
  <c r="I94" i="36"/>
  <c r="K93" i="36"/>
  <c r="J93" i="36"/>
  <c r="I93" i="36"/>
  <c r="K92" i="36"/>
  <c r="J92" i="36"/>
  <c r="I92" i="36"/>
  <c r="K91" i="36"/>
  <c r="J91" i="36"/>
  <c r="I91" i="36"/>
  <c r="K90" i="36"/>
  <c r="J90" i="36"/>
  <c r="I90" i="36"/>
  <c r="K89" i="36"/>
  <c r="J89" i="36"/>
  <c r="I89" i="36"/>
  <c r="K88" i="36"/>
  <c r="J88" i="36"/>
  <c r="I88" i="36"/>
  <c r="K87" i="36"/>
  <c r="J87" i="36"/>
  <c r="I87" i="36"/>
  <c r="K86" i="36"/>
  <c r="J86" i="36"/>
  <c r="I86" i="36"/>
  <c r="K85" i="36"/>
  <c r="J85" i="36"/>
  <c r="I85" i="36"/>
  <c r="K84" i="36"/>
  <c r="J84" i="36"/>
  <c r="I84" i="36"/>
  <c r="K83" i="36"/>
  <c r="J83" i="36"/>
  <c r="I83" i="36"/>
  <c r="K82" i="36"/>
  <c r="J82" i="36"/>
  <c r="I82" i="36"/>
  <c r="K81" i="36"/>
  <c r="J81" i="36"/>
  <c r="I81" i="36"/>
  <c r="K80" i="36"/>
  <c r="J80" i="36"/>
  <c r="I80" i="36"/>
  <c r="K79" i="36"/>
  <c r="J79" i="36"/>
  <c r="I79" i="36"/>
  <c r="K78" i="36"/>
  <c r="J78" i="36"/>
  <c r="I78" i="36"/>
  <c r="K77" i="36"/>
  <c r="J77" i="36"/>
  <c r="I77" i="36"/>
  <c r="K76" i="36"/>
  <c r="J76" i="36"/>
  <c r="I76" i="36"/>
  <c r="K75" i="36"/>
  <c r="J75" i="36"/>
  <c r="I75" i="36"/>
  <c r="K74" i="36"/>
  <c r="J74" i="36"/>
  <c r="I74" i="36"/>
  <c r="K73" i="36"/>
  <c r="J73" i="36"/>
  <c r="I73" i="36"/>
  <c r="K72" i="36"/>
  <c r="J72" i="36"/>
  <c r="I72" i="36"/>
  <c r="K71" i="36"/>
  <c r="J71" i="36"/>
  <c r="I71" i="36"/>
  <c r="K70" i="36"/>
  <c r="J70" i="36"/>
  <c r="I70" i="36"/>
  <c r="K69" i="36"/>
  <c r="J69" i="36"/>
  <c r="I69" i="36"/>
  <c r="K68" i="36"/>
  <c r="J68" i="36"/>
  <c r="I68" i="36"/>
  <c r="K67" i="36"/>
  <c r="J67" i="36"/>
  <c r="I67" i="36"/>
  <c r="K66" i="36"/>
  <c r="J66" i="36"/>
  <c r="I66" i="36"/>
  <c r="K65" i="36"/>
  <c r="J65" i="36"/>
  <c r="I65" i="36"/>
  <c r="K64" i="36"/>
  <c r="J64" i="36"/>
  <c r="I64" i="36"/>
  <c r="K63" i="36"/>
  <c r="J63" i="36"/>
  <c r="I63" i="36"/>
  <c r="K62" i="36"/>
  <c r="J62" i="36"/>
  <c r="I62" i="36"/>
  <c r="K61" i="36"/>
  <c r="J61" i="36"/>
  <c r="I61" i="36"/>
  <c r="K60" i="36"/>
  <c r="J60" i="36"/>
  <c r="I60" i="36"/>
  <c r="K59" i="36"/>
  <c r="J59" i="36"/>
  <c r="I59" i="36"/>
  <c r="K58" i="36"/>
  <c r="J58" i="36"/>
  <c r="I58" i="36"/>
  <c r="K57" i="36"/>
  <c r="J57" i="36"/>
  <c r="I57" i="36"/>
  <c r="K56" i="36"/>
  <c r="J56" i="36"/>
  <c r="I56" i="36"/>
  <c r="K55" i="36"/>
  <c r="J55" i="36"/>
  <c r="I55" i="36"/>
  <c r="K54" i="36"/>
  <c r="J54" i="36"/>
  <c r="I54" i="36"/>
  <c r="K53" i="36"/>
  <c r="J53" i="36"/>
  <c r="I53" i="36"/>
  <c r="K52" i="36"/>
  <c r="J52" i="36"/>
  <c r="I52" i="36"/>
  <c r="K51" i="36"/>
  <c r="J51" i="36"/>
  <c r="I51" i="36"/>
  <c r="K50" i="36"/>
  <c r="J50" i="36"/>
  <c r="I50" i="36"/>
  <c r="K49" i="36"/>
  <c r="J49" i="36"/>
  <c r="I49" i="36"/>
  <c r="K48" i="36"/>
  <c r="J48" i="36"/>
  <c r="I48" i="36"/>
  <c r="K47" i="36"/>
  <c r="J47" i="36"/>
  <c r="I47" i="36"/>
  <c r="K46" i="36"/>
  <c r="J46" i="36"/>
  <c r="I46" i="36"/>
  <c r="K45" i="36"/>
  <c r="J45" i="36"/>
  <c r="I45" i="36"/>
  <c r="K44" i="36"/>
  <c r="J44" i="36"/>
  <c r="I44" i="36"/>
  <c r="K43" i="36"/>
  <c r="J43" i="36"/>
  <c r="I43" i="36"/>
  <c r="K42" i="36"/>
  <c r="J42" i="36"/>
  <c r="I42" i="36"/>
  <c r="K41" i="36"/>
  <c r="J41" i="36"/>
  <c r="I41" i="36"/>
  <c r="K40" i="36"/>
  <c r="J40" i="36"/>
  <c r="I40" i="36"/>
  <c r="K39" i="36"/>
  <c r="J39" i="36"/>
  <c r="I39" i="36"/>
  <c r="K38" i="36"/>
  <c r="J38" i="36"/>
  <c r="I38" i="36"/>
  <c r="K37" i="36"/>
  <c r="J37" i="36"/>
  <c r="I37" i="36"/>
  <c r="K36" i="36"/>
  <c r="J36" i="36"/>
  <c r="I36" i="36"/>
  <c r="K35" i="36"/>
  <c r="J35" i="36"/>
  <c r="I35" i="36"/>
  <c r="K34" i="36"/>
  <c r="J34" i="36"/>
  <c r="I34" i="36"/>
  <c r="K33" i="36"/>
  <c r="J33" i="36"/>
  <c r="I33" i="36"/>
  <c r="K32" i="36"/>
  <c r="J32" i="36"/>
  <c r="I32" i="36"/>
  <c r="K31" i="36"/>
  <c r="J31" i="36"/>
  <c r="I31" i="36"/>
  <c r="K30" i="36"/>
  <c r="J30" i="36"/>
  <c r="I30" i="36"/>
  <c r="K29" i="36"/>
  <c r="J29" i="36"/>
  <c r="I29" i="36"/>
  <c r="K28" i="36"/>
  <c r="J28" i="36"/>
  <c r="I28" i="36"/>
  <c r="K27" i="36"/>
  <c r="J27" i="36"/>
  <c r="I27" i="36"/>
  <c r="K26" i="36"/>
  <c r="J26" i="36"/>
  <c r="I26" i="36"/>
  <c r="K25" i="36"/>
  <c r="J25" i="36"/>
  <c r="I25" i="36"/>
  <c r="K24" i="36"/>
  <c r="J24" i="36"/>
  <c r="I24" i="36"/>
  <c r="K23" i="36"/>
  <c r="J23" i="36"/>
  <c r="I23" i="36"/>
  <c r="K22" i="36"/>
  <c r="J22" i="36"/>
  <c r="I22" i="36"/>
  <c r="K21" i="36"/>
  <c r="J21" i="36"/>
  <c r="I21" i="36"/>
  <c r="K20" i="36"/>
  <c r="J20" i="36"/>
  <c r="I20" i="36"/>
  <c r="K19" i="36"/>
  <c r="J19" i="36"/>
  <c r="I19" i="36"/>
  <c r="K18" i="36"/>
  <c r="J18" i="36"/>
  <c r="I18" i="36"/>
  <c r="K17" i="36"/>
  <c r="J17" i="36"/>
  <c r="I17" i="36"/>
  <c r="K16" i="36"/>
  <c r="J16" i="36"/>
  <c r="I16" i="36"/>
  <c r="K15" i="36"/>
  <c r="J15" i="36"/>
  <c r="I15" i="36"/>
  <c r="K14" i="36"/>
  <c r="J14" i="36"/>
  <c r="I14" i="36"/>
  <c r="K13" i="36"/>
  <c r="J13" i="36"/>
  <c r="I13" i="36"/>
  <c r="K12" i="36"/>
  <c r="J12" i="36"/>
  <c r="I12" i="36"/>
  <c r="K11" i="36"/>
  <c r="J11" i="36"/>
  <c r="I11" i="36"/>
  <c r="K10" i="36"/>
  <c r="J10" i="36"/>
  <c r="I10" i="36"/>
  <c r="K9" i="36"/>
  <c r="J9" i="36"/>
  <c r="I9" i="36"/>
  <c r="K8" i="36"/>
  <c r="J8" i="36"/>
  <c r="I8" i="36"/>
  <c r="K7" i="36"/>
  <c r="J7" i="36"/>
  <c r="I7" i="36"/>
  <c r="K6" i="36"/>
  <c r="J6" i="36"/>
  <c r="I6" i="36"/>
  <c r="K5" i="36"/>
  <c r="J5" i="36"/>
  <c r="I5" i="36"/>
  <c r="K4" i="36"/>
  <c r="J4" i="36"/>
  <c r="I4" i="36"/>
  <c r="K3" i="36"/>
  <c r="J3" i="36"/>
  <c r="I3" i="36"/>
  <c r="K2" i="36"/>
  <c r="J2" i="36"/>
  <c r="I2" i="36"/>
  <c r="K101" i="35"/>
  <c r="J101" i="35"/>
  <c r="I101" i="35"/>
  <c r="K100" i="35"/>
  <c r="J100" i="35"/>
  <c r="I100" i="35"/>
  <c r="K99" i="35"/>
  <c r="J99" i="35"/>
  <c r="I99" i="35"/>
  <c r="K98" i="35"/>
  <c r="J98" i="35"/>
  <c r="I98" i="35"/>
  <c r="K97" i="35"/>
  <c r="J97" i="35"/>
  <c r="I97" i="35"/>
  <c r="K96" i="35"/>
  <c r="J96" i="35"/>
  <c r="I96" i="35"/>
  <c r="K95" i="35"/>
  <c r="J95" i="35"/>
  <c r="I95" i="35"/>
  <c r="K94" i="35"/>
  <c r="J94" i="35"/>
  <c r="I94" i="35"/>
  <c r="K93" i="35"/>
  <c r="J93" i="35"/>
  <c r="I93" i="35"/>
  <c r="K92" i="35"/>
  <c r="J92" i="35"/>
  <c r="I92" i="35"/>
  <c r="K91" i="35"/>
  <c r="J91" i="35"/>
  <c r="I91" i="35"/>
  <c r="K90" i="35"/>
  <c r="J90" i="35"/>
  <c r="I90" i="35"/>
  <c r="K89" i="35"/>
  <c r="J89" i="35"/>
  <c r="I89" i="35"/>
  <c r="K88" i="35"/>
  <c r="J88" i="35"/>
  <c r="I88" i="35"/>
  <c r="K87" i="35"/>
  <c r="J87" i="35"/>
  <c r="I87" i="35"/>
  <c r="K86" i="35"/>
  <c r="J86" i="35"/>
  <c r="I86" i="35"/>
  <c r="K85" i="35"/>
  <c r="J85" i="35"/>
  <c r="I85" i="35"/>
  <c r="K84" i="35"/>
  <c r="J84" i="35"/>
  <c r="I84" i="35"/>
  <c r="K83" i="35"/>
  <c r="J83" i="35"/>
  <c r="I83" i="35"/>
  <c r="K82" i="35"/>
  <c r="J82" i="35"/>
  <c r="I82" i="35"/>
  <c r="K81" i="35"/>
  <c r="J81" i="35"/>
  <c r="I81" i="35"/>
  <c r="K80" i="35"/>
  <c r="J80" i="35"/>
  <c r="I80" i="35"/>
  <c r="K79" i="35"/>
  <c r="J79" i="35"/>
  <c r="I79" i="35"/>
  <c r="K78" i="35"/>
  <c r="J78" i="35"/>
  <c r="I78" i="35"/>
  <c r="K77" i="35"/>
  <c r="J77" i="35"/>
  <c r="I77" i="35"/>
  <c r="K76" i="35"/>
  <c r="J76" i="35"/>
  <c r="I76" i="35"/>
  <c r="K75" i="35"/>
  <c r="J75" i="35"/>
  <c r="I75" i="35"/>
  <c r="K74" i="35"/>
  <c r="J74" i="35"/>
  <c r="I74" i="35"/>
  <c r="K73" i="35"/>
  <c r="J73" i="35"/>
  <c r="I73" i="35"/>
  <c r="K72" i="35"/>
  <c r="J72" i="35"/>
  <c r="I72" i="35"/>
  <c r="K71" i="35"/>
  <c r="J71" i="35"/>
  <c r="I71" i="35"/>
  <c r="K70" i="35"/>
  <c r="J70" i="35"/>
  <c r="I70" i="35"/>
  <c r="K69" i="35"/>
  <c r="J69" i="35"/>
  <c r="I69" i="35"/>
  <c r="K68" i="35"/>
  <c r="J68" i="35"/>
  <c r="I68" i="35"/>
  <c r="K67" i="35"/>
  <c r="J67" i="35"/>
  <c r="I67" i="35"/>
  <c r="K66" i="35"/>
  <c r="J66" i="35"/>
  <c r="I66" i="35"/>
  <c r="K65" i="35"/>
  <c r="J65" i="35"/>
  <c r="I65" i="35"/>
  <c r="K64" i="35"/>
  <c r="J64" i="35"/>
  <c r="I64" i="35"/>
  <c r="K63" i="35"/>
  <c r="J63" i="35"/>
  <c r="I63" i="35"/>
  <c r="K62" i="35"/>
  <c r="J62" i="35"/>
  <c r="I62" i="35"/>
  <c r="K61" i="35"/>
  <c r="J61" i="35"/>
  <c r="I61" i="35"/>
  <c r="K60" i="35"/>
  <c r="J60" i="35"/>
  <c r="I60" i="35"/>
  <c r="K59" i="35"/>
  <c r="J59" i="35"/>
  <c r="I59" i="35"/>
  <c r="K58" i="35"/>
  <c r="J58" i="35"/>
  <c r="I58" i="35"/>
  <c r="K57" i="35"/>
  <c r="J57" i="35"/>
  <c r="I57" i="35"/>
  <c r="K56" i="35"/>
  <c r="J56" i="35"/>
  <c r="I56" i="35"/>
  <c r="K55" i="35"/>
  <c r="J55" i="35"/>
  <c r="I55" i="35"/>
  <c r="K54" i="35"/>
  <c r="J54" i="35"/>
  <c r="I54" i="35"/>
  <c r="K53" i="35"/>
  <c r="J53" i="35"/>
  <c r="I53" i="35"/>
  <c r="K52" i="35"/>
  <c r="J52" i="35"/>
  <c r="I52" i="35"/>
  <c r="K51" i="35"/>
  <c r="J51" i="35"/>
  <c r="I51" i="35"/>
  <c r="K50" i="35"/>
  <c r="J50" i="35"/>
  <c r="I50" i="35"/>
  <c r="K49" i="35"/>
  <c r="J49" i="35"/>
  <c r="I49" i="35"/>
  <c r="K48" i="35"/>
  <c r="J48" i="35"/>
  <c r="I48" i="35"/>
  <c r="K47" i="35"/>
  <c r="J47" i="35"/>
  <c r="I47" i="35"/>
  <c r="K46" i="35"/>
  <c r="J46" i="35"/>
  <c r="I46" i="35"/>
  <c r="K45" i="35"/>
  <c r="J45" i="35"/>
  <c r="I45" i="35"/>
  <c r="K44" i="35"/>
  <c r="J44" i="35"/>
  <c r="I44" i="35"/>
  <c r="K43" i="35"/>
  <c r="J43" i="35"/>
  <c r="I43" i="35"/>
  <c r="K42" i="35"/>
  <c r="J42" i="35"/>
  <c r="I42" i="35"/>
  <c r="K41" i="35"/>
  <c r="J41" i="35"/>
  <c r="I41" i="35"/>
  <c r="K40" i="35"/>
  <c r="J40" i="35"/>
  <c r="I40" i="35"/>
  <c r="K39" i="35"/>
  <c r="J39" i="35"/>
  <c r="I39" i="35"/>
  <c r="K38" i="35"/>
  <c r="J38" i="35"/>
  <c r="I38" i="35"/>
  <c r="K37" i="35"/>
  <c r="J37" i="35"/>
  <c r="I37" i="35"/>
  <c r="K36" i="35"/>
  <c r="J36" i="35"/>
  <c r="I36" i="35"/>
  <c r="K35" i="35"/>
  <c r="J35" i="35"/>
  <c r="I35" i="35"/>
  <c r="K34" i="35"/>
  <c r="J34" i="35"/>
  <c r="I34" i="35"/>
  <c r="K33" i="35"/>
  <c r="J33" i="35"/>
  <c r="I33" i="35"/>
  <c r="K32" i="35"/>
  <c r="J32" i="35"/>
  <c r="I32" i="35"/>
  <c r="K31" i="35"/>
  <c r="J31" i="35"/>
  <c r="I31" i="35"/>
  <c r="K30" i="35"/>
  <c r="J30" i="35"/>
  <c r="I30" i="35"/>
  <c r="K29" i="35"/>
  <c r="J29" i="35"/>
  <c r="I29" i="35"/>
  <c r="K28" i="35"/>
  <c r="J28" i="35"/>
  <c r="I28" i="35"/>
  <c r="K27" i="35"/>
  <c r="J27" i="35"/>
  <c r="I27" i="35"/>
  <c r="K26" i="35"/>
  <c r="J26" i="35"/>
  <c r="I26" i="35"/>
  <c r="K25" i="35"/>
  <c r="J25" i="35"/>
  <c r="I25" i="35"/>
  <c r="K24" i="35"/>
  <c r="J24" i="35"/>
  <c r="I24" i="35"/>
  <c r="K23" i="35"/>
  <c r="J23" i="35"/>
  <c r="I23" i="35"/>
  <c r="K22" i="35"/>
  <c r="J22" i="35"/>
  <c r="I22" i="35"/>
  <c r="K21" i="35"/>
  <c r="J21" i="35"/>
  <c r="I21" i="35"/>
  <c r="K20" i="35"/>
  <c r="J20" i="35"/>
  <c r="I20" i="35"/>
  <c r="K19" i="35"/>
  <c r="J19" i="35"/>
  <c r="I19" i="35"/>
  <c r="K18" i="35"/>
  <c r="J18" i="35"/>
  <c r="I18" i="35"/>
  <c r="K17" i="35"/>
  <c r="J17" i="35"/>
  <c r="I17" i="35"/>
  <c r="K16" i="35"/>
  <c r="J16" i="35"/>
  <c r="I16" i="35"/>
  <c r="K15" i="35"/>
  <c r="J15" i="35"/>
  <c r="I15" i="35"/>
  <c r="K14" i="35"/>
  <c r="J14" i="35"/>
  <c r="I14" i="35"/>
  <c r="K13" i="35"/>
  <c r="J13" i="35"/>
  <c r="I13" i="35"/>
  <c r="K12" i="35"/>
  <c r="J12" i="35"/>
  <c r="I12" i="35"/>
  <c r="K11" i="35"/>
  <c r="J11" i="35"/>
  <c r="I11" i="35"/>
  <c r="K10" i="35"/>
  <c r="J10" i="35"/>
  <c r="I10" i="35"/>
  <c r="K9" i="35"/>
  <c r="J9" i="35"/>
  <c r="I9" i="35"/>
  <c r="K8" i="35"/>
  <c r="J8" i="35"/>
  <c r="I8" i="35"/>
  <c r="K7" i="35"/>
  <c r="J7" i="35"/>
  <c r="I7" i="35"/>
  <c r="K6" i="35"/>
  <c r="J6" i="35"/>
  <c r="I6" i="35"/>
  <c r="K5" i="35"/>
  <c r="J5" i="35"/>
  <c r="I5" i="35"/>
  <c r="K4" i="35"/>
  <c r="J4" i="35"/>
  <c r="I4" i="35"/>
  <c r="K3" i="35"/>
  <c r="J3" i="35"/>
  <c r="I3" i="35"/>
  <c r="K2" i="35"/>
  <c r="J2" i="35"/>
  <c r="I2" i="35"/>
  <c r="K101" i="34"/>
  <c r="J101" i="34"/>
  <c r="I101" i="34"/>
  <c r="K100" i="34"/>
  <c r="J100" i="34"/>
  <c r="I100" i="34"/>
  <c r="K99" i="34"/>
  <c r="J99" i="34"/>
  <c r="I99" i="34"/>
  <c r="K98" i="34"/>
  <c r="J98" i="34"/>
  <c r="I98" i="34"/>
  <c r="K97" i="34"/>
  <c r="J97" i="34"/>
  <c r="I97" i="34"/>
  <c r="K96" i="34"/>
  <c r="J96" i="34"/>
  <c r="I96" i="34"/>
  <c r="K95" i="34"/>
  <c r="J95" i="34"/>
  <c r="I95" i="34"/>
  <c r="K94" i="34"/>
  <c r="J94" i="34"/>
  <c r="I94" i="34"/>
  <c r="K93" i="34"/>
  <c r="J93" i="34"/>
  <c r="I93" i="34"/>
  <c r="K92" i="34"/>
  <c r="J92" i="34"/>
  <c r="I92" i="34"/>
  <c r="K91" i="34"/>
  <c r="J91" i="34"/>
  <c r="I91" i="34"/>
  <c r="K90" i="34"/>
  <c r="J90" i="34"/>
  <c r="I90" i="34"/>
  <c r="K89" i="34"/>
  <c r="J89" i="34"/>
  <c r="I89" i="34"/>
  <c r="K88" i="34"/>
  <c r="J88" i="34"/>
  <c r="I88" i="34"/>
  <c r="K87" i="34"/>
  <c r="J87" i="34"/>
  <c r="I87" i="34"/>
  <c r="K86" i="34"/>
  <c r="J86" i="34"/>
  <c r="I86" i="34"/>
  <c r="K85" i="34"/>
  <c r="J85" i="34"/>
  <c r="I85" i="34"/>
  <c r="K84" i="34"/>
  <c r="J84" i="34"/>
  <c r="I84" i="34"/>
  <c r="K83" i="34"/>
  <c r="J83" i="34"/>
  <c r="I83" i="34"/>
  <c r="K82" i="34"/>
  <c r="J82" i="34"/>
  <c r="I82" i="34"/>
  <c r="K81" i="34"/>
  <c r="J81" i="34"/>
  <c r="I81" i="34"/>
  <c r="K80" i="34"/>
  <c r="J80" i="34"/>
  <c r="I80" i="34"/>
  <c r="K79" i="34"/>
  <c r="J79" i="34"/>
  <c r="I79" i="34"/>
  <c r="K78" i="34"/>
  <c r="J78" i="34"/>
  <c r="I78" i="34"/>
  <c r="K77" i="34"/>
  <c r="J77" i="34"/>
  <c r="I77" i="34"/>
  <c r="K76" i="34"/>
  <c r="J76" i="34"/>
  <c r="I76" i="34"/>
  <c r="K75" i="34"/>
  <c r="J75" i="34"/>
  <c r="I75" i="34"/>
  <c r="K74" i="34"/>
  <c r="J74" i="34"/>
  <c r="I74" i="34"/>
  <c r="K73" i="34"/>
  <c r="J73" i="34"/>
  <c r="I73" i="34"/>
  <c r="K72" i="34"/>
  <c r="J72" i="34"/>
  <c r="I72" i="34"/>
  <c r="K71" i="34"/>
  <c r="J71" i="34"/>
  <c r="I71" i="34"/>
  <c r="K70" i="34"/>
  <c r="J70" i="34"/>
  <c r="I70" i="34"/>
  <c r="K69" i="34"/>
  <c r="J69" i="34"/>
  <c r="I69" i="34"/>
  <c r="K68" i="34"/>
  <c r="J68" i="34"/>
  <c r="I68" i="34"/>
  <c r="K67" i="34"/>
  <c r="J67" i="34"/>
  <c r="I67" i="34"/>
  <c r="K66" i="34"/>
  <c r="J66" i="34"/>
  <c r="I66" i="34"/>
  <c r="K65" i="34"/>
  <c r="J65" i="34"/>
  <c r="I65" i="34"/>
  <c r="K64" i="34"/>
  <c r="J64" i="34"/>
  <c r="I64" i="34"/>
  <c r="K63" i="34"/>
  <c r="J63" i="34"/>
  <c r="I63" i="34"/>
  <c r="K62" i="34"/>
  <c r="J62" i="34"/>
  <c r="I62" i="34"/>
  <c r="K61" i="34"/>
  <c r="J61" i="34"/>
  <c r="I61" i="34"/>
  <c r="K60" i="34"/>
  <c r="J60" i="34"/>
  <c r="I60" i="34"/>
  <c r="K59" i="34"/>
  <c r="J59" i="34"/>
  <c r="I59" i="34"/>
  <c r="K58" i="34"/>
  <c r="J58" i="34"/>
  <c r="I58" i="34"/>
  <c r="K57" i="34"/>
  <c r="J57" i="34"/>
  <c r="I57" i="34"/>
  <c r="K56" i="34"/>
  <c r="J56" i="34"/>
  <c r="I56" i="34"/>
  <c r="K55" i="34"/>
  <c r="J55" i="34"/>
  <c r="I55" i="34"/>
  <c r="K54" i="34"/>
  <c r="J54" i="34"/>
  <c r="I54" i="34"/>
  <c r="K53" i="34"/>
  <c r="J53" i="34"/>
  <c r="I53" i="34"/>
  <c r="K52" i="34"/>
  <c r="J52" i="34"/>
  <c r="I52" i="34"/>
  <c r="K51" i="34"/>
  <c r="J51" i="34"/>
  <c r="I51" i="34"/>
  <c r="K50" i="34"/>
  <c r="J50" i="34"/>
  <c r="I50" i="34"/>
  <c r="K49" i="34"/>
  <c r="J49" i="34"/>
  <c r="I49" i="34"/>
  <c r="K48" i="34"/>
  <c r="J48" i="34"/>
  <c r="I48" i="34"/>
  <c r="K47" i="34"/>
  <c r="J47" i="34"/>
  <c r="I47" i="34"/>
  <c r="K46" i="34"/>
  <c r="J46" i="34"/>
  <c r="I46" i="34"/>
  <c r="K45" i="34"/>
  <c r="J45" i="34"/>
  <c r="I45" i="34"/>
  <c r="K44" i="34"/>
  <c r="J44" i="34"/>
  <c r="I44" i="34"/>
  <c r="K43" i="34"/>
  <c r="J43" i="34"/>
  <c r="I43" i="34"/>
  <c r="K42" i="34"/>
  <c r="J42" i="34"/>
  <c r="I42" i="34"/>
  <c r="K41" i="34"/>
  <c r="J41" i="34"/>
  <c r="I41" i="34"/>
  <c r="K40" i="34"/>
  <c r="J40" i="34"/>
  <c r="I40" i="34"/>
  <c r="K39" i="34"/>
  <c r="J39" i="34"/>
  <c r="I39" i="34"/>
  <c r="K38" i="34"/>
  <c r="J38" i="34"/>
  <c r="I38" i="34"/>
  <c r="K37" i="34"/>
  <c r="J37" i="34"/>
  <c r="I37" i="34"/>
  <c r="K36" i="34"/>
  <c r="J36" i="34"/>
  <c r="I36" i="34"/>
  <c r="K35" i="34"/>
  <c r="J35" i="34"/>
  <c r="I35" i="34"/>
  <c r="K34" i="34"/>
  <c r="J34" i="34"/>
  <c r="I34" i="34"/>
  <c r="K33" i="34"/>
  <c r="J33" i="34"/>
  <c r="I33" i="34"/>
  <c r="K32" i="34"/>
  <c r="J32" i="34"/>
  <c r="I32" i="34"/>
  <c r="K31" i="34"/>
  <c r="J31" i="34"/>
  <c r="I31" i="34"/>
  <c r="K30" i="34"/>
  <c r="J30" i="34"/>
  <c r="I30" i="34"/>
  <c r="K29" i="34"/>
  <c r="J29" i="34"/>
  <c r="I29" i="34"/>
  <c r="K28" i="34"/>
  <c r="J28" i="34"/>
  <c r="I28" i="34"/>
  <c r="K27" i="34"/>
  <c r="J27" i="34"/>
  <c r="I27" i="34"/>
  <c r="K26" i="34"/>
  <c r="J26" i="34"/>
  <c r="I26" i="34"/>
  <c r="K25" i="34"/>
  <c r="J25" i="34"/>
  <c r="I25" i="34"/>
  <c r="K24" i="34"/>
  <c r="J24" i="34"/>
  <c r="I24" i="34"/>
  <c r="K23" i="34"/>
  <c r="J23" i="34"/>
  <c r="I23" i="34"/>
  <c r="K22" i="34"/>
  <c r="J22" i="34"/>
  <c r="I22" i="34"/>
  <c r="K21" i="34"/>
  <c r="J21" i="34"/>
  <c r="I21" i="34"/>
  <c r="K20" i="34"/>
  <c r="J20" i="34"/>
  <c r="I20" i="34"/>
  <c r="K19" i="34"/>
  <c r="J19" i="34"/>
  <c r="I19" i="34"/>
  <c r="K18" i="34"/>
  <c r="J18" i="34"/>
  <c r="I18" i="34"/>
  <c r="K17" i="34"/>
  <c r="J17" i="34"/>
  <c r="I17" i="34"/>
  <c r="K16" i="34"/>
  <c r="J16" i="34"/>
  <c r="I16" i="34"/>
  <c r="K15" i="34"/>
  <c r="J15" i="34"/>
  <c r="I15" i="34"/>
  <c r="K14" i="34"/>
  <c r="J14" i="34"/>
  <c r="I14" i="34"/>
  <c r="K13" i="34"/>
  <c r="J13" i="34"/>
  <c r="I13" i="34"/>
  <c r="K12" i="34"/>
  <c r="J12" i="34"/>
  <c r="I12" i="34"/>
  <c r="K11" i="34"/>
  <c r="J11" i="34"/>
  <c r="I11" i="34"/>
  <c r="K10" i="34"/>
  <c r="J10" i="34"/>
  <c r="I10" i="34"/>
  <c r="K9" i="34"/>
  <c r="J9" i="34"/>
  <c r="I9" i="34"/>
  <c r="K8" i="34"/>
  <c r="J8" i="34"/>
  <c r="I8" i="34"/>
  <c r="K7" i="34"/>
  <c r="J7" i="34"/>
  <c r="I7" i="34"/>
  <c r="K6" i="34"/>
  <c r="J6" i="34"/>
  <c r="I6" i="34"/>
  <c r="K5" i="34"/>
  <c r="J5" i="34"/>
  <c r="I5" i="34"/>
  <c r="K4" i="34"/>
  <c r="J4" i="34"/>
  <c r="I4" i="34"/>
  <c r="K3" i="34"/>
  <c r="J3" i="34"/>
  <c r="I3" i="34"/>
  <c r="K2" i="34"/>
  <c r="J2" i="34"/>
  <c r="I2" i="34"/>
  <c r="K101" i="33"/>
  <c r="J101" i="33"/>
  <c r="I101" i="33"/>
  <c r="K100" i="33"/>
  <c r="J100" i="33"/>
  <c r="I100" i="33"/>
  <c r="K99" i="33"/>
  <c r="J99" i="33"/>
  <c r="I99" i="33"/>
  <c r="K98" i="33"/>
  <c r="J98" i="33"/>
  <c r="I98" i="33"/>
  <c r="K97" i="33"/>
  <c r="J97" i="33"/>
  <c r="I97" i="33"/>
  <c r="K96" i="33"/>
  <c r="J96" i="33"/>
  <c r="I96" i="33"/>
  <c r="K95" i="33"/>
  <c r="J95" i="33"/>
  <c r="I95" i="33"/>
  <c r="K94" i="33"/>
  <c r="J94" i="33"/>
  <c r="I94" i="33"/>
  <c r="K93" i="33"/>
  <c r="J93" i="33"/>
  <c r="I93" i="33"/>
  <c r="K92" i="33"/>
  <c r="J92" i="33"/>
  <c r="I92" i="33"/>
  <c r="K91" i="33"/>
  <c r="J91" i="33"/>
  <c r="I91" i="33"/>
  <c r="K90" i="33"/>
  <c r="J90" i="33"/>
  <c r="I90" i="33"/>
  <c r="K89" i="33"/>
  <c r="J89" i="33"/>
  <c r="I89" i="33"/>
  <c r="K88" i="33"/>
  <c r="J88" i="33"/>
  <c r="I88" i="33"/>
  <c r="K87" i="33"/>
  <c r="J87" i="33"/>
  <c r="I87" i="33"/>
  <c r="K86" i="33"/>
  <c r="J86" i="33"/>
  <c r="I86" i="33"/>
  <c r="K85" i="33"/>
  <c r="J85" i="33"/>
  <c r="I85" i="33"/>
  <c r="K84" i="33"/>
  <c r="J84" i="33"/>
  <c r="I84" i="33"/>
  <c r="K83" i="33"/>
  <c r="J83" i="33"/>
  <c r="I83" i="33"/>
  <c r="K82" i="33"/>
  <c r="J82" i="33"/>
  <c r="I82" i="33"/>
  <c r="K81" i="33"/>
  <c r="J81" i="33"/>
  <c r="I81" i="33"/>
  <c r="K80" i="33"/>
  <c r="J80" i="33"/>
  <c r="I80" i="33"/>
  <c r="K79" i="33"/>
  <c r="J79" i="33"/>
  <c r="I79" i="33"/>
  <c r="K78" i="33"/>
  <c r="J78" i="33"/>
  <c r="I78" i="33"/>
  <c r="K77" i="33"/>
  <c r="J77" i="33"/>
  <c r="I77" i="33"/>
  <c r="K76" i="33"/>
  <c r="J76" i="33"/>
  <c r="I76" i="33"/>
  <c r="K75" i="33"/>
  <c r="J75" i="33"/>
  <c r="I75" i="33"/>
  <c r="K74" i="33"/>
  <c r="J74" i="33"/>
  <c r="I74" i="33"/>
  <c r="K73" i="33"/>
  <c r="J73" i="33"/>
  <c r="I73" i="33"/>
  <c r="K72" i="33"/>
  <c r="J72" i="33"/>
  <c r="I72" i="33"/>
  <c r="K71" i="33"/>
  <c r="J71" i="33"/>
  <c r="I71" i="33"/>
  <c r="K70" i="33"/>
  <c r="J70" i="33"/>
  <c r="I70" i="33"/>
  <c r="K69" i="33"/>
  <c r="J69" i="33"/>
  <c r="I69" i="33"/>
  <c r="K68" i="33"/>
  <c r="J68" i="33"/>
  <c r="I68" i="33"/>
  <c r="K67" i="33"/>
  <c r="J67" i="33"/>
  <c r="I67" i="33"/>
  <c r="K66" i="33"/>
  <c r="J66" i="33"/>
  <c r="I66" i="33"/>
  <c r="K65" i="33"/>
  <c r="J65" i="33"/>
  <c r="I65" i="33"/>
  <c r="K64" i="33"/>
  <c r="J64" i="33"/>
  <c r="I64" i="33"/>
  <c r="K63" i="33"/>
  <c r="J63" i="33"/>
  <c r="I63" i="33"/>
  <c r="K62" i="33"/>
  <c r="J62" i="33"/>
  <c r="I62" i="33"/>
  <c r="K61" i="33"/>
  <c r="J61" i="33"/>
  <c r="I61" i="33"/>
  <c r="K60" i="33"/>
  <c r="J60" i="33"/>
  <c r="I60" i="33"/>
  <c r="K59" i="33"/>
  <c r="J59" i="33"/>
  <c r="I59" i="33"/>
  <c r="K58" i="33"/>
  <c r="J58" i="33"/>
  <c r="I58" i="33"/>
  <c r="K57" i="33"/>
  <c r="J57" i="33"/>
  <c r="I57" i="33"/>
  <c r="K56" i="33"/>
  <c r="J56" i="33"/>
  <c r="I56" i="33"/>
  <c r="K55" i="33"/>
  <c r="J55" i="33"/>
  <c r="I55" i="33"/>
  <c r="K54" i="33"/>
  <c r="J54" i="33"/>
  <c r="I54" i="33"/>
  <c r="K53" i="33"/>
  <c r="J53" i="33"/>
  <c r="I53" i="33"/>
  <c r="K52" i="33"/>
  <c r="J52" i="33"/>
  <c r="I52" i="33"/>
  <c r="K51" i="33"/>
  <c r="J51" i="33"/>
  <c r="I51" i="33"/>
  <c r="K50" i="33"/>
  <c r="J50" i="33"/>
  <c r="I50" i="33"/>
  <c r="K49" i="33"/>
  <c r="J49" i="33"/>
  <c r="I49" i="33"/>
  <c r="K48" i="33"/>
  <c r="J48" i="33"/>
  <c r="I48" i="33"/>
  <c r="K47" i="33"/>
  <c r="J47" i="33"/>
  <c r="I47" i="33"/>
  <c r="K46" i="33"/>
  <c r="J46" i="33"/>
  <c r="I46" i="33"/>
  <c r="K45" i="33"/>
  <c r="J45" i="33"/>
  <c r="I45" i="33"/>
  <c r="K44" i="33"/>
  <c r="J44" i="33"/>
  <c r="I44" i="33"/>
  <c r="K43" i="33"/>
  <c r="J43" i="33"/>
  <c r="I43" i="33"/>
  <c r="K42" i="33"/>
  <c r="J42" i="33"/>
  <c r="I42" i="33"/>
  <c r="K41" i="33"/>
  <c r="J41" i="33"/>
  <c r="I41" i="33"/>
  <c r="K40" i="33"/>
  <c r="J40" i="33"/>
  <c r="I40" i="33"/>
  <c r="K39" i="33"/>
  <c r="J39" i="33"/>
  <c r="I39" i="33"/>
  <c r="K38" i="33"/>
  <c r="J38" i="33"/>
  <c r="I38" i="33"/>
  <c r="K37" i="33"/>
  <c r="J37" i="33"/>
  <c r="I37" i="33"/>
  <c r="K36" i="33"/>
  <c r="J36" i="33"/>
  <c r="I36" i="33"/>
  <c r="K35" i="33"/>
  <c r="J35" i="33"/>
  <c r="I35" i="33"/>
  <c r="K34" i="33"/>
  <c r="J34" i="33"/>
  <c r="I34" i="33"/>
  <c r="K33" i="33"/>
  <c r="J33" i="33"/>
  <c r="I33" i="33"/>
  <c r="K32" i="33"/>
  <c r="J32" i="33"/>
  <c r="I32" i="33"/>
  <c r="K31" i="33"/>
  <c r="J31" i="33"/>
  <c r="I31" i="33"/>
  <c r="K30" i="33"/>
  <c r="J30" i="33"/>
  <c r="I30" i="33"/>
  <c r="K29" i="33"/>
  <c r="J29" i="33"/>
  <c r="I29" i="33"/>
  <c r="K28" i="33"/>
  <c r="J28" i="33"/>
  <c r="I28" i="33"/>
  <c r="K27" i="33"/>
  <c r="J27" i="33"/>
  <c r="I27" i="33"/>
  <c r="K26" i="33"/>
  <c r="J26" i="33"/>
  <c r="I26" i="33"/>
  <c r="K25" i="33"/>
  <c r="J25" i="33"/>
  <c r="I25" i="33"/>
  <c r="K24" i="33"/>
  <c r="J24" i="33"/>
  <c r="I24" i="33"/>
  <c r="K23" i="33"/>
  <c r="J23" i="33"/>
  <c r="I23" i="33"/>
  <c r="K22" i="33"/>
  <c r="J22" i="33"/>
  <c r="I22" i="33"/>
  <c r="K21" i="33"/>
  <c r="J21" i="33"/>
  <c r="I21" i="33"/>
  <c r="K20" i="33"/>
  <c r="J20" i="33"/>
  <c r="I20" i="33"/>
  <c r="K19" i="33"/>
  <c r="J19" i="33"/>
  <c r="I19" i="33"/>
  <c r="K18" i="33"/>
  <c r="J18" i="33"/>
  <c r="I18" i="33"/>
  <c r="K17" i="33"/>
  <c r="J17" i="33"/>
  <c r="I17" i="33"/>
  <c r="K16" i="33"/>
  <c r="J16" i="33"/>
  <c r="I16" i="33"/>
  <c r="K15" i="33"/>
  <c r="J15" i="33"/>
  <c r="I15" i="33"/>
  <c r="K14" i="33"/>
  <c r="J14" i="33"/>
  <c r="I14" i="33"/>
  <c r="K13" i="33"/>
  <c r="J13" i="33"/>
  <c r="I13" i="33"/>
  <c r="K12" i="33"/>
  <c r="J12" i="33"/>
  <c r="I12" i="33"/>
  <c r="K11" i="33"/>
  <c r="J11" i="33"/>
  <c r="I11" i="33"/>
  <c r="K10" i="33"/>
  <c r="J10" i="33"/>
  <c r="I10" i="33"/>
  <c r="K9" i="33"/>
  <c r="J9" i="33"/>
  <c r="I9" i="33"/>
  <c r="K8" i="33"/>
  <c r="J8" i="33"/>
  <c r="I8" i="33"/>
  <c r="K7" i="33"/>
  <c r="J7" i="33"/>
  <c r="I7" i="33"/>
  <c r="K6" i="33"/>
  <c r="J6" i="33"/>
  <c r="I6" i="33"/>
  <c r="K5" i="33"/>
  <c r="J5" i="33"/>
  <c r="I5" i="33"/>
  <c r="K4" i="33"/>
  <c r="J4" i="33"/>
  <c r="I4" i="33"/>
  <c r="K3" i="33"/>
  <c r="J3" i="33"/>
  <c r="I3" i="33"/>
  <c r="K2" i="33"/>
  <c r="J2" i="33"/>
  <c r="I2" i="33"/>
  <c r="K101" i="32"/>
  <c r="J101" i="32"/>
  <c r="I101" i="32"/>
  <c r="K100" i="32"/>
  <c r="J100" i="32"/>
  <c r="I100" i="32"/>
  <c r="K99" i="32"/>
  <c r="J99" i="32"/>
  <c r="I99" i="32"/>
  <c r="K98" i="32"/>
  <c r="J98" i="32"/>
  <c r="I98" i="32"/>
  <c r="K97" i="32"/>
  <c r="J97" i="32"/>
  <c r="I97" i="32"/>
  <c r="K96" i="32"/>
  <c r="J96" i="32"/>
  <c r="I96" i="32"/>
  <c r="K95" i="32"/>
  <c r="J95" i="32"/>
  <c r="I95" i="32"/>
  <c r="K94" i="32"/>
  <c r="J94" i="32"/>
  <c r="I94" i="32"/>
  <c r="K93" i="32"/>
  <c r="J93" i="32"/>
  <c r="I93" i="32"/>
  <c r="K92" i="32"/>
  <c r="J92" i="32"/>
  <c r="I92" i="32"/>
  <c r="K91" i="32"/>
  <c r="J91" i="32"/>
  <c r="I91" i="32"/>
  <c r="K90" i="32"/>
  <c r="J90" i="32"/>
  <c r="I90" i="32"/>
  <c r="K89" i="32"/>
  <c r="J89" i="32"/>
  <c r="I89" i="32"/>
  <c r="K88" i="32"/>
  <c r="J88" i="32"/>
  <c r="I88" i="32"/>
  <c r="K87" i="32"/>
  <c r="J87" i="32"/>
  <c r="I87" i="32"/>
  <c r="K86" i="32"/>
  <c r="J86" i="32"/>
  <c r="I86" i="32"/>
  <c r="K85" i="32"/>
  <c r="J85" i="32"/>
  <c r="I85" i="32"/>
  <c r="K84" i="32"/>
  <c r="J84" i="32"/>
  <c r="I84" i="32"/>
  <c r="K83" i="32"/>
  <c r="J83" i="32"/>
  <c r="I83" i="32"/>
  <c r="K82" i="32"/>
  <c r="J82" i="32"/>
  <c r="I82" i="32"/>
  <c r="K81" i="32"/>
  <c r="J81" i="32"/>
  <c r="I81" i="32"/>
  <c r="K80" i="32"/>
  <c r="J80" i="32"/>
  <c r="I80" i="32"/>
  <c r="K79" i="32"/>
  <c r="J79" i="32"/>
  <c r="I79" i="32"/>
  <c r="K78" i="32"/>
  <c r="J78" i="32"/>
  <c r="I78" i="32"/>
  <c r="K77" i="32"/>
  <c r="J77" i="32"/>
  <c r="I77" i="32"/>
  <c r="K76" i="32"/>
  <c r="J76" i="32"/>
  <c r="I76" i="32"/>
  <c r="K75" i="32"/>
  <c r="J75" i="32"/>
  <c r="I75" i="32"/>
  <c r="K74" i="32"/>
  <c r="J74" i="32"/>
  <c r="I74" i="32"/>
  <c r="K73" i="32"/>
  <c r="J73" i="32"/>
  <c r="I73" i="32"/>
  <c r="K72" i="32"/>
  <c r="J72" i="32"/>
  <c r="I72" i="32"/>
  <c r="K71" i="32"/>
  <c r="J71" i="32"/>
  <c r="I71" i="32"/>
  <c r="K70" i="32"/>
  <c r="J70" i="32"/>
  <c r="I70" i="32"/>
  <c r="K69" i="32"/>
  <c r="J69" i="32"/>
  <c r="I69" i="32"/>
  <c r="K68" i="32"/>
  <c r="J68" i="32"/>
  <c r="I68" i="32"/>
  <c r="K67" i="32"/>
  <c r="J67" i="32"/>
  <c r="I67" i="32"/>
  <c r="K66" i="32"/>
  <c r="J66" i="32"/>
  <c r="I66" i="32"/>
  <c r="K65" i="32"/>
  <c r="J65" i="32"/>
  <c r="I65" i="32"/>
  <c r="K64" i="32"/>
  <c r="J64" i="32"/>
  <c r="I64" i="32"/>
  <c r="K63" i="32"/>
  <c r="J63" i="32"/>
  <c r="I63" i="32"/>
  <c r="K62" i="32"/>
  <c r="J62" i="32"/>
  <c r="I62" i="32"/>
  <c r="K61" i="32"/>
  <c r="J61" i="32"/>
  <c r="I61" i="32"/>
  <c r="K60" i="32"/>
  <c r="J60" i="32"/>
  <c r="I60" i="32"/>
  <c r="K59" i="32"/>
  <c r="J59" i="32"/>
  <c r="I59" i="32"/>
  <c r="K58" i="32"/>
  <c r="J58" i="32"/>
  <c r="I58" i="32"/>
  <c r="K57" i="32"/>
  <c r="J57" i="32"/>
  <c r="I57" i="32"/>
  <c r="K56" i="32"/>
  <c r="J56" i="32"/>
  <c r="I56" i="32"/>
  <c r="K55" i="32"/>
  <c r="J55" i="32"/>
  <c r="I55" i="32"/>
  <c r="K54" i="32"/>
  <c r="J54" i="32"/>
  <c r="I54" i="32"/>
  <c r="K53" i="32"/>
  <c r="J53" i="32"/>
  <c r="I53" i="32"/>
  <c r="K52" i="32"/>
  <c r="J52" i="32"/>
  <c r="I52" i="32"/>
  <c r="K51" i="32"/>
  <c r="J51" i="32"/>
  <c r="I51" i="32"/>
  <c r="K50" i="32"/>
  <c r="J50" i="32"/>
  <c r="I50" i="32"/>
  <c r="K49" i="32"/>
  <c r="J49" i="32"/>
  <c r="I49" i="32"/>
  <c r="K48" i="32"/>
  <c r="J48" i="32"/>
  <c r="I48" i="32"/>
  <c r="K47" i="32"/>
  <c r="J47" i="32"/>
  <c r="I47" i="32"/>
  <c r="K46" i="32"/>
  <c r="J46" i="32"/>
  <c r="I46" i="32"/>
  <c r="K45" i="32"/>
  <c r="J45" i="32"/>
  <c r="I45" i="32"/>
  <c r="K44" i="32"/>
  <c r="J44" i="32"/>
  <c r="I44" i="32"/>
  <c r="K43" i="32"/>
  <c r="J43" i="32"/>
  <c r="I43" i="32"/>
  <c r="K42" i="32"/>
  <c r="J42" i="32"/>
  <c r="I42" i="32"/>
  <c r="K41" i="32"/>
  <c r="J41" i="32"/>
  <c r="I41" i="32"/>
  <c r="K40" i="32"/>
  <c r="J40" i="32"/>
  <c r="I40" i="32"/>
  <c r="K39" i="32"/>
  <c r="J39" i="32"/>
  <c r="I39" i="32"/>
  <c r="K38" i="32"/>
  <c r="J38" i="32"/>
  <c r="I38" i="32"/>
  <c r="K37" i="32"/>
  <c r="J37" i="32"/>
  <c r="I37" i="32"/>
  <c r="K36" i="32"/>
  <c r="J36" i="32"/>
  <c r="I36" i="32"/>
  <c r="K35" i="32"/>
  <c r="J35" i="32"/>
  <c r="I35" i="32"/>
  <c r="K34" i="32"/>
  <c r="J34" i="32"/>
  <c r="I34" i="32"/>
  <c r="K33" i="32"/>
  <c r="J33" i="32"/>
  <c r="I33" i="32"/>
  <c r="K32" i="32"/>
  <c r="J32" i="32"/>
  <c r="I32" i="32"/>
  <c r="K31" i="32"/>
  <c r="J31" i="32"/>
  <c r="I31" i="32"/>
  <c r="K30" i="32"/>
  <c r="J30" i="32"/>
  <c r="I30" i="32"/>
  <c r="K29" i="32"/>
  <c r="J29" i="32"/>
  <c r="I29" i="32"/>
  <c r="K28" i="32"/>
  <c r="J28" i="32"/>
  <c r="I28" i="32"/>
  <c r="K27" i="32"/>
  <c r="J27" i="32"/>
  <c r="I27" i="32"/>
  <c r="K26" i="32"/>
  <c r="J26" i="32"/>
  <c r="I26" i="32"/>
  <c r="K25" i="32"/>
  <c r="J25" i="32"/>
  <c r="I25" i="32"/>
  <c r="K24" i="32"/>
  <c r="J24" i="32"/>
  <c r="I24" i="32"/>
  <c r="K23" i="32"/>
  <c r="J23" i="32"/>
  <c r="I23" i="32"/>
  <c r="K22" i="32"/>
  <c r="J22" i="32"/>
  <c r="I22" i="32"/>
  <c r="K21" i="32"/>
  <c r="J21" i="32"/>
  <c r="I21" i="32"/>
  <c r="K20" i="32"/>
  <c r="J20" i="32"/>
  <c r="I20" i="32"/>
  <c r="K19" i="32"/>
  <c r="J19" i="32"/>
  <c r="I19" i="32"/>
  <c r="K18" i="32"/>
  <c r="J18" i="32"/>
  <c r="I18" i="32"/>
  <c r="K17" i="32"/>
  <c r="J17" i="32"/>
  <c r="I17" i="32"/>
  <c r="K16" i="32"/>
  <c r="J16" i="32"/>
  <c r="I16" i="32"/>
  <c r="K15" i="32"/>
  <c r="J15" i="32"/>
  <c r="I15" i="32"/>
  <c r="K14" i="32"/>
  <c r="J14" i="32"/>
  <c r="I14" i="32"/>
  <c r="K13" i="32"/>
  <c r="J13" i="32"/>
  <c r="I13" i="32"/>
  <c r="K12" i="32"/>
  <c r="J12" i="32"/>
  <c r="I12" i="32"/>
  <c r="K11" i="32"/>
  <c r="J11" i="32"/>
  <c r="I11" i="32"/>
  <c r="K10" i="32"/>
  <c r="J10" i="32"/>
  <c r="I10" i="32"/>
  <c r="K9" i="32"/>
  <c r="J9" i="32"/>
  <c r="I9" i="32"/>
  <c r="K8" i="32"/>
  <c r="J8" i="32"/>
  <c r="I8" i="32"/>
  <c r="K7" i="32"/>
  <c r="J7" i="32"/>
  <c r="I7" i="32"/>
  <c r="K6" i="32"/>
  <c r="J6" i="32"/>
  <c r="I6" i="32"/>
  <c r="K5" i="32"/>
  <c r="J5" i="32"/>
  <c r="I5" i="32"/>
  <c r="K4" i="32"/>
  <c r="J4" i="32"/>
  <c r="I4" i="32"/>
  <c r="K3" i="32"/>
  <c r="J3" i="32"/>
  <c r="I3" i="32"/>
  <c r="K2" i="32"/>
  <c r="J2" i="32"/>
  <c r="I2" i="32"/>
  <c r="K101" i="31"/>
  <c r="J101" i="31"/>
  <c r="I101" i="31"/>
  <c r="K100" i="31"/>
  <c r="J100" i="31"/>
  <c r="I100" i="31"/>
  <c r="K99" i="31"/>
  <c r="J99" i="31"/>
  <c r="I99" i="31"/>
  <c r="K98" i="31"/>
  <c r="J98" i="31"/>
  <c r="I98" i="31"/>
  <c r="K97" i="31"/>
  <c r="J97" i="31"/>
  <c r="I97" i="31"/>
  <c r="K96" i="31"/>
  <c r="J96" i="31"/>
  <c r="I96" i="31"/>
  <c r="K95" i="31"/>
  <c r="J95" i="31"/>
  <c r="I95" i="31"/>
  <c r="K94" i="31"/>
  <c r="J94" i="31"/>
  <c r="I94" i="31"/>
  <c r="K93" i="31"/>
  <c r="J93" i="31"/>
  <c r="I93" i="31"/>
  <c r="K92" i="31"/>
  <c r="J92" i="31"/>
  <c r="I92" i="31"/>
  <c r="K91" i="31"/>
  <c r="J91" i="31"/>
  <c r="I91" i="31"/>
  <c r="K90" i="31"/>
  <c r="J90" i="31"/>
  <c r="I90" i="31"/>
  <c r="K89" i="31"/>
  <c r="J89" i="31"/>
  <c r="I89" i="31"/>
  <c r="K88" i="31"/>
  <c r="J88" i="31"/>
  <c r="I88" i="31"/>
  <c r="K87" i="31"/>
  <c r="J87" i="31"/>
  <c r="I87" i="31"/>
  <c r="K86" i="31"/>
  <c r="J86" i="31"/>
  <c r="I86" i="31"/>
  <c r="K85" i="31"/>
  <c r="J85" i="31"/>
  <c r="I85" i="31"/>
  <c r="K84" i="31"/>
  <c r="J84" i="31"/>
  <c r="I84" i="31"/>
  <c r="K83" i="31"/>
  <c r="J83" i="31"/>
  <c r="I83" i="31"/>
  <c r="K82" i="31"/>
  <c r="J82" i="31"/>
  <c r="I82" i="31"/>
  <c r="K81" i="31"/>
  <c r="J81" i="31"/>
  <c r="I81" i="31"/>
  <c r="K80" i="31"/>
  <c r="J80" i="31"/>
  <c r="I80" i="31"/>
  <c r="K79" i="31"/>
  <c r="J79" i="31"/>
  <c r="I79" i="31"/>
  <c r="K78" i="31"/>
  <c r="J78" i="31"/>
  <c r="I78" i="31"/>
  <c r="K77" i="31"/>
  <c r="J77" i="31"/>
  <c r="I77" i="31"/>
  <c r="K76" i="31"/>
  <c r="J76" i="31"/>
  <c r="I76" i="31"/>
  <c r="K75" i="31"/>
  <c r="J75" i="31"/>
  <c r="I75" i="31"/>
  <c r="K74" i="31"/>
  <c r="J74" i="31"/>
  <c r="I74" i="31"/>
  <c r="K73" i="31"/>
  <c r="J73" i="31"/>
  <c r="I73" i="31"/>
  <c r="K72" i="31"/>
  <c r="J72" i="31"/>
  <c r="I72" i="31"/>
  <c r="K71" i="31"/>
  <c r="J71" i="31"/>
  <c r="I71" i="31"/>
  <c r="K70" i="31"/>
  <c r="J70" i="31"/>
  <c r="I70" i="31"/>
  <c r="K69" i="31"/>
  <c r="J69" i="31"/>
  <c r="I69" i="31"/>
  <c r="K68" i="31"/>
  <c r="J68" i="31"/>
  <c r="I68" i="31"/>
  <c r="K67" i="31"/>
  <c r="J67" i="31"/>
  <c r="I67" i="31"/>
  <c r="K66" i="31"/>
  <c r="J66" i="31"/>
  <c r="I66" i="31"/>
  <c r="K65" i="31"/>
  <c r="J65" i="31"/>
  <c r="I65" i="31"/>
  <c r="K64" i="31"/>
  <c r="J64" i="31"/>
  <c r="I64" i="31"/>
  <c r="K63" i="31"/>
  <c r="J63" i="31"/>
  <c r="I63" i="31"/>
  <c r="K62" i="31"/>
  <c r="J62" i="31"/>
  <c r="I62" i="31"/>
  <c r="K61" i="31"/>
  <c r="J61" i="31"/>
  <c r="I61" i="31"/>
  <c r="K60" i="31"/>
  <c r="J60" i="31"/>
  <c r="I60" i="31"/>
  <c r="K59" i="31"/>
  <c r="J59" i="31"/>
  <c r="I59" i="31"/>
  <c r="K58" i="31"/>
  <c r="J58" i="31"/>
  <c r="I58" i="31"/>
  <c r="K57" i="31"/>
  <c r="J57" i="31"/>
  <c r="I57" i="31"/>
  <c r="K56" i="31"/>
  <c r="J56" i="31"/>
  <c r="I56" i="31"/>
  <c r="K55" i="31"/>
  <c r="J55" i="31"/>
  <c r="I55" i="31"/>
  <c r="K54" i="31"/>
  <c r="J54" i="31"/>
  <c r="I54" i="31"/>
  <c r="K53" i="31"/>
  <c r="J53" i="31"/>
  <c r="I53" i="31"/>
  <c r="K52" i="31"/>
  <c r="J52" i="31"/>
  <c r="I52" i="31"/>
  <c r="K51" i="31"/>
  <c r="J51" i="31"/>
  <c r="I51" i="31"/>
  <c r="K50" i="31"/>
  <c r="J50" i="31"/>
  <c r="I50" i="31"/>
  <c r="K49" i="31"/>
  <c r="J49" i="31"/>
  <c r="I49" i="31"/>
  <c r="K48" i="31"/>
  <c r="J48" i="31"/>
  <c r="I48" i="31"/>
  <c r="K47" i="31"/>
  <c r="J47" i="31"/>
  <c r="I47" i="31"/>
  <c r="K46" i="31"/>
  <c r="J46" i="31"/>
  <c r="I46" i="31"/>
  <c r="K45" i="31"/>
  <c r="J45" i="31"/>
  <c r="I45" i="31"/>
  <c r="K44" i="31"/>
  <c r="J44" i="31"/>
  <c r="I44" i="31"/>
  <c r="K43" i="31"/>
  <c r="J43" i="31"/>
  <c r="I43" i="31"/>
  <c r="K42" i="31"/>
  <c r="J42" i="31"/>
  <c r="I42" i="31"/>
  <c r="K41" i="31"/>
  <c r="J41" i="31"/>
  <c r="I41" i="31"/>
  <c r="K40" i="31"/>
  <c r="J40" i="31"/>
  <c r="I40" i="31"/>
  <c r="K39" i="31"/>
  <c r="J39" i="31"/>
  <c r="I39" i="31"/>
  <c r="K38" i="31"/>
  <c r="J38" i="31"/>
  <c r="I38" i="31"/>
  <c r="K37" i="31"/>
  <c r="J37" i="31"/>
  <c r="I37" i="31"/>
  <c r="K36" i="31"/>
  <c r="J36" i="31"/>
  <c r="I36" i="31"/>
  <c r="K35" i="31"/>
  <c r="J35" i="31"/>
  <c r="I35" i="31"/>
  <c r="K34" i="31"/>
  <c r="J34" i="31"/>
  <c r="I34" i="31"/>
  <c r="K33" i="31"/>
  <c r="J33" i="31"/>
  <c r="I33" i="31"/>
  <c r="K32" i="31"/>
  <c r="J32" i="31"/>
  <c r="I32" i="31"/>
  <c r="K31" i="31"/>
  <c r="J31" i="31"/>
  <c r="I31" i="31"/>
  <c r="K30" i="31"/>
  <c r="J30" i="31"/>
  <c r="I30" i="31"/>
  <c r="K29" i="31"/>
  <c r="J29" i="31"/>
  <c r="I29" i="31"/>
  <c r="K28" i="31"/>
  <c r="J28" i="31"/>
  <c r="I28" i="31"/>
  <c r="K27" i="31"/>
  <c r="J27" i="31"/>
  <c r="I27" i="31"/>
  <c r="K26" i="31"/>
  <c r="J26" i="31"/>
  <c r="I26" i="31"/>
  <c r="K25" i="31"/>
  <c r="J25" i="31"/>
  <c r="I25" i="31"/>
  <c r="K24" i="31"/>
  <c r="J24" i="31"/>
  <c r="I24" i="31"/>
  <c r="K23" i="31"/>
  <c r="J23" i="31"/>
  <c r="I23" i="31"/>
  <c r="K22" i="31"/>
  <c r="J22" i="31"/>
  <c r="I22" i="31"/>
  <c r="K21" i="31"/>
  <c r="J21" i="31"/>
  <c r="I21" i="31"/>
  <c r="K20" i="31"/>
  <c r="J20" i="31"/>
  <c r="I20" i="31"/>
  <c r="K19" i="31"/>
  <c r="J19" i="31"/>
  <c r="I19" i="31"/>
  <c r="K18" i="31"/>
  <c r="J18" i="31"/>
  <c r="I18" i="31"/>
  <c r="K17" i="31"/>
  <c r="J17" i="31"/>
  <c r="I17" i="31"/>
  <c r="K16" i="31"/>
  <c r="J16" i="31"/>
  <c r="I16" i="31"/>
  <c r="K15" i="31"/>
  <c r="J15" i="31"/>
  <c r="I15" i="31"/>
  <c r="K14" i="31"/>
  <c r="J14" i="31"/>
  <c r="I14" i="31"/>
  <c r="K13" i="31"/>
  <c r="J13" i="31"/>
  <c r="I13" i="31"/>
  <c r="K12" i="31"/>
  <c r="J12" i="31"/>
  <c r="I12" i="31"/>
  <c r="K11" i="31"/>
  <c r="J11" i="31"/>
  <c r="I11" i="31"/>
  <c r="K10" i="31"/>
  <c r="J10" i="31"/>
  <c r="I10" i="31"/>
  <c r="K9" i="31"/>
  <c r="J9" i="31"/>
  <c r="I9" i="31"/>
  <c r="K8" i="31"/>
  <c r="J8" i="31"/>
  <c r="I8" i="31"/>
  <c r="K7" i="31"/>
  <c r="J7" i="31"/>
  <c r="I7" i="31"/>
  <c r="K6" i="31"/>
  <c r="J6" i="31"/>
  <c r="I6" i="31"/>
  <c r="K5" i="31"/>
  <c r="J5" i="31"/>
  <c r="I5" i="31"/>
  <c r="K4" i="31"/>
  <c r="J4" i="31"/>
  <c r="I4" i="31"/>
  <c r="K3" i="31"/>
  <c r="J3" i="31"/>
  <c r="I3" i="31"/>
  <c r="K2" i="31"/>
  <c r="J2" i="31"/>
  <c r="I2" i="31"/>
  <c r="K101" i="30"/>
  <c r="J101" i="30"/>
  <c r="I101" i="30"/>
  <c r="K100" i="30"/>
  <c r="J100" i="30"/>
  <c r="I100" i="30"/>
  <c r="K99" i="30"/>
  <c r="J99" i="30"/>
  <c r="I99" i="30"/>
  <c r="K98" i="30"/>
  <c r="J98" i="30"/>
  <c r="I98" i="30"/>
  <c r="K97" i="30"/>
  <c r="J97" i="30"/>
  <c r="I97" i="30"/>
  <c r="K96" i="30"/>
  <c r="J96" i="30"/>
  <c r="I96" i="30"/>
  <c r="K95" i="30"/>
  <c r="J95" i="30"/>
  <c r="I95" i="30"/>
  <c r="K94" i="30"/>
  <c r="J94" i="30"/>
  <c r="I94" i="30"/>
  <c r="K93" i="30"/>
  <c r="J93" i="30"/>
  <c r="I93" i="30"/>
  <c r="K92" i="30"/>
  <c r="J92" i="30"/>
  <c r="I92" i="30"/>
  <c r="K91" i="30"/>
  <c r="J91" i="30"/>
  <c r="I91" i="30"/>
  <c r="K90" i="30"/>
  <c r="J90" i="30"/>
  <c r="I90" i="30"/>
  <c r="K89" i="30"/>
  <c r="J89" i="30"/>
  <c r="I89" i="30"/>
  <c r="K88" i="30"/>
  <c r="J88" i="30"/>
  <c r="I88" i="30"/>
  <c r="K87" i="30"/>
  <c r="J87" i="30"/>
  <c r="I87" i="30"/>
  <c r="K86" i="30"/>
  <c r="J86" i="30"/>
  <c r="I86" i="30"/>
  <c r="K85" i="30"/>
  <c r="J85" i="30"/>
  <c r="I85" i="30"/>
  <c r="K84" i="30"/>
  <c r="J84" i="30"/>
  <c r="I84" i="30"/>
  <c r="K83" i="30"/>
  <c r="J83" i="30"/>
  <c r="I83" i="30"/>
  <c r="K82" i="30"/>
  <c r="J82" i="30"/>
  <c r="I82" i="30"/>
  <c r="K81" i="30"/>
  <c r="J81" i="30"/>
  <c r="I81" i="30"/>
  <c r="K80" i="30"/>
  <c r="J80" i="30"/>
  <c r="I80" i="30"/>
  <c r="K79" i="30"/>
  <c r="J79" i="30"/>
  <c r="I79" i="30"/>
  <c r="K78" i="30"/>
  <c r="J78" i="30"/>
  <c r="I78" i="30"/>
  <c r="K77" i="30"/>
  <c r="J77" i="30"/>
  <c r="I77" i="30"/>
  <c r="K76" i="30"/>
  <c r="J76" i="30"/>
  <c r="I76" i="30"/>
  <c r="K75" i="30"/>
  <c r="J75" i="30"/>
  <c r="I75" i="30"/>
  <c r="K74" i="30"/>
  <c r="J74" i="30"/>
  <c r="I74" i="30"/>
  <c r="K73" i="30"/>
  <c r="J73" i="30"/>
  <c r="I73" i="30"/>
  <c r="K72" i="30"/>
  <c r="J72" i="30"/>
  <c r="I72" i="30"/>
  <c r="K71" i="30"/>
  <c r="J71" i="30"/>
  <c r="I71" i="30"/>
  <c r="K70" i="30"/>
  <c r="J70" i="30"/>
  <c r="I70" i="30"/>
  <c r="K69" i="30"/>
  <c r="J69" i="30"/>
  <c r="I69" i="30"/>
  <c r="K68" i="30"/>
  <c r="J68" i="30"/>
  <c r="I68" i="30"/>
  <c r="K67" i="30"/>
  <c r="J67" i="30"/>
  <c r="I67" i="30"/>
  <c r="K66" i="30"/>
  <c r="J66" i="30"/>
  <c r="I66" i="30"/>
  <c r="K65" i="30"/>
  <c r="J65" i="30"/>
  <c r="I65" i="30"/>
  <c r="K64" i="30"/>
  <c r="J64" i="30"/>
  <c r="I64" i="30"/>
  <c r="K63" i="30"/>
  <c r="J63" i="30"/>
  <c r="I63" i="30"/>
  <c r="K62" i="30"/>
  <c r="J62" i="30"/>
  <c r="I62" i="30"/>
  <c r="K61" i="30"/>
  <c r="J61" i="30"/>
  <c r="I61" i="30"/>
  <c r="K60" i="30"/>
  <c r="J60" i="30"/>
  <c r="I60" i="30"/>
  <c r="K59" i="30"/>
  <c r="J59" i="30"/>
  <c r="I59" i="30"/>
  <c r="K58" i="30"/>
  <c r="J58" i="30"/>
  <c r="I58" i="30"/>
  <c r="K57" i="30"/>
  <c r="J57" i="30"/>
  <c r="I57" i="30"/>
  <c r="K56" i="30"/>
  <c r="J56" i="30"/>
  <c r="I56" i="30"/>
  <c r="K55" i="30"/>
  <c r="J55" i="30"/>
  <c r="I55" i="30"/>
  <c r="K54" i="30"/>
  <c r="J54" i="30"/>
  <c r="I54" i="30"/>
  <c r="K53" i="30"/>
  <c r="J53" i="30"/>
  <c r="I53" i="30"/>
  <c r="K52" i="30"/>
  <c r="J52" i="30"/>
  <c r="I52" i="30"/>
  <c r="K51" i="30"/>
  <c r="J51" i="30"/>
  <c r="I51" i="30"/>
  <c r="K50" i="30"/>
  <c r="J50" i="30"/>
  <c r="I50" i="30"/>
  <c r="K49" i="30"/>
  <c r="J49" i="30"/>
  <c r="I49" i="30"/>
  <c r="K48" i="30"/>
  <c r="J48" i="30"/>
  <c r="I48" i="30"/>
  <c r="K47" i="30"/>
  <c r="J47" i="30"/>
  <c r="I47" i="30"/>
  <c r="K46" i="30"/>
  <c r="J46" i="30"/>
  <c r="I46" i="30"/>
  <c r="K45" i="30"/>
  <c r="J45" i="30"/>
  <c r="I45" i="30"/>
  <c r="K44" i="30"/>
  <c r="J44" i="30"/>
  <c r="I44" i="30"/>
  <c r="K43" i="30"/>
  <c r="J43" i="30"/>
  <c r="I43" i="30"/>
  <c r="K42" i="30"/>
  <c r="J42" i="30"/>
  <c r="I42" i="30"/>
  <c r="K41" i="30"/>
  <c r="J41" i="30"/>
  <c r="I41" i="30"/>
  <c r="K40" i="30"/>
  <c r="J40" i="30"/>
  <c r="I40" i="30"/>
  <c r="K39" i="30"/>
  <c r="J39" i="30"/>
  <c r="I39" i="30"/>
  <c r="K38" i="30"/>
  <c r="J38" i="30"/>
  <c r="I38" i="30"/>
  <c r="K37" i="30"/>
  <c r="J37" i="30"/>
  <c r="I37" i="30"/>
  <c r="K36" i="30"/>
  <c r="J36" i="30"/>
  <c r="I36" i="30"/>
  <c r="K35" i="30"/>
  <c r="J35" i="30"/>
  <c r="I35" i="30"/>
  <c r="K34" i="30"/>
  <c r="J34" i="30"/>
  <c r="I34" i="30"/>
  <c r="K33" i="30"/>
  <c r="J33" i="30"/>
  <c r="I33" i="30"/>
  <c r="K32" i="30"/>
  <c r="J32" i="30"/>
  <c r="I32" i="30"/>
  <c r="K31" i="30"/>
  <c r="J31" i="30"/>
  <c r="I31" i="30"/>
  <c r="K30" i="30"/>
  <c r="J30" i="30"/>
  <c r="I30" i="30"/>
  <c r="K29" i="30"/>
  <c r="J29" i="30"/>
  <c r="I29" i="30"/>
  <c r="K28" i="30"/>
  <c r="J28" i="30"/>
  <c r="I28" i="30"/>
  <c r="K27" i="30"/>
  <c r="J27" i="30"/>
  <c r="I27" i="30"/>
  <c r="K26" i="30"/>
  <c r="J26" i="30"/>
  <c r="I26" i="30"/>
  <c r="K25" i="30"/>
  <c r="J25" i="30"/>
  <c r="I25" i="30"/>
  <c r="K24" i="30"/>
  <c r="J24" i="30"/>
  <c r="I24" i="30"/>
  <c r="K23" i="30"/>
  <c r="J23" i="30"/>
  <c r="I23" i="30"/>
  <c r="K22" i="30"/>
  <c r="J22" i="30"/>
  <c r="I22" i="30"/>
  <c r="K21" i="30"/>
  <c r="J21" i="30"/>
  <c r="I21" i="30"/>
  <c r="K20" i="30"/>
  <c r="J20" i="30"/>
  <c r="I20" i="30"/>
  <c r="K19" i="30"/>
  <c r="J19" i="30"/>
  <c r="I19" i="30"/>
  <c r="K18" i="30"/>
  <c r="J18" i="30"/>
  <c r="I18" i="30"/>
  <c r="K17" i="30"/>
  <c r="J17" i="30"/>
  <c r="I17" i="30"/>
  <c r="K16" i="30"/>
  <c r="J16" i="30"/>
  <c r="I16" i="30"/>
  <c r="K15" i="30"/>
  <c r="J15" i="30"/>
  <c r="I15" i="30"/>
  <c r="K14" i="30"/>
  <c r="J14" i="30"/>
  <c r="I14" i="30"/>
  <c r="K13" i="30"/>
  <c r="J13" i="30"/>
  <c r="I13" i="30"/>
  <c r="K12" i="30"/>
  <c r="J12" i="30"/>
  <c r="I12" i="30"/>
  <c r="K11" i="30"/>
  <c r="J11" i="30"/>
  <c r="I11" i="30"/>
  <c r="K10" i="30"/>
  <c r="J10" i="30"/>
  <c r="I10" i="30"/>
  <c r="K9" i="30"/>
  <c r="J9" i="30"/>
  <c r="I9" i="30"/>
  <c r="K8" i="30"/>
  <c r="J8" i="30"/>
  <c r="I8" i="30"/>
  <c r="K7" i="30"/>
  <c r="J7" i="30"/>
  <c r="I7" i="30"/>
  <c r="K6" i="30"/>
  <c r="J6" i="30"/>
  <c r="I6" i="30"/>
  <c r="K5" i="30"/>
  <c r="J5" i="30"/>
  <c r="I5" i="30"/>
  <c r="K4" i="30"/>
  <c r="J4" i="30"/>
  <c r="I4" i="30"/>
  <c r="K3" i="30"/>
  <c r="J3" i="30"/>
  <c r="I3" i="30"/>
  <c r="K2" i="30"/>
  <c r="J2" i="30"/>
  <c r="I2" i="30"/>
  <c r="K101" i="29"/>
  <c r="J101" i="29"/>
  <c r="I101" i="29"/>
  <c r="K100" i="29"/>
  <c r="J100" i="29"/>
  <c r="I100" i="29"/>
  <c r="K99" i="29"/>
  <c r="J99" i="29"/>
  <c r="I99" i="29"/>
  <c r="K98" i="29"/>
  <c r="J98" i="29"/>
  <c r="I98" i="29"/>
  <c r="K97" i="29"/>
  <c r="J97" i="29"/>
  <c r="I97" i="29"/>
  <c r="K96" i="29"/>
  <c r="J96" i="29"/>
  <c r="I96" i="29"/>
  <c r="K95" i="29"/>
  <c r="J95" i="29"/>
  <c r="I95" i="29"/>
  <c r="K94" i="29"/>
  <c r="J94" i="29"/>
  <c r="I94" i="29"/>
  <c r="K93" i="29"/>
  <c r="J93" i="29"/>
  <c r="I93" i="29"/>
  <c r="K92" i="29"/>
  <c r="J92" i="29"/>
  <c r="I92" i="29"/>
  <c r="K91" i="29"/>
  <c r="J91" i="29"/>
  <c r="I91" i="29"/>
  <c r="K90" i="29"/>
  <c r="J90" i="29"/>
  <c r="I90" i="29"/>
  <c r="K89" i="29"/>
  <c r="J89" i="29"/>
  <c r="I89" i="29"/>
  <c r="K88" i="29"/>
  <c r="J88" i="29"/>
  <c r="I88" i="29"/>
  <c r="K87" i="29"/>
  <c r="J87" i="29"/>
  <c r="I87" i="29"/>
  <c r="K86" i="29"/>
  <c r="J86" i="29"/>
  <c r="I86" i="29"/>
  <c r="K85" i="29"/>
  <c r="J85" i="29"/>
  <c r="I85" i="29"/>
  <c r="K84" i="29"/>
  <c r="J84" i="29"/>
  <c r="I84" i="29"/>
  <c r="K83" i="29"/>
  <c r="J83" i="29"/>
  <c r="I83" i="29"/>
  <c r="K82" i="29"/>
  <c r="J82" i="29"/>
  <c r="I82" i="29"/>
  <c r="K81" i="29"/>
  <c r="J81" i="29"/>
  <c r="I81" i="29"/>
  <c r="K80" i="29"/>
  <c r="J80" i="29"/>
  <c r="I80" i="29"/>
  <c r="K79" i="29"/>
  <c r="J79" i="29"/>
  <c r="I79" i="29"/>
  <c r="K78" i="29"/>
  <c r="J78" i="29"/>
  <c r="I78" i="29"/>
  <c r="K77" i="29"/>
  <c r="J77" i="29"/>
  <c r="I77" i="29"/>
  <c r="K76" i="29"/>
  <c r="J76" i="29"/>
  <c r="I76" i="29"/>
  <c r="K75" i="29"/>
  <c r="J75" i="29"/>
  <c r="I75" i="29"/>
  <c r="K74" i="29"/>
  <c r="J74" i="29"/>
  <c r="I74" i="29"/>
  <c r="K73" i="29"/>
  <c r="J73" i="29"/>
  <c r="I73" i="29"/>
  <c r="K72" i="29"/>
  <c r="J72" i="29"/>
  <c r="I72" i="29"/>
  <c r="K71" i="29"/>
  <c r="J71" i="29"/>
  <c r="I71" i="29"/>
  <c r="K70" i="29"/>
  <c r="J70" i="29"/>
  <c r="I70" i="29"/>
  <c r="K69" i="29"/>
  <c r="J69" i="29"/>
  <c r="I69" i="29"/>
  <c r="K68" i="29"/>
  <c r="J68" i="29"/>
  <c r="I68" i="29"/>
  <c r="K67" i="29"/>
  <c r="J67" i="29"/>
  <c r="I67" i="29"/>
  <c r="K66" i="29"/>
  <c r="J66" i="29"/>
  <c r="I66" i="29"/>
  <c r="K65" i="29"/>
  <c r="J65" i="29"/>
  <c r="I65" i="29"/>
  <c r="K64" i="29"/>
  <c r="J64" i="29"/>
  <c r="I64" i="29"/>
  <c r="K63" i="29"/>
  <c r="J63" i="29"/>
  <c r="I63" i="29"/>
  <c r="K62" i="29"/>
  <c r="J62" i="29"/>
  <c r="I62" i="29"/>
  <c r="K61" i="29"/>
  <c r="J61" i="29"/>
  <c r="I61" i="29"/>
  <c r="K60" i="29"/>
  <c r="J60" i="29"/>
  <c r="I60" i="29"/>
  <c r="K59" i="29"/>
  <c r="J59" i="29"/>
  <c r="I59" i="29"/>
  <c r="K58" i="29"/>
  <c r="J58" i="29"/>
  <c r="I58" i="29"/>
  <c r="K57" i="29"/>
  <c r="J57" i="29"/>
  <c r="I57" i="29"/>
  <c r="K56" i="29"/>
  <c r="J56" i="29"/>
  <c r="I56" i="29"/>
  <c r="K55" i="29"/>
  <c r="J55" i="29"/>
  <c r="I55" i="29"/>
  <c r="K54" i="29"/>
  <c r="J54" i="29"/>
  <c r="I54" i="29"/>
  <c r="K53" i="29"/>
  <c r="J53" i="29"/>
  <c r="I53" i="29"/>
  <c r="K52" i="29"/>
  <c r="J52" i="29"/>
  <c r="I52" i="29"/>
  <c r="K51" i="29"/>
  <c r="J51" i="29"/>
  <c r="I51" i="29"/>
  <c r="K50" i="29"/>
  <c r="J50" i="29"/>
  <c r="I50" i="29"/>
  <c r="K49" i="29"/>
  <c r="J49" i="29"/>
  <c r="I49" i="29"/>
  <c r="K48" i="29"/>
  <c r="J48" i="29"/>
  <c r="I48" i="29"/>
  <c r="K47" i="29"/>
  <c r="J47" i="29"/>
  <c r="I47" i="29"/>
  <c r="K46" i="29"/>
  <c r="J46" i="29"/>
  <c r="I46" i="29"/>
  <c r="K45" i="29"/>
  <c r="J45" i="29"/>
  <c r="I45" i="29"/>
  <c r="K44" i="29"/>
  <c r="J44" i="29"/>
  <c r="I44" i="29"/>
  <c r="K43" i="29"/>
  <c r="J43" i="29"/>
  <c r="I43" i="29"/>
  <c r="K42" i="29"/>
  <c r="J42" i="29"/>
  <c r="I42" i="29"/>
  <c r="K41" i="29"/>
  <c r="J41" i="29"/>
  <c r="I41" i="29"/>
  <c r="K40" i="29"/>
  <c r="J40" i="29"/>
  <c r="I40" i="29"/>
  <c r="K39" i="29"/>
  <c r="J39" i="29"/>
  <c r="I39" i="29"/>
  <c r="K38" i="29"/>
  <c r="J38" i="29"/>
  <c r="I38" i="29"/>
  <c r="K37" i="29"/>
  <c r="J37" i="29"/>
  <c r="I37" i="29"/>
  <c r="K36" i="29"/>
  <c r="J36" i="29"/>
  <c r="I36" i="29"/>
  <c r="K35" i="29"/>
  <c r="J35" i="29"/>
  <c r="I35" i="29"/>
  <c r="K34" i="29"/>
  <c r="J34" i="29"/>
  <c r="I34" i="29"/>
  <c r="K33" i="29"/>
  <c r="J33" i="29"/>
  <c r="I33" i="29"/>
  <c r="K32" i="29"/>
  <c r="J32" i="29"/>
  <c r="I32" i="29"/>
  <c r="K31" i="29"/>
  <c r="J31" i="29"/>
  <c r="I31" i="29"/>
  <c r="K30" i="29"/>
  <c r="J30" i="29"/>
  <c r="I30" i="29"/>
  <c r="K29" i="29"/>
  <c r="J29" i="29"/>
  <c r="I29" i="29"/>
  <c r="K28" i="29"/>
  <c r="J28" i="29"/>
  <c r="I28" i="29"/>
  <c r="K27" i="29"/>
  <c r="J27" i="29"/>
  <c r="I27" i="29"/>
  <c r="K26" i="29"/>
  <c r="J26" i="29"/>
  <c r="I26" i="29"/>
  <c r="K25" i="29"/>
  <c r="J25" i="29"/>
  <c r="I25" i="29"/>
  <c r="K24" i="29"/>
  <c r="J24" i="29"/>
  <c r="I24" i="29"/>
  <c r="K23" i="29"/>
  <c r="J23" i="29"/>
  <c r="I23" i="29"/>
  <c r="K22" i="29"/>
  <c r="J22" i="29"/>
  <c r="I22" i="29"/>
  <c r="K21" i="29"/>
  <c r="J21" i="29"/>
  <c r="I21" i="29"/>
  <c r="K20" i="29"/>
  <c r="J20" i="29"/>
  <c r="I20" i="29"/>
  <c r="K19" i="29"/>
  <c r="J19" i="29"/>
  <c r="I19" i="29"/>
  <c r="K18" i="29"/>
  <c r="J18" i="29"/>
  <c r="I18" i="29"/>
  <c r="K17" i="29"/>
  <c r="J17" i="29"/>
  <c r="I17" i="29"/>
  <c r="K16" i="29"/>
  <c r="J16" i="29"/>
  <c r="I16" i="29"/>
  <c r="K15" i="29"/>
  <c r="J15" i="29"/>
  <c r="I15" i="29"/>
  <c r="K14" i="29"/>
  <c r="J14" i="29"/>
  <c r="I14" i="29"/>
  <c r="K13" i="29"/>
  <c r="J13" i="29"/>
  <c r="I13" i="29"/>
  <c r="K12" i="29"/>
  <c r="J12" i="29"/>
  <c r="I12" i="29"/>
  <c r="K11" i="29"/>
  <c r="J11" i="29"/>
  <c r="I11" i="29"/>
  <c r="K10" i="29"/>
  <c r="J10" i="29"/>
  <c r="I10" i="29"/>
  <c r="K9" i="29"/>
  <c r="J9" i="29"/>
  <c r="I9" i="29"/>
  <c r="K8" i="29"/>
  <c r="J8" i="29"/>
  <c r="I8" i="29"/>
  <c r="K7" i="29"/>
  <c r="J7" i="29"/>
  <c r="I7" i="29"/>
  <c r="K6" i="29"/>
  <c r="J6" i="29"/>
  <c r="I6" i="29"/>
  <c r="K5" i="29"/>
  <c r="J5" i="29"/>
  <c r="I5" i="29"/>
  <c r="K4" i="29"/>
  <c r="J4" i="29"/>
  <c r="I4" i="29"/>
  <c r="K3" i="29"/>
  <c r="J3" i="29"/>
  <c r="I3" i="29"/>
  <c r="K2" i="29"/>
  <c r="J2" i="29"/>
  <c r="I2" i="29"/>
  <c r="K101" i="28"/>
  <c r="J101" i="28"/>
  <c r="I101" i="28"/>
  <c r="K100" i="28"/>
  <c r="J100" i="28"/>
  <c r="I100" i="28"/>
  <c r="K99" i="28"/>
  <c r="J99" i="28"/>
  <c r="I99" i="28"/>
  <c r="K98" i="28"/>
  <c r="J98" i="28"/>
  <c r="I98" i="28"/>
  <c r="K97" i="28"/>
  <c r="J97" i="28"/>
  <c r="I97" i="28"/>
  <c r="K96" i="28"/>
  <c r="J96" i="28"/>
  <c r="I96" i="28"/>
  <c r="K95" i="28"/>
  <c r="J95" i="28"/>
  <c r="I95" i="28"/>
  <c r="K94" i="28"/>
  <c r="J94" i="28"/>
  <c r="I94" i="28"/>
  <c r="K93" i="28"/>
  <c r="J93" i="28"/>
  <c r="I93" i="28"/>
  <c r="K92" i="28"/>
  <c r="J92" i="28"/>
  <c r="I92" i="28"/>
  <c r="K91" i="28"/>
  <c r="J91" i="28"/>
  <c r="I91" i="28"/>
  <c r="K90" i="28"/>
  <c r="J90" i="28"/>
  <c r="I90" i="28"/>
  <c r="K89" i="28"/>
  <c r="J89" i="28"/>
  <c r="I89" i="28"/>
  <c r="K88" i="28"/>
  <c r="J88" i="28"/>
  <c r="I88" i="28"/>
  <c r="K87" i="28"/>
  <c r="J87" i="28"/>
  <c r="I87" i="28"/>
  <c r="K86" i="28"/>
  <c r="J86" i="28"/>
  <c r="I86" i="28"/>
  <c r="K85" i="28"/>
  <c r="J85" i="28"/>
  <c r="I85" i="28"/>
  <c r="K84" i="28"/>
  <c r="J84" i="28"/>
  <c r="I84" i="28"/>
  <c r="K83" i="28"/>
  <c r="J83" i="28"/>
  <c r="I83" i="28"/>
  <c r="K82" i="28"/>
  <c r="J82" i="28"/>
  <c r="I82" i="28"/>
  <c r="K81" i="28"/>
  <c r="J81" i="28"/>
  <c r="I81" i="28"/>
  <c r="K80" i="28"/>
  <c r="J80" i="28"/>
  <c r="I80" i="28"/>
  <c r="K79" i="28"/>
  <c r="J79" i="28"/>
  <c r="I79" i="28"/>
  <c r="K78" i="28"/>
  <c r="J78" i="28"/>
  <c r="I78" i="28"/>
  <c r="K77" i="28"/>
  <c r="J77" i="28"/>
  <c r="I77" i="28"/>
  <c r="K76" i="28"/>
  <c r="J76" i="28"/>
  <c r="I76" i="28"/>
  <c r="K75" i="28"/>
  <c r="J75" i="28"/>
  <c r="I75" i="28"/>
  <c r="K74" i="28"/>
  <c r="J74" i="28"/>
  <c r="I74" i="28"/>
  <c r="K73" i="28"/>
  <c r="J73" i="28"/>
  <c r="I73" i="28"/>
  <c r="K72" i="28"/>
  <c r="J72" i="28"/>
  <c r="I72" i="28"/>
  <c r="K71" i="28"/>
  <c r="J71" i="28"/>
  <c r="I71" i="28"/>
  <c r="K70" i="28"/>
  <c r="J70" i="28"/>
  <c r="I70" i="28"/>
  <c r="K69" i="28"/>
  <c r="J69" i="28"/>
  <c r="I69" i="28"/>
  <c r="K68" i="28"/>
  <c r="J68" i="28"/>
  <c r="I68" i="28"/>
  <c r="K67" i="28"/>
  <c r="J67" i="28"/>
  <c r="I67" i="28"/>
  <c r="K66" i="28"/>
  <c r="J66" i="28"/>
  <c r="I66" i="28"/>
  <c r="K65" i="28"/>
  <c r="J65" i="28"/>
  <c r="I65" i="28"/>
  <c r="K64" i="28"/>
  <c r="J64" i="28"/>
  <c r="I64" i="28"/>
  <c r="K63" i="28"/>
  <c r="J63" i="28"/>
  <c r="I63" i="28"/>
  <c r="K62" i="28"/>
  <c r="J62" i="28"/>
  <c r="I62" i="28"/>
  <c r="K61" i="28"/>
  <c r="J61" i="28"/>
  <c r="I61" i="28"/>
  <c r="K60" i="28"/>
  <c r="J60" i="28"/>
  <c r="I60" i="28"/>
  <c r="K59" i="28"/>
  <c r="J59" i="28"/>
  <c r="I59" i="28"/>
  <c r="K58" i="28"/>
  <c r="J58" i="28"/>
  <c r="I58" i="28"/>
  <c r="K57" i="28"/>
  <c r="J57" i="28"/>
  <c r="I57" i="28"/>
  <c r="K56" i="28"/>
  <c r="J56" i="28"/>
  <c r="I56" i="28"/>
  <c r="K55" i="28"/>
  <c r="J55" i="28"/>
  <c r="I55" i="28"/>
  <c r="K54" i="28"/>
  <c r="J54" i="28"/>
  <c r="I54" i="28"/>
  <c r="K53" i="28"/>
  <c r="J53" i="28"/>
  <c r="I53" i="28"/>
  <c r="K52" i="28"/>
  <c r="J52" i="28"/>
  <c r="I52" i="28"/>
  <c r="K51" i="28"/>
  <c r="J51" i="28"/>
  <c r="I51" i="28"/>
  <c r="K50" i="28"/>
  <c r="J50" i="28"/>
  <c r="I50" i="28"/>
  <c r="K49" i="28"/>
  <c r="J49" i="28"/>
  <c r="I49" i="28"/>
  <c r="K48" i="28"/>
  <c r="J48" i="28"/>
  <c r="I48" i="28"/>
  <c r="K47" i="28"/>
  <c r="J47" i="28"/>
  <c r="I47" i="28"/>
  <c r="K46" i="28"/>
  <c r="J46" i="28"/>
  <c r="I46" i="28"/>
  <c r="K45" i="28"/>
  <c r="J45" i="28"/>
  <c r="I45" i="28"/>
  <c r="K44" i="28"/>
  <c r="J44" i="28"/>
  <c r="I44" i="28"/>
  <c r="K43" i="28"/>
  <c r="J43" i="28"/>
  <c r="I43" i="28"/>
  <c r="K42" i="28"/>
  <c r="J42" i="28"/>
  <c r="I42" i="28"/>
  <c r="K41" i="28"/>
  <c r="J41" i="28"/>
  <c r="I41" i="28"/>
  <c r="K40" i="28"/>
  <c r="J40" i="28"/>
  <c r="I40" i="28"/>
  <c r="K39" i="28"/>
  <c r="J39" i="28"/>
  <c r="I39" i="28"/>
  <c r="K38" i="28"/>
  <c r="J38" i="28"/>
  <c r="I38" i="28"/>
  <c r="K37" i="28"/>
  <c r="J37" i="28"/>
  <c r="I37" i="28"/>
  <c r="K36" i="28"/>
  <c r="J36" i="28"/>
  <c r="I36" i="28"/>
  <c r="K35" i="28"/>
  <c r="J35" i="28"/>
  <c r="I35" i="28"/>
  <c r="K34" i="28"/>
  <c r="J34" i="28"/>
  <c r="I34" i="28"/>
  <c r="K33" i="28"/>
  <c r="J33" i="28"/>
  <c r="I33" i="28"/>
  <c r="K32" i="28"/>
  <c r="J32" i="28"/>
  <c r="I32" i="28"/>
  <c r="K31" i="28"/>
  <c r="J31" i="28"/>
  <c r="I31" i="28"/>
  <c r="K30" i="28"/>
  <c r="J30" i="28"/>
  <c r="I30" i="28"/>
  <c r="K29" i="28"/>
  <c r="J29" i="28"/>
  <c r="I29" i="28"/>
  <c r="K28" i="28"/>
  <c r="J28" i="28"/>
  <c r="I28" i="28"/>
  <c r="K27" i="28"/>
  <c r="J27" i="28"/>
  <c r="I27" i="28"/>
  <c r="K26" i="28"/>
  <c r="J26" i="28"/>
  <c r="I26" i="28"/>
  <c r="K25" i="28"/>
  <c r="J25" i="28"/>
  <c r="I25" i="28"/>
  <c r="K24" i="28"/>
  <c r="J24" i="28"/>
  <c r="I24" i="28"/>
  <c r="K23" i="28"/>
  <c r="J23" i="28"/>
  <c r="I23" i="28"/>
  <c r="K22" i="28"/>
  <c r="J22" i="28"/>
  <c r="I22" i="28"/>
  <c r="K21" i="28"/>
  <c r="J21" i="28"/>
  <c r="I21" i="28"/>
  <c r="K20" i="28"/>
  <c r="J20" i="28"/>
  <c r="I20" i="28"/>
  <c r="K19" i="28"/>
  <c r="J19" i="28"/>
  <c r="I19" i="28"/>
  <c r="K18" i="28"/>
  <c r="J18" i="28"/>
  <c r="I18" i="28"/>
  <c r="K17" i="28"/>
  <c r="J17" i="28"/>
  <c r="I17" i="28"/>
  <c r="K16" i="28"/>
  <c r="J16" i="28"/>
  <c r="I16" i="28"/>
  <c r="K15" i="28"/>
  <c r="J15" i="28"/>
  <c r="I15" i="28"/>
  <c r="K14" i="28"/>
  <c r="J14" i="28"/>
  <c r="I14" i="28"/>
  <c r="K13" i="28"/>
  <c r="J13" i="28"/>
  <c r="I13" i="28"/>
  <c r="K12" i="28"/>
  <c r="J12" i="28"/>
  <c r="I12" i="28"/>
  <c r="K11" i="28"/>
  <c r="J11" i="28"/>
  <c r="I11" i="28"/>
  <c r="K10" i="28"/>
  <c r="J10" i="28"/>
  <c r="I10" i="28"/>
  <c r="K9" i="28"/>
  <c r="J9" i="28"/>
  <c r="I9" i="28"/>
  <c r="K8" i="28"/>
  <c r="J8" i="28"/>
  <c r="I8" i="28"/>
  <c r="K7" i="28"/>
  <c r="J7" i="28"/>
  <c r="I7" i="28"/>
  <c r="K6" i="28"/>
  <c r="J6" i="28"/>
  <c r="I6" i="28"/>
  <c r="K5" i="28"/>
  <c r="J5" i="28"/>
  <c r="I5" i="28"/>
  <c r="K4" i="28"/>
  <c r="J4" i="28"/>
  <c r="I4" i="28"/>
  <c r="K3" i="28"/>
  <c r="J3" i="28"/>
  <c r="I3" i="28"/>
  <c r="K2" i="28"/>
  <c r="J2" i="28"/>
  <c r="I2" i="28"/>
  <c r="K101" i="27"/>
  <c r="J101" i="27"/>
  <c r="I101" i="27"/>
  <c r="K100" i="27"/>
  <c r="J100" i="27"/>
  <c r="I100" i="27"/>
  <c r="K99" i="27"/>
  <c r="J99" i="27"/>
  <c r="I99" i="27"/>
  <c r="K98" i="27"/>
  <c r="J98" i="27"/>
  <c r="I98" i="27"/>
  <c r="K97" i="27"/>
  <c r="J97" i="27"/>
  <c r="I97" i="27"/>
  <c r="K96" i="27"/>
  <c r="J96" i="27"/>
  <c r="I96" i="27"/>
  <c r="K95" i="27"/>
  <c r="J95" i="27"/>
  <c r="I95" i="27"/>
  <c r="K94" i="27"/>
  <c r="J94" i="27"/>
  <c r="I94" i="27"/>
  <c r="K93" i="27"/>
  <c r="J93" i="27"/>
  <c r="I93" i="27"/>
  <c r="K92" i="27"/>
  <c r="J92" i="27"/>
  <c r="I92" i="27"/>
  <c r="K91" i="27"/>
  <c r="J91" i="27"/>
  <c r="I91" i="27"/>
  <c r="K90" i="27"/>
  <c r="J90" i="27"/>
  <c r="I90" i="27"/>
  <c r="K89" i="27"/>
  <c r="J89" i="27"/>
  <c r="I89" i="27"/>
  <c r="K88" i="27"/>
  <c r="J88" i="27"/>
  <c r="I88" i="27"/>
  <c r="K87" i="27"/>
  <c r="J87" i="27"/>
  <c r="I87" i="27"/>
  <c r="K86" i="27"/>
  <c r="J86" i="27"/>
  <c r="I86" i="27"/>
  <c r="K85" i="27"/>
  <c r="J85" i="27"/>
  <c r="I85" i="27"/>
  <c r="K84" i="27"/>
  <c r="J84" i="27"/>
  <c r="I84" i="27"/>
  <c r="K83" i="27"/>
  <c r="J83" i="27"/>
  <c r="I83" i="27"/>
  <c r="K82" i="27"/>
  <c r="J82" i="27"/>
  <c r="I82" i="27"/>
  <c r="K81" i="27"/>
  <c r="J81" i="27"/>
  <c r="I81" i="27"/>
  <c r="K80" i="27"/>
  <c r="J80" i="27"/>
  <c r="I80" i="27"/>
  <c r="K79" i="27"/>
  <c r="J79" i="27"/>
  <c r="I79" i="27"/>
  <c r="K78" i="27"/>
  <c r="J78" i="27"/>
  <c r="I78" i="27"/>
  <c r="K77" i="27"/>
  <c r="J77" i="27"/>
  <c r="I77" i="27"/>
  <c r="K76" i="27"/>
  <c r="J76" i="27"/>
  <c r="I76" i="27"/>
  <c r="K75" i="27"/>
  <c r="J75" i="27"/>
  <c r="I75" i="27"/>
  <c r="K74" i="27"/>
  <c r="J74" i="27"/>
  <c r="I74" i="27"/>
  <c r="K73" i="27"/>
  <c r="J73" i="27"/>
  <c r="I73" i="27"/>
  <c r="K72" i="27"/>
  <c r="J72" i="27"/>
  <c r="I72" i="27"/>
  <c r="K71" i="27"/>
  <c r="J71" i="27"/>
  <c r="I71" i="27"/>
  <c r="K70" i="27"/>
  <c r="J70" i="27"/>
  <c r="I70" i="27"/>
  <c r="K69" i="27"/>
  <c r="J69" i="27"/>
  <c r="I69" i="27"/>
  <c r="K68" i="27"/>
  <c r="J68" i="27"/>
  <c r="I68" i="27"/>
  <c r="K67" i="27"/>
  <c r="J67" i="27"/>
  <c r="I67" i="27"/>
  <c r="K66" i="27"/>
  <c r="J66" i="27"/>
  <c r="I66" i="27"/>
  <c r="K65" i="27"/>
  <c r="J65" i="27"/>
  <c r="I65" i="27"/>
  <c r="K64" i="27"/>
  <c r="J64" i="27"/>
  <c r="I64" i="27"/>
  <c r="K63" i="27"/>
  <c r="J63" i="27"/>
  <c r="I63" i="27"/>
  <c r="K62" i="27"/>
  <c r="J62" i="27"/>
  <c r="I62" i="27"/>
  <c r="K61" i="27"/>
  <c r="J61" i="27"/>
  <c r="I61" i="27"/>
  <c r="K60" i="27"/>
  <c r="J60" i="27"/>
  <c r="I60" i="27"/>
  <c r="K59" i="27"/>
  <c r="J59" i="27"/>
  <c r="I59" i="27"/>
  <c r="K58" i="27"/>
  <c r="J58" i="27"/>
  <c r="I58" i="27"/>
  <c r="K57" i="27"/>
  <c r="J57" i="27"/>
  <c r="I57" i="27"/>
  <c r="K56" i="27"/>
  <c r="J56" i="27"/>
  <c r="I56" i="27"/>
  <c r="K55" i="27"/>
  <c r="J55" i="27"/>
  <c r="I55" i="27"/>
  <c r="K54" i="27"/>
  <c r="J54" i="27"/>
  <c r="I54" i="27"/>
  <c r="K53" i="27"/>
  <c r="J53" i="27"/>
  <c r="I53" i="27"/>
  <c r="K52" i="27"/>
  <c r="J52" i="27"/>
  <c r="I52" i="27"/>
  <c r="K51" i="27"/>
  <c r="J51" i="27"/>
  <c r="I51" i="27"/>
  <c r="K50" i="27"/>
  <c r="J50" i="27"/>
  <c r="I50" i="27"/>
  <c r="K49" i="27"/>
  <c r="J49" i="27"/>
  <c r="I49" i="27"/>
  <c r="K48" i="27"/>
  <c r="J48" i="27"/>
  <c r="I48" i="27"/>
  <c r="K47" i="27"/>
  <c r="J47" i="27"/>
  <c r="I47" i="27"/>
  <c r="K46" i="27"/>
  <c r="J46" i="27"/>
  <c r="I46" i="27"/>
  <c r="K45" i="27"/>
  <c r="J45" i="27"/>
  <c r="I45" i="27"/>
  <c r="K44" i="27"/>
  <c r="J44" i="27"/>
  <c r="I44" i="27"/>
  <c r="K43" i="27"/>
  <c r="J43" i="27"/>
  <c r="I43" i="27"/>
  <c r="K42" i="27"/>
  <c r="J42" i="27"/>
  <c r="I42" i="27"/>
  <c r="K41" i="27"/>
  <c r="J41" i="27"/>
  <c r="I41" i="27"/>
  <c r="K40" i="27"/>
  <c r="J40" i="27"/>
  <c r="I40" i="27"/>
  <c r="K39" i="27"/>
  <c r="J39" i="27"/>
  <c r="I39" i="27"/>
  <c r="K38" i="27"/>
  <c r="J38" i="27"/>
  <c r="I38" i="27"/>
  <c r="K37" i="27"/>
  <c r="J37" i="27"/>
  <c r="I37" i="27"/>
  <c r="K36" i="27"/>
  <c r="J36" i="27"/>
  <c r="I36" i="27"/>
  <c r="K35" i="27"/>
  <c r="J35" i="27"/>
  <c r="I35" i="27"/>
  <c r="K34" i="27"/>
  <c r="J34" i="27"/>
  <c r="I34" i="27"/>
  <c r="K33" i="27"/>
  <c r="J33" i="27"/>
  <c r="I33" i="27"/>
  <c r="K32" i="27"/>
  <c r="J32" i="27"/>
  <c r="I32" i="27"/>
  <c r="K31" i="27"/>
  <c r="J31" i="27"/>
  <c r="I31" i="27"/>
  <c r="K30" i="27"/>
  <c r="J30" i="27"/>
  <c r="I30" i="27"/>
  <c r="K29" i="27"/>
  <c r="J29" i="27"/>
  <c r="I29" i="27"/>
  <c r="K28" i="27"/>
  <c r="J28" i="27"/>
  <c r="I28" i="27"/>
  <c r="K27" i="27"/>
  <c r="J27" i="27"/>
  <c r="I27" i="27"/>
  <c r="K26" i="27"/>
  <c r="J26" i="27"/>
  <c r="I26" i="27"/>
  <c r="K25" i="27"/>
  <c r="J25" i="27"/>
  <c r="I25" i="27"/>
  <c r="K24" i="27"/>
  <c r="J24" i="27"/>
  <c r="I24" i="27"/>
  <c r="K23" i="27"/>
  <c r="J23" i="27"/>
  <c r="I23" i="27"/>
  <c r="K22" i="27"/>
  <c r="J22" i="27"/>
  <c r="I22" i="27"/>
  <c r="K21" i="27"/>
  <c r="J21" i="27"/>
  <c r="I21" i="27"/>
  <c r="K20" i="27"/>
  <c r="J20" i="27"/>
  <c r="I20" i="27"/>
  <c r="K19" i="27"/>
  <c r="J19" i="27"/>
  <c r="I19" i="27"/>
  <c r="K18" i="27"/>
  <c r="J18" i="27"/>
  <c r="I18" i="27"/>
  <c r="K17" i="27"/>
  <c r="J17" i="27"/>
  <c r="I17" i="27"/>
  <c r="K16" i="27"/>
  <c r="J16" i="27"/>
  <c r="I16" i="27"/>
  <c r="K15" i="27"/>
  <c r="J15" i="27"/>
  <c r="I15" i="27"/>
  <c r="K14" i="27"/>
  <c r="J14" i="27"/>
  <c r="I14" i="27"/>
  <c r="K13" i="27"/>
  <c r="J13" i="27"/>
  <c r="I13" i="27"/>
  <c r="K12" i="27"/>
  <c r="J12" i="27"/>
  <c r="I12" i="27"/>
  <c r="K11" i="27"/>
  <c r="J11" i="27"/>
  <c r="I11" i="27"/>
  <c r="K10" i="27"/>
  <c r="J10" i="27"/>
  <c r="I10" i="27"/>
  <c r="K9" i="27"/>
  <c r="J9" i="27"/>
  <c r="I9" i="27"/>
  <c r="K8" i="27"/>
  <c r="J8" i="27"/>
  <c r="I8" i="27"/>
  <c r="K7" i="27"/>
  <c r="J7" i="27"/>
  <c r="I7" i="27"/>
  <c r="K6" i="27"/>
  <c r="J6" i="27"/>
  <c r="I6" i="27"/>
  <c r="K5" i="27"/>
  <c r="J5" i="27"/>
  <c r="I5" i="27"/>
  <c r="K4" i="27"/>
  <c r="J4" i="27"/>
  <c r="I4" i="27"/>
  <c r="K3" i="27"/>
  <c r="J3" i="27"/>
  <c r="I3" i="27"/>
  <c r="K2" i="27"/>
  <c r="J2" i="27"/>
  <c r="I2" i="27"/>
  <c r="K101" i="26"/>
  <c r="J101" i="26"/>
  <c r="I101" i="26"/>
  <c r="K100" i="26"/>
  <c r="J100" i="26"/>
  <c r="I100" i="26"/>
  <c r="K99" i="26"/>
  <c r="J99" i="26"/>
  <c r="I99" i="26"/>
  <c r="K98" i="26"/>
  <c r="J98" i="26"/>
  <c r="I98" i="26"/>
  <c r="K97" i="26"/>
  <c r="J97" i="26"/>
  <c r="I97" i="26"/>
  <c r="K96" i="26"/>
  <c r="J96" i="26"/>
  <c r="I96" i="26"/>
  <c r="K95" i="26"/>
  <c r="J95" i="26"/>
  <c r="I95" i="26"/>
  <c r="K94" i="26"/>
  <c r="J94" i="26"/>
  <c r="I94" i="26"/>
  <c r="K93" i="26"/>
  <c r="J93" i="26"/>
  <c r="I93" i="26"/>
  <c r="K92" i="26"/>
  <c r="J92" i="26"/>
  <c r="I92" i="26"/>
  <c r="K91" i="26"/>
  <c r="J91" i="26"/>
  <c r="I91" i="26"/>
  <c r="K90" i="26"/>
  <c r="J90" i="26"/>
  <c r="I90" i="26"/>
  <c r="K89" i="26"/>
  <c r="J89" i="26"/>
  <c r="I89" i="26"/>
  <c r="K88" i="26"/>
  <c r="J88" i="26"/>
  <c r="I88" i="26"/>
  <c r="K87" i="26"/>
  <c r="J87" i="26"/>
  <c r="I87" i="26"/>
  <c r="K86" i="26"/>
  <c r="J86" i="26"/>
  <c r="I86" i="26"/>
  <c r="K85" i="26"/>
  <c r="J85" i="26"/>
  <c r="I85" i="26"/>
  <c r="K84" i="26"/>
  <c r="J84" i="26"/>
  <c r="I84" i="26"/>
  <c r="K83" i="26"/>
  <c r="J83" i="26"/>
  <c r="I83" i="26"/>
  <c r="K82" i="26"/>
  <c r="J82" i="26"/>
  <c r="I82" i="26"/>
  <c r="K81" i="26"/>
  <c r="J81" i="26"/>
  <c r="I81" i="26"/>
  <c r="K80" i="26"/>
  <c r="J80" i="26"/>
  <c r="I80" i="26"/>
  <c r="K79" i="26"/>
  <c r="J79" i="26"/>
  <c r="I79" i="26"/>
  <c r="K78" i="26"/>
  <c r="J78" i="26"/>
  <c r="I78" i="26"/>
  <c r="K77" i="26"/>
  <c r="J77" i="26"/>
  <c r="I77" i="26"/>
  <c r="K76" i="26"/>
  <c r="J76" i="26"/>
  <c r="I76" i="26"/>
  <c r="K75" i="26"/>
  <c r="J75" i="26"/>
  <c r="I75" i="26"/>
  <c r="K74" i="26"/>
  <c r="J74" i="26"/>
  <c r="I74" i="26"/>
  <c r="K73" i="26"/>
  <c r="J73" i="26"/>
  <c r="I73" i="26"/>
  <c r="K72" i="26"/>
  <c r="J72" i="26"/>
  <c r="I72" i="26"/>
  <c r="K71" i="26"/>
  <c r="J71" i="26"/>
  <c r="I71" i="26"/>
  <c r="K70" i="26"/>
  <c r="J70" i="26"/>
  <c r="I70" i="26"/>
  <c r="K69" i="26"/>
  <c r="J69" i="26"/>
  <c r="I69" i="26"/>
  <c r="K68" i="26"/>
  <c r="J68" i="26"/>
  <c r="I68" i="26"/>
  <c r="K67" i="26"/>
  <c r="J67" i="26"/>
  <c r="I67" i="26"/>
  <c r="K66" i="26"/>
  <c r="J66" i="26"/>
  <c r="I66" i="26"/>
  <c r="K65" i="26"/>
  <c r="J65" i="26"/>
  <c r="I65" i="26"/>
  <c r="K64" i="26"/>
  <c r="J64" i="26"/>
  <c r="I64" i="26"/>
  <c r="K63" i="26"/>
  <c r="J63" i="26"/>
  <c r="I63" i="26"/>
  <c r="K62" i="26"/>
  <c r="J62" i="26"/>
  <c r="I62" i="26"/>
  <c r="K61" i="26"/>
  <c r="J61" i="26"/>
  <c r="I61" i="26"/>
  <c r="K60" i="26"/>
  <c r="J60" i="26"/>
  <c r="I60" i="26"/>
  <c r="K59" i="26"/>
  <c r="J59" i="26"/>
  <c r="I59" i="26"/>
  <c r="K58" i="26"/>
  <c r="J58" i="26"/>
  <c r="I58" i="26"/>
  <c r="K57" i="26"/>
  <c r="J57" i="26"/>
  <c r="I57" i="26"/>
  <c r="K56" i="26"/>
  <c r="J56" i="26"/>
  <c r="I56" i="26"/>
  <c r="K55" i="26"/>
  <c r="J55" i="26"/>
  <c r="I55" i="26"/>
  <c r="K54" i="26"/>
  <c r="J54" i="26"/>
  <c r="I54" i="26"/>
  <c r="K53" i="26"/>
  <c r="J53" i="26"/>
  <c r="I53" i="26"/>
  <c r="K52" i="26"/>
  <c r="J52" i="26"/>
  <c r="I52" i="26"/>
  <c r="K51" i="26"/>
  <c r="J51" i="26"/>
  <c r="I51" i="26"/>
  <c r="K50" i="26"/>
  <c r="J50" i="26"/>
  <c r="I50" i="26"/>
  <c r="K49" i="26"/>
  <c r="J49" i="26"/>
  <c r="I49" i="26"/>
  <c r="K48" i="26"/>
  <c r="J48" i="26"/>
  <c r="I48" i="26"/>
  <c r="K47" i="26"/>
  <c r="J47" i="26"/>
  <c r="I47" i="26"/>
  <c r="K46" i="26"/>
  <c r="J46" i="26"/>
  <c r="I46" i="26"/>
  <c r="K45" i="26"/>
  <c r="J45" i="26"/>
  <c r="I45" i="26"/>
  <c r="K44" i="26"/>
  <c r="J44" i="26"/>
  <c r="I44" i="26"/>
  <c r="K43" i="26"/>
  <c r="J43" i="26"/>
  <c r="I43" i="26"/>
  <c r="K42" i="26"/>
  <c r="J42" i="26"/>
  <c r="I42" i="26"/>
  <c r="K41" i="26"/>
  <c r="J41" i="26"/>
  <c r="I41" i="26"/>
  <c r="K40" i="26"/>
  <c r="J40" i="26"/>
  <c r="I40" i="26"/>
  <c r="K39" i="26"/>
  <c r="J39" i="26"/>
  <c r="I39" i="26"/>
  <c r="K38" i="26"/>
  <c r="J38" i="26"/>
  <c r="I38" i="26"/>
  <c r="K37" i="26"/>
  <c r="J37" i="26"/>
  <c r="I37" i="26"/>
  <c r="K36" i="26"/>
  <c r="J36" i="26"/>
  <c r="I36" i="26"/>
  <c r="K35" i="26"/>
  <c r="J35" i="26"/>
  <c r="I35" i="26"/>
  <c r="K34" i="26"/>
  <c r="J34" i="26"/>
  <c r="I34" i="26"/>
  <c r="K33" i="26"/>
  <c r="J33" i="26"/>
  <c r="I33" i="26"/>
  <c r="K32" i="26"/>
  <c r="J32" i="26"/>
  <c r="I32" i="26"/>
  <c r="K31" i="26"/>
  <c r="J31" i="26"/>
  <c r="I31" i="26"/>
  <c r="K30" i="26"/>
  <c r="J30" i="26"/>
  <c r="I30" i="26"/>
  <c r="K29" i="26"/>
  <c r="J29" i="26"/>
  <c r="I29" i="26"/>
  <c r="K28" i="26"/>
  <c r="J28" i="26"/>
  <c r="I28" i="26"/>
  <c r="K27" i="26"/>
  <c r="J27" i="26"/>
  <c r="I27" i="26"/>
  <c r="K26" i="26"/>
  <c r="J26" i="26"/>
  <c r="I26" i="26"/>
  <c r="K25" i="26"/>
  <c r="J25" i="26"/>
  <c r="I25" i="26"/>
  <c r="K24" i="26"/>
  <c r="J24" i="26"/>
  <c r="I24" i="26"/>
  <c r="K23" i="26"/>
  <c r="J23" i="26"/>
  <c r="I23" i="26"/>
  <c r="K22" i="26"/>
  <c r="J22" i="26"/>
  <c r="I22" i="26"/>
  <c r="K21" i="26"/>
  <c r="J21" i="26"/>
  <c r="I21" i="26"/>
  <c r="K20" i="26"/>
  <c r="J20" i="26"/>
  <c r="I20" i="26"/>
  <c r="K19" i="26"/>
  <c r="J19" i="26"/>
  <c r="I19" i="26"/>
  <c r="K18" i="26"/>
  <c r="J18" i="26"/>
  <c r="I18" i="26"/>
  <c r="K17" i="26"/>
  <c r="J17" i="26"/>
  <c r="I17" i="26"/>
  <c r="K16" i="26"/>
  <c r="J16" i="26"/>
  <c r="I16" i="26"/>
  <c r="K15" i="26"/>
  <c r="J15" i="26"/>
  <c r="I15" i="26"/>
  <c r="K14" i="26"/>
  <c r="J14" i="26"/>
  <c r="I14" i="26"/>
  <c r="K13" i="26"/>
  <c r="J13" i="26"/>
  <c r="I13" i="26"/>
  <c r="K12" i="26"/>
  <c r="J12" i="26"/>
  <c r="I12" i="26"/>
  <c r="K11" i="26"/>
  <c r="J11" i="26"/>
  <c r="I11" i="26"/>
  <c r="K10" i="26"/>
  <c r="J10" i="26"/>
  <c r="I10" i="26"/>
  <c r="K9" i="26"/>
  <c r="J9" i="26"/>
  <c r="I9" i="26"/>
  <c r="K8" i="26"/>
  <c r="J8" i="26"/>
  <c r="I8" i="26"/>
  <c r="K7" i="26"/>
  <c r="J7" i="26"/>
  <c r="I7" i="26"/>
  <c r="K6" i="26"/>
  <c r="J6" i="26"/>
  <c r="I6" i="26"/>
  <c r="K5" i="26"/>
  <c r="J5" i="26"/>
  <c r="I5" i="26"/>
  <c r="K4" i="26"/>
  <c r="J4" i="26"/>
  <c r="I4" i="26"/>
  <c r="K3" i="26"/>
  <c r="J3" i="26"/>
  <c r="I3" i="26"/>
  <c r="K2" i="26"/>
  <c r="J2" i="26"/>
  <c r="I2" i="26"/>
  <c r="K101" i="25"/>
  <c r="J101" i="25"/>
  <c r="I101" i="25"/>
  <c r="K100" i="25"/>
  <c r="J100" i="25"/>
  <c r="I100" i="25"/>
  <c r="K99" i="25"/>
  <c r="J99" i="25"/>
  <c r="I99" i="25"/>
  <c r="K98" i="25"/>
  <c r="J98" i="25"/>
  <c r="I98" i="25"/>
  <c r="K97" i="25"/>
  <c r="J97" i="25"/>
  <c r="I97" i="25"/>
  <c r="K96" i="25"/>
  <c r="J96" i="25"/>
  <c r="I96" i="25"/>
  <c r="K95" i="25"/>
  <c r="J95" i="25"/>
  <c r="I95" i="25"/>
  <c r="K94" i="25"/>
  <c r="J94" i="25"/>
  <c r="I94" i="25"/>
  <c r="K93" i="25"/>
  <c r="J93" i="25"/>
  <c r="I93" i="25"/>
  <c r="K92" i="25"/>
  <c r="J92" i="25"/>
  <c r="I92" i="25"/>
  <c r="K91" i="25"/>
  <c r="J91" i="25"/>
  <c r="I91" i="25"/>
  <c r="K90" i="25"/>
  <c r="J90" i="25"/>
  <c r="I90" i="25"/>
  <c r="K89" i="25"/>
  <c r="J89" i="25"/>
  <c r="I89" i="25"/>
  <c r="K88" i="25"/>
  <c r="J88" i="25"/>
  <c r="I88" i="25"/>
  <c r="K87" i="25"/>
  <c r="J87" i="25"/>
  <c r="I87" i="25"/>
  <c r="K86" i="25"/>
  <c r="J86" i="25"/>
  <c r="I86" i="25"/>
  <c r="K85" i="25"/>
  <c r="J85" i="25"/>
  <c r="I85" i="25"/>
  <c r="K84" i="25"/>
  <c r="J84" i="25"/>
  <c r="I84" i="25"/>
  <c r="K83" i="25"/>
  <c r="J83" i="25"/>
  <c r="I83" i="25"/>
  <c r="K82" i="25"/>
  <c r="J82" i="25"/>
  <c r="I82" i="25"/>
  <c r="K81" i="25"/>
  <c r="J81" i="25"/>
  <c r="I81" i="25"/>
  <c r="K80" i="25"/>
  <c r="J80" i="25"/>
  <c r="I80" i="25"/>
  <c r="K79" i="25"/>
  <c r="J79" i="25"/>
  <c r="I79" i="25"/>
  <c r="K78" i="25"/>
  <c r="J78" i="25"/>
  <c r="I78" i="25"/>
  <c r="K77" i="25"/>
  <c r="J77" i="25"/>
  <c r="I77" i="25"/>
  <c r="K76" i="25"/>
  <c r="J76" i="25"/>
  <c r="I76" i="25"/>
  <c r="K75" i="25"/>
  <c r="J75" i="25"/>
  <c r="I75" i="25"/>
  <c r="K74" i="25"/>
  <c r="J74" i="25"/>
  <c r="I74" i="25"/>
  <c r="K73" i="25"/>
  <c r="J73" i="25"/>
  <c r="I73" i="25"/>
  <c r="K72" i="25"/>
  <c r="J72" i="25"/>
  <c r="I72" i="25"/>
  <c r="K71" i="25"/>
  <c r="J71" i="25"/>
  <c r="I71" i="25"/>
  <c r="K70" i="25"/>
  <c r="J70" i="25"/>
  <c r="I70" i="25"/>
  <c r="K69" i="25"/>
  <c r="J69" i="25"/>
  <c r="I69" i="25"/>
  <c r="K68" i="25"/>
  <c r="J68" i="25"/>
  <c r="I68" i="25"/>
  <c r="K67" i="25"/>
  <c r="J67" i="25"/>
  <c r="I67" i="25"/>
  <c r="K66" i="25"/>
  <c r="J66" i="25"/>
  <c r="I66" i="25"/>
  <c r="K65" i="25"/>
  <c r="J65" i="25"/>
  <c r="I65" i="25"/>
  <c r="K64" i="25"/>
  <c r="J64" i="25"/>
  <c r="I64" i="25"/>
  <c r="K63" i="25"/>
  <c r="J63" i="25"/>
  <c r="I63" i="25"/>
  <c r="K62" i="25"/>
  <c r="J62" i="25"/>
  <c r="I62" i="25"/>
  <c r="K61" i="25"/>
  <c r="J61" i="25"/>
  <c r="I61" i="25"/>
  <c r="K60" i="25"/>
  <c r="J60" i="25"/>
  <c r="I60" i="25"/>
  <c r="K59" i="25"/>
  <c r="J59" i="25"/>
  <c r="I59" i="25"/>
  <c r="K58" i="25"/>
  <c r="J58" i="25"/>
  <c r="I58" i="25"/>
  <c r="K57" i="25"/>
  <c r="J57" i="25"/>
  <c r="I57" i="25"/>
  <c r="K56" i="25"/>
  <c r="J56" i="25"/>
  <c r="I56" i="25"/>
  <c r="K55" i="25"/>
  <c r="J55" i="25"/>
  <c r="I55" i="25"/>
  <c r="K54" i="25"/>
  <c r="J54" i="25"/>
  <c r="I54" i="25"/>
  <c r="K53" i="25"/>
  <c r="J53" i="25"/>
  <c r="I53" i="25"/>
  <c r="K52" i="25"/>
  <c r="J52" i="25"/>
  <c r="I52" i="25"/>
  <c r="K51" i="25"/>
  <c r="J51" i="25"/>
  <c r="I51" i="25"/>
  <c r="K50" i="25"/>
  <c r="J50" i="25"/>
  <c r="I50" i="25"/>
  <c r="K49" i="25"/>
  <c r="J49" i="25"/>
  <c r="I49" i="25"/>
  <c r="K48" i="25"/>
  <c r="J48" i="25"/>
  <c r="I48" i="25"/>
  <c r="K47" i="25"/>
  <c r="J47" i="25"/>
  <c r="I47" i="25"/>
  <c r="K46" i="25"/>
  <c r="J46" i="25"/>
  <c r="I46" i="25"/>
  <c r="K45" i="25"/>
  <c r="J45" i="25"/>
  <c r="I45" i="25"/>
  <c r="K44" i="25"/>
  <c r="J44" i="25"/>
  <c r="I44" i="25"/>
  <c r="K43" i="25"/>
  <c r="J43" i="25"/>
  <c r="I43" i="25"/>
  <c r="K42" i="25"/>
  <c r="J42" i="25"/>
  <c r="I42" i="25"/>
  <c r="K41" i="25"/>
  <c r="J41" i="25"/>
  <c r="I41" i="25"/>
  <c r="K40" i="25"/>
  <c r="J40" i="25"/>
  <c r="I40" i="25"/>
  <c r="K39" i="25"/>
  <c r="J39" i="25"/>
  <c r="I39" i="25"/>
  <c r="K38" i="25"/>
  <c r="J38" i="25"/>
  <c r="I38" i="25"/>
  <c r="K37" i="25"/>
  <c r="J37" i="25"/>
  <c r="I37" i="25"/>
  <c r="K36" i="25"/>
  <c r="J36" i="25"/>
  <c r="I36" i="25"/>
  <c r="K35" i="25"/>
  <c r="J35" i="25"/>
  <c r="I35" i="25"/>
  <c r="K34" i="25"/>
  <c r="J34" i="25"/>
  <c r="I34" i="25"/>
  <c r="K33" i="25"/>
  <c r="J33" i="25"/>
  <c r="I33" i="25"/>
  <c r="K32" i="25"/>
  <c r="J32" i="25"/>
  <c r="I32" i="25"/>
  <c r="K31" i="25"/>
  <c r="J31" i="25"/>
  <c r="I31" i="25"/>
  <c r="K30" i="25"/>
  <c r="J30" i="25"/>
  <c r="I30" i="25"/>
  <c r="K29" i="25"/>
  <c r="J29" i="25"/>
  <c r="I29" i="25"/>
  <c r="K28" i="25"/>
  <c r="J28" i="25"/>
  <c r="I28" i="25"/>
  <c r="K27" i="25"/>
  <c r="J27" i="25"/>
  <c r="I27" i="25"/>
  <c r="K26" i="25"/>
  <c r="J26" i="25"/>
  <c r="I26" i="25"/>
  <c r="K25" i="25"/>
  <c r="J25" i="25"/>
  <c r="I25" i="25"/>
  <c r="K24" i="25"/>
  <c r="J24" i="25"/>
  <c r="I24" i="25"/>
  <c r="K23" i="25"/>
  <c r="J23" i="25"/>
  <c r="I23" i="25"/>
  <c r="K22" i="25"/>
  <c r="J22" i="25"/>
  <c r="I22" i="25"/>
  <c r="K21" i="25"/>
  <c r="J21" i="25"/>
  <c r="I21" i="25"/>
  <c r="K20" i="25"/>
  <c r="J20" i="25"/>
  <c r="I20" i="25"/>
  <c r="K19" i="25"/>
  <c r="J19" i="25"/>
  <c r="I19" i="25"/>
  <c r="K18" i="25"/>
  <c r="J18" i="25"/>
  <c r="I18" i="25"/>
  <c r="K17" i="25"/>
  <c r="J17" i="25"/>
  <c r="I17" i="25"/>
  <c r="K16" i="25"/>
  <c r="J16" i="25"/>
  <c r="I16" i="25"/>
  <c r="K15" i="25"/>
  <c r="J15" i="25"/>
  <c r="I15" i="25"/>
  <c r="K14" i="25"/>
  <c r="J14" i="25"/>
  <c r="I14" i="25"/>
  <c r="K13" i="25"/>
  <c r="J13" i="25"/>
  <c r="I13" i="25"/>
  <c r="K12" i="25"/>
  <c r="J12" i="25"/>
  <c r="I12" i="25"/>
  <c r="K11" i="25"/>
  <c r="J11" i="25"/>
  <c r="I11" i="25"/>
  <c r="K10" i="25"/>
  <c r="J10" i="25"/>
  <c r="I10" i="25"/>
  <c r="K9" i="25"/>
  <c r="J9" i="25"/>
  <c r="I9" i="25"/>
  <c r="K8" i="25"/>
  <c r="J8" i="25"/>
  <c r="I8" i="25"/>
  <c r="K7" i="25"/>
  <c r="J7" i="25"/>
  <c r="I7" i="25"/>
  <c r="K6" i="25"/>
  <c r="J6" i="25"/>
  <c r="I6" i="25"/>
  <c r="K5" i="25"/>
  <c r="J5" i="25"/>
  <c r="I5" i="25"/>
  <c r="K4" i="25"/>
  <c r="J4" i="25"/>
  <c r="I4" i="25"/>
  <c r="K3" i="25"/>
  <c r="J3" i="25"/>
  <c r="I3" i="25"/>
  <c r="K2" i="25"/>
  <c r="J2" i="25"/>
  <c r="I2" i="25"/>
  <c r="K101" i="24"/>
  <c r="J101" i="24"/>
  <c r="I101" i="24"/>
  <c r="K100" i="24"/>
  <c r="J100" i="24"/>
  <c r="I100" i="24"/>
  <c r="K99" i="24"/>
  <c r="J99" i="24"/>
  <c r="I99" i="24"/>
  <c r="K98" i="24"/>
  <c r="J98" i="24"/>
  <c r="I98" i="24"/>
  <c r="K97" i="24"/>
  <c r="J97" i="24"/>
  <c r="I97" i="24"/>
  <c r="K96" i="24"/>
  <c r="J96" i="24"/>
  <c r="I96" i="24"/>
  <c r="K95" i="24"/>
  <c r="J95" i="24"/>
  <c r="I95" i="24"/>
  <c r="K94" i="24"/>
  <c r="J94" i="24"/>
  <c r="I94" i="24"/>
  <c r="K93" i="24"/>
  <c r="J93" i="24"/>
  <c r="I93" i="24"/>
  <c r="K92" i="24"/>
  <c r="J92" i="24"/>
  <c r="I92" i="24"/>
  <c r="K91" i="24"/>
  <c r="J91" i="24"/>
  <c r="I91" i="24"/>
  <c r="K90" i="24"/>
  <c r="J90" i="24"/>
  <c r="I90" i="24"/>
  <c r="K89" i="24"/>
  <c r="J89" i="24"/>
  <c r="I89" i="24"/>
  <c r="K88" i="24"/>
  <c r="J88" i="24"/>
  <c r="I88" i="24"/>
  <c r="K87" i="24"/>
  <c r="J87" i="24"/>
  <c r="I87" i="24"/>
  <c r="K86" i="24"/>
  <c r="J86" i="24"/>
  <c r="I86" i="24"/>
  <c r="K85" i="24"/>
  <c r="J85" i="24"/>
  <c r="I85" i="24"/>
  <c r="K84" i="24"/>
  <c r="J84" i="24"/>
  <c r="I84" i="24"/>
  <c r="K83" i="24"/>
  <c r="J83" i="24"/>
  <c r="I83" i="24"/>
  <c r="K82" i="24"/>
  <c r="J82" i="24"/>
  <c r="I82" i="24"/>
  <c r="K81" i="24"/>
  <c r="J81" i="24"/>
  <c r="I81" i="24"/>
  <c r="K80" i="24"/>
  <c r="J80" i="24"/>
  <c r="I80" i="24"/>
  <c r="K79" i="24"/>
  <c r="J79" i="24"/>
  <c r="I79" i="24"/>
  <c r="K78" i="24"/>
  <c r="J78" i="24"/>
  <c r="I78" i="24"/>
  <c r="K77" i="24"/>
  <c r="J77" i="24"/>
  <c r="I77" i="24"/>
  <c r="K76" i="24"/>
  <c r="J76" i="24"/>
  <c r="I76" i="24"/>
  <c r="K75" i="24"/>
  <c r="J75" i="24"/>
  <c r="I75" i="24"/>
  <c r="K74" i="24"/>
  <c r="J74" i="24"/>
  <c r="I74" i="24"/>
  <c r="K73" i="24"/>
  <c r="J73" i="24"/>
  <c r="I73" i="24"/>
  <c r="K72" i="24"/>
  <c r="J72" i="24"/>
  <c r="I72" i="24"/>
  <c r="K71" i="24"/>
  <c r="J71" i="24"/>
  <c r="I71" i="24"/>
  <c r="K70" i="24"/>
  <c r="J70" i="24"/>
  <c r="I70" i="24"/>
  <c r="K69" i="24"/>
  <c r="J69" i="24"/>
  <c r="I69" i="24"/>
  <c r="K68" i="24"/>
  <c r="J68" i="24"/>
  <c r="I68" i="24"/>
  <c r="K67" i="24"/>
  <c r="J67" i="24"/>
  <c r="I67" i="24"/>
  <c r="K66" i="24"/>
  <c r="J66" i="24"/>
  <c r="I66" i="24"/>
  <c r="K65" i="24"/>
  <c r="J65" i="24"/>
  <c r="I65" i="24"/>
  <c r="K64" i="24"/>
  <c r="J64" i="24"/>
  <c r="I64" i="24"/>
  <c r="K63" i="24"/>
  <c r="J63" i="24"/>
  <c r="I63" i="24"/>
  <c r="K62" i="24"/>
  <c r="J62" i="24"/>
  <c r="I62" i="24"/>
  <c r="K61" i="24"/>
  <c r="J61" i="24"/>
  <c r="I61" i="24"/>
  <c r="K60" i="24"/>
  <c r="J60" i="24"/>
  <c r="I60" i="24"/>
  <c r="K59" i="24"/>
  <c r="J59" i="24"/>
  <c r="I59" i="24"/>
  <c r="K58" i="24"/>
  <c r="J58" i="24"/>
  <c r="I58" i="24"/>
  <c r="K57" i="24"/>
  <c r="J57" i="24"/>
  <c r="I57" i="24"/>
  <c r="K56" i="24"/>
  <c r="J56" i="24"/>
  <c r="I56" i="24"/>
  <c r="K55" i="24"/>
  <c r="J55" i="24"/>
  <c r="I55" i="24"/>
  <c r="K54" i="24"/>
  <c r="J54" i="24"/>
  <c r="I54" i="24"/>
  <c r="K53" i="24"/>
  <c r="J53" i="24"/>
  <c r="I53" i="24"/>
  <c r="K52" i="24"/>
  <c r="J52" i="24"/>
  <c r="I52" i="24"/>
  <c r="K51" i="24"/>
  <c r="J51" i="24"/>
  <c r="I51" i="24"/>
  <c r="K50" i="24"/>
  <c r="J50" i="24"/>
  <c r="I50" i="24"/>
  <c r="K49" i="24"/>
  <c r="J49" i="24"/>
  <c r="I49" i="24"/>
  <c r="K48" i="24"/>
  <c r="J48" i="24"/>
  <c r="I48" i="24"/>
  <c r="K47" i="24"/>
  <c r="J47" i="24"/>
  <c r="I47" i="24"/>
  <c r="K46" i="24"/>
  <c r="J46" i="24"/>
  <c r="I46" i="24"/>
  <c r="K45" i="24"/>
  <c r="J45" i="24"/>
  <c r="I45" i="24"/>
  <c r="K44" i="24"/>
  <c r="J44" i="24"/>
  <c r="I44" i="24"/>
  <c r="K43" i="24"/>
  <c r="J43" i="24"/>
  <c r="I43" i="24"/>
  <c r="K42" i="24"/>
  <c r="J42" i="24"/>
  <c r="I42" i="24"/>
  <c r="K41" i="24"/>
  <c r="J41" i="24"/>
  <c r="I41" i="24"/>
  <c r="K40" i="24"/>
  <c r="J40" i="24"/>
  <c r="I40" i="24"/>
  <c r="K39" i="24"/>
  <c r="J39" i="24"/>
  <c r="I39" i="24"/>
  <c r="K38" i="24"/>
  <c r="J38" i="24"/>
  <c r="I38" i="24"/>
  <c r="K37" i="24"/>
  <c r="J37" i="24"/>
  <c r="I37" i="24"/>
  <c r="K36" i="24"/>
  <c r="J36" i="24"/>
  <c r="I36" i="24"/>
  <c r="K35" i="24"/>
  <c r="J35" i="24"/>
  <c r="I35" i="24"/>
  <c r="K34" i="24"/>
  <c r="J34" i="24"/>
  <c r="I34" i="24"/>
  <c r="K33" i="24"/>
  <c r="J33" i="24"/>
  <c r="I33" i="24"/>
  <c r="K32" i="24"/>
  <c r="J32" i="24"/>
  <c r="I32" i="24"/>
  <c r="K31" i="24"/>
  <c r="J31" i="24"/>
  <c r="I31" i="24"/>
  <c r="K30" i="24"/>
  <c r="J30" i="24"/>
  <c r="I30" i="24"/>
  <c r="K29" i="24"/>
  <c r="J29" i="24"/>
  <c r="I29" i="24"/>
  <c r="K28" i="24"/>
  <c r="J28" i="24"/>
  <c r="I28" i="24"/>
  <c r="K27" i="24"/>
  <c r="J27" i="24"/>
  <c r="I27" i="24"/>
  <c r="K26" i="24"/>
  <c r="J26" i="24"/>
  <c r="I26" i="24"/>
  <c r="K25" i="24"/>
  <c r="J25" i="24"/>
  <c r="I25" i="24"/>
  <c r="K24" i="24"/>
  <c r="J24" i="24"/>
  <c r="I24" i="24"/>
  <c r="K23" i="24"/>
  <c r="J23" i="24"/>
  <c r="I23" i="24"/>
  <c r="K22" i="24"/>
  <c r="J22" i="24"/>
  <c r="I22" i="24"/>
  <c r="K21" i="24"/>
  <c r="J21" i="24"/>
  <c r="I21" i="24"/>
  <c r="K20" i="24"/>
  <c r="J20" i="24"/>
  <c r="I20" i="24"/>
  <c r="K19" i="24"/>
  <c r="J19" i="24"/>
  <c r="I19" i="24"/>
  <c r="K18" i="24"/>
  <c r="J18" i="24"/>
  <c r="I18" i="24"/>
  <c r="K17" i="24"/>
  <c r="J17" i="24"/>
  <c r="I17" i="24"/>
  <c r="K16" i="24"/>
  <c r="J16" i="24"/>
  <c r="I16" i="24"/>
  <c r="K15" i="24"/>
  <c r="J15" i="24"/>
  <c r="I15" i="24"/>
  <c r="K14" i="24"/>
  <c r="J14" i="24"/>
  <c r="I14" i="24"/>
  <c r="K13" i="24"/>
  <c r="J13" i="24"/>
  <c r="I13" i="24"/>
  <c r="K12" i="24"/>
  <c r="J12" i="24"/>
  <c r="I12" i="24"/>
  <c r="K11" i="24"/>
  <c r="J11" i="24"/>
  <c r="I11" i="24"/>
  <c r="K10" i="24"/>
  <c r="J10" i="24"/>
  <c r="I10" i="24"/>
  <c r="K9" i="24"/>
  <c r="J9" i="24"/>
  <c r="I9" i="24"/>
  <c r="K8" i="24"/>
  <c r="J8" i="24"/>
  <c r="I8" i="24"/>
  <c r="K7" i="24"/>
  <c r="J7" i="24"/>
  <c r="I7" i="24"/>
  <c r="K6" i="24"/>
  <c r="J6" i="24"/>
  <c r="I6" i="24"/>
  <c r="K5" i="24"/>
  <c r="J5" i="24"/>
  <c r="I5" i="24"/>
  <c r="K4" i="24"/>
  <c r="J4" i="24"/>
  <c r="I4" i="24"/>
  <c r="K3" i="24"/>
  <c r="J3" i="24"/>
  <c r="I3" i="24"/>
  <c r="K2" i="24"/>
  <c r="J2" i="24"/>
  <c r="I2" i="24"/>
  <c r="K101" i="23"/>
  <c r="J101" i="23"/>
  <c r="I101" i="23"/>
  <c r="K100" i="23"/>
  <c r="J100" i="23"/>
  <c r="I100" i="23"/>
  <c r="K99" i="23"/>
  <c r="J99" i="23"/>
  <c r="I99" i="23"/>
  <c r="K98" i="23"/>
  <c r="J98" i="23"/>
  <c r="I98" i="23"/>
  <c r="K97" i="23"/>
  <c r="J97" i="23"/>
  <c r="I97" i="23"/>
  <c r="K96" i="23"/>
  <c r="J96" i="23"/>
  <c r="I96" i="23"/>
  <c r="K95" i="23"/>
  <c r="J95" i="23"/>
  <c r="I95" i="23"/>
  <c r="K94" i="23"/>
  <c r="J94" i="23"/>
  <c r="I94" i="23"/>
  <c r="K93" i="23"/>
  <c r="J93" i="23"/>
  <c r="I93" i="23"/>
  <c r="K92" i="23"/>
  <c r="J92" i="23"/>
  <c r="I92" i="23"/>
  <c r="K91" i="23"/>
  <c r="J91" i="23"/>
  <c r="I91" i="23"/>
  <c r="K90" i="23"/>
  <c r="J90" i="23"/>
  <c r="I90" i="23"/>
  <c r="K89" i="23"/>
  <c r="J89" i="23"/>
  <c r="I89" i="23"/>
  <c r="K88" i="23"/>
  <c r="J88" i="23"/>
  <c r="I88" i="23"/>
  <c r="K87" i="23"/>
  <c r="J87" i="23"/>
  <c r="I87" i="23"/>
  <c r="K86" i="23"/>
  <c r="J86" i="23"/>
  <c r="I86" i="23"/>
  <c r="K85" i="23"/>
  <c r="J85" i="23"/>
  <c r="I85" i="23"/>
  <c r="K84" i="23"/>
  <c r="J84" i="23"/>
  <c r="I84" i="23"/>
  <c r="K83" i="23"/>
  <c r="J83" i="23"/>
  <c r="I83" i="23"/>
  <c r="K82" i="23"/>
  <c r="J82" i="23"/>
  <c r="I82" i="23"/>
  <c r="K81" i="23"/>
  <c r="J81" i="23"/>
  <c r="I81" i="23"/>
  <c r="K80" i="23"/>
  <c r="J80" i="23"/>
  <c r="I80" i="23"/>
  <c r="K79" i="23"/>
  <c r="J79" i="23"/>
  <c r="I79" i="23"/>
  <c r="K78" i="23"/>
  <c r="J78" i="23"/>
  <c r="I78" i="23"/>
  <c r="K77" i="23"/>
  <c r="J77" i="23"/>
  <c r="I77" i="23"/>
  <c r="K76" i="23"/>
  <c r="J76" i="23"/>
  <c r="I76" i="23"/>
  <c r="K75" i="23"/>
  <c r="J75" i="23"/>
  <c r="I75" i="23"/>
  <c r="K74" i="23"/>
  <c r="J74" i="23"/>
  <c r="I74" i="23"/>
  <c r="K73" i="23"/>
  <c r="J73" i="23"/>
  <c r="I73" i="23"/>
  <c r="K72" i="23"/>
  <c r="J72" i="23"/>
  <c r="I72" i="23"/>
  <c r="K71" i="23"/>
  <c r="J71" i="23"/>
  <c r="I71" i="23"/>
  <c r="K70" i="23"/>
  <c r="J70" i="23"/>
  <c r="I70" i="23"/>
  <c r="K69" i="23"/>
  <c r="J69" i="23"/>
  <c r="I69" i="23"/>
  <c r="K68" i="23"/>
  <c r="J68" i="23"/>
  <c r="I68" i="23"/>
  <c r="K67" i="23"/>
  <c r="J67" i="23"/>
  <c r="I67" i="23"/>
  <c r="K66" i="23"/>
  <c r="J66" i="23"/>
  <c r="I66" i="23"/>
  <c r="K65" i="23"/>
  <c r="J65" i="23"/>
  <c r="I65" i="23"/>
  <c r="K64" i="23"/>
  <c r="J64" i="23"/>
  <c r="I64" i="23"/>
  <c r="K63" i="23"/>
  <c r="J63" i="23"/>
  <c r="I63" i="23"/>
  <c r="K62" i="23"/>
  <c r="J62" i="23"/>
  <c r="I62" i="23"/>
  <c r="K61" i="23"/>
  <c r="J61" i="23"/>
  <c r="I61" i="23"/>
  <c r="K60" i="23"/>
  <c r="J60" i="23"/>
  <c r="I60" i="23"/>
  <c r="K59" i="23"/>
  <c r="J59" i="23"/>
  <c r="I59" i="23"/>
  <c r="K58" i="23"/>
  <c r="J58" i="23"/>
  <c r="I58" i="23"/>
  <c r="K57" i="23"/>
  <c r="J57" i="23"/>
  <c r="I57" i="23"/>
  <c r="K56" i="23"/>
  <c r="J56" i="23"/>
  <c r="I56" i="23"/>
  <c r="K55" i="23"/>
  <c r="J55" i="23"/>
  <c r="I55" i="23"/>
  <c r="K54" i="23"/>
  <c r="J54" i="23"/>
  <c r="I54" i="23"/>
  <c r="K53" i="23"/>
  <c r="J53" i="23"/>
  <c r="I53" i="23"/>
  <c r="K52" i="23"/>
  <c r="J52" i="23"/>
  <c r="I52" i="23"/>
  <c r="K51" i="23"/>
  <c r="J51" i="23"/>
  <c r="I51" i="23"/>
  <c r="K50" i="23"/>
  <c r="J50" i="23"/>
  <c r="I50" i="23"/>
  <c r="K49" i="23"/>
  <c r="J49" i="23"/>
  <c r="I49" i="23"/>
  <c r="K48" i="23"/>
  <c r="J48" i="23"/>
  <c r="I48" i="23"/>
  <c r="K47" i="23"/>
  <c r="J47" i="23"/>
  <c r="I47" i="23"/>
  <c r="K46" i="23"/>
  <c r="J46" i="23"/>
  <c r="I46" i="23"/>
  <c r="K45" i="23"/>
  <c r="J45" i="23"/>
  <c r="I45" i="23"/>
  <c r="K44" i="23"/>
  <c r="J44" i="23"/>
  <c r="I44" i="23"/>
  <c r="K43" i="23"/>
  <c r="J43" i="23"/>
  <c r="I43" i="23"/>
  <c r="K42" i="23"/>
  <c r="J42" i="23"/>
  <c r="I42" i="23"/>
  <c r="K41" i="23"/>
  <c r="J41" i="23"/>
  <c r="I41" i="23"/>
  <c r="K40" i="23"/>
  <c r="J40" i="23"/>
  <c r="I40" i="23"/>
  <c r="K39" i="23"/>
  <c r="J39" i="23"/>
  <c r="I39" i="23"/>
  <c r="K38" i="23"/>
  <c r="J38" i="23"/>
  <c r="I38" i="23"/>
  <c r="K37" i="23"/>
  <c r="J37" i="23"/>
  <c r="I37" i="23"/>
  <c r="K36" i="23"/>
  <c r="J36" i="23"/>
  <c r="I36" i="23"/>
  <c r="K35" i="23"/>
  <c r="J35" i="23"/>
  <c r="I35" i="23"/>
  <c r="K34" i="23"/>
  <c r="J34" i="23"/>
  <c r="I34" i="23"/>
  <c r="K33" i="23"/>
  <c r="J33" i="23"/>
  <c r="I33" i="23"/>
  <c r="K32" i="23"/>
  <c r="J32" i="23"/>
  <c r="I32" i="23"/>
  <c r="K31" i="23"/>
  <c r="J31" i="23"/>
  <c r="I31" i="23"/>
  <c r="K30" i="23"/>
  <c r="J30" i="23"/>
  <c r="I30" i="23"/>
  <c r="K29" i="23"/>
  <c r="J29" i="23"/>
  <c r="I29" i="23"/>
  <c r="K28" i="23"/>
  <c r="J28" i="23"/>
  <c r="I28" i="23"/>
  <c r="K27" i="23"/>
  <c r="J27" i="23"/>
  <c r="I27" i="23"/>
  <c r="K26" i="23"/>
  <c r="J26" i="23"/>
  <c r="I26" i="23"/>
  <c r="K25" i="23"/>
  <c r="J25" i="23"/>
  <c r="I25" i="23"/>
  <c r="K24" i="23"/>
  <c r="J24" i="23"/>
  <c r="I24" i="23"/>
  <c r="K23" i="23"/>
  <c r="J23" i="23"/>
  <c r="I23" i="23"/>
  <c r="K22" i="23"/>
  <c r="J22" i="23"/>
  <c r="I22" i="23"/>
  <c r="K21" i="23"/>
  <c r="J21" i="23"/>
  <c r="I21" i="23"/>
  <c r="K20" i="23"/>
  <c r="J20" i="23"/>
  <c r="I20" i="23"/>
  <c r="K19" i="23"/>
  <c r="J19" i="23"/>
  <c r="I19" i="23"/>
  <c r="K18" i="23"/>
  <c r="J18" i="23"/>
  <c r="I18" i="23"/>
  <c r="K17" i="23"/>
  <c r="J17" i="23"/>
  <c r="I17" i="23"/>
  <c r="K16" i="23"/>
  <c r="J16" i="23"/>
  <c r="I16" i="23"/>
  <c r="K15" i="23"/>
  <c r="J15" i="23"/>
  <c r="I15" i="23"/>
  <c r="K14" i="23"/>
  <c r="J14" i="23"/>
  <c r="I14" i="23"/>
  <c r="K13" i="23"/>
  <c r="J13" i="23"/>
  <c r="I13" i="23"/>
  <c r="K12" i="23"/>
  <c r="J12" i="23"/>
  <c r="I12" i="23"/>
  <c r="K11" i="23"/>
  <c r="J11" i="23"/>
  <c r="I11" i="23"/>
  <c r="K10" i="23"/>
  <c r="J10" i="23"/>
  <c r="I10" i="23"/>
  <c r="K9" i="23"/>
  <c r="J9" i="23"/>
  <c r="I9" i="23"/>
  <c r="K8" i="23"/>
  <c r="J8" i="23"/>
  <c r="I8" i="23"/>
  <c r="K7" i="23"/>
  <c r="J7" i="23"/>
  <c r="I7" i="23"/>
  <c r="K6" i="23"/>
  <c r="J6" i="23"/>
  <c r="I6" i="23"/>
  <c r="K5" i="23"/>
  <c r="J5" i="23"/>
  <c r="I5" i="23"/>
  <c r="K4" i="23"/>
  <c r="J4" i="23"/>
  <c r="I4" i="23"/>
  <c r="K3" i="23"/>
  <c r="J3" i="23"/>
  <c r="I3" i="23"/>
  <c r="K2" i="23"/>
  <c r="J2" i="23"/>
  <c r="I2" i="23"/>
  <c r="K101" i="22"/>
  <c r="J101" i="22"/>
  <c r="I101" i="22"/>
  <c r="K100" i="22"/>
  <c r="J100" i="22"/>
  <c r="I100" i="22"/>
  <c r="K99" i="22"/>
  <c r="J99" i="22"/>
  <c r="I99" i="22"/>
  <c r="K98" i="22"/>
  <c r="J98" i="22"/>
  <c r="I98" i="22"/>
  <c r="K97" i="22"/>
  <c r="J97" i="22"/>
  <c r="I97" i="22"/>
  <c r="K96" i="22"/>
  <c r="J96" i="22"/>
  <c r="I96" i="22"/>
  <c r="K95" i="22"/>
  <c r="J95" i="22"/>
  <c r="I95" i="22"/>
  <c r="K94" i="22"/>
  <c r="J94" i="22"/>
  <c r="I94" i="22"/>
  <c r="K93" i="22"/>
  <c r="J93" i="22"/>
  <c r="I93" i="22"/>
  <c r="K92" i="22"/>
  <c r="J92" i="22"/>
  <c r="I92" i="22"/>
  <c r="K91" i="22"/>
  <c r="J91" i="22"/>
  <c r="I91" i="22"/>
  <c r="K90" i="22"/>
  <c r="J90" i="22"/>
  <c r="I90" i="22"/>
  <c r="K89" i="22"/>
  <c r="J89" i="22"/>
  <c r="I89" i="22"/>
  <c r="K88" i="22"/>
  <c r="J88" i="22"/>
  <c r="I88" i="22"/>
  <c r="K87" i="22"/>
  <c r="J87" i="22"/>
  <c r="I87" i="22"/>
  <c r="K86" i="22"/>
  <c r="J86" i="22"/>
  <c r="I86" i="22"/>
  <c r="K85" i="22"/>
  <c r="J85" i="22"/>
  <c r="I85" i="22"/>
  <c r="K84" i="22"/>
  <c r="J84" i="22"/>
  <c r="I84" i="22"/>
  <c r="K83" i="22"/>
  <c r="J83" i="22"/>
  <c r="I83" i="22"/>
  <c r="K82" i="22"/>
  <c r="J82" i="22"/>
  <c r="I82" i="22"/>
  <c r="K81" i="22"/>
  <c r="J81" i="22"/>
  <c r="I81" i="22"/>
  <c r="K80" i="22"/>
  <c r="J80" i="22"/>
  <c r="I80" i="22"/>
  <c r="K79" i="22"/>
  <c r="J79" i="22"/>
  <c r="I79" i="22"/>
  <c r="K78" i="22"/>
  <c r="J78" i="22"/>
  <c r="I78" i="22"/>
  <c r="K77" i="22"/>
  <c r="J77" i="22"/>
  <c r="I77" i="22"/>
  <c r="K76" i="22"/>
  <c r="J76" i="22"/>
  <c r="I76" i="22"/>
  <c r="K75" i="22"/>
  <c r="J75" i="22"/>
  <c r="I75" i="22"/>
  <c r="K74" i="22"/>
  <c r="J74" i="22"/>
  <c r="I74" i="22"/>
  <c r="K73" i="22"/>
  <c r="J73" i="22"/>
  <c r="I73" i="22"/>
  <c r="K72" i="22"/>
  <c r="J72" i="22"/>
  <c r="I72" i="22"/>
  <c r="K71" i="22"/>
  <c r="J71" i="22"/>
  <c r="I71" i="22"/>
  <c r="K70" i="22"/>
  <c r="J70" i="22"/>
  <c r="I70" i="22"/>
  <c r="K69" i="22"/>
  <c r="J69" i="22"/>
  <c r="I69" i="22"/>
  <c r="K68" i="22"/>
  <c r="J68" i="22"/>
  <c r="I68" i="22"/>
  <c r="K67" i="22"/>
  <c r="J67" i="22"/>
  <c r="I67" i="22"/>
  <c r="K66" i="22"/>
  <c r="J66" i="22"/>
  <c r="I66" i="22"/>
  <c r="K65" i="22"/>
  <c r="J65" i="22"/>
  <c r="I65" i="22"/>
  <c r="K64" i="22"/>
  <c r="J64" i="22"/>
  <c r="I64" i="22"/>
  <c r="K63" i="22"/>
  <c r="J63" i="22"/>
  <c r="I63" i="22"/>
  <c r="K62" i="22"/>
  <c r="J62" i="22"/>
  <c r="I62" i="22"/>
  <c r="K61" i="22"/>
  <c r="J61" i="22"/>
  <c r="I61" i="22"/>
  <c r="K60" i="22"/>
  <c r="J60" i="22"/>
  <c r="I60" i="22"/>
  <c r="K59" i="22"/>
  <c r="J59" i="22"/>
  <c r="I59" i="22"/>
  <c r="K58" i="22"/>
  <c r="J58" i="22"/>
  <c r="I58" i="22"/>
  <c r="K57" i="22"/>
  <c r="J57" i="22"/>
  <c r="I57" i="22"/>
  <c r="K56" i="22"/>
  <c r="J56" i="22"/>
  <c r="I56" i="22"/>
  <c r="K55" i="22"/>
  <c r="J55" i="22"/>
  <c r="I55" i="22"/>
  <c r="K54" i="22"/>
  <c r="J54" i="22"/>
  <c r="I54" i="22"/>
  <c r="K53" i="22"/>
  <c r="J53" i="22"/>
  <c r="I53" i="22"/>
  <c r="K52" i="22"/>
  <c r="J52" i="22"/>
  <c r="I52" i="22"/>
  <c r="K51" i="22"/>
  <c r="J51" i="22"/>
  <c r="I51" i="22"/>
  <c r="K50" i="22"/>
  <c r="J50" i="22"/>
  <c r="I50" i="22"/>
  <c r="K49" i="22"/>
  <c r="J49" i="22"/>
  <c r="I49" i="22"/>
  <c r="K48" i="22"/>
  <c r="J48" i="22"/>
  <c r="I48" i="22"/>
  <c r="K47" i="22"/>
  <c r="J47" i="22"/>
  <c r="I47" i="22"/>
  <c r="K46" i="22"/>
  <c r="J46" i="22"/>
  <c r="I46" i="22"/>
  <c r="K45" i="22"/>
  <c r="J45" i="22"/>
  <c r="I45" i="22"/>
  <c r="K44" i="22"/>
  <c r="J44" i="22"/>
  <c r="I44" i="22"/>
  <c r="K43" i="22"/>
  <c r="J43" i="22"/>
  <c r="I43" i="22"/>
  <c r="K42" i="22"/>
  <c r="J42" i="22"/>
  <c r="I42" i="22"/>
  <c r="K41" i="22"/>
  <c r="J41" i="22"/>
  <c r="I41" i="22"/>
  <c r="K40" i="22"/>
  <c r="J40" i="22"/>
  <c r="I40" i="22"/>
  <c r="K39" i="22"/>
  <c r="J39" i="22"/>
  <c r="I39" i="22"/>
  <c r="K38" i="22"/>
  <c r="J38" i="22"/>
  <c r="I38" i="22"/>
  <c r="K37" i="22"/>
  <c r="J37" i="22"/>
  <c r="I37" i="22"/>
  <c r="K36" i="22"/>
  <c r="J36" i="22"/>
  <c r="I36" i="22"/>
  <c r="K35" i="22"/>
  <c r="J35" i="22"/>
  <c r="I35" i="22"/>
  <c r="K34" i="22"/>
  <c r="J34" i="22"/>
  <c r="I34" i="22"/>
  <c r="K33" i="22"/>
  <c r="J33" i="22"/>
  <c r="I33" i="22"/>
  <c r="K32" i="22"/>
  <c r="J32" i="22"/>
  <c r="I32" i="22"/>
  <c r="K31" i="22"/>
  <c r="J31" i="22"/>
  <c r="I31" i="22"/>
  <c r="K30" i="22"/>
  <c r="J30" i="22"/>
  <c r="I30" i="22"/>
  <c r="K29" i="22"/>
  <c r="J29" i="22"/>
  <c r="I29" i="22"/>
  <c r="K28" i="22"/>
  <c r="J28" i="22"/>
  <c r="I28" i="22"/>
  <c r="K27" i="22"/>
  <c r="J27" i="22"/>
  <c r="I27" i="22"/>
  <c r="K26" i="22"/>
  <c r="J26" i="22"/>
  <c r="I26" i="22"/>
  <c r="K25" i="22"/>
  <c r="J25" i="22"/>
  <c r="I25" i="22"/>
  <c r="K24" i="22"/>
  <c r="J24" i="22"/>
  <c r="I24" i="22"/>
  <c r="K23" i="22"/>
  <c r="J23" i="22"/>
  <c r="I23" i="22"/>
  <c r="K22" i="22"/>
  <c r="J22" i="22"/>
  <c r="I22" i="22"/>
  <c r="K21" i="22"/>
  <c r="J21" i="22"/>
  <c r="I21" i="22"/>
  <c r="K20" i="22"/>
  <c r="J20" i="22"/>
  <c r="I20" i="22"/>
  <c r="K19" i="22"/>
  <c r="J19" i="22"/>
  <c r="I19" i="22"/>
  <c r="K18" i="22"/>
  <c r="J18" i="22"/>
  <c r="I18" i="22"/>
  <c r="K17" i="22"/>
  <c r="J17" i="22"/>
  <c r="I17" i="22"/>
  <c r="K16" i="22"/>
  <c r="J16" i="22"/>
  <c r="I16" i="22"/>
  <c r="K15" i="22"/>
  <c r="J15" i="22"/>
  <c r="I15" i="22"/>
  <c r="K14" i="22"/>
  <c r="J14" i="22"/>
  <c r="I14" i="22"/>
  <c r="K13" i="22"/>
  <c r="J13" i="22"/>
  <c r="I13" i="22"/>
  <c r="K12" i="22"/>
  <c r="J12" i="22"/>
  <c r="I12" i="22"/>
  <c r="K11" i="22"/>
  <c r="J11" i="22"/>
  <c r="I11" i="22"/>
  <c r="K10" i="22"/>
  <c r="J10" i="22"/>
  <c r="I10" i="22"/>
  <c r="K9" i="22"/>
  <c r="J9" i="22"/>
  <c r="I9" i="22"/>
  <c r="K8" i="22"/>
  <c r="J8" i="22"/>
  <c r="I8" i="22"/>
  <c r="K7" i="22"/>
  <c r="J7" i="22"/>
  <c r="I7" i="22"/>
  <c r="K6" i="22"/>
  <c r="J6" i="22"/>
  <c r="I6" i="22"/>
  <c r="K5" i="22"/>
  <c r="J5" i="22"/>
  <c r="I5" i="22"/>
  <c r="K4" i="22"/>
  <c r="J4" i="22"/>
  <c r="I4" i="22"/>
  <c r="K3" i="22"/>
  <c r="J3" i="22"/>
  <c r="I3" i="22"/>
  <c r="K2" i="22"/>
  <c r="J2" i="22"/>
  <c r="I2" i="22"/>
  <c r="K101" i="21"/>
  <c r="J101" i="21"/>
  <c r="I101" i="21"/>
  <c r="K100" i="21"/>
  <c r="J100" i="21"/>
  <c r="I100" i="21"/>
  <c r="K99" i="21"/>
  <c r="J99" i="21"/>
  <c r="I99" i="21"/>
  <c r="K98" i="21"/>
  <c r="J98" i="21"/>
  <c r="I98" i="21"/>
  <c r="K97" i="21"/>
  <c r="J97" i="21"/>
  <c r="I97" i="21"/>
  <c r="K96" i="21"/>
  <c r="J96" i="21"/>
  <c r="I96" i="21"/>
  <c r="K95" i="21"/>
  <c r="J95" i="21"/>
  <c r="I95" i="21"/>
  <c r="K94" i="21"/>
  <c r="J94" i="21"/>
  <c r="I94" i="21"/>
  <c r="K93" i="21"/>
  <c r="J93" i="21"/>
  <c r="I93" i="21"/>
  <c r="K92" i="21"/>
  <c r="J92" i="21"/>
  <c r="I92" i="21"/>
  <c r="K91" i="21"/>
  <c r="J91" i="21"/>
  <c r="I91" i="21"/>
  <c r="K90" i="21"/>
  <c r="J90" i="21"/>
  <c r="I90" i="21"/>
  <c r="K89" i="21"/>
  <c r="J89" i="21"/>
  <c r="I89" i="21"/>
  <c r="K88" i="21"/>
  <c r="J88" i="21"/>
  <c r="I88" i="21"/>
  <c r="K87" i="21"/>
  <c r="J87" i="21"/>
  <c r="I87" i="21"/>
  <c r="K86" i="21"/>
  <c r="J86" i="21"/>
  <c r="I86" i="21"/>
  <c r="K85" i="21"/>
  <c r="J85" i="21"/>
  <c r="I85" i="21"/>
  <c r="K84" i="21"/>
  <c r="J84" i="21"/>
  <c r="I84" i="21"/>
  <c r="K83" i="21"/>
  <c r="J83" i="21"/>
  <c r="I83" i="21"/>
  <c r="K82" i="21"/>
  <c r="J82" i="21"/>
  <c r="I82" i="21"/>
  <c r="K81" i="21"/>
  <c r="J81" i="21"/>
  <c r="I81" i="21"/>
  <c r="K80" i="21"/>
  <c r="J80" i="21"/>
  <c r="I80" i="21"/>
  <c r="K79" i="21"/>
  <c r="J79" i="21"/>
  <c r="I79" i="21"/>
  <c r="K78" i="21"/>
  <c r="J78" i="21"/>
  <c r="I78" i="21"/>
  <c r="K77" i="21"/>
  <c r="J77" i="21"/>
  <c r="I77" i="21"/>
  <c r="K76" i="21"/>
  <c r="J76" i="21"/>
  <c r="I76" i="21"/>
  <c r="K75" i="21"/>
  <c r="J75" i="21"/>
  <c r="I75" i="21"/>
  <c r="K74" i="21"/>
  <c r="J74" i="21"/>
  <c r="I74" i="21"/>
  <c r="K73" i="21"/>
  <c r="J73" i="21"/>
  <c r="I73" i="21"/>
  <c r="K72" i="21"/>
  <c r="J72" i="21"/>
  <c r="I72" i="21"/>
  <c r="K71" i="21"/>
  <c r="J71" i="21"/>
  <c r="I71" i="21"/>
  <c r="K70" i="21"/>
  <c r="J70" i="21"/>
  <c r="I70" i="21"/>
  <c r="K69" i="21"/>
  <c r="J69" i="21"/>
  <c r="I69" i="21"/>
  <c r="K68" i="21"/>
  <c r="J68" i="21"/>
  <c r="I68" i="21"/>
  <c r="K67" i="21"/>
  <c r="J67" i="21"/>
  <c r="I67" i="21"/>
  <c r="K66" i="21"/>
  <c r="J66" i="21"/>
  <c r="I66" i="21"/>
  <c r="K65" i="21"/>
  <c r="J65" i="21"/>
  <c r="I65" i="21"/>
  <c r="K64" i="21"/>
  <c r="J64" i="21"/>
  <c r="I64" i="21"/>
  <c r="K63" i="21"/>
  <c r="J63" i="21"/>
  <c r="I63" i="21"/>
  <c r="K62" i="21"/>
  <c r="J62" i="21"/>
  <c r="I62" i="21"/>
  <c r="K61" i="21"/>
  <c r="J61" i="21"/>
  <c r="I61" i="21"/>
  <c r="K60" i="21"/>
  <c r="J60" i="21"/>
  <c r="I60" i="21"/>
  <c r="K59" i="21"/>
  <c r="J59" i="21"/>
  <c r="I59" i="21"/>
  <c r="K58" i="21"/>
  <c r="J58" i="21"/>
  <c r="I58" i="21"/>
  <c r="K57" i="21"/>
  <c r="J57" i="21"/>
  <c r="I57" i="21"/>
  <c r="K56" i="21"/>
  <c r="J56" i="21"/>
  <c r="I56" i="21"/>
  <c r="K55" i="21"/>
  <c r="J55" i="21"/>
  <c r="I55" i="21"/>
  <c r="K54" i="21"/>
  <c r="J54" i="21"/>
  <c r="I54" i="21"/>
  <c r="K53" i="21"/>
  <c r="J53" i="21"/>
  <c r="I53" i="21"/>
  <c r="K52" i="21"/>
  <c r="J52" i="21"/>
  <c r="I52" i="21"/>
  <c r="K51" i="21"/>
  <c r="J51" i="21"/>
  <c r="I51" i="21"/>
  <c r="K50" i="21"/>
  <c r="J50" i="21"/>
  <c r="I50" i="21"/>
  <c r="K49" i="21"/>
  <c r="J49" i="21"/>
  <c r="I49" i="21"/>
  <c r="K48" i="21"/>
  <c r="J48" i="21"/>
  <c r="I48" i="21"/>
  <c r="K47" i="21"/>
  <c r="J47" i="21"/>
  <c r="I47" i="21"/>
  <c r="K46" i="21"/>
  <c r="J46" i="21"/>
  <c r="I46" i="21"/>
  <c r="K45" i="21"/>
  <c r="J45" i="21"/>
  <c r="I45" i="21"/>
  <c r="K44" i="21"/>
  <c r="J44" i="21"/>
  <c r="I44" i="21"/>
  <c r="K43" i="21"/>
  <c r="J43" i="21"/>
  <c r="I43" i="21"/>
  <c r="K42" i="21"/>
  <c r="J42" i="21"/>
  <c r="I42" i="21"/>
  <c r="K41" i="21"/>
  <c r="J41" i="21"/>
  <c r="I41" i="21"/>
  <c r="K40" i="21"/>
  <c r="J40" i="21"/>
  <c r="I40" i="21"/>
  <c r="K39" i="21"/>
  <c r="J39" i="21"/>
  <c r="I39" i="21"/>
  <c r="K38" i="21"/>
  <c r="J38" i="21"/>
  <c r="I38" i="21"/>
  <c r="K37" i="21"/>
  <c r="J37" i="21"/>
  <c r="I37" i="21"/>
  <c r="K36" i="21"/>
  <c r="J36" i="21"/>
  <c r="I36" i="21"/>
  <c r="K35" i="21"/>
  <c r="J35" i="21"/>
  <c r="I35" i="21"/>
  <c r="K34" i="21"/>
  <c r="J34" i="21"/>
  <c r="I34" i="21"/>
  <c r="K33" i="21"/>
  <c r="J33" i="21"/>
  <c r="I33" i="21"/>
  <c r="K32" i="21"/>
  <c r="J32" i="21"/>
  <c r="I32" i="21"/>
  <c r="K31" i="21"/>
  <c r="J31" i="21"/>
  <c r="I31" i="21"/>
  <c r="K30" i="21"/>
  <c r="J30" i="21"/>
  <c r="I30" i="21"/>
  <c r="K29" i="21"/>
  <c r="J29" i="21"/>
  <c r="I29" i="21"/>
  <c r="K28" i="21"/>
  <c r="J28" i="21"/>
  <c r="I28" i="21"/>
  <c r="K27" i="21"/>
  <c r="J27" i="21"/>
  <c r="I27" i="21"/>
  <c r="K26" i="21"/>
  <c r="J26" i="21"/>
  <c r="I26" i="21"/>
  <c r="K25" i="21"/>
  <c r="J25" i="21"/>
  <c r="I25" i="21"/>
  <c r="K24" i="21"/>
  <c r="J24" i="21"/>
  <c r="I24" i="21"/>
  <c r="K23" i="21"/>
  <c r="J23" i="21"/>
  <c r="I23" i="21"/>
  <c r="K22" i="21"/>
  <c r="J22" i="21"/>
  <c r="I22" i="21"/>
  <c r="K21" i="21"/>
  <c r="J21" i="21"/>
  <c r="I21" i="21"/>
  <c r="K20" i="21"/>
  <c r="J20" i="21"/>
  <c r="I20" i="21"/>
  <c r="K19" i="21"/>
  <c r="J19" i="21"/>
  <c r="I19" i="21"/>
  <c r="K18" i="21"/>
  <c r="J18" i="21"/>
  <c r="I18" i="21"/>
  <c r="K17" i="21"/>
  <c r="J17" i="21"/>
  <c r="I17" i="21"/>
  <c r="K16" i="21"/>
  <c r="J16" i="21"/>
  <c r="I16" i="21"/>
  <c r="K15" i="21"/>
  <c r="J15" i="21"/>
  <c r="I15" i="21"/>
  <c r="K14" i="21"/>
  <c r="J14" i="21"/>
  <c r="I14" i="21"/>
  <c r="K13" i="21"/>
  <c r="J13" i="21"/>
  <c r="I13" i="21"/>
  <c r="K12" i="21"/>
  <c r="J12" i="21"/>
  <c r="I12" i="21"/>
  <c r="K11" i="21"/>
  <c r="J11" i="21"/>
  <c r="I11" i="21"/>
  <c r="K10" i="21"/>
  <c r="J10" i="21"/>
  <c r="I10" i="21"/>
  <c r="K9" i="21"/>
  <c r="J9" i="21"/>
  <c r="I9" i="21"/>
  <c r="K8" i="21"/>
  <c r="J8" i="21"/>
  <c r="I8" i="21"/>
  <c r="K7" i="21"/>
  <c r="J7" i="21"/>
  <c r="I7" i="21"/>
  <c r="K6" i="21"/>
  <c r="J6" i="21"/>
  <c r="I6" i="21"/>
  <c r="K5" i="21"/>
  <c r="J5" i="21"/>
  <c r="I5" i="21"/>
  <c r="K4" i="21"/>
  <c r="J4" i="21"/>
  <c r="I4" i="21"/>
  <c r="K3" i="21"/>
  <c r="J3" i="21"/>
  <c r="I3" i="21"/>
  <c r="K2" i="21"/>
  <c r="J2" i="21"/>
  <c r="I2" i="21"/>
  <c r="K101" i="20"/>
  <c r="J101" i="20"/>
  <c r="I101" i="20"/>
  <c r="K100" i="20"/>
  <c r="J100" i="20"/>
  <c r="I100" i="20"/>
  <c r="K99" i="20"/>
  <c r="J99" i="20"/>
  <c r="I99" i="20"/>
  <c r="K98" i="20"/>
  <c r="J98" i="20"/>
  <c r="I98" i="20"/>
  <c r="K97" i="20"/>
  <c r="J97" i="20"/>
  <c r="I97" i="20"/>
  <c r="K96" i="20"/>
  <c r="J96" i="20"/>
  <c r="I96" i="20"/>
  <c r="K95" i="20"/>
  <c r="J95" i="20"/>
  <c r="I95" i="20"/>
  <c r="K94" i="20"/>
  <c r="J94" i="20"/>
  <c r="I94" i="20"/>
  <c r="K93" i="20"/>
  <c r="J93" i="20"/>
  <c r="I93" i="20"/>
  <c r="K92" i="20"/>
  <c r="J92" i="20"/>
  <c r="I92" i="20"/>
  <c r="K91" i="20"/>
  <c r="J91" i="20"/>
  <c r="I91" i="20"/>
  <c r="K90" i="20"/>
  <c r="J90" i="20"/>
  <c r="I90" i="20"/>
  <c r="K89" i="20"/>
  <c r="J89" i="20"/>
  <c r="I89" i="20"/>
  <c r="K88" i="20"/>
  <c r="J88" i="20"/>
  <c r="I88" i="20"/>
  <c r="K87" i="20"/>
  <c r="J87" i="20"/>
  <c r="I87" i="20"/>
  <c r="K86" i="20"/>
  <c r="J86" i="20"/>
  <c r="I86" i="20"/>
  <c r="K85" i="20"/>
  <c r="J85" i="20"/>
  <c r="I85" i="20"/>
  <c r="K84" i="20"/>
  <c r="J84" i="20"/>
  <c r="I84" i="20"/>
  <c r="K83" i="20"/>
  <c r="J83" i="20"/>
  <c r="I83" i="20"/>
  <c r="K82" i="20"/>
  <c r="J82" i="20"/>
  <c r="I82" i="20"/>
  <c r="K81" i="20"/>
  <c r="J81" i="20"/>
  <c r="I81" i="20"/>
  <c r="K80" i="20"/>
  <c r="J80" i="20"/>
  <c r="I80" i="20"/>
  <c r="K79" i="20"/>
  <c r="J79" i="20"/>
  <c r="I79" i="20"/>
  <c r="K78" i="20"/>
  <c r="J78" i="20"/>
  <c r="I78" i="20"/>
  <c r="K77" i="20"/>
  <c r="J77" i="20"/>
  <c r="I77" i="20"/>
  <c r="K76" i="20"/>
  <c r="J76" i="20"/>
  <c r="I76" i="20"/>
  <c r="K75" i="20"/>
  <c r="J75" i="20"/>
  <c r="I75" i="20"/>
  <c r="K74" i="20"/>
  <c r="J74" i="20"/>
  <c r="I74" i="20"/>
  <c r="K73" i="20"/>
  <c r="J73" i="20"/>
  <c r="I73" i="20"/>
  <c r="K72" i="20"/>
  <c r="J72" i="20"/>
  <c r="I72" i="20"/>
  <c r="K71" i="20"/>
  <c r="J71" i="20"/>
  <c r="I71" i="20"/>
  <c r="K70" i="20"/>
  <c r="J70" i="20"/>
  <c r="I70" i="20"/>
  <c r="K69" i="20"/>
  <c r="J69" i="20"/>
  <c r="I69" i="20"/>
  <c r="K68" i="20"/>
  <c r="J68" i="20"/>
  <c r="I68" i="20"/>
  <c r="K67" i="20"/>
  <c r="J67" i="20"/>
  <c r="I67" i="20"/>
  <c r="K66" i="20"/>
  <c r="J66" i="20"/>
  <c r="I66" i="20"/>
  <c r="K65" i="20"/>
  <c r="J65" i="20"/>
  <c r="I65" i="20"/>
  <c r="K64" i="20"/>
  <c r="J64" i="20"/>
  <c r="I64" i="20"/>
  <c r="K63" i="20"/>
  <c r="J63" i="20"/>
  <c r="I63" i="20"/>
  <c r="K62" i="20"/>
  <c r="J62" i="20"/>
  <c r="I62" i="20"/>
  <c r="K61" i="20"/>
  <c r="J61" i="20"/>
  <c r="I61" i="20"/>
  <c r="K60" i="20"/>
  <c r="J60" i="20"/>
  <c r="I60" i="20"/>
  <c r="K59" i="20"/>
  <c r="J59" i="20"/>
  <c r="I59" i="20"/>
  <c r="K58" i="20"/>
  <c r="J58" i="20"/>
  <c r="I58" i="20"/>
  <c r="K57" i="20"/>
  <c r="J57" i="20"/>
  <c r="I57" i="20"/>
  <c r="K56" i="20"/>
  <c r="J56" i="20"/>
  <c r="I56" i="20"/>
  <c r="K55" i="20"/>
  <c r="J55" i="20"/>
  <c r="I55" i="20"/>
  <c r="K54" i="20"/>
  <c r="J54" i="20"/>
  <c r="I54" i="20"/>
  <c r="K53" i="20"/>
  <c r="J53" i="20"/>
  <c r="I53" i="20"/>
  <c r="K52" i="20"/>
  <c r="J52" i="20"/>
  <c r="I52" i="20"/>
  <c r="K51" i="20"/>
  <c r="J51" i="20"/>
  <c r="I51" i="20"/>
  <c r="K50" i="20"/>
  <c r="J50" i="20"/>
  <c r="I50" i="20"/>
  <c r="K49" i="20"/>
  <c r="J49" i="20"/>
  <c r="I49" i="20"/>
  <c r="K48" i="20"/>
  <c r="J48" i="20"/>
  <c r="I48" i="20"/>
  <c r="K47" i="20"/>
  <c r="J47" i="20"/>
  <c r="I47" i="20"/>
  <c r="K46" i="20"/>
  <c r="J46" i="20"/>
  <c r="I46" i="20"/>
  <c r="K45" i="20"/>
  <c r="J45" i="20"/>
  <c r="I45" i="20"/>
  <c r="K44" i="20"/>
  <c r="J44" i="20"/>
  <c r="I44" i="20"/>
  <c r="K43" i="20"/>
  <c r="J43" i="20"/>
  <c r="I43" i="20"/>
  <c r="K42" i="20"/>
  <c r="J42" i="20"/>
  <c r="I42" i="20"/>
  <c r="K41" i="20"/>
  <c r="J41" i="20"/>
  <c r="I41" i="20"/>
  <c r="K40" i="20"/>
  <c r="J40" i="20"/>
  <c r="I40" i="20"/>
  <c r="K39" i="20"/>
  <c r="J39" i="20"/>
  <c r="I39" i="20"/>
  <c r="K38" i="20"/>
  <c r="J38" i="20"/>
  <c r="I38" i="20"/>
  <c r="K37" i="20"/>
  <c r="J37" i="20"/>
  <c r="I37" i="20"/>
  <c r="K36" i="20"/>
  <c r="J36" i="20"/>
  <c r="I36" i="20"/>
  <c r="K35" i="20"/>
  <c r="J35" i="20"/>
  <c r="I35" i="20"/>
  <c r="K34" i="20"/>
  <c r="J34" i="20"/>
  <c r="I34" i="20"/>
  <c r="K33" i="20"/>
  <c r="J33" i="20"/>
  <c r="I33" i="20"/>
  <c r="K32" i="20"/>
  <c r="J32" i="20"/>
  <c r="I32" i="20"/>
  <c r="K31" i="20"/>
  <c r="J31" i="20"/>
  <c r="I31" i="20"/>
  <c r="K30" i="20"/>
  <c r="J30" i="20"/>
  <c r="I30" i="20"/>
  <c r="K29" i="20"/>
  <c r="J29" i="20"/>
  <c r="I29" i="20"/>
  <c r="K28" i="20"/>
  <c r="J28" i="20"/>
  <c r="I28" i="20"/>
  <c r="K27" i="20"/>
  <c r="J27" i="20"/>
  <c r="I27" i="20"/>
  <c r="K26" i="20"/>
  <c r="J26" i="20"/>
  <c r="I26" i="20"/>
  <c r="K25" i="20"/>
  <c r="J25" i="20"/>
  <c r="I25" i="20"/>
  <c r="K24" i="20"/>
  <c r="J24" i="20"/>
  <c r="I24" i="20"/>
  <c r="K23" i="20"/>
  <c r="J23" i="20"/>
  <c r="I23" i="20"/>
  <c r="K22" i="20"/>
  <c r="J22" i="20"/>
  <c r="I22" i="20"/>
  <c r="K21" i="20"/>
  <c r="J21" i="20"/>
  <c r="I21" i="20"/>
  <c r="K20" i="20"/>
  <c r="J20" i="20"/>
  <c r="I20" i="20"/>
  <c r="K19" i="20"/>
  <c r="J19" i="20"/>
  <c r="I19" i="20"/>
  <c r="K18" i="20"/>
  <c r="J18" i="20"/>
  <c r="I18" i="20"/>
  <c r="K17" i="20"/>
  <c r="J17" i="20"/>
  <c r="I17" i="20"/>
  <c r="K16" i="20"/>
  <c r="J16" i="20"/>
  <c r="I16" i="20"/>
  <c r="K15" i="20"/>
  <c r="J15" i="20"/>
  <c r="I15" i="20"/>
  <c r="K14" i="20"/>
  <c r="J14" i="20"/>
  <c r="I14" i="20"/>
  <c r="K13" i="20"/>
  <c r="J13" i="20"/>
  <c r="I13" i="20"/>
  <c r="K12" i="20"/>
  <c r="J12" i="20"/>
  <c r="I12" i="20"/>
  <c r="K11" i="20"/>
  <c r="J11" i="20"/>
  <c r="I11" i="20"/>
  <c r="K10" i="20"/>
  <c r="J10" i="20"/>
  <c r="I10" i="20"/>
  <c r="K9" i="20"/>
  <c r="J9" i="20"/>
  <c r="I9" i="20"/>
  <c r="K8" i="20"/>
  <c r="J8" i="20"/>
  <c r="I8" i="20"/>
  <c r="K7" i="20"/>
  <c r="J7" i="20"/>
  <c r="I7" i="20"/>
  <c r="K6" i="20"/>
  <c r="J6" i="20"/>
  <c r="I6" i="20"/>
  <c r="K5" i="20"/>
  <c r="J5" i="20"/>
  <c r="I5" i="20"/>
  <c r="K4" i="20"/>
  <c r="J4" i="20"/>
  <c r="I4" i="20"/>
  <c r="K3" i="20"/>
  <c r="J3" i="20"/>
  <c r="I3" i="20"/>
  <c r="K2" i="20"/>
  <c r="J2" i="20"/>
  <c r="I2" i="20"/>
  <c r="K101" i="19"/>
  <c r="J101" i="19"/>
  <c r="I101" i="19"/>
  <c r="K100" i="19"/>
  <c r="J100" i="19"/>
  <c r="I100" i="19"/>
  <c r="K99" i="19"/>
  <c r="J99" i="19"/>
  <c r="I99" i="19"/>
  <c r="K98" i="19"/>
  <c r="J98" i="19"/>
  <c r="I98" i="19"/>
  <c r="K97" i="19"/>
  <c r="J97" i="19"/>
  <c r="I97" i="19"/>
  <c r="K96" i="19"/>
  <c r="J96" i="19"/>
  <c r="I96" i="19"/>
  <c r="K95" i="19"/>
  <c r="J95" i="19"/>
  <c r="I95" i="19"/>
  <c r="K94" i="19"/>
  <c r="J94" i="19"/>
  <c r="I94" i="19"/>
  <c r="K93" i="19"/>
  <c r="J93" i="19"/>
  <c r="I93" i="19"/>
  <c r="K92" i="19"/>
  <c r="J92" i="19"/>
  <c r="I92" i="19"/>
  <c r="K91" i="19"/>
  <c r="J91" i="19"/>
  <c r="I91" i="19"/>
  <c r="K90" i="19"/>
  <c r="J90" i="19"/>
  <c r="I90" i="19"/>
  <c r="K89" i="19"/>
  <c r="J89" i="19"/>
  <c r="I89" i="19"/>
  <c r="K88" i="19"/>
  <c r="J88" i="19"/>
  <c r="I88" i="19"/>
  <c r="K87" i="19"/>
  <c r="J87" i="19"/>
  <c r="I87" i="19"/>
  <c r="K86" i="19"/>
  <c r="J86" i="19"/>
  <c r="I86" i="19"/>
  <c r="K85" i="19"/>
  <c r="J85" i="19"/>
  <c r="I85" i="19"/>
  <c r="K84" i="19"/>
  <c r="J84" i="19"/>
  <c r="I84" i="19"/>
  <c r="K83" i="19"/>
  <c r="J83" i="19"/>
  <c r="I83" i="19"/>
  <c r="K82" i="19"/>
  <c r="J82" i="19"/>
  <c r="I82" i="19"/>
  <c r="K81" i="19"/>
  <c r="J81" i="19"/>
  <c r="I81" i="19"/>
  <c r="K80" i="19"/>
  <c r="J80" i="19"/>
  <c r="I80" i="19"/>
  <c r="K79" i="19"/>
  <c r="J79" i="19"/>
  <c r="I79" i="19"/>
  <c r="K78" i="19"/>
  <c r="J78" i="19"/>
  <c r="I78" i="19"/>
  <c r="K77" i="19"/>
  <c r="J77" i="19"/>
  <c r="I77" i="19"/>
  <c r="K76" i="19"/>
  <c r="J76" i="19"/>
  <c r="I76" i="19"/>
  <c r="K75" i="19"/>
  <c r="J75" i="19"/>
  <c r="I75" i="19"/>
  <c r="K74" i="19"/>
  <c r="J74" i="19"/>
  <c r="I74" i="19"/>
  <c r="K73" i="19"/>
  <c r="J73" i="19"/>
  <c r="I73" i="19"/>
  <c r="K72" i="19"/>
  <c r="J72" i="19"/>
  <c r="I72" i="19"/>
  <c r="K71" i="19"/>
  <c r="J71" i="19"/>
  <c r="I71" i="19"/>
  <c r="K70" i="19"/>
  <c r="J70" i="19"/>
  <c r="I70" i="19"/>
  <c r="K69" i="19"/>
  <c r="J69" i="19"/>
  <c r="I69" i="19"/>
  <c r="K68" i="19"/>
  <c r="J68" i="19"/>
  <c r="I68" i="19"/>
  <c r="K67" i="19"/>
  <c r="J67" i="19"/>
  <c r="I67" i="19"/>
  <c r="K66" i="19"/>
  <c r="J66" i="19"/>
  <c r="I66" i="19"/>
  <c r="K65" i="19"/>
  <c r="J65" i="19"/>
  <c r="I65" i="19"/>
  <c r="K64" i="19"/>
  <c r="J64" i="19"/>
  <c r="I64" i="19"/>
  <c r="K63" i="19"/>
  <c r="J63" i="19"/>
  <c r="I63" i="19"/>
  <c r="K62" i="19"/>
  <c r="J62" i="19"/>
  <c r="I62" i="19"/>
  <c r="K61" i="19"/>
  <c r="J61" i="19"/>
  <c r="I61" i="19"/>
  <c r="K60" i="19"/>
  <c r="J60" i="19"/>
  <c r="I60" i="19"/>
  <c r="K59" i="19"/>
  <c r="J59" i="19"/>
  <c r="I59" i="19"/>
  <c r="K58" i="19"/>
  <c r="J58" i="19"/>
  <c r="I58" i="19"/>
  <c r="K57" i="19"/>
  <c r="J57" i="19"/>
  <c r="I57" i="19"/>
  <c r="K56" i="19"/>
  <c r="J56" i="19"/>
  <c r="I56" i="19"/>
  <c r="K55" i="19"/>
  <c r="J55" i="19"/>
  <c r="I55" i="19"/>
  <c r="K54" i="19"/>
  <c r="J54" i="19"/>
  <c r="I54" i="19"/>
  <c r="K53" i="19"/>
  <c r="J53" i="19"/>
  <c r="I53" i="19"/>
  <c r="K52" i="19"/>
  <c r="J52" i="19"/>
  <c r="I52" i="19"/>
  <c r="K51" i="19"/>
  <c r="J51" i="19"/>
  <c r="I51" i="19"/>
  <c r="K50" i="19"/>
  <c r="J50" i="19"/>
  <c r="I50" i="19"/>
  <c r="K49" i="19"/>
  <c r="J49" i="19"/>
  <c r="I49" i="19"/>
  <c r="K48" i="19"/>
  <c r="J48" i="19"/>
  <c r="I48" i="19"/>
  <c r="K47" i="19"/>
  <c r="J47" i="19"/>
  <c r="I47" i="19"/>
  <c r="K46" i="19"/>
  <c r="J46" i="19"/>
  <c r="I46" i="19"/>
  <c r="K45" i="19"/>
  <c r="J45" i="19"/>
  <c r="I45" i="19"/>
  <c r="K44" i="19"/>
  <c r="J44" i="19"/>
  <c r="I44" i="19"/>
  <c r="K43" i="19"/>
  <c r="J43" i="19"/>
  <c r="I43" i="19"/>
  <c r="K42" i="19"/>
  <c r="J42" i="19"/>
  <c r="I42" i="19"/>
  <c r="K41" i="19"/>
  <c r="J41" i="19"/>
  <c r="I41" i="19"/>
  <c r="K40" i="19"/>
  <c r="J40" i="19"/>
  <c r="I40" i="19"/>
  <c r="K39" i="19"/>
  <c r="J39" i="19"/>
  <c r="I39" i="19"/>
  <c r="K38" i="19"/>
  <c r="J38" i="19"/>
  <c r="I38" i="19"/>
  <c r="K37" i="19"/>
  <c r="J37" i="19"/>
  <c r="I37" i="19"/>
  <c r="K36" i="19"/>
  <c r="J36" i="19"/>
  <c r="I36" i="19"/>
  <c r="K35" i="19"/>
  <c r="J35" i="19"/>
  <c r="I35" i="19"/>
  <c r="K34" i="19"/>
  <c r="J34" i="19"/>
  <c r="I34" i="19"/>
  <c r="K33" i="19"/>
  <c r="J33" i="19"/>
  <c r="I33" i="19"/>
  <c r="K32" i="19"/>
  <c r="J32" i="19"/>
  <c r="I32" i="19"/>
  <c r="K31" i="19"/>
  <c r="J31" i="19"/>
  <c r="I31" i="19"/>
  <c r="K30" i="19"/>
  <c r="J30" i="19"/>
  <c r="I30" i="19"/>
  <c r="K29" i="19"/>
  <c r="J29" i="19"/>
  <c r="I29" i="19"/>
  <c r="K28" i="19"/>
  <c r="J28" i="19"/>
  <c r="I28" i="19"/>
  <c r="K27" i="19"/>
  <c r="J27" i="19"/>
  <c r="I27" i="19"/>
  <c r="K26" i="19"/>
  <c r="J26" i="19"/>
  <c r="I26" i="19"/>
  <c r="K25" i="19"/>
  <c r="J25" i="19"/>
  <c r="I25" i="19"/>
  <c r="K24" i="19"/>
  <c r="J24" i="19"/>
  <c r="I24" i="19"/>
  <c r="K23" i="19"/>
  <c r="J23" i="19"/>
  <c r="I23" i="19"/>
  <c r="K22" i="19"/>
  <c r="J22" i="19"/>
  <c r="I22" i="19"/>
  <c r="K21" i="19"/>
  <c r="J21" i="19"/>
  <c r="I21" i="19"/>
  <c r="K20" i="19"/>
  <c r="J20" i="19"/>
  <c r="I20" i="19"/>
  <c r="K19" i="19"/>
  <c r="J19" i="19"/>
  <c r="I19" i="19"/>
  <c r="K18" i="19"/>
  <c r="J18" i="19"/>
  <c r="I18" i="19"/>
  <c r="K17" i="19"/>
  <c r="J17" i="19"/>
  <c r="I17" i="19"/>
  <c r="K16" i="19"/>
  <c r="J16" i="19"/>
  <c r="I16" i="19"/>
  <c r="K15" i="19"/>
  <c r="J15" i="19"/>
  <c r="I15" i="19"/>
  <c r="K14" i="19"/>
  <c r="J14" i="19"/>
  <c r="I14" i="19"/>
  <c r="K13" i="19"/>
  <c r="J13" i="19"/>
  <c r="I13" i="19"/>
  <c r="K12" i="19"/>
  <c r="J12" i="19"/>
  <c r="I12" i="19"/>
  <c r="K11" i="19"/>
  <c r="J11" i="19"/>
  <c r="I11" i="19"/>
  <c r="K10" i="19"/>
  <c r="J10" i="19"/>
  <c r="I10" i="19"/>
  <c r="K9" i="19"/>
  <c r="J9" i="19"/>
  <c r="I9" i="19"/>
  <c r="K8" i="19"/>
  <c r="J8" i="19"/>
  <c r="I8" i="19"/>
  <c r="K7" i="19"/>
  <c r="J7" i="19"/>
  <c r="I7" i="19"/>
  <c r="K6" i="19"/>
  <c r="J6" i="19"/>
  <c r="I6" i="19"/>
  <c r="K5" i="19"/>
  <c r="J5" i="19"/>
  <c r="I5" i="19"/>
  <c r="K4" i="19"/>
  <c r="J4" i="19"/>
  <c r="I4" i="19"/>
  <c r="K3" i="19"/>
  <c r="J3" i="19"/>
  <c r="I3" i="19"/>
  <c r="K2" i="19"/>
  <c r="J2" i="19"/>
  <c r="I2" i="19"/>
  <c r="K101" i="18"/>
  <c r="J101" i="18"/>
  <c r="I101" i="18"/>
  <c r="K100" i="18"/>
  <c r="J100" i="18"/>
  <c r="I100" i="18"/>
  <c r="K99" i="18"/>
  <c r="J99" i="18"/>
  <c r="I99" i="18"/>
  <c r="K98" i="18"/>
  <c r="J98" i="18"/>
  <c r="I98" i="18"/>
  <c r="K97" i="18"/>
  <c r="J97" i="18"/>
  <c r="I97" i="18"/>
  <c r="K96" i="18"/>
  <c r="J96" i="18"/>
  <c r="I96" i="18"/>
  <c r="K95" i="18"/>
  <c r="J95" i="18"/>
  <c r="I95" i="18"/>
  <c r="K94" i="18"/>
  <c r="J94" i="18"/>
  <c r="I94" i="18"/>
  <c r="K93" i="18"/>
  <c r="J93" i="18"/>
  <c r="I93" i="18"/>
  <c r="K92" i="18"/>
  <c r="J92" i="18"/>
  <c r="I92" i="18"/>
  <c r="K91" i="18"/>
  <c r="J91" i="18"/>
  <c r="I91" i="18"/>
  <c r="K90" i="18"/>
  <c r="J90" i="18"/>
  <c r="I90" i="18"/>
  <c r="K89" i="18"/>
  <c r="J89" i="18"/>
  <c r="I89" i="18"/>
  <c r="K88" i="18"/>
  <c r="J88" i="18"/>
  <c r="I88" i="18"/>
  <c r="K87" i="18"/>
  <c r="J87" i="18"/>
  <c r="I87" i="18"/>
  <c r="K86" i="18"/>
  <c r="J86" i="18"/>
  <c r="I86" i="18"/>
  <c r="K85" i="18"/>
  <c r="J85" i="18"/>
  <c r="I85" i="18"/>
  <c r="K84" i="18"/>
  <c r="J84" i="18"/>
  <c r="I84" i="18"/>
  <c r="K83" i="18"/>
  <c r="J83" i="18"/>
  <c r="I83" i="18"/>
  <c r="K82" i="18"/>
  <c r="J82" i="18"/>
  <c r="I82" i="18"/>
  <c r="K81" i="18"/>
  <c r="J81" i="18"/>
  <c r="I81" i="18"/>
  <c r="K80" i="18"/>
  <c r="J80" i="18"/>
  <c r="I80" i="18"/>
  <c r="K79" i="18"/>
  <c r="J79" i="18"/>
  <c r="I79" i="18"/>
  <c r="K78" i="18"/>
  <c r="J78" i="18"/>
  <c r="I78" i="18"/>
  <c r="K77" i="18"/>
  <c r="J77" i="18"/>
  <c r="I77" i="18"/>
  <c r="K76" i="18"/>
  <c r="J76" i="18"/>
  <c r="I76" i="18"/>
  <c r="K75" i="18"/>
  <c r="J75" i="18"/>
  <c r="I75" i="18"/>
  <c r="K74" i="18"/>
  <c r="J74" i="18"/>
  <c r="I74" i="18"/>
  <c r="K73" i="18"/>
  <c r="J73" i="18"/>
  <c r="I73" i="18"/>
  <c r="K72" i="18"/>
  <c r="J72" i="18"/>
  <c r="I72" i="18"/>
  <c r="K71" i="18"/>
  <c r="J71" i="18"/>
  <c r="I71" i="18"/>
  <c r="K70" i="18"/>
  <c r="J70" i="18"/>
  <c r="I70" i="18"/>
  <c r="K69" i="18"/>
  <c r="J69" i="18"/>
  <c r="I69" i="18"/>
  <c r="K68" i="18"/>
  <c r="J68" i="18"/>
  <c r="I68" i="18"/>
  <c r="K67" i="18"/>
  <c r="J67" i="18"/>
  <c r="I67" i="18"/>
  <c r="K66" i="18"/>
  <c r="J66" i="18"/>
  <c r="I66" i="18"/>
  <c r="K65" i="18"/>
  <c r="J65" i="18"/>
  <c r="I65" i="18"/>
  <c r="K64" i="18"/>
  <c r="J64" i="18"/>
  <c r="I64" i="18"/>
  <c r="K63" i="18"/>
  <c r="J63" i="18"/>
  <c r="I63" i="18"/>
  <c r="K62" i="18"/>
  <c r="J62" i="18"/>
  <c r="I62" i="18"/>
  <c r="K61" i="18"/>
  <c r="J61" i="18"/>
  <c r="I61" i="18"/>
  <c r="K60" i="18"/>
  <c r="J60" i="18"/>
  <c r="I60" i="18"/>
  <c r="K59" i="18"/>
  <c r="J59" i="18"/>
  <c r="I59" i="18"/>
  <c r="K58" i="18"/>
  <c r="J58" i="18"/>
  <c r="I58" i="18"/>
  <c r="K57" i="18"/>
  <c r="J57" i="18"/>
  <c r="I57" i="18"/>
  <c r="K56" i="18"/>
  <c r="J56" i="18"/>
  <c r="I56" i="18"/>
  <c r="K55" i="18"/>
  <c r="J55" i="18"/>
  <c r="I55" i="18"/>
  <c r="K54" i="18"/>
  <c r="J54" i="18"/>
  <c r="I54" i="18"/>
  <c r="K53" i="18"/>
  <c r="J53" i="18"/>
  <c r="I53" i="18"/>
  <c r="K52" i="18"/>
  <c r="J52" i="18"/>
  <c r="I52" i="18"/>
  <c r="K51" i="18"/>
  <c r="J51" i="18"/>
  <c r="I51" i="18"/>
  <c r="K50" i="18"/>
  <c r="J50" i="18"/>
  <c r="I50" i="18"/>
  <c r="K49" i="18"/>
  <c r="J49" i="18"/>
  <c r="I49" i="18"/>
  <c r="K48" i="18"/>
  <c r="J48" i="18"/>
  <c r="I48" i="18"/>
  <c r="K47" i="18"/>
  <c r="J47" i="18"/>
  <c r="I47" i="18"/>
  <c r="K46" i="18"/>
  <c r="J46" i="18"/>
  <c r="I46" i="18"/>
  <c r="K45" i="18"/>
  <c r="J45" i="18"/>
  <c r="I45" i="18"/>
  <c r="K44" i="18"/>
  <c r="J44" i="18"/>
  <c r="I44" i="18"/>
  <c r="K43" i="18"/>
  <c r="J43" i="18"/>
  <c r="I43" i="18"/>
  <c r="K42" i="18"/>
  <c r="J42" i="18"/>
  <c r="I42" i="18"/>
  <c r="K41" i="18"/>
  <c r="J41" i="18"/>
  <c r="I41" i="18"/>
  <c r="K40" i="18"/>
  <c r="J40" i="18"/>
  <c r="I40" i="18"/>
  <c r="K39" i="18"/>
  <c r="J39" i="18"/>
  <c r="I39" i="18"/>
  <c r="K38" i="18"/>
  <c r="J38" i="18"/>
  <c r="I38" i="18"/>
  <c r="K37" i="18"/>
  <c r="J37" i="18"/>
  <c r="I37" i="18"/>
  <c r="K36" i="18"/>
  <c r="J36" i="18"/>
  <c r="I36" i="18"/>
  <c r="K35" i="18"/>
  <c r="J35" i="18"/>
  <c r="I35" i="18"/>
  <c r="K34" i="18"/>
  <c r="J34" i="18"/>
  <c r="I34" i="18"/>
  <c r="K33" i="18"/>
  <c r="J33" i="18"/>
  <c r="I33" i="18"/>
  <c r="K32" i="18"/>
  <c r="J32" i="18"/>
  <c r="I32" i="18"/>
  <c r="K31" i="18"/>
  <c r="J31" i="18"/>
  <c r="I31" i="18"/>
  <c r="K30" i="18"/>
  <c r="J30" i="18"/>
  <c r="I30" i="18"/>
  <c r="K29" i="18"/>
  <c r="J29" i="18"/>
  <c r="I29" i="18"/>
  <c r="K28" i="18"/>
  <c r="J28" i="18"/>
  <c r="I28" i="18"/>
  <c r="K27" i="18"/>
  <c r="J27" i="18"/>
  <c r="I27" i="18"/>
  <c r="K26" i="18"/>
  <c r="J26" i="18"/>
  <c r="I26" i="18"/>
  <c r="K25" i="18"/>
  <c r="J25" i="18"/>
  <c r="I25" i="18"/>
  <c r="K24" i="18"/>
  <c r="J24" i="18"/>
  <c r="I24" i="18"/>
  <c r="K23" i="18"/>
  <c r="J23" i="18"/>
  <c r="I23" i="18"/>
  <c r="K22" i="18"/>
  <c r="J22" i="18"/>
  <c r="I22" i="18"/>
  <c r="K21" i="18"/>
  <c r="J21" i="18"/>
  <c r="I21" i="18"/>
  <c r="K20" i="18"/>
  <c r="J20" i="18"/>
  <c r="I20" i="18"/>
  <c r="K19" i="18"/>
  <c r="J19" i="18"/>
  <c r="I19" i="18"/>
  <c r="K18" i="18"/>
  <c r="J18" i="18"/>
  <c r="I18" i="18"/>
  <c r="K17" i="18"/>
  <c r="J17" i="18"/>
  <c r="I17" i="18"/>
  <c r="K16" i="18"/>
  <c r="J16" i="18"/>
  <c r="I16" i="18"/>
  <c r="K15" i="18"/>
  <c r="J15" i="18"/>
  <c r="I15" i="18"/>
  <c r="K14" i="18"/>
  <c r="J14" i="18"/>
  <c r="I14" i="18"/>
  <c r="K13" i="18"/>
  <c r="J13" i="18"/>
  <c r="I13" i="18"/>
  <c r="K12" i="18"/>
  <c r="J12" i="18"/>
  <c r="I12" i="18"/>
  <c r="K11" i="18"/>
  <c r="J11" i="18"/>
  <c r="I11" i="18"/>
  <c r="K10" i="18"/>
  <c r="J10" i="18"/>
  <c r="I10" i="18"/>
  <c r="K9" i="18"/>
  <c r="J9" i="18"/>
  <c r="I9" i="18"/>
  <c r="K8" i="18"/>
  <c r="J8" i="18"/>
  <c r="I8" i="18"/>
  <c r="K7" i="18"/>
  <c r="J7" i="18"/>
  <c r="I7" i="18"/>
  <c r="K6" i="18"/>
  <c r="J6" i="18"/>
  <c r="I6" i="18"/>
  <c r="K5" i="18"/>
  <c r="J5" i="18"/>
  <c r="I5" i="18"/>
  <c r="K4" i="18"/>
  <c r="J4" i="18"/>
  <c r="I4" i="18"/>
  <c r="K3" i="18"/>
  <c r="J3" i="18"/>
  <c r="I3" i="18"/>
  <c r="K2" i="18"/>
  <c r="J2" i="18"/>
  <c r="I2" i="18"/>
  <c r="K101" i="17"/>
  <c r="J101" i="17"/>
  <c r="I101" i="17"/>
  <c r="K100" i="17"/>
  <c r="J100" i="17"/>
  <c r="I100" i="17"/>
  <c r="K99" i="17"/>
  <c r="J99" i="17"/>
  <c r="I99" i="17"/>
  <c r="K98" i="17"/>
  <c r="J98" i="17"/>
  <c r="I98" i="17"/>
  <c r="K97" i="17"/>
  <c r="J97" i="17"/>
  <c r="I97" i="17"/>
  <c r="K96" i="17"/>
  <c r="J96" i="17"/>
  <c r="I96" i="17"/>
  <c r="K95" i="17"/>
  <c r="J95" i="17"/>
  <c r="I95" i="17"/>
  <c r="K94" i="17"/>
  <c r="J94" i="17"/>
  <c r="I94" i="17"/>
  <c r="K93" i="17"/>
  <c r="J93" i="17"/>
  <c r="I93" i="17"/>
  <c r="K92" i="17"/>
  <c r="J92" i="17"/>
  <c r="I92" i="17"/>
  <c r="K91" i="17"/>
  <c r="J91" i="17"/>
  <c r="I91" i="17"/>
  <c r="K90" i="17"/>
  <c r="J90" i="17"/>
  <c r="I90" i="17"/>
  <c r="K89" i="17"/>
  <c r="J89" i="17"/>
  <c r="I89" i="17"/>
  <c r="K88" i="17"/>
  <c r="J88" i="17"/>
  <c r="I88" i="17"/>
  <c r="K87" i="17"/>
  <c r="J87" i="17"/>
  <c r="I87" i="17"/>
  <c r="K86" i="17"/>
  <c r="J86" i="17"/>
  <c r="I86" i="17"/>
  <c r="K85" i="17"/>
  <c r="J85" i="17"/>
  <c r="I85" i="17"/>
  <c r="K84" i="17"/>
  <c r="J84" i="17"/>
  <c r="I84" i="17"/>
  <c r="K83" i="17"/>
  <c r="J83" i="17"/>
  <c r="I83" i="17"/>
  <c r="K82" i="17"/>
  <c r="J82" i="17"/>
  <c r="I82" i="17"/>
  <c r="K81" i="17"/>
  <c r="J81" i="17"/>
  <c r="I81" i="17"/>
  <c r="K80" i="17"/>
  <c r="J80" i="17"/>
  <c r="I80" i="17"/>
  <c r="K79" i="17"/>
  <c r="J79" i="17"/>
  <c r="I79" i="17"/>
  <c r="K78" i="17"/>
  <c r="J78" i="17"/>
  <c r="I78" i="17"/>
  <c r="K77" i="17"/>
  <c r="J77" i="17"/>
  <c r="I77" i="17"/>
  <c r="K76" i="17"/>
  <c r="J76" i="17"/>
  <c r="I76" i="17"/>
  <c r="K75" i="17"/>
  <c r="J75" i="17"/>
  <c r="I75" i="17"/>
  <c r="K74" i="17"/>
  <c r="J74" i="17"/>
  <c r="I74" i="17"/>
  <c r="K73" i="17"/>
  <c r="J73" i="17"/>
  <c r="I73" i="17"/>
  <c r="K72" i="17"/>
  <c r="J72" i="17"/>
  <c r="I72" i="17"/>
  <c r="K71" i="17"/>
  <c r="J71" i="17"/>
  <c r="I71" i="17"/>
  <c r="K70" i="17"/>
  <c r="J70" i="17"/>
  <c r="I70" i="17"/>
  <c r="K69" i="17"/>
  <c r="J69" i="17"/>
  <c r="I69" i="17"/>
  <c r="K68" i="17"/>
  <c r="J68" i="17"/>
  <c r="I68" i="17"/>
  <c r="K67" i="17"/>
  <c r="J67" i="17"/>
  <c r="I67" i="17"/>
  <c r="K66" i="17"/>
  <c r="J66" i="17"/>
  <c r="I66" i="17"/>
  <c r="K65" i="17"/>
  <c r="J65" i="17"/>
  <c r="I65" i="17"/>
  <c r="K64" i="17"/>
  <c r="J64" i="17"/>
  <c r="I64" i="17"/>
  <c r="K63" i="17"/>
  <c r="J63" i="17"/>
  <c r="I63" i="17"/>
  <c r="K62" i="17"/>
  <c r="J62" i="17"/>
  <c r="I62" i="17"/>
  <c r="K61" i="17"/>
  <c r="J61" i="17"/>
  <c r="I61" i="17"/>
  <c r="K60" i="17"/>
  <c r="J60" i="17"/>
  <c r="I60" i="17"/>
  <c r="K59" i="17"/>
  <c r="J59" i="17"/>
  <c r="I59" i="17"/>
  <c r="K58" i="17"/>
  <c r="J58" i="17"/>
  <c r="I58" i="17"/>
  <c r="K57" i="17"/>
  <c r="J57" i="17"/>
  <c r="I57" i="17"/>
  <c r="K56" i="17"/>
  <c r="J56" i="17"/>
  <c r="I56" i="17"/>
  <c r="K55" i="17"/>
  <c r="J55" i="17"/>
  <c r="I55" i="17"/>
  <c r="K54" i="17"/>
  <c r="J54" i="17"/>
  <c r="I54" i="17"/>
  <c r="K53" i="17"/>
  <c r="J53" i="17"/>
  <c r="I53" i="17"/>
  <c r="K52" i="17"/>
  <c r="J52" i="17"/>
  <c r="I52" i="17"/>
  <c r="K51" i="17"/>
  <c r="J51" i="17"/>
  <c r="I51" i="17"/>
  <c r="K50" i="17"/>
  <c r="J50" i="17"/>
  <c r="I50" i="17"/>
  <c r="K49" i="17"/>
  <c r="J49" i="17"/>
  <c r="I49" i="17"/>
  <c r="K48" i="17"/>
  <c r="J48" i="17"/>
  <c r="I48" i="17"/>
  <c r="K47" i="17"/>
  <c r="J47" i="17"/>
  <c r="I47" i="17"/>
  <c r="K46" i="17"/>
  <c r="J46" i="17"/>
  <c r="I46" i="17"/>
  <c r="K45" i="17"/>
  <c r="J45" i="17"/>
  <c r="I45" i="17"/>
  <c r="K44" i="17"/>
  <c r="J44" i="17"/>
  <c r="I44" i="17"/>
  <c r="K43" i="17"/>
  <c r="J43" i="17"/>
  <c r="I43" i="17"/>
  <c r="K42" i="17"/>
  <c r="J42" i="17"/>
  <c r="I42" i="17"/>
  <c r="K41" i="17"/>
  <c r="J41" i="17"/>
  <c r="I41" i="17"/>
  <c r="K40" i="17"/>
  <c r="J40" i="17"/>
  <c r="I40" i="17"/>
  <c r="K39" i="17"/>
  <c r="J39" i="17"/>
  <c r="I39" i="17"/>
  <c r="K38" i="17"/>
  <c r="J38" i="17"/>
  <c r="I38" i="17"/>
  <c r="K37" i="17"/>
  <c r="J37" i="17"/>
  <c r="I37" i="17"/>
  <c r="K36" i="17"/>
  <c r="J36" i="17"/>
  <c r="I36" i="17"/>
  <c r="K35" i="17"/>
  <c r="J35" i="17"/>
  <c r="I35" i="17"/>
  <c r="K34" i="17"/>
  <c r="J34" i="17"/>
  <c r="I34" i="17"/>
  <c r="K33" i="17"/>
  <c r="J33" i="17"/>
  <c r="I33" i="17"/>
  <c r="K32" i="17"/>
  <c r="J32" i="17"/>
  <c r="I32" i="17"/>
  <c r="K31" i="17"/>
  <c r="J31" i="17"/>
  <c r="I31" i="17"/>
  <c r="K30" i="17"/>
  <c r="J30" i="17"/>
  <c r="I30" i="17"/>
  <c r="K29" i="17"/>
  <c r="J29" i="17"/>
  <c r="I29" i="17"/>
  <c r="K28" i="17"/>
  <c r="J28" i="17"/>
  <c r="I28" i="17"/>
  <c r="K27" i="17"/>
  <c r="J27" i="17"/>
  <c r="I27" i="17"/>
  <c r="K26" i="17"/>
  <c r="J26" i="17"/>
  <c r="I26" i="17"/>
  <c r="K25" i="17"/>
  <c r="J25" i="17"/>
  <c r="I25" i="17"/>
  <c r="K24" i="17"/>
  <c r="J24" i="17"/>
  <c r="I24" i="17"/>
  <c r="K23" i="17"/>
  <c r="J23" i="17"/>
  <c r="I23" i="17"/>
  <c r="K22" i="17"/>
  <c r="J22" i="17"/>
  <c r="I22" i="17"/>
  <c r="K21" i="17"/>
  <c r="J21" i="17"/>
  <c r="I21" i="17"/>
  <c r="K20" i="17"/>
  <c r="J20" i="17"/>
  <c r="I20" i="17"/>
  <c r="K19" i="17"/>
  <c r="J19" i="17"/>
  <c r="I19" i="17"/>
  <c r="K18" i="17"/>
  <c r="J18" i="17"/>
  <c r="I18" i="17"/>
  <c r="K17" i="17"/>
  <c r="J17" i="17"/>
  <c r="I17" i="17"/>
  <c r="K16" i="17"/>
  <c r="J16" i="17"/>
  <c r="I16" i="17"/>
  <c r="K15" i="17"/>
  <c r="J15" i="17"/>
  <c r="I15" i="17"/>
  <c r="K14" i="17"/>
  <c r="J14" i="17"/>
  <c r="I14" i="17"/>
  <c r="K13" i="17"/>
  <c r="J13" i="17"/>
  <c r="I13" i="17"/>
  <c r="K12" i="17"/>
  <c r="J12" i="17"/>
  <c r="I12" i="17"/>
  <c r="K11" i="17"/>
  <c r="J11" i="17"/>
  <c r="I11" i="17"/>
  <c r="K10" i="17"/>
  <c r="J10" i="17"/>
  <c r="I10" i="17"/>
  <c r="K9" i="17"/>
  <c r="J9" i="17"/>
  <c r="I9" i="17"/>
  <c r="K8" i="17"/>
  <c r="J8" i="17"/>
  <c r="I8" i="17"/>
  <c r="K7" i="17"/>
  <c r="J7" i="17"/>
  <c r="I7" i="17"/>
  <c r="K6" i="17"/>
  <c r="J6" i="17"/>
  <c r="I6" i="17"/>
  <c r="K5" i="17"/>
  <c r="J5" i="17"/>
  <c r="I5" i="17"/>
  <c r="K4" i="17"/>
  <c r="J4" i="17"/>
  <c r="I4" i="17"/>
  <c r="K3" i="17"/>
  <c r="J3" i="17"/>
  <c r="I3" i="17"/>
  <c r="K2" i="17"/>
  <c r="J2" i="17"/>
  <c r="I2" i="17"/>
  <c r="K101" i="16"/>
  <c r="J101" i="16"/>
  <c r="I101" i="16"/>
  <c r="K100" i="16"/>
  <c r="J100" i="16"/>
  <c r="I100" i="16"/>
  <c r="K99" i="16"/>
  <c r="J99" i="16"/>
  <c r="I99" i="16"/>
  <c r="K98" i="16"/>
  <c r="J98" i="16"/>
  <c r="I98" i="16"/>
  <c r="K97" i="16"/>
  <c r="J97" i="16"/>
  <c r="I97" i="16"/>
  <c r="K96" i="16"/>
  <c r="J96" i="16"/>
  <c r="I96" i="16"/>
  <c r="K95" i="16"/>
  <c r="J95" i="16"/>
  <c r="I95" i="16"/>
  <c r="K94" i="16"/>
  <c r="J94" i="16"/>
  <c r="I94" i="16"/>
  <c r="K93" i="16"/>
  <c r="J93" i="16"/>
  <c r="I93" i="16"/>
  <c r="K92" i="16"/>
  <c r="J92" i="16"/>
  <c r="I92" i="16"/>
  <c r="K91" i="16"/>
  <c r="J91" i="16"/>
  <c r="I91" i="16"/>
  <c r="K90" i="16"/>
  <c r="J90" i="16"/>
  <c r="I90" i="16"/>
  <c r="K89" i="16"/>
  <c r="J89" i="16"/>
  <c r="I89" i="16"/>
  <c r="K88" i="16"/>
  <c r="J88" i="16"/>
  <c r="I88" i="16"/>
  <c r="K87" i="16"/>
  <c r="J87" i="16"/>
  <c r="I87" i="16"/>
  <c r="K86" i="16"/>
  <c r="J86" i="16"/>
  <c r="I86" i="16"/>
  <c r="K85" i="16"/>
  <c r="J85" i="16"/>
  <c r="I85" i="16"/>
  <c r="K84" i="16"/>
  <c r="J84" i="16"/>
  <c r="I84" i="16"/>
  <c r="K83" i="16"/>
  <c r="J83" i="16"/>
  <c r="I83" i="16"/>
  <c r="K82" i="16"/>
  <c r="J82" i="16"/>
  <c r="I82" i="16"/>
  <c r="K81" i="16"/>
  <c r="J81" i="16"/>
  <c r="I81" i="16"/>
  <c r="K80" i="16"/>
  <c r="J80" i="16"/>
  <c r="I80" i="16"/>
  <c r="K79" i="16"/>
  <c r="J79" i="16"/>
  <c r="I79" i="16"/>
  <c r="K78" i="16"/>
  <c r="J78" i="16"/>
  <c r="I78" i="16"/>
  <c r="K77" i="16"/>
  <c r="J77" i="16"/>
  <c r="I77" i="16"/>
  <c r="K76" i="16"/>
  <c r="J76" i="16"/>
  <c r="I76" i="16"/>
  <c r="K75" i="16"/>
  <c r="J75" i="16"/>
  <c r="I75" i="16"/>
  <c r="K74" i="16"/>
  <c r="J74" i="16"/>
  <c r="I74" i="16"/>
  <c r="K73" i="16"/>
  <c r="J73" i="16"/>
  <c r="I73" i="16"/>
  <c r="K72" i="16"/>
  <c r="J72" i="16"/>
  <c r="I72" i="16"/>
  <c r="K71" i="16"/>
  <c r="J71" i="16"/>
  <c r="I71" i="16"/>
  <c r="K70" i="16"/>
  <c r="J70" i="16"/>
  <c r="I70" i="16"/>
  <c r="K69" i="16"/>
  <c r="J69" i="16"/>
  <c r="I69" i="16"/>
  <c r="K68" i="16"/>
  <c r="J68" i="16"/>
  <c r="I68" i="16"/>
  <c r="K67" i="16"/>
  <c r="J67" i="16"/>
  <c r="I67" i="16"/>
  <c r="K66" i="16"/>
  <c r="J66" i="16"/>
  <c r="I66" i="16"/>
  <c r="K65" i="16"/>
  <c r="J65" i="16"/>
  <c r="I65" i="16"/>
  <c r="K64" i="16"/>
  <c r="J64" i="16"/>
  <c r="I64" i="16"/>
  <c r="K63" i="16"/>
  <c r="J63" i="16"/>
  <c r="I63" i="16"/>
  <c r="K62" i="16"/>
  <c r="J62" i="16"/>
  <c r="I62" i="16"/>
  <c r="K61" i="16"/>
  <c r="J61" i="16"/>
  <c r="I61" i="16"/>
  <c r="K60" i="16"/>
  <c r="J60" i="16"/>
  <c r="I60" i="16"/>
  <c r="K59" i="16"/>
  <c r="J59" i="16"/>
  <c r="I59" i="16"/>
  <c r="K58" i="16"/>
  <c r="J58" i="16"/>
  <c r="I58" i="16"/>
  <c r="K57" i="16"/>
  <c r="J57" i="16"/>
  <c r="I57" i="16"/>
  <c r="K56" i="16"/>
  <c r="J56" i="16"/>
  <c r="I56" i="16"/>
  <c r="K55" i="16"/>
  <c r="J55" i="16"/>
  <c r="I55" i="16"/>
  <c r="K54" i="16"/>
  <c r="J54" i="16"/>
  <c r="I54" i="16"/>
  <c r="K53" i="16"/>
  <c r="J53" i="16"/>
  <c r="I53" i="16"/>
  <c r="K52" i="16"/>
  <c r="J52" i="16"/>
  <c r="I52" i="16"/>
  <c r="K51" i="16"/>
  <c r="J51" i="16"/>
  <c r="I51" i="16"/>
  <c r="K50" i="16"/>
  <c r="J50" i="16"/>
  <c r="I50" i="16"/>
  <c r="K49" i="16"/>
  <c r="J49" i="16"/>
  <c r="I49" i="16"/>
  <c r="K48" i="16"/>
  <c r="J48" i="16"/>
  <c r="I48" i="16"/>
  <c r="K47" i="16"/>
  <c r="J47" i="16"/>
  <c r="I47" i="16"/>
  <c r="K46" i="16"/>
  <c r="J46" i="16"/>
  <c r="I46" i="16"/>
  <c r="K45" i="16"/>
  <c r="J45" i="16"/>
  <c r="I45" i="16"/>
  <c r="K44" i="16"/>
  <c r="J44" i="16"/>
  <c r="I44" i="16"/>
  <c r="K43" i="16"/>
  <c r="J43" i="16"/>
  <c r="I43" i="16"/>
  <c r="K42" i="16"/>
  <c r="J42" i="16"/>
  <c r="I42" i="16"/>
  <c r="K41" i="16"/>
  <c r="J41" i="16"/>
  <c r="I41" i="16"/>
  <c r="K40" i="16"/>
  <c r="J40" i="16"/>
  <c r="I40" i="16"/>
  <c r="K39" i="16"/>
  <c r="J39" i="16"/>
  <c r="I39" i="16"/>
  <c r="K38" i="16"/>
  <c r="J38" i="16"/>
  <c r="I38" i="16"/>
  <c r="K37" i="16"/>
  <c r="J37" i="16"/>
  <c r="I37" i="16"/>
  <c r="K36" i="16"/>
  <c r="J36" i="16"/>
  <c r="I36" i="16"/>
  <c r="K35" i="16"/>
  <c r="J35" i="16"/>
  <c r="I35" i="16"/>
  <c r="K34" i="16"/>
  <c r="J34" i="16"/>
  <c r="I34" i="16"/>
  <c r="K33" i="16"/>
  <c r="J33" i="16"/>
  <c r="I33" i="16"/>
  <c r="K32" i="16"/>
  <c r="J32" i="16"/>
  <c r="I32" i="16"/>
  <c r="K31" i="16"/>
  <c r="J31" i="16"/>
  <c r="I31" i="16"/>
  <c r="K30" i="16"/>
  <c r="J30" i="16"/>
  <c r="I30" i="16"/>
  <c r="K29" i="16"/>
  <c r="J29" i="16"/>
  <c r="I29" i="16"/>
  <c r="K28" i="16"/>
  <c r="J28" i="16"/>
  <c r="I28" i="16"/>
  <c r="K27" i="16"/>
  <c r="J27" i="16"/>
  <c r="I27" i="16"/>
  <c r="K26" i="16"/>
  <c r="J26" i="16"/>
  <c r="I26" i="16"/>
  <c r="K25" i="16"/>
  <c r="J25" i="16"/>
  <c r="I25" i="16"/>
  <c r="K24" i="16"/>
  <c r="J24" i="16"/>
  <c r="I24" i="16"/>
  <c r="K23" i="16"/>
  <c r="J23" i="16"/>
  <c r="I23" i="16"/>
  <c r="K22" i="16"/>
  <c r="J22" i="16"/>
  <c r="I22" i="16"/>
  <c r="K21" i="16"/>
  <c r="J21" i="16"/>
  <c r="I21" i="16"/>
  <c r="K20" i="16"/>
  <c r="J20" i="16"/>
  <c r="I20" i="16"/>
  <c r="K19" i="16"/>
  <c r="J19" i="16"/>
  <c r="I19" i="16"/>
  <c r="K18" i="16"/>
  <c r="J18" i="16"/>
  <c r="I18" i="16"/>
  <c r="K17" i="16"/>
  <c r="J17" i="16"/>
  <c r="I17" i="16"/>
  <c r="K16" i="16"/>
  <c r="J16" i="16"/>
  <c r="I16" i="16"/>
  <c r="K15" i="16"/>
  <c r="J15" i="16"/>
  <c r="I15" i="16"/>
  <c r="K14" i="16"/>
  <c r="J14" i="16"/>
  <c r="I14" i="16"/>
  <c r="K13" i="16"/>
  <c r="J13" i="16"/>
  <c r="I13" i="16"/>
  <c r="K12" i="16"/>
  <c r="J12" i="16"/>
  <c r="I12" i="16"/>
  <c r="K11" i="16"/>
  <c r="J11" i="16"/>
  <c r="I11" i="16"/>
  <c r="K10" i="16"/>
  <c r="J10" i="16"/>
  <c r="I10" i="16"/>
  <c r="K9" i="16"/>
  <c r="J9" i="16"/>
  <c r="I9" i="16"/>
  <c r="K8" i="16"/>
  <c r="J8" i="16"/>
  <c r="I8" i="16"/>
  <c r="K7" i="16"/>
  <c r="J7" i="16"/>
  <c r="I7" i="16"/>
  <c r="K6" i="16"/>
  <c r="J6" i="16"/>
  <c r="I6" i="16"/>
  <c r="K5" i="16"/>
  <c r="J5" i="16"/>
  <c r="I5" i="16"/>
  <c r="K4" i="16"/>
  <c r="J4" i="16"/>
  <c r="I4" i="16"/>
  <c r="K3" i="16"/>
  <c r="J3" i="16"/>
  <c r="I3" i="16"/>
  <c r="K2" i="16"/>
  <c r="J2" i="16"/>
  <c r="I2" i="16"/>
  <c r="K101" i="15"/>
  <c r="J101" i="15"/>
  <c r="I101" i="15"/>
  <c r="K100" i="15"/>
  <c r="J100" i="15"/>
  <c r="I100" i="15"/>
  <c r="K99" i="15"/>
  <c r="J99" i="15"/>
  <c r="I99" i="15"/>
  <c r="K98" i="15"/>
  <c r="J98" i="15"/>
  <c r="I98" i="15"/>
  <c r="K97" i="15"/>
  <c r="J97" i="15"/>
  <c r="I97" i="15"/>
  <c r="K96" i="15"/>
  <c r="J96" i="15"/>
  <c r="I96" i="15"/>
  <c r="K95" i="15"/>
  <c r="J95" i="15"/>
  <c r="I95" i="15"/>
  <c r="K94" i="15"/>
  <c r="J94" i="15"/>
  <c r="I94" i="15"/>
  <c r="K93" i="15"/>
  <c r="J93" i="15"/>
  <c r="I93" i="15"/>
  <c r="K92" i="15"/>
  <c r="J92" i="15"/>
  <c r="I92" i="15"/>
  <c r="K91" i="15"/>
  <c r="J91" i="15"/>
  <c r="I91" i="15"/>
  <c r="K90" i="15"/>
  <c r="J90" i="15"/>
  <c r="I90" i="15"/>
  <c r="K89" i="15"/>
  <c r="J89" i="15"/>
  <c r="I89" i="15"/>
  <c r="K88" i="15"/>
  <c r="J88" i="15"/>
  <c r="I88" i="15"/>
  <c r="K87" i="15"/>
  <c r="J87" i="15"/>
  <c r="I87" i="15"/>
  <c r="K86" i="15"/>
  <c r="J86" i="15"/>
  <c r="I86" i="15"/>
  <c r="K85" i="15"/>
  <c r="J85" i="15"/>
  <c r="I85" i="15"/>
  <c r="K84" i="15"/>
  <c r="J84" i="15"/>
  <c r="I84" i="15"/>
  <c r="K83" i="15"/>
  <c r="J83" i="15"/>
  <c r="I83" i="15"/>
  <c r="K82" i="15"/>
  <c r="J82" i="15"/>
  <c r="I82" i="15"/>
  <c r="K81" i="15"/>
  <c r="J81" i="15"/>
  <c r="I81" i="15"/>
  <c r="K80" i="15"/>
  <c r="J80" i="15"/>
  <c r="I80" i="15"/>
  <c r="K79" i="15"/>
  <c r="J79" i="15"/>
  <c r="I79" i="15"/>
  <c r="K78" i="15"/>
  <c r="J78" i="15"/>
  <c r="I78" i="15"/>
  <c r="K77" i="15"/>
  <c r="J77" i="15"/>
  <c r="I77" i="15"/>
  <c r="K76" i="15"/>
  <c r="J76" i="15"/>
  <c r="I76" i="15"/>
  <c r="K75" i="15"/>
  <c r="J75" i="15"/>
  <c r="I75" i="15"/>
  <c r="K74" i="15"/>
  <c r="J74" i="15"/>
  <c r="I74" i="15"/>
  <c r="K73" i="15"/>
  <c r="J73" i="15"/>
  <c r="I73" i="15"/>
  <c r="K72" i="15"/>
  <c r="J72" i="15"/>
  <c r="I72" i="15"/>
  <c r="K71" i="15"/>
  <c r="J71" i="15"/>
  <c r="I71" i="15"/>
  <c r="K70" i="15"/>
  <c r="J70" i="15"/>
  <c r="I70" i="15"/>
  <c r="K69" i="15"/>
  <c r="J69" i="15"/>
  <c r="I69" i="15"/>
  <c r="K68" i="15"/>
  <c r="J68" i="15"/>
  <c r="I68" i="15"/>
  <c r="K67" i="15"/>
  <c r="J67" i="15"/>
  <c r="I67" i="15"/>
  <c r="K66" i="15"/>
  <c r="J66" i="15"/>
  <c r="I66" i="15"/>
  <c r="K65" i="15"/>
  <c r="J65" i="15"/>
  <c r="I65" i="15"/>
  <c r="K64" i="15"/>
  <c r="J64" i="15"/>
  <c r="I64" i="15"/>
  <c r="K63" i="15"/>
  <c r="J63" i="15"/>
  <c r="I63" i="15"/>
  <c r="K62" i="15"/>
  <c r="J62" i="15"/>
  <c r="I62" i="15"/>
  <c r="K61" i="15"/>
  <c r="J61" i="15"/>
  <c r="I61" i="15"/>
  <c r="K60" i="15"/>
  <c r="J60" i="15"/>
  <c r="I60" i="15"/>
  <c r="K59" i="15"/>
  <c r="J59" i="15"/>
  <c r="I59" i="15"/>
  <c r="K58" i="15"/>
  <c r="J58" i="15"/>
  <c r="I58" i="15"/>
  <c r="K57" i="15"/>
  <c r="J57" i="15"/>
  <c r="I57" i="15"/>
  <c r="K56" i="15"/>
  <c r="J56" i="15"/>
  <c r="I56" i="15"/>
  <c r="K55" i="15"/>
  <c r="J55" i="15"/>
  <c r="I55" i="15"/>
  <c r="K54" i="15"/>
  <c r="J54" i="15"/>
  <c r="I54" i="15"/>
  <c r="K53" i="15"/>
  <c r="J53" i="15"/>
  <c r="I53" i="15"/>
  <c r="K52" i="15"/>
  <c r="J52" i="15"/>
  <c r="I52" i="15"/>
  <c r="K51" i="15"/>
  <c r="J51" i="15"/>
  <c r="I51" i="15"/>
  <c r="K50" i="15"/>
  <c r="J50" i="15"/>
  <c r="I50" i="15"/>
  <c r="K49" i="15"/>
  <c r="J49" i="15"/>
  <c r="I49" i="15"/>
  <c r="K48" i="15"/>
  <c r="J48" i="15"/>
  <c r="I48" i="15"/>
  <c r="K47" i="15"/>
  <c r="J47" i="15"/>
  <c r="I47" i="15"/>
  <c r="K46" i="15"/>
  <c r="J46" i="15"/>
  <c r="I46" i="15"/>
  <c r="K45" i="15"/>
  <c r="J45" i="15"/>
  <c r="I45" i="15"/>
  <c r="K44" i="15"/>
  <c r="J44" i="15"/>
  <c r="I44" i="15"/>
  <c r="K43" i="15"/>
  <c r="J43" i="15"/>
  <c r="I43" i="15"/>
  <c r="K42" i="15"/>
  <c r="J42" i="15"/>
  <c r="I42" i="15"/>
  <c r="K41" i="15"/>
  <c r="J41" i="15"/>
  <c r="I41" i="15"/>
  <c r="K40" i="15"/>
  <c r="J40" i="15"/>
  <c r="I40" i="15"/>
  <c r="K39" i="15"/>
  <c r="J39" i="15"/>
  <c r="I39" i="15"/>
  <c r="K38" i="15"/>
  <c r="J38" i="15"/>
  <c r="I38" i="15"/>
  <c r="K37" i="15"/>
  <c r="J37" i="15"/>
  <c r="I37" i="15"/>
  <c r="K36" i="15"/>
  <c r="J36" i="15"/>
  <c r="I36" i="15"/>
  <c r="K35" i="15"/>
  <c r="J35" i="15"/>
  <c r="I35" i="15"/>
  <c r="K34" i="15"/>
  <c r="J34" i="15"/>
  <c r="I34" i="15"/>
  <c r="K33" i="15"/>
  <c r="J33" i="15"/>
  <c r="I33" i="15"/>
  <c r="K32" i="15"/>
  <c r="J32" i="15"/>
  <c r="I32" i="15"/>
  <c r="K31" i="15"/>
  <c r="J31" i="15"/>
  <c r="I31" i="15"/>
  <c r="K30" i="15"/>
  <c r="J30" i="15"/>
  <c r="I30" i="15"/>
  <c r="K29" i="15"/>
  <c r="J29" i="15"/>
  <c r="I29" i="15"/>
  <c r="K28" i="15"/>
  <c r="J28" i="15"/>
  <c r="I28" i="15"/>
  <c r="K27" i="15"/>
  <c r="J27" i="15"/>
  <c r="I27" i="15"/>
  <c r="K26" i="15"/>
  <c r="J26" i="15"/>
  <c r="I26" i="15"/>
  <c r="K25" i="15"/>
  <c r="J25" i="15"/>
  <c r="I25" i="15"/>
  <c r="K24" i="15"/>
  <c r="J24" i="15"/>
  <c r="I24" i="15"/>
  <c r="K23" i="15"/>
  <c r="J23" i="15"/>
  <c r="I23" i="15"/>
  <c r="K22" i="15"/>
  <c r="J22" i="15"/>
  <c r="I22" i="15"/>
  <c r="K21" i="15"/>
  <c r="J21" i="15"/>
  <c r="I21" i="15"/>
  <c r="K20" i="15"/>
  <c r="J20" i="15"/>
  <c r="I20" i="15"/>
  <c r="K19" i="15"/>
  <c r="J19" i="15"/>
  <c r="I19" i="15"/>
  <c r="K18" i="15"/>
  <c r="J18" i="15"/>
  <c r="I18" i="15"/>
  <c r="K17" i="15"/>
  <c r="J17" i="15"/>
  <c r="I17" i="15"/>
  <c r="K16" i="15"/>
  <c r="J16" i="15"/>
  <c r="I16" i="15"/>
  <c r="K15" i="15"/>
  <c r="J15" i="15"/>
  <c r="I15" i="15"/>
  <c r="K14" i="15"/>
  <c r="J14" i="15"/>
  <c r="I14" i="15"/>
  <c r="K13" i="15"/>
  <c r="J13" i="15"/>
  <c r="I13" i="15"/>
  <c r="K12" i="15"/>
  <c r="J12" i="15"/>
  <c r="I12" i="15"/>
  <c r="K11" i="15"/>
  <c r="J11" i="15"/>
  <c r="I11" i="15"/>
  <c r="K10" i="15"/>
  <c r="J10" i="15"/>
  <c r="I10" i="15"/>
  <c r="K9" i="15"/>
  <c r="J9" i="15"/>
  <c r="I9" i="15"/>
  <c r="K8" i="15"/>
  <c r="J8" i="15"/>
  <c r="I8" i="15"/>
  <c r="K7" i="15"/>
  <c r="J7" i="15"/>
  <c r="I7" i="15"/>
  <c r="K6" i="15"/>
  <c r="J6" i="15"/>
  <c r="I6" i="15"/>
  <c r="K5" i="15"/>
  <c r="J5" i="15"/>
  <c r="I5" i="15"/>
  <c r="K4" i="15"/>
  <c r="J4" i="15"/>
  <c r="I4" i="15"/>
  <c r="K3" i="15"/>
  <c r="J3" i="15"/>
  <c r="I3" i="15"/>
  <c r="K2" i="15"/>
  <c r="J2" i="15"/>
  <c r="I2" i="15"/>
  <c r="K101" i="14"/>
  <c r="J101" i="14"/>
  <c r="I101" i="14"/>
  <c r="K100" i="14"/>
  <c r="J100" i="14"/>
  <c r="I100" i="14"/>
  <c r="K99" i="14"/>
  <c r="J99" i="14"/>
  <c r="I99" i="14"/>
  <c r="K98" i="14"/>
  <c r="J98" i="14"/>
  <c r="I98" i="14"/>
  <c r="K97" i="14"/>
  <c r="J97" i="14"/>
  <c r="I97" i="14"/>
  <c r="K96" i="14"/>
  <c r="J96" i="14"/>
  <c r="I96" i="14"/>
  <c r="K95" i="14"/>
  <c r="J95" i="14"/>
  <c r="I95" i="14"/>
  <c r="K94" i="14"/>
  <c r="J94" i="14"/>
  <c r="I94" i="14"/>
  <c r="K93" i="14"/>
  <c r="J93" i="14"/>
  <c r="I93" i="14"/>
  <c r="K92" i="14"/>
  <c r="J92" i="14"/>
  <c r="I92" i="14"/>
  <c r="K91" i="14"/>
  <c r="J91" i="14"/>
  <c r="I91" i="14"/>
  <c r="K90" i="14"/>
  <c r="J90" i="14"/>
  <c r="I90" i="14"/>
  <c r="K89" i="14"/>
  <c r="J89" i="14"/>
  <c r="I89" i="14"/>
  <c r="K88" i="14"/>
  <c r="J88" i="14"/>
  <c r="I88" i="14"/>
  <c r="K87" i="14"/>
  <c r="J87" i="14"/>
  <c r="I87" i="14"/>
  <c r="K86" i="14"/>
  <c r="J86" i="14"/>
  <c r="I86" i="14"/>
  <c r="K85" i="14"/>
  <c r="J85" i="14"/>
  <c r="I85" i="14"/>
  <c r="K84" i="14"/>
  <c r="J84" i="14"/>
  <c r="I84" i="14"/>
  <c r="K83" i="14"/>
  <c r="J83" i="14"/>
  <c r="I83" i="14"/>
  <c r="K82" i="14"/>
  <c r="J82" i="14"/>
  <c r="I82" i="14"/>
  <c r="K81" i="14"/>
  <c r="J81" i="14"/>
  <c r="I81" i="14"/>
  <c r="K80" i="14"/>
  <c r="J80" i="14"/>
  <c r="I80" i="14"/>
  <c r="K79" i="14"/>
  <c r="J79" i="14"/>
  <c r="I79" i="14"/>
  <c r="K78" i="14"/>
  <c r="J78" i="14"/>
  <c r="I78" i="14"/>
  <c r="K77" i="14"/>
  <c r="J77" i="14"/>
  <c r="I77" i="14"/>
  <c r="K76" i="14"/>
  <c r="J76" i="14"/>
  <c r="I76" i="14"/>
  <c r="K75" i="14"/>
  <c r="J75" i="14"/>
  <c r="I75" i="14"/>
  <c r="K74" i="14"/>
  <c r="J74" i="14"/>
  <c r="I74" i="14"/>
  <c r="K73" i="14"/>
  <c r="J73" i="14"/>
  <c r="I73" i="14"/>
  <c r="K72" i="14"/>
  <c r="J72" i="14"/>
  <c r="I72" i="14"/>
  <c r="K71" i="14"/>
  <c r="J71" i="14"/>
  <c r="I71" i="14"/>
  <c r="K70" i="14"/>
  <c r="J70" i="14"/>
  <c r="I70" i="14"/>
  <c r="K69" i="14"/>
  <c r="J69" i="14"/>
  <c r="I69" i="14"/>
  <c r="K68" i="14"/>
  <c r="J68" i="14"/>
  <c r="I68" i="14"/>
  <c r="K67" i="14"/>
  <c r="J67" i="14"/>
  <c r="I67" i="14"/>
  <c r="K66" i="14"/>
  <c r="J66" i="14"/>
  <c r="I66" i="14"/>
  <c r="K65" i="14"/>
  <c r="J65" i="14"/>
  <c r="I65" i="14"/>
  <c r="K64" i="14"/>
  <c r="J64" i="14"/>
  <c r="I64" i="14"/>
  <c r="K63" i="14"/>
  <c r="J63" i="14"/>
  <c r="I63" i="14"/>
  <c r="K62" i="14"/>
  <c r="J62" i="14"/>
  <c r="I62" i="14"/>
  <c r="K61" i="14"/>
  <c r="J61" i="14"/>
  <c r="I61" i="14"/>
  <c r="K60" i="14"/>
  <c r="J60" i="14"/>
  <c r="I60" i="14"/>
  <c r="K59" i="14"/>
  <c r="J59" i="14"/>
  <c r="I59" i="14"/>
  <c r="K58" i="14"/>
  <c r="J58" i="14"/>
  <c r="I58" i="14"/>
  <c r="K57" i="14"/>
  <c r="J57" i="14"/>
  <c r="I57" i="14"/>
  <c r="K56" i="14"/>
  <c r="J56" i="14"/>
  <c r="I56" i="14"/>
  <c r="K55" i="14"/>
  <c r="J55" i="14"/>
  <c r="I55" i="14"/>
  <c r="K54" i="14"/>
  <c r="J54" i="14"/>
  <c r="I54" i="14"/>
  <c r="K53" i="14"/>
  <c r="J53" i="14"/>
  <c r="I53" i="14"/>
  <c r="K52" i="14"/>
  <c r="J52" i="14"/>
  <c r="I52" i="14"/>
  <c r="K51" i="14"/>
  <c r="J51" i="14"/>
  <c r="I51" i="14"/>
  <c r="K50" i="14"/>
  <c r="J50" i="14"/>
  <c r="I50" i="14"/>
  <c r="K49" i="14"/>
  <c r="J49" i="14"/>
  <c r="I49" i="14"/>
  <c r="K48" i="14"/>
  <c r="J48" i="14"/>
  <c r="I48" i="14"/>
  <c r="K47" i="14"/>
  <c r="J47" i="14"/>
  <c r="I47" i="14"/>
  <c r="K46" i="14"/>
  <c r="J46" i="14"/>
  <c r="I46" i="14"/>
  <c r="K45" i="14"/>
  <c r="J45" i="14"/>
  <c r="I45" i="14"/>
  <c r="K44" i="14"/>
  <c r="J44" i="14"/>
  <c r="I44" i="14"/>
  <c r="K43" i="14"/>
  <c r="J43" i="14"/>
  <c r="I43" i="14"/>
  <c r="K42" i="14"/>
  <c r="J42" i="14"/>
  <c r="I42" i="14"/>
  <c r="K41" i="14"/>
  <c r="J41" i="14"/>
  <c r="I41" i="14"/>
  <c r="K40" i="14"/>
  <c r="J40" i="14"/>
  <c r="I40" i="14"/>
  <c r="K39" i="14"/>
  <c r="J39" i="14"/>
  <c r="I39" i="14"/>
  <c r="K38" i="14"/>
  <c r="J38" i="14"/>
  <c r="I38" i="14"/>
  <c r="K37" i="14"/>
  <c r="J37" i="14"/>
  <c r="I37" i="14"/>
  <c r="K36" i="14"/>
  <c r="J36" i="14"/>
  <c r="I36" i="14"/>
  <c r="K35" i="14"/>
  <c r="J35" i="14"/>
  <c r="I35" i="14"/>
  <c r="K34" i="14"/>
  <c r="J34" i="14"/>
  <c r="I34" i="14"/>
  <c r="K33" i="14"/>
  <c r="J33" i="14"/>
  <c r="I33" i="14"/>
  <c r="K32" i="14"/>
  <c r="J32" i="14"/>
  <c r="I32" i="14"/>
  <c r="K31" i="14"/>
  <c r="J31" i="14"/>
  <c r="I31" i="14"/>
  <c r="K30" i="14"/>
  <c r="J30" i="14"/>
  <c r="I30" i="14"/>
  <c r="K29" i="14"/>
  <c r="J29" i="14"/>
  <c r="I29" i="14"/>
  <c r="K28" i="14"/>
  <c r="J28" i="14"/>
  <c r="I28" i="14"/>
  <c r="K27" i="14"/>
  <c r="J27" i="14"/>
  <c r="I27" i="14"/>
  <c r="K26" i="14"/>
  <c r="J26" i="14"/>
  <c r="I26" i="14"/>
  <c r="K25" i="14"/>
  <c r="J25" i="14"/>
  <c r="I25" i="14"/>
  <c r="K24" i="14"/>
  <c r="J24" i="14"/>
  <c r="I24" i="14"/>
  <c r="K23" i="14"/>
  <c r="J23" i="14"/>
  <c r="I23" i="14"/>
  <c r="K22" i="14"/>
  <c r="J22" i="14"/>
  <c r="I22" i="14"/>
  <c r="K21" i="14"/>
  <c r="J21" i="14"/>
  <c r="I21" i="14"/>
  <c r="K20" i="14"/>
  <c r="J20" i="14"/>
  <c r="I20" i="14"/>
  <c r="K19" i="14"/>
  <c r="J19" i="14"/>
  <c r="I19" i="14"/>
  <c r="K18" i="14"/>
  <c r="J18" i="14"/>
  <c r="I18" i="14"/>
  <c r="K17" i="14"/>
  <c r="J17" i="14"/>
  <c r="I17" i="14"/>
  <c r="K16" i="14"/>
  <c r="J16" i="14"/>
  <c r="I16" i="14"/>
  <c r="K15" i="14"/>
  <c r="J15" i="14"/>
  <c r="I15" i="14"/>
  <c r="K14" i="14"/>
  <c r="J14" i="14"/>
  <c r="I14" i="14"/>
  <c r="K13" i="14"/>
  <c r="J13" i="14"/>
  <c r="I13" i="14"/>
  <c r="K12" i="14"/>
  <c r="J12" i="14"/>
  <c r="I12" i="14"/>
  <c r="K11" i="14"/>
  <c r="J11" i="14"/>
  <c r="I11" i="14"/>
  <c r="K10" i="14"/>
  <c r="J10" i="14"/>
  <c r="I10" i="14"/>
  <c r="K9" i="14"/>
  <c r="J9" i="14"/>
  <c r="I9" i="14"/>
  <c r="K8" i="14"/>
  <c r="J8" i="14"/>
  <c r="I8" i="14"/>
  <c r="K7" i="14"/>
  <c r="J7" i="14"/>
  <c r="I7" i="14"/>
  <c r="K6" i="14"/>
  <c r="J6" i="14"/>
  <c r="I6" i="14"/>
  <c r="K5" i="14"/>
  <c r="J5" i="14"/>
  <c r="I5" i="14"/>
  <c r="K4" i="14"/>
  <c r="J4" i="14"/>
  <c r="I4" i="14"/>
  <c r="K3" i="14"/>
  <c r="J3" i="14"/>
  <c r="I3" i="14"/>
  <c r="K2" i="14"/>
  <c r="J2" i="14"/>
  <c r="I2" i="14"/>
  <c r="K101" i="13"/>
  <c r="J101" i="13"/>
  <c r="I101" i="13"/>
  <c r="K100" i="13"/>
  <c r="J100" i="13"/>
  <c r="I100" i="13"/>
  <c r="K99" i="13"/>
  <c r="J99" i="13"/>
  <c r="I99" i="13"/>
  <c r="K98" i="13"/>
  <c r="J98" i="13"/>
  <c r="I98" i="13"/>
  <c r="K97" i="13"/>
  <c r="J97" i="13"/>
  <c r="I97" i="13"/>
  <c r="K96" i="13"/>
  <c r="J96" i="13"/>
  <c r="I96" i="13"/>
  <c r="K95" i="13"/>
  <c r="J95" i="13"/>
  <c r="I95" i="13"/>
  <c r="K94" i="13"/>
  <c r="J94" i="13"/>
  <c r="I94" i="13"/>
  <c r="K93" i="13"/>
  <c r="J93" i="13"/>
  <c r="I93" i="13"/>
  <c r="K92" i="13"/>
  <c r="J92" i="13"/>
  <c r="I92" i="13"/>
  <c r="K91" i="13"/>
  <c r="J91" i="13"/>
  <c r="I91" i="13"/>
  <c r="K90" i="13"/>
  <c r="J90" i="13"/>
  <c r="I90" i="13"/>
  <c r="K89" i="13"/>
  <c r="J89" i="13"/>
  <c r="I89" i="13"/>
  <c r="K88" i="13"/>
  <c r="J88" i="13"/>
  <c r="I88" i="13"/>
  <c r="K87" i="13"/>
  <c r="J87" i="13"/>
  <c r="I87" i="13"/>
  <c r="K86" i="13"/>
  <c r="J86" i="13"/>
  <c r="I86" i="13"/>
  <c r="K85" i="13"/>
  <c r="J85" i="13"/>
  <c r="I85" i="13"/>
  <c r="K84" i="13"/>
  <c r="J84" i="13"/>
  <c r="I84" i="13"/>
  <c r="K83" i="13"/>
  <c r="J83" i="13"/>
  <c r="I83" i="13"/>
  <c r="K82" i="13"/>
  <c r="J82" i="13"/>
  <c r="I82" i="13"/>
  <c r="K81" i="13"/>
  <c r="J81" i="13"/>
  <c r="I81" i="13"/>
  <c r="K80" i="13"/>
  <c r="J80" i="13"/>
  <c r="I80" i="13"/>
  <c r="K79" i="13"/>
  <c r="J79" i="13"/>
  <c r="I79" i="13"/>
  <c r="K78" i="13"/>
  <c r="J78" i="13"/>
  <c r="I78" i="13"/>
  <c r="K77" i="13"/>
  <c r="J77" i="13"/>
  <c r="I77" i="13"/>
  <c r="K76" i="13"/>
  <c r="J76" i="13"/>
  <c r="I76" i="13"/>
  <c r="K75" i="13"/>
  <c r="J75" i="13"/>
  <c r="I75" i="13"/>
  <c r="K74" i="13"/>
  <c r="J74" i="13"/>
  <c r="I74" i="13"/>
  <c r="K73" i="13"/>
  <c r="J73" i="13"/>
  <c r="I73" i="13"/>
  <c r="K72" i="13"/>
  <c r="J72" i="13"/>
  <c r="I72" i="13"/>
  <c r="K71" i="13"/>
  <c r="J71" i="13"/>
  <c r="I71" i="13"/>
  <c r="K70" i="13"/>
  <c r="J70" i="13"/>
  <c r="I70" i="13"/>
  <c r="K69" i="13"/>
  <c r="J69" i="13"/>
  <c r="I69" i="13"/>
  <c r="K68" i="13"/>
  <c r="J68" i="13"/>
  <c r="I68" i="13"/>
  <c r="K67" i="13"/>
  <c r="J67" i="13"/>
  <c r="I67" i="13"/>
  <c r="K66" i="13"/>
  <c r="J66" i="13"/>
  <c r="I66" i="13"/>
  <c r="K65" i="13"/>
  <c r="J65" i="13"/>
  <c r="I65" i="13"/>
  <c r="K64" i="13"/>
  <c r="J64" i="13"/>
  <c r="I64" i="13"/>
  <c r="K63" i="13"/>
  <c r="J63" i="13"/>
  <c r="I63" i="13"/>
  <c r="K62" i="13"/>
  <c r="J62" i="13"/>
  <c r="I62" i="13"/>
  <c r="K61" i="13"/>
  <c r="J61" i="13"/>
  <c r="I61" i="13"/>
  <c r="K60" i="13"/>
  <c r="J60" i="13"/>
  <c r="I60" i="13"/>
  <c r="K59" i="13"/>
  <c r="J59" i="13"/>
  <c r="I59" i="13"/>
  <c r="K58" i="13"/>
  <c r="J58" i="13"/>
  <c r="I58" i="13"/>
  <c r="K57" i="13"/>
  <c r="J57" i="13"/>
  <c r="I57" i="13"/>
  <c r="K56" i="13"/>
  <c r="J56" i="13"/>
  <c r="I56" i="13"/>
  <c r="K55" i="13"/>
  <c r="J55" i="13"/>
  <c r="I55" i="13"/>
  <c r="K54" i="13"/>
  <c r="J54" i="13"/>
  <c r="I54" i="13"/>
  <c r="K53" i="13"/>
  <c r="J53" i="13"/>
  <c r="I53" i="13"/>
  <c r="K52" i="13"/>
  <c r="J52" i="13"/>
  <c r="I52" i="13"/>
  <c r="K51" i="13"/>
  <c r="J51" i="13"/>
  <c r="I51" i="13"/>
  <c r="K50" i="13"/>
  <c r="J50" i="13"/>
  <c r="I50" i="13"/>
  <c r="K49" i="13"/>
  <c r="J49" i="13"/>
  <c r="I49" i="13"/>
  <c r="K48" i="13"/>
  <c r="J48" i="13"/>
  <c r="I48" i="13"/>
  <c r="K47" i="13"/>
  <c r="J47" i="13"/>
  <c r="I47" i="13"/>
  <c r="K46" i="13"/>
  <c r="J46" i="13"/>
  <c r="I46" i="13"/>
  <c r="K45" i="13"/>
  <c r="J45" i="13"/>
  <c r="I45" i="13"/>
  <c r="K44" i="13"/>
  <c r="J44" i="13"/>
  <c r="I44" i="13"/>
  <c r="K43" i="13"/>
  <c r="J43" i="13"/>
  <c r="I43" i="13"/>
  <c r="K42" i="13"/>
  <c r="J42" i="13"/>
  <c r="I42" i="13"/>
  <c r="K41" i="13"/>
  <c r="J41" i="13"/>
  <c r="I41" i="13"/>
  <c r="K40" i="13"/>
  <c r="J40" i="13"/>
  <c r="I40" i="13"/>
  <c r="K39" i="13"/>
  <c r="J39" i="13"/>
  <c r="I39" i="13"/>
  <c r="K38" i="13"/>
  <c r="J38" i="13"/>
  <c r="I38" i="13"/>
  <c r="K37" i="13"/>
  <c r="J37" i="13"/>
  <c r="I37" i="13"/>
  <c r="K36" i="13"/>
  <c r="J36" i="13"/>
  <c r="I36" i="13"/>
  <c r="K35" i="13"/>
  <c r="J35" i="13"/>
  <c r="I35" i="13"/>
  <c r="K34" i="13"/>
  <c r="J34" i="13"/>
  <c r="I34" i="13"/>
  <c r="K33" i="13"/>
  <c r="J33" i="13"/>
  <c r="I33" i="13"/>
  <c r="K32" i="13"/>
  <c r="J32" i="13"/>
  <c r="I32" i="13"/>
  <c r="K31" i="13"/>
  <c r="J31" i="13"/>
  <c r="I31" i="13"/>
  <c r="K30" i="13"/>
  <c r="J30" i="13"/>
  <c r="I30" i="13"/>
  <c r="K29" i="13"/>
  <c r="J29" i="13"/>
  <c r="I29" i="13"/>
  <c r="K28" i="13"/>
  <c r="J28" i="13"/>
  <c r="I28" i="13"/>
  <c r="K27" i="13"/>
  <c r="J27" i="13"/>
  <c r="I27" i="13"/>
  <c r="K26" i="13"/>
  <c r="J26" i="13"/>
  <c r="I26" i="13"/>
  <c r="K25" i="13"/>
  <c r="J25" i="13"/>
  <c r="I25" i="13"/>
  <c r="K24" i="13"/>
  <c r="J24" i="13"/>
  <c r="I24" i="13"/>
  <c r="K23" i="13"/>
  <c r="J23" i="13"/>
  <c r="I23" i="13"/>
  <c r="K22" i="13"/>
  <c r="J22" i="13"/>
  <c r="I22" i="13"/>
  <c r="K21" i="13"/>
  <c r="J21" i="13"/>
  <c r="I21" i="13"/>
  <c r="K20" i="13"/>
  <c r="J20" i="13"/>
  <c r="I20" i="13"/>
  <c r="K19" i="13"/>
  <c r="J19" i="13"/>
  <c r="I19" i="13"/>
  <c r="K18" i="13"/>
  <c r="J18" i="13"/>
  <c r="I18" i="13"/>
  <c r="K17" i="13"/>
  <c r="J17" i="13"/>
  <c r="I17" i="13"/>
  <c r="K16" i="13"/>
  <c r="J16" i="13"/>
  <c r="I16" i="13"/>
  <c r="K15" i="13"/>
  <c r="J15" i="13"/>
  <c r="I15" i="13"/>
  <c r="K14" i="13"/>
  <c r="J14" i="13"/>
  <c r="I14" i="13"/>
  <c r="K13" i="13"/>
  <c r="J13" i="13"/>
  <c r="I13" i="13"/>
  <c r="K12" i="13"/>
  <c r="J12" i="13"/>
  <c r="I12" i="13"/>
  <c r="K11" i="13"/>
  <c r="J11" i="13"/>
  <c r="I11" i="13"/>
  <c r="K10" i="13"/>
  <c r="J10" i="13"/>
  <c r="I10" i="13"/>
  <c r="K9" i="13"/>
  <c r="J9" i="13"/>
  <c r="I9" i="13"/>
  <c r="K8" i="13"/>
  <c r="J8" i="13"/>
  <c r="I8" i="13"/>
  <c r="K7" i="13"/>
  <c r="J7" i="13"/>
  <c r="I7" i="13"/>
  <c r="K6" i="13"/>
  <c r="J6" i="13"/>
  <c r="I6" i="13"/>
  <c r="K5" i="13"/>
  <c r="J5" i="13"/>
  <c r="I5" i="13"/>
  <c r="K4" i="13"/>
  <c r="J4" i="13"/>
  <c r="I4" i="13"/>
  <c r="K3" i="13"/>
  <c r="J3" i="13"/>
  <c r="I3" i="13"/>
  <c r="K2" i="13"/>
  <c r="J2" i="13"/>
  <c r="I2" i="13"/>
  <c r="K101" i="12"/>
  <c r="J101" i="12"/>
  <c r="I101" i="12"/>
  <c r="K100" i="12"/>
  <c r="J100" i="12"/>
  <c r="I100" i="12"/>
  <c r="K99" i="12"/>
  <c r="J99" i="12"/>
  <c r="I99" i="12"/>
  <c r="K98" i="12"/>
  <c r="J98" i="12"/>
  <c r="I98" i="12"/>
  <c r="K97" i="12"/>
  <c r="J97" i="12"/>
  <c r="I97" i="12"/>
  <c r="K96" i="12"/>
  <c r="J96" i="12"/>
  <c r="I96" i="12"/>
  <c r="K95" i="12"/>
  <c r="J95" i="12"/>
  <c r="I95" i="12"/>
  <c r="K94" i="12"/>
  <c r="J94" i="12"/>
  <c r="I94" i="12"/>
  <c r="K93" i="12"/>
  <c r="J93" i="12"/>
  <c r="I93" i="12"/>
  <c r="K92" i="12"/>
  <c r="J92" i="12"/>
  <c r="I92" i="12"/>
  <c r="K91" i="12"/>
  <c r="J91" i="12"/>
  <c r="I91" i="12"/>
  <c r="K90" i="12"/>
  <c r="J90" i="12"/>
  <c r="I90" i="12"/>
  <c r="K89" i="12"/>
  <c r="J89" i="12"/>
  <c r="I89" i="12"/>
  <c r="K88" i="12"/>
  <c r="J88" i="12"/>
  <c r="I88" i="12"/>
  <c r="K87" i="12"/>
  <c r="J87" i="12"/>
  <c r="I87" i="12"/>
  <c r="K86" i="12"/>
  <c r="J86" i="12"/>
  <c r="I86" i="12"/>
  <c r="K85" i="12"/>
  <c r="J85" i="12"/>
  <c r="I85" i="12"/>
  <c r="K84" i="12"/>
  <c r="J84" i="12"/>
  <c r="I84" i="12"/>
  <c r="K83" i="12"/>
  <c r="J83" i="12"/>
  <c r="I83" i="12"/>
  <c r="K82" i="12"/>
  <c r="J82" i="12"/>
  <c r="I82" i="12"/>
  <c r="K81" i="12"/>
  <c r="J81" i="12"/>
  <c r="I81" i="12"/>
  <c r="K80" i="12"/>
  <c r="J80" i="12"/>
  <c r="I80" i="12"/>
  <c r="K79" i="12"/>
  <c r="J79" i="12"/>
  <c r="I79" i="12"/>
  <c r="K78" i="12"/>
  <c r="J78" i="12"/>
  <c r="I78" i="12"/>
  <c r="K77" i="12"/>
  <c r="J77" i="12"/>
  <c r="I77" i="12"/>
  <c r="K76" i="12"/>
  <c r="J76" i="12"/>
  <c r="I76" i="12"/>
  <c r="K75" i="12"/>
  <c r="J75" i="12"/>
  <c r="I75" i="12"/>
  <c r="K74" i="12"/>
  <c r="J74" i="12"/>
  <c r="I74" i="12"/>
  <c r="K73" i="12"/>
  <c r="J73" i="12"/>
  <c r="I73" i="12"/>
  <c r="K72" i="12"/>
  <c r="J72" i="12"/>
  <c r="I72" i="12"/>
  <c r="K71" i="12"/>
  <c r="J71" i="12"/>
  <c r="I71" i="12"/>
  <c r="K70" i="12"/>
  <c r="J70" i="12"/>
  <c r="I70" i="12"/>
  <c r="K69" i="12"/>
  <c r="J69" i="12"/>
  <c r="I69" i="12"/>
  <c r="K68" i="12"/>
  <c r="J68" i="12"/>
  <c r="I68" i="12"/>
  <c r="K67" i="12"/>
  <c r="J67" i="12"/>
  <c r="I67" i="12"/>
  <c r="K66" i="12"/>
  <c r="J66" i="12"/>
  <c r="I66" i="12"/>
  <c r="K65" i="12"/>
  <c r="J65" i="12"/>
  <c r="I65" i="12"/>
  <c r="K64" i="12"/>
  <c r="J64" i="12"/>
  <c r="I64" i="12"/>
  <c r="K63" i="12"/>
  <c r="J63" i="12"/>
  <c r="I63" i="12"/>
  <c r="K62" i="12"/>
  <c r="J62" i="12"/>
  <c r="I62" i="12"/>
  <c r="K61" i="12"/>
  <c r="J61" i="12"/>
  <c r="I61" i="12"/>
  <c r="K60" i="12"/>
  <c r="J60" i="12"/>
  <c r="I60" i="12"/>
  <c r="K59" i="12"/>
  <c r="J59" i="12"/>
  <c r="I59" i="12"/>
  <c r="K58" i="12"/>
  <c r="J58" i="12"/>
  <c r="I58" i="12"/>
  <c r="K57" i="12"/>
  <c r="J57" i="12"/>
  <c r="I57" i="12"/>
  <c r="K56" i="12"/>
  <c r="J56" i="12"/>
  <c r="I56" i="12"/>
  <c r="K55" i="12"/>
  <c r="J55" i="12"/>
  <c r="I55" i="12"/>
  <c r="K54" i="12"/>
  <c r="J54" i="12"/>
  <c r="I54" i="12"/>
  <c r="K53" i="12"/>
  <c r="J53" i="12"/>
  <c r="I53" i="12"/>
  <c r="K52" i="12"/>
  <c r="J52" i="12"/>
  <c r="I52" i="12"/>
  <c r="K51" i="12"/>
  <c r="J51" i="12"/>
  <c r="I51" i="12"/>
  <c r="K50" i="12"/>
  <c r="J50" i="12"/>
  <c r="I50" i="12"/>
  <c r="K49" i="12"/>
  <c r="J49" i="12"/>
  <c r="I49" i="12"/>
  <c r="K48" i="12"/>
  <c r="J48" i="12"/>
  <c r="I48" i="12"/>
  <c r="K47" i="12"/>
  <c r="J47" i="12"/>
  <c r="I47" i="12"/>
  <c r="K46" i="12"/>
  <c r="J46" i="12"/>
  <c r="I46" i="12"/>
  <c r="K45" i="12"/>
  <c r="J45" i="12"/>
  <c r="I45" i="12"/>
  <c r="K44" i="12"/>
  <c r="J44" i="12"/>
  <c r="I44" i="12"/>
  <c r="K43" i="12"/>
  <c r="J43" i="12"/>
  <c r="I43" i="12"/>
  <c r="K42" i="12"/>
  <c r="J42" i="12"/>
  <c r="I42" i="12"/>
  <c r="K41" i="12"/>
  <c r="J41" i="12"/>
  <c r="I41" i="12"/>
  <c r="K40" i="12"/>
  <c r="J40" i="12"/>
  <c r="I40" i="12"/>
  <c r="K39" i="12"/>
  <c r="J39" i="12"/>
  <c r="I39" i="12"/>
  <c r="K38" i="12"/>
  <c r="J38" i="12"/>
  <c r="I38" i="12"/>
  <c r="K37" i="12"/>
  <c r="J37" i="12"/>
  <c r="I37" i="12"/>
  <c r="K36" i="12"/>
  <c r="J36" i="12"/>
  <c r="I36" i="12"/>
  <c r="K35" i="12"/>
  <c r="J35" i="12"/>
  <c r="I35" i="12"/>
  <c r="K34" i="12"/>
  <c r="J34" i="12"/>
  <c r="I34" i="12"/>
  <c r="K33" i="12"/>
  <c r="J33" i="12"/>
  <c r="I33" i="12"/>
  <c r="K32" i="12"/>
  <c r="J32" i="12"/>
  <c r="I32" i="12"/>
  <c r="K31" i="12"/>
  <c r="J31" i="12"/>
  <c r="I31" i="12"/>
  <c r="K30" i="12"/>
  <c r="J30" i="12"/>
  <c r="I30" i="12"/>
  <c r="K29" i="12"/>
  <c r="J29" i="12"/>
  <c r="I29" i="12"/>
  <c r="K28" i="12"/>
  <c r="J28" i="12"/>
  <c r="I28" i="12"/>
  <c r="K27" i="12"/>
  <c r="J27" i="12"/>
  <c r="I27" i="12"/>
  <c r="K26" i="12"/>
  <c r="J26" i="12"/>
  <c r="I26" i="12"/>
  <c r="K25" i="12"/>
  <c r="J25" i="12"/>
  <c r="I25" i="12"/>
  <c r="K24" i="12"/>
  <c r="J24" i="12"/>
  <c r="I24" i="12"/>
  <c r="K23" i="12"/>
  <c r="J23" i="12"/>
  <c r="I23" i="12"/>
  <c r="K22" i="12"/>
  <c r="J22" i="12"/>
  <c r="I22" i="12"/>
  <c r="K21" i="12"/>
  <c r="J21" i="12"/>
  <c r="I21" i="12"/>
  <c r="K20" i="12"/>
  <c r="J20" i="12"/>
  <c r="I20" i="12"/>
  <c r="K19" i="12"/>
  <c r="J19" i="12"/>
  <c r="I19" i="12"/>
  <c r="K18" i="12"/>
  <c r="J18" i="12"/>
  <c r="I18" i="12"/>
  <c r="K17" i="12"/>
  <c r="J17" i="12"/>
  <c r="I17" i="12"/>
  <c r="K16" i="12"/>
  <c r="J16" i="12"/>
  <c r="I16" i="12"/>
  <c r="K15" i="12"/>
  <c r="J15" i="12"/>
  <c r="I15" i="12"/>
  <c r="K14" i="12"/>
  <c r="J14" i="12"/>
  <c r="I14" i="12"/>
  <c r="K13" i="12"/>
  <c r="J13" i="12"/>
  <c r="I13" i="12"/>
  <c r="K12" i="12"/>
  <c r="J12" i="12"/>
  <c r="I12" i="12"/>
  <c r="K11" i="12"/>
  <c r="J11" i="12"/>
  <c r="I11" i="12"/>
  <c r="K10" i="12"/>
  <c r="J10" i="12"/>
  <c r="I10" i="12"/>
  <c r="K9" i="12"/>
  <c r="J9" i="12"/>
  <c r="I9" i="12"/>
  <c r="K8" i="12"/>
  <c r="J8" i="12"/>
  <c r="I8" i="12"/>
  <c r="K7" i="12"/>
  <c r="J7" i="12"/>
  <c r="I7" i="12"/>
  <c r="K6" i="12"/>
  <c r="J6" i="12"/>
  <c r="I6" i="12"/>
  <c r="K5" i="12"/>
  <c r="J5" i="12"/>
  <c r="I5" i="12"/>
  <c r="K4" i="12"/>
  <c r="J4" i="12"/>
  <c r="I4" i="12"/>
  <c r="K3" i="12"/>
  <c r="J3" i="12"/>
  <c r="I3" i="12"/>
  <c r="K2" i="12"/>
  <c r="J2" i="12"/>
  <c r="I2" i="12"/>
  <c r="K101" i="11"/>
  <c r="J101" i="11"/>
  <c r="I101" i="11"/>
  <c r="K100" i="11"/>
  <c r="J100" i="11"/>
  <c r="I100" i="11"/>
  <c r="K99" i="11"/>
  <c r="J99" i="11"/>
  <c r="I99" i="11"/>
  <c r="K98" i="11"/>
  <c r="J98" i="11"/>
  <c r="I98" i="11"/>
  <c r="K97" i="11"/>
  <c r="J97" i="11"/>
  <c r="I97" i="11"/>
  <c r="K96" i="11"/>
  <c r="J96" i="11"/>
  <c r="I96" i="11"/>
  <c r="K95" i="11"/>
  <c r="J95" i="11"/>
  <c r="I95" i="11"/>
  <c r="K94" i="11"/>
  <c r="J94" i="11"/>
  <c r="I94" i="11"/>
  <c r="K93" i="11"/>
  <c r="J93" i="11"/>
  <c r="I93" i="11"/>
  <c r="K92" i="11"/>
  <c r="J92" i="11"/>
  <c r="I92" i="11"/>
  <c r="K91" i="11"/>
  <c r="J91" i="11"/>
  <c r="I91" i="11"/>
  <c r="K90" i="11"/>
  <c r="J90" i="11"/>
  <c r="I90" i="11"/>
  <c r="K89" i="11"/>
  <c r="J89" i="11"/>
  <c r="I89" i="11"/>
  <c r="K88" i="11"/>
  <c r="J88" i="11"/>
  <c r="I88" i="11"/>
  <c r="K87" i="11"/>
  <c r="J87" i="11"/>
  <c r="I87" i="11"/>
  <c r="K86" i="11"/>
  <c r="J86" i="11"/>
  <c r="I86" i="11"/>
  <c r="K85" i="11"/>
  <c r="J85" i="11"/>
  <c r="I85" i="11"/>
  <c r="K84" i="11"/>
  <c r="J84" i="11"/>
  <c r="I84" i="11"/>
  <c r="K83" i="11"/>
  <c r="J83" i="11"/>
  <c r="I83" i="11"/>
  <c r="K82" i="11"/>
  <c r="J82" i="11"/>
  <c r="I82" i="11"/>
  <c r="K81" i="11"/>
  <c r="J81" i="11"/>
  <c r="I81" i="11"/>
  <c r="K80" i="11"/>
  <c r="J80" i="11"/>
  <c r="I80" i="11"/>
  <c r="K79" i="11"/>
  <c r="J79" i="11"/>
  <c r="I79" i="11"/>
  <c r="K78" i="11"/>
  <c r="J78" i="11"/>
  <c r="I78" i="11"/>
  <c r="K77" i="11"/>
  <c r="J77" i="11"/>
  <c r="I77" i="11"/>
  <c r="K76" i="11"/>
  <c r="J76" i="11"/>
  <c r="I76" i="11"/>
  <c r="K75" i="11"/>
  <c r="J75" i="11"/>
  <c r="I75" i="11"/>
  <c r="K74" i="11"/>
  <c r="J74" i="11"/>
  <c r="I74" i="11"/>
  <c r="K73" i="11"/>
  <c r="J73" i="11"/>
  <c r="I73" i="11"/>
  <c r="K72" i="11"/>
  <c r="J72" i="11"/>
  <c r="I72" i="11"/>
  <c r="K71" i="11"/>
  <c r="J71" i="11"/>
  <c r="I71" i="11"/>
  <c r="K70" i="11"/>
  <c r="J70" i="11"/>
  <c r="I70" i="11"/>
  <c r="K69" i="11"/>
  <c r="J69" i="11"/>
  <c r="I69" i="11"/>
  <c r="K68" i="11"/>
  <c r="J68" i="11"/>
  <c r="I68" i="11"/>
  <c r="K67" i="11"/>
  <c r="J67" i="11"/>
  <c r="I67" i="11"/>
  <c r="K66" i="11"/>
  <c r="J66" i="11"/>
  <c r="I66" i="11"/>
  <c r="K65" i="11"/>
  <c r="J65" i="11"/>
  <c r="I65" i="11"/>
  <c r="K64" i="11"/>
  <c r="J64" i="11"/>
  <c r="I64" i="11"/>
  <c r="K63" i="11"/>
  <c r="J63" i="11"/>
  <c r="I63" i="11"/>
  <c r="K62" i="11"/>
  <c r="J62" i="11"/>
  <c r="I62" i="11"/>
  <c r="K61" i="11"/>
  <c r="J61" i="11"/>
  <c r="I61" i="11"/>
  <c r="K60" i="11"/>
  <c r="J60" i="11"/>
  <c r="I60" i="11"/>
  <c r="K59" i="11"/>
  <c r="J59" i="11"/>
  <c r="I59" i="11"/>
  <c r="K58" i="11"/>
  <c r="J58" i="11"/>
  <c r="I58" i="11"/>
  <c r="K57" i="11"/>
  <c r="J57" i="11"/>
  <c r="I57" i="11"/>
  <c r="K56" i="11"/>
  <c r="J56" i="11"/>
  <c r="I56" i="11"/>
  <c r="K55" i="11"/>
  <c r="J55" i="11"/>
  <c r="I55" i="11"/>
  <c r="K54" i="11"/>
  <c r="J54" i="11"/>
  <c r="I54" i="11"/>
  <c r="K53" i="11"/>
  <c r="J53" i="11"/>
  <c r="I53" i="11"/>
  <c r="K52" i="11"/>
  <c r="J52" i="11"/>
  <c r="I52" i="11"/>
  <c r="K51" i="11"/>
  <c r="J51" i="11"/>
  <c r="I51" i="11"/>
  <c r="K50" i="11"/>
  <c r="J50" i="11"/>
  <c r="I50" i="11"/>
  <c r="K49" i="11"/>
  <c r="J49" i="11"/>
  <c r="I49" i="11"/>
  <c r="K48" i="11"/>
  <c r="J48" i="11"/>
  <c r="I48" i="11"/>
  <c r="K47" i="11"/>
  <c r="J47" i="11"/>
  <c r="I47" i="11"/>
  <c r="K46" i="11"/>
  <c r="J46" i="11"/>
  <c r="I46" i="11"/>
  <c r="K45" i="11"/>
  <c r="J45" i="11"/>
  <c r="I45" i="11"/>
  <c r="K44" i="11"/>
  <c r="J44" i="11"/>
  <c r="I44" i="11"/>
  <c r="K43" i="11"/>
  <c r="J43" i="11"/>
  <c r="I43" i="11"/>
  <c r="K42" i="11"/>
  <c r="J42" i="11"/>
  <c r="I42" i="11"/>
  <c r="K41" i="11"/>
  <c r="J41" i="11"/>
  <c r="I41" i="11"/>
  <c r="K40" i="11"/>
  <c r="J40" i="11"/>
  <c r="I40" i="11"/>
  <c r="K39" i="11"/>
  <c r="J39" i="11"/>
  <c r="I39" i="11"/>
  <c r="K38" i="11"/>
  <c r="J38" i="11"/>
  <c r="I38" i="11"/>
  <c r="K37" i="11"/>
  <c r="J37" i="11"/>
  <c r="I37" i="11"/>
  <c r="K36" i="11"/>
  <c r="J36" i="11"/>
  <c r="I36" i="11"/>
  <c r="K35" i="11"/>
  <c r="J35" i="11"/>
  <c r="I35" i="11"/>
  <c r="K34" i="11"/>
  <c r="J34" i="11"/>
  <c r="I34" i="11"/>
  <c r="K33" i="11"/>
  <c r="J33" i="11"/>
  <c r="I33" i="11"/>
  <c r="K32" i="11"/>
  <c r="J32" i="11"/>
  <c r="I32" i="11"/>
  <c r="K31" i="11"/>
  <c r="J31" i="11"/>
  <c r="I31" i="11"/>
  <c r="K30" i="11"/>
  <c r="J30" i="11"/>
  <c r="I30" i="11"/>
  <c r="K29" i="11"/>
  <c r="J29" i="11"/>
  <c r="I29" i="11"/>
  <c r="K28" i="11"/>
  <c r="J28" i="11"/>
  <c r="I28" i="11"/>
  <c r="K27" i="11"/>
  <c r="J27" i="11"/>
  <c r="I27" i="11"/>
  <c r="K26" i="11"/>
  <c r="J26" i="11"/>
  <c r="I26" i="11"/>
  <c r="K25" i="11"/>
  <c r="J25" i="11"/>
  <c r="I25" i="11"/>
  <c r="K24" i="11"/>
  <c r="J24" i="11"/>
  <c r="I24" i="11"/>
  <c r="K23" i="11"/>
  <c r="J23" i="11"/>
  <c r="I23" i="11"/>
  <c r="K22" i="11"/>
  <c r="J22" i="11"/>
  <c r="I22" i="11"/>
  <c r="K21" i="11"/>
  <c r="J21" i="11"/>
  <c r="I21" i="11"/>
  <c r="K20" i="11"/>
  <c r="J20" i="11"/>
  <c r="I20" i="11"/>
  <c r="K19" i="11"/>
  <c r="J19" i="11"/>
  <c r="I19" i="11"/>
  <c r="K18" i="11"/>
  <c r="J18" i="11"/>
  <c r="I18" i="11"/>
  <c r="K17" i="11"/>
  <c r="J17" i="11"/>
  <c r="I17" i="11"/>
  <c r="K16" i="11"/>
  <c r="J16" i="11"/>
  <c r="I16" i="11"/>
  <c r="K15" i="11"/>
  <c r="J15" i="11"/>
  <c r="I15" i="11"/>
  <c r="K14" i="11"/>
  <c r="J14" i="11"/>
  <c r="I14" i="11"/>
  <c r="K13" i="11"/>
  <c r="J13" i="11"/>
  <c r="I13" i="11"/>
  <c r="K12" i="11"/>
  <c r="J12" i="11"/>
  <c r="I12" i="11"/>
  <c r="K11" i="11"/>
  <c r="J11" i="11"/>
  <c r="I11" i="11"/>
  <c r="K10" i="11"/>
  <c r="J10" i="11"/>
  <c r="I10" i="11"/>
  <c r="K9" i="11"/>
  <c r="J9" i="11"/>
  <c r="I9" i="11"/>
  <c r="K8" i="11"/>
  <c r="J8" i="11"/>
  <c r="I8" i="11"/>
  <c r="K7" i="11"/>
  <c r="J7" i="11"/>
  <c r="I7" i="11"/>
  <c r="K6" i="11"/>
  <c r="J6" i="11"/>
  <c r="I6" i="11"/>
  <c r="K5" i="11"/>
  <c r="J5" i="11"/>
  <c r="I5" i="11"/>
  <c r="K4" i="11"/>
  <c r="J4" i="11"/>
  <c r="I4" i="11"/>
  <c r="K3" i="11"/>
  <c r="J3" i="11"/>
  <c r="I3" i="11"/>
  <c r="K2" i="11"/>
  <c r="J2" i="11"/>
  <c r="I2" i="11"/>
  <c r="K101" i="10"/>
  <c r="J101" i="10"/>
  <c r="I101" i="10"/>
  <c r="K100" i="10"/>
  <c r="J100" i="10"/>
  <c r="I100" i="10"/>
  <c r="K99" i="10"/>
  <c r="J99" i="10"/>
  <c r="I99" i="10"/>
  <c r="K98" i="10"/>
  <c r="J98" i="10"/>
  <c r="I98" i="10"/>
  <c r="K97" i="10"/>
  <c r="J97" i="10"/>
  <c r="I97" i="10"/>
  <c r="K96" i="10"/>
  <c r="J96" i="10"/>
  <c r="I96" i="10"/>
  <c r="K95" i="10"/>
  <c r="J95" i="10"/>
  <c r="I95" i="10"/>
  <c r="K94" i="10"/>
  <c r="J94" i="10"/>
  <c r="I94" i="10"/>
  <c r="K93" i="10"/>
  <c r="J93" i="10"/>
  <c r="I93" i="10"/>
  <c r="K92" i="10"/>
  <c r="J92" i="10"/>
  <c r="I92" i="10"/>
  <c r="K91" i="10"/>
  <c r="J91" i="10"/>
  <c r="I91" i="10"/>
  <c r="K90" i="10"/>
  <c r="J90" i="10"/>
  <c r="I90" i="10"/>
  <c r="K89" i="10"/>
  <c r="J89" i="10"/>
  <c r="I89" i="10"/>
  <c r="K88" i="10"/>
  <c r="J88" i="10"/>
  <c r="I88" i="10"/>
  <c r="K87" i="10"/>
  <c r="J87" i="10"/>
  <c r="I87" i="10"/>
  <c r="K86" i="10"/>
  <c r="J86" i="10"/>
  <c r="I86" i="10"/>
  <c r="K85" i="10"/>
  <c r="J85" i="10"/>
  <c r="I85" i="10"/>
  <c r="K84" i="10"/>
  <c r="J84" i="10"/>
  <c r="I84" i="10"/>
  <c r="K83" i="10"/>
  <c r="J83" i="10"/>
  <c r="I83" i="10"/>
  <c r="K82" i="10"/>
  <c r="J82" i="10"/>
  <c r="I82" i="10"/>
  <c r="K81" i="10"/>
  <c r="J81" i="10"/>
  <c r="I81" i="10"/>
  <c r="K80" i="10"/>
  <c r="J80" i="10"/>
  <c r="I80" i="10"/>
  <c r="K79" i="10"/>
  <c r="J79" i="10"/>
  <c r="I79" i="10"/>
  <c r="K78" i="10"/>
  <c r="J78" i="10"/>
  <c r="I78" i="10"/>
  <c r="K77" i="10"/>
  <c r="J77" i="10"/>
  <c r="I77" i="10"/>
  <c r="K76" i="10"/>
  <c r="J76" i="10"/>
  <c r="I76" i="10"/>
  <c r="K75" i="10"/>
  <c r="J75" i="10"/>
  <c r="I75" i="10"/>
  <c r="K74" i="10"/>
  <c r="J74" i="10"/>
  <c r="I74" i="10"/>
  <c r="K73" i="10"/>
  <c r="J73" i="10"/>
  <c r="I73" i="10"/>
  <c r="K72" i="10"/>
  <c r="J72" i="10"/>
  <c r="I72" i="10"/>
  <c r="K71" i="10"/>
  <c r="J71" i="10"/>
  <c r="I71" i="10"/>
  <c r="K70" i="10"/>
  <c r="J70" i="10"/>
  <c r="I70" i="10"/>
  <c r="K69" i="10"/>
  <c r="J69" i="10"/>
  <c r="I69" i="10"/>
  <c r="K68" i="10"/>
  <c r="J68" i="10"/>
  <c r="I68" i="10"/>
  <c r="K67" i="10"/>
  <c r="J67" i="10"/>
  <c r="I67" i="10"/>
  <c r="K66" i="10"/>
  <c r="J66" i="10"/>
  <c r="I66" i="10"/>
  <c r="K65" i="10"/>
  <c r="J65" i="10"/>
  <c r="I65" i="10"/>
  <c r="K64" i="10"/>
  <c r="J64" i="10"/>
  <c r="I64" i="10"/>
  <c r="K63" i="10"/>
  <c r="J63" i="10"/>
  <c r="I63" i="10"/>
  <c r="K62" i="10"/>
  <c r="J62" i="10"/>
  <c r="I62" i="10"/>
  <c r="K61" i="10"/>
  <c r="J61" i="10"/>
  <c r="I61" i="10"/>
  <c r="K60" i="10"/>
  <c r="J60" i="10"/>
  <c r="I60" i="10"/>
  <c r="K59" i="10"/>
  <c r="J59" i="10"/>
  <c r="I59" i="10"/>
  <c r="K58" i="10"/>
  <c r="J58" i="10"/>
  <c r="I58" i="10"/>
  <c r="K57" i="10"/>
  <c r="J57" i="10"/>
  <c r="I57" i="10"/>
  <c r="K56" i="10"/>
  <c r="J56" i="10"/>
  <c r="I56" i="10"/>
  <c r="K55" i="10"/>
  <c r="J55" i="10"/>
  <c r="I55" i="10"/>
  <c r="K54" i="10"/>
  <c r="J54" i="10"/>
  <c r="I54" i="10"/>
  <c r="K53" i="10"/>
  <c r="J53" i="10"/>
  <c r="I53" i="10"/>
  <c r="K52" i="10"/>
  <c r="J52" i="10"/>
  <c r="I52" i="10"/>
  <c r="K51" i="10"/>
  <c r="J51" i="10"/>
  <c r="I51" i="10"/>
  <c r="K50" i="10"/>
  <c r="J50" i="10"/>
  <c r="I50" i="10"/>
  <c r="K49" i="10"/>
  <c r="J49" i="10"/>
  <c r="I49" i="10"/>
  <c r="K48" i="10"/>
  <c r="J48" i="10"/>
  <c r="I48" i="10"/>
  <c r="K47" i="10"/>
  <c r="J47" i="10"/>
  <c r="I47" i="10"/>
  <c r="K46" i="10"/>
  <c r="J46" i="10"/>
  <c r="I46" i="10"/>
  <c r="K45" i="10"/>
  <c r="J45" i="10"/>
  <c r="I45" i="10"/>
  <c r="K44" i="10"/>
  <c r="J44" i="10"/>
  <c r="I44" i="10"/>
  <c r="K43" i="10"/>
  <c r="J43" i="10"/>
  <c r="I43" i="10"/>
  <c r="K42" i="10"/>
  <c r="J42" i="10"/>
  <c r="I42" i="10"/>
  <c r="K41" i="10"/>
  <c r="J41" i="10"/>
  <c r="I41" i="10"/>
  <c r="K40" i="10"/>
  <c r="J40" i="10"/>
  <c r="I40" i="10"/>
  <c r="K39" i="10"/>
  <c r="J39" i="10"/>
  <c r="I39" i="10"/>
  <c r="K38" i="10"/>
  <c r="J38" i="10"/>
  <c r="I38" i="10"/>
  <c r="K37" i="10"/>
  <c r="J37" i="10"/>
  <c r="I37" i="10"/>
  <c r="K36" i="10"/>
  <c r="J36" i="10"/>
  <c r="I36" i="10"/>
  <c r="K35" i="10"/>
  <c r="J35" i="10"/>
  <c r="I35" i="10"/>
  <c r="K34" i="10"/>
  <c r="J34" i="10"/>
  <c r="I34" i="10"/>
  <c r="K33" i="10"/>
  <c r="J33" i="10"/>
  <c r="I33" i="10"/>
  <c r="K32" i="10"/>
  <c r="J32" i="10"/>
  <c r="I32" i="10"/>
  <c r="K31" i="10"/>
  <c r="J31" i="10"/>
  <c r="I31" i="10"/>
  <c r="K30" i="10"/>
  <c r="J30" i="10"/>
  <c r="I30" i="10"/>
  <c r="K29" i="10"/>
  <c r="J29" i="10"/>
  <c r="I29" i="10"/>
  <c r="K28" i="10"/>
  <c r="J28" i="10"/>
  <c r="I28" i="10"/>
  <c r="K27" i="10"/>
  <c r="J27" i="10"/>
  <c r="I27" i="10"/>
  <c r="K26" i="10"/>
  <c r="J26" i="10"/>
  <c r="I26" i="10"/>
  <c r="K25" i="10"/>
  <c r="J25" i="10"/>
  <c r="I25" i="10"/>
  <c r="K24" i="10"/>
  <c r="J24" i="10"/>
  <c r="I24" i="10"/>
  <c r="K23" i="10"/>
  <c r="J23" i="10"/>
  <c r="I23" i="10"/>
  <c r="K22" i="10"/>
  <c r="J22" i="10"/>
  <c r="I22" i="10"/>
  <c r="K21" i="10"/>
  <c r="J21" i="10"/>
  <c r="I21" i="10"/>
  <c r="K20" i="10"/>
  <c r="J20" i="10"/>
  <c r="I20" i="10"/>
  <c r="K19" i="10"/>
  <c r="J19" i="10"/>
  <c r="I19" i="10"/>
  <c r="K18" i="10"/>
  <c r="J18" i="10"/>
  <c r="I18" i="10"/>
  <c r="K17" i="10"/>
  <c r="J17" i="10"/>
  <c r="I17" i="10"/>
  <c r="K16" i="10"/>
  <c r="J16" i="10"/>
  <c r="I16" i="10"/>
  <c r="K15" i="10"/>
  <c r="J15" i="10"/>
  <c r="I15" i="10"/>
  <c r="K14" i="10"/>
  <c r="J14" i="10"/>
  <c r="I14" i="10"/>
  <c r="K13" i="10"/>
  <c r="J13" i="10"/>
  <c r="I13" i="10"/>
  <c r="K12" i="10"/>
  <c r="J12" i="10"/>
  <c r="I12" i="10"/>
  <c r="K11" i="10"/>
  <c r="J11" i="10"/>
  <c r="I11" i="10"/>
  <c r="K10" i="10"/>
  <c r="J10" i="10"/>
  <c r="I10" i="10"/>
  <c r="K9" i="10"/>
  <c r="J9" i="10"/>
  <c r="I9" i="10"/>
  <c r="K8" i="10"/>
  <c r="J8" i="10"/>
  <c r="I8" i="10"/>
  <c r="K7" i="10"/>
  <c r="J7" i="10"/>
  <c r="I7" i="10"/>
  <c r="K6" i="10"/>
  <c r="J6" i="10"/>
  <c r="I6" i="10"/>
  <c r="K5" i="10"/>
  <c r="J5" i="10"/>
  <c r="I5" i="10"/>
  <c r="K4" i="10"/>
  <c r="J4" i="10"/>
  <c r="I4" i="10"/>
  <c r="K3" i="10"/>
  <c r="J3" i="10"/>
  <c r="I3" i="10"/>
  <c r="K2" i="10"/>
  <c r="J2" i="10"/>
  <c r="I2" i="10"/>
  <c r="K101" i="9"/>
  <c r="J101" i="9"/>
  <c r="I101" i="9"/>
  <c r="K100" i="9"/>
  <c r="J100" i="9"/>
  <c r="I100" i="9"/>
  <c r="K99" i="9"/>
  <c r="J99" i="9"/>
  <c r="I99" i="9"/>
  <c r="K98" i="9"/>
  <c r="J98" i="9"/>
  <c r="I98" i="9"/>
  <c r="K97" i="9"/>
  <c r="J97" i="9"/>
  <c r="I97" i="9"/>
  <c r="K96" i="9"/>
  <c r="J96" i="9"/>
  <c r="I96" i="9"/>
  <c r="K95" i="9"/>
  <c r="J95" i="9"/>
  <c r="I95" i="9"/>
  <c r="K94" i="9"/>
  <c r="J94" i="9"/>
  <c r="I94" i="9"/>
  <c r="K93" i="9"/>
  <c r="J93" i="9"/>
  <c r="I93" i="9"/>
  <c r="K92" i="9"/>
  <c r="J92" i="9"/>
  <c r="I92" i="9"/>
  <c r="K91" i="9"/>
  <c r="J91" i="9"/>
  <c r="I91" i="9"/>
  <c r="K90" i="9"/>
  <c r="J90" i="9"/>
  <c r="I90" i="9"/>
  <c r="K89" i="9"/>
  <c r="J89" i="9"/>
  <c r="I89" i="9"/>
  <c r="K88" i="9"/>
  <c r="J88" i="9"/>
  <c r="I88" i="9"/>
  <c r="K87" i="9"/>
  <c r="J87" i="9"/>
  <c r="I87" i="9"/>
  <c r="K86" i="9"/>
  <c r="J86" i="9"/>
  <c r="I86" i="9"/>
  <c r="K85" i="9"/>
  <c r="J85" i="9"/>
  <c r="I85" i="9"/>
  <c r="K84" i="9"/>
  <c r="J84" i="9"/>
  <c r="I84" i="9"/>
  <c r="K83" i="9"/>
  <c r="J83" i="9"/>
  <c r="I83" i="9"/>
  <c r="K82" i="9"/>
  <c r="J82" i="9"/>
  <c r="I82" i="9"/>
  <c r="K81" i="9"/>
  <c r="J81" i="9"/>
  <c r="I81" i="9"/>
  <c r="K80" i="9"/>
  <c r="J80" i="9"/>
  <c r="I80" i="9"/>
  <c r="K79" i="9"/>
  <c r="J79" i="9"/>
  <c r="I79" i="9"/>
  <c r="K78" i="9"/>
  <c r="J78" i="9"/>
  <c r="I78" i="9"/>
  <c r="K77" i="9"/>
  <c r="J77" i="9"/>
  <c r="I77" i="9"/>
  <c r="K76" i="9"/>
  <c r="J76" i="9"/>
  <c r="I76" i="9"/>
  <c r="K75" i="9"/>
  <c r="J75" i="9"/>
  <c r="I75" i="9"/>
  <c r="K74" i="9"/>
  <c r="J74" i="9"/>
  <c r="I74" i="9"/>
  <c r="K73" i="9"/>
  <c r="J73" i="9"/>
  <c r="I73" i="9"/>
  <c r="K72" i="9"/>
  <c r="J72" i="9"/>
  <c r="I72" i="9"/>
  <c r="K71" i="9"/>
  <c r="J71" i="9"/>
  <c r="I71" i="9"/>
  <c r="K70" i="9"/>
  <c r="J70" i="9"/>
  <c r="I70" i="9"/>
  <c r="K69" i="9"/>
  <c r="J69" i="9"/>
  <c r="I69" i="9"/>
  <c r="K68" i="9"/>
  <c r="J68" i="9"/>
  <c r="I68" i="9"/>
  <c r="K67" i="9"/>
  <c r="J67" i="9"/>
  <c r="I67" i="9"/>
  <c r="K66" i="9"/>
  <c r="J66" i="9"/>
  <c r="I66" i="9"/>
  <c r="K65" i="9"/>
  <c r="J65" i="9"/>
  <c r="I65" i="9"/>
  <c r="K64" i="9"/>
  <c r="J64" i="9"/>
  <c r="I64" i="9"/>
  <c r="K63" i="9"/>
  <c r="J63" i="9"/>
  <c r="I63" i="9"/>
  <c r="K62" i="9"/>
  <c r="J62" i="9"/>
  <c r="I62" i="9"/>
  <c r="K61" i="9"/>
  <c r="J61" i="9"/>
  <c r="I61" i="9"/>
  <c r="K60" i="9"/>
  <c r="J60" i="9"/>
  <c r="I60" i="9"/>
  <c r="K59" i="9"/>
  <c r="J59" i="9"/>
  <c r="I59" i="9"/>
  <c r="K58" i="9"/>
  <c r="J58" i="9"/>
  <c r="I58" i="9"/>
  <c r="K57" i="9"/>
  <c r="J57" i="9"/>
  <c r="I57" i="9"/>
  <c r="K56" i="9"/>
  <c r="J56" i="9"/>
  <c r="I56" i="9"/>
  <c r="K55" i="9"/>
  <c r="J55" i="9"/>
  <c r="I55" i="9"/>
  <c r="K54" i="9"/>
  <c r="J54" i="9"/>
  <c r="I54" i="9"/>
  <c r="K53" i="9"/>
  <c r="J53" i="9"/>
  <c r="I53" i="9"/>
  <c r="K52" i="9"/>
  <c r="J52" i="9"/>
  <c r="I52" i="9"/>
  <c r="K51" i="9"/>
  <c r="J51" i="9"/>
  <c r="I51" i="9"/>
  <c r="K50" i="9"/>
  <c r="J50" i="9"/>
  <c r="I50" i="9"/>
  <c r="K49" i="9"/>
  <c r="J49" i="9"/>
  <c r="I49" i="9"/>
  <c r="K48" i="9"/>
  <c r="J48" i="9"/>
  <c r="I48" i="9"/>
  <c r="K47" i="9"/>
  <c r="J47" i="9"/>
  <c r="I47" i="9"/>
  <c r="K46" i="9"/>
  <c r="J46" i="9"/>
  <c r="I46" i="9"/>
  <c r="K45" i="9"/>
  <c r="J45" i="9"/>
  <c r="I45" i="9"/>
  <c r="K44" i="9"/>
  <c r="J44" i="9"/>
  <c r="I44" i="9"/>
  <c r="K43" i="9"/>
  <c r="J43" i="9"/>
  <c r="I43" i="9"/>
  <c r="K42" i="9"/>
  <c r="J42" i="9"/>
  <c r="I42" i="9"/>
  <c r="K41" i="9"/>
  <c r="J41" i="9"/>
  <c r="I41" i="9"/>
  <c r="K40" i="9"/>
  <c r="J40" i="9"/>
  <c r="I40" i="9"/>
  <c r="K39" i="9"/>
  <c r="J39" i="9"/>
  <c r="I39" i="9"/>
  <c r="K38" i="9"/>
  <c r="J38" i="9"/>
  <c r="I38" i="9"/>
  <c r="K37" i="9"/>
  <c r="J37" i="9"/>
  <c r="I37" i="9"/>
  <c r="K36" i="9"/>
  <c r="J36" i="9"/>
  <c r="I36" i="9"/>
  <c r="K35" i="9"/>
  <c r="J35" i="9"/>
  <c r="I35" i="9"/>
  <c r="K34" i="9"/>
  <c r="J34" i="9"/>
  <c r="I34" i="9"/>
  <c r="K33" i="9"/>
  <c r="J33" i="9"/>
  <c r="I33" i="9"/>
  <c r="K32" i="9"/>
  <c r="J32" i="9"/>
  <c r="I32" i="9"/>
  <c r="K31" i="9"/>
  <c r="J31" i="9"/>
  <c r="I31" i="9"/>
  <c r="K30" i="9"/>
  <c r="J30" i="9"/>
  <c r="I30" i="9"/>
  <c r="K29" i="9"/>
  <c r="J29" i="9"/>
  <c r="I29" i="9"/>
  <c r="K28" i="9"/>
  <c r="J28" i="9"/>
  <c r="I28" i="9"/>
  <c r="K27" i="9"/>
  <c r="J27" i="9"/>
  <c r="I27" i="9"/>
  <c r="K26" i="9"/>
  <c r="J26" i="9"/>
  <c r="I26" i="9"/>
  <c r="K25" i="9"/>
  <c r="J25" i="9"/>
  <c r="I25" i="9"/>
  <c r="K24" i="9"/>
  <c r="J24" i="9"/>
  <c r="I24" i="9"/>
  <c r="K23" i="9"/>
  <c r="J23" i="9"/>
  <c r="I23" i="9"/>
  <c r="K22" i="9"/>
  <c r="J22" i="9"/>
  <c r="I22" i="9"/>
  <c r="K21" i="9"/>
  <c r="J21" i="9"/>
  <c r="I21" i="9"/>
  <c r="K20" i="9"/>
  <c r="J20" i="9"/>
  <c r="I20" i="9"/>
  <c r="K19" i="9"/>
  <c r="J19" i="9"/>
  <c r="I19" i="9"/>
  <c r="K18" i="9"/>
  <c r="J18" i="9"/>
  <c r="I18" i="9"/>
  <c r="K17" i="9"/>
  <c r="J17" i="9"/>
  <c r="I17" i="9"/>
  <c r="K16" i="9"/>
  <c r="J16" i="9"/>
  <c r="I16" i="9"/>
  <c r="K15" i="9"/>
  <c r="J15" i="9"/>
  <c r="I15" i="9"/>
  <c r="K14" i="9"/>
  <c r="J14" i="9"/>
  <c r="I14" i="9"/>
  <c r="K13" i="9"/>
  <c r="J13" i="9"/>
  <c r="I13" i="9"/>
  <c r="K12" i="9"/>
  <c r="J12" i="9"/>
  <c r="I12" i="9"/>
  <c r="K11" i="9"/>
  <c r="J11" i="9"/>
  <c r="I11" i="9"/>
  <c r="K10" i="9"/>
  <c r="J10" i="9"/>
  <c r="I10" i="9"/>
  <c r="K9" i="9"/>
  <c r="J9" i="9"/>
  <c r="I9" i="9"/>
  <c r="K8" i="9"/>
  <c r="J8" i="9"/>
  <c r="I8" i="9"/>
  <c r="K7" i="9"/>
  <c r="J7" i="9"/>
  <c r="I7" i="9"/>
  <c r="K6" i="9"/>
  <c r="J6" i="9"/>
  <c r="I6" i="9"/>
  <c r="K5" i="9"/>
  <c r="J5" i="9"/>
  <c r="I5" i="9"/>
  <c r="K4" i="9"/>
  <c r="J4" i="9"/>
  <c r="I4" i="9"/>
  <c r="K3" i="9"/>
  <c r="J3" i="9"/>
  <c r="I3" i="9"/>
  <c r="K2" i="9"/>
  <c r="J2" i="9"/>
  <c r="I2" i="9"/>
  <c r="K101" i="8"/>
  <c r="J101" i="8"/>
  <c r="I101" i="8"/>
  <c r="K100" i="8"/>
  <c r="J100" i="8"/>
  <c r="I100" i="8"/>
  <c r="K99" i="8"/>
  <c r="J99" i="8"/>
  <c r="I99" i="8"/>
  <c r="K98" i="8"/>
  <c r="J98" i="8"/>
  <c r="I98" i="8"/>
  <c r="K97" i="8"/>
  <c r="J97" i="8"/>
  <c r="I97" i="8"/>
  <c r="K96" i="8"/>
  <c r="J96" i="8"/>
  <c r="I96" i="8"/>
  <c r="K95" i="8"/>
  <c r="J95" i="8"/>
  <c r="I95" i="8"/>
  <c r="K94" i="8"/>
  <c r="J94" i="8"/>
  <c r="I94" i="8"/>
  <c r="K93" i="8"/>
  <c r="J93" i="8"/>
  <c r="I93" i="8"/>
  <c r="K92" i="8"/>
  <c r="J92" i="8"/>
  <c r="I92" i="8"/>
  <c r="K91" i="8"/>
  <c r="J91" i="8"/>
  <c r="I91" i="8"/>
  <c r="K90" i="8"/>
  <c r="J90" i="8"/>
  <c r="I90" i="8"/>
  <c r="K89" i="8"/>
  <c r="J89" i="8"/>
  <c r="I89" i="8"/>
  <c r="K88" i="8"/>
  <c r="J88" i="8"/>
  <c r="I88" i="8"/>
  <c r="K87" i="8"/>
  <c r="J87" i="8"/>
  <c r="I87" i="8"/>
  <c r="K86" i="8"/>
  <c r="J86" i="8"/>
  <c r="I86" i="8"/>
  <c r="K85" i="8"/>
  <c r="J85" i="8"/>
  <c r="I85" i="8"/>
  <c r="K84" i="8"/>
  <c r="J84" i="8"/>
  <c r="I84" i="8"/>
  <c r="K83" i="8"/>
  <c r="J83" i="8"/>
  <c r="I83" i="8"/>
  <c r="K82" i="8"/>
  <c r="J82" i="8"/>
  <c r="I82" i="8"/>
  <c r="K81" i="8"/>
  <c r="J81" i="8"/>
  <c r="I81" i="8"/>
  <c r="K80" i="8"/>
  <c r="J80" i="8"/>
  <c r="I80" i="8"/>
  <c r="K79" i="8"/>
  <c r="J79" i="8"/>
  <c r="I79" i="8"/>
  <c r="K78" i="8"/>
  <c r="J78" i="8"/>
  <c r="I78" i="8"/>
  <c r="K77" i="8"/>
  <c r="J77" i="8"/>
  <c r="I77" i="8"/>
  <c r="K76" i="8"/>
  <c r="J76" i="8"/>
  <c r="I76" i="8"/>
  <c r="K75" i="8"/>
  <c r="J75" i="8"/>
  <c r="I75" i="8"/>
  <c r="K74" i="8"/>
  <c r="J74" i="8"/>
  <c r="I74" i="8"/>
  <c r="K73" i="8"/>
  <c r="J73" i="8"/>
  <c r="I73" i="8"/>
  <c r="K72" i="8"/>
  <c r="J72" i="8"/>
  <c r="I72" i="8"/>
  <c r="K71" i="8"/>
  <c r="J71" i="8"/>
  <c r="I71" i="8"/>
  <c r="K70" i="8"/>
  <c r="J70" i="8"/>
  <c r="I70" i="8"/>
  <c r="K69" i="8"/>
  <c r="J69" i="8"/>
  <c r="I69" i="8"/>
  <c r="K68" i="8"/>
  <c r="J68" i="8"/>
  <c r="I68" i="8"/>
  <c r="K67" i="8"/>
  <c r="J67" i="8"/>
  <c r="I67" i="8"/>
  <c r="K66" i="8"/>
  <c r="J66" i="8"/>
  <c r="I66" i="8"/>
  <c r="K65" i="8"/>
  <c r="J65" i="8"/>
  <c r="I65" i="8"/>
  <c r="K64" i="8"/>
  <c r="J64" i="8"/>
  <c r="I64" i="8"/>
  <c r="K63" i="8"/>
  <c r="J63" i="8"/>
  <c r="I63" i="8"/>
  <c r="K62" i="8"/>
  <c r="J62" i="8"/>
  <c r="I62" i="8"/>
  <c r="K61" i="8"/>
  <c r="J61" i="8"/>
  <c r="I61" i="8"/>
  <c r="K60" i="8"/>
  <c r="J60" i="8"/>
  <c r="I60" i="8"/>
  <c r="K59" i="8"/>
  <c r="J59" i="8"/>
  <c r="I59" i="8"/>
  <c r="K58" i="8"/>
  <c r="J58" i="8"/>
  <c r="I58" i="8"/>
  <c r="K57" i="8"/>
  <c r="J57" i="8"/>
  <c r="I57" i="8"/>
  <c r="K56" i="8"/>
  <c r="J56" i="8"/>
  <c r="I56" i="8"/>
  <c r="K55" i="8"/>
  <c r="J55" i="8"/>
  <c r="I55" i="8"/>
  <c r="K54" i="8"/>
  <c r="J54" i="8"/>
  <c r="I54" i="8"/>
  <c r="K53" i="8"/>
  <c r="J53" i="8"/>
  <c r="I53" i="8"/>
  <c r="K52" i="8"/>
  <c r="J52" i="8"/>
  <c r="I52" i="8"/>
  <c r="K51" i="8"/>
  <c r="J51" i="8"/>
  <c r="I51" i="8"/>
  <c r="K50" i="8"/>
  <c r="J50" i="8"/>
  <c r="I50" i="8"/>
  <c r="K49" i="8"/>
  <c r="J49" i="8"/>
  <c r="I49" i="8"/>
  <c r="K48" i="8"/>
  <c r="J48" i="8"/>
  <c r="I48" i="8"/>
  <c r="K47" i="8"/>
  <c r="J47" i="8"/>
  <c r="I47" i="8"/>
  <c r="K46" i="8"/>
  <c r="J46" i="8"/>
  <c r="I46" i="8"/>
  <c r="K45" i="8"/>
  <c r="J45" i="8"/>
  <c r="I45" i="8"/>
  <c r="K44" i="8"/>
  <c r="J44" i="8"/>
  <c r="I44" i="8"/>
  <c r="K43" i="8"/>
  <c r="J43" i="8"/>
  <c r="I43" i="8"/>
  <c r="K42" i="8"/>
  <c r="J42" i="8"/>
  <c r="I42" i="8"/>
  <c r="K41" i="8"/>
  <c r="J41" i="8"/>
  <c r="I41" i="8"/>
  <c r="K40" i="8"/>
  <c r="J40" i="8"/>
  <c r="I40" i="8"/>
  <c r="K39" i="8"/>
  <c r="J39" i="8"/>
  <c r="I39" i="8"/>
  <c r="K38" i="8"/>
  <c r="J38" i="8"/>
  <c r="I38" i="8"/>
  <c r="K37" i="8"/>
  <c r="J37" i="8"/>
  <c r="I37" i="8"/>
  <c r="K36" i="8"/>
  <c r="J36" i="8"/>
  <c r="I36" i="8"/>
  <c r="K35" i="8"/>
  <c r="J35" i="8"/>
  <c r="I35" i="8"/>
  <c r="K34" i="8"/>
  <c r="J34" i="8"/>
  <c r="I34" i="8"/>
  <c r="K33" i="8"/>
  <c r="J33" i="8"/>
  <c r="I33" i="8"/>
  <c r="K32" i="8"/>
  <c r="J32" i="8"/>
  <c r="I32" i="8"/>
  <c r="K31" i="8"/>
  <c r="J31" i="8"/>
  <c r="I31" i="8"/>
  <c r="K30" i="8"/>
  <c r="J30" i="8"/>
  <c r="I30" i="8"/>
  <c r="K29" i="8"/>
  <c r="J29" i="8"/>
  <c r="I29" i="8"/>
  <c r="K28" i="8"/>
  <c r="J28" i="8"/>
  <c r="I28" i="8"/>
  <c r="K27" i="8"/>
  <c r="J27" i="8"/>
  <c r="I27" i="8"/>
  <c r="K26" i="8"/>
  <c r="J26" i="8"/>
  <c r="I26" i="8"/>
  <c r="K25" i="8"/>
  <c r="J25" i="8"/>
  <c r="I25" i="8"/>
  <c r="K24" i="8"/>
  <c r="J24" i="8"/>
  <c r="I24" i="8"/>
  <c r="K23" i="8"/>
  <c r="J23" i="8"/>
  <c r="I23" i="8"/>
  <c r="K22" i="8"/>
  <c r="J22" i="8"/>
  <c r="I22" i="8"/>
  <c r="K21" i="8"/>
  <c r="J21" i="8"/>
  <c r="I21" i="8"/>
  <c r="K20" i="8"/>
  <c r="J20" i="8"/>
  <c r="I20" i="8"/>
  <c r="K19" i="8"/>
  <c r="J19" i="8"/>
  <c r="I19" i="8"/>
  <c r="K18" i="8"/>
  <c r="J18" i="8"/>
  <c r="I18" i="8"/>
  <c r="K17" i="8"/>
  <c r="J17" i="8"/>
  <c r="I17" i="8"/>
  <c r="K16" i="8"/>
  <c r="J16" i="8"/>
  <c r="I16" i="8"/>
  <c r="K15" i="8"/>
  <c r="J15" i="8"/>
  <c r="I15" i="8"/>
  <c r="K14" i="8"/>
  <c r="J14" i="8"/>
  <c r="I14" i="8"/>
  <c r="K13" i="8"/>
  <c r="J13" i="8"/>
  <c r="I13" i="8"/>
  <c r="K12" i="8"/>
  <c r="J12" i="8"/>
  <c r="I12" i="8"/>
  <c r="K11" i="8"/>
  <c r="J11" i="8"/>
  <c r="I11" i="8"/>
  <c r="K10" i="8"/>
  <c r="J10" i="8"/>
  <c r="I10" i="8"/>
  <c r="K9" i="8"/>
  <c r="J9" i="8"/>
  <c r="I9" i="8"/>
  <c r="K8" i="8"/>
  <c r="J8" i="8"/>
  <c r="I8" i="8"/>
  <c r="K7" i="8"/>
  <c r="J7" i="8"/>
  <c r="I7" i="8"/>
  <c r="K6" i="8"/>
  <c r="J6" i="8"/>
  <c r="I6" i="8"/>
  <c r="K5" i="8"/>
  <c r="J5" i="8"/>
  <c r="I5" i="8"/>
  <c r="K4" i="8"/>
  <c r="J4" i="8"/>
  <c r="I4" i="8"/>
  <c r="K3" i="8"/>
  <c r="J3" i="8"/>
  <c r="I3" i="8"/>
  <c r="K2" i="8"/>
  <c r="J2" i="8"/>
  <c r="I2" i="8"/>
  <c r="K101" i="7"/>
  <c r="J101" i="7"/>
  <c r="I101" i="7"/>
  <c r="K100" i="7"/>
  <c r="J100" i="7"/>
  <c r="I100" i="7"/>
  <c r="K99" i="7"/>
  <c r="J99" i="7"/>
  <c r="I99" i="7"/>
  <c r="K98" i="7"/>
  <c r="J98" i="7"/>
  <c r="I98" i="7"/>
  <c r="K97" i="7"/>
  <c r="J97" i="7"/>
  <c r="I97" i="7"/>
  <c r="K96" i="7"/>
  <c r="J96" i="7"/>
  <c r="I96" i="7"/>
  <c r="K95" i="7"/>
  <c r="J95" i="7"/>
  <c r="I95" i="7"/>
  <c r="K94" i="7"/>
  <c r="J94" i="7"/>
  <c r="I94" i="7"/>
  <c r="K93" i="7"/>
  <c r="J93" i="7"/>
  <c r="I93" i="7"/>
  <c r="K92" i="7"/>
  <c r="J92" i="7"/>
  <c r="I92" i="7"/>
  <c r="K91" i="7"/>
  <c r="J91" i="7"/>
  <c r="I91" i="7"/>
  <c r="K90" i="7"/>
  <c r="J90" i="7"/>
  <c r="I90" i="7"/>
  <c r="K89" i="7"/>
  <c r="J89" i="7"/>
  <c r="I89" i="7"/>
  <c r="K88" i="7"/>
  <c r="J88" i="7"/>
  <c r="I88" i="7"/>
  <c r="K87" i="7"/>
  <c r="J87" i="7"/>
  <c r="I87" i="7"/>
  <c r="K86" i="7"/>
  <c r="J86" i="7"/>
  <c r="I86" i="7"/>
  <c r="K85" i="7"/>
  <c r="J85" i="7"/>
  <c r="I85" i="7"/>
  <c r="K84" i="7"/>
  <c r="J84" i="7"/>
  <c r="I84" i="7"/>
  <c r="K83" i="7"/>
  <c r="J83" i="7"/>
  <c r="I83" i="7"/>
  <c r="K82" i="7"/>
  <c r="J82" i="7"/>
  <c r="I82" i="7"/>
  <c r="K81" i="7"/>
  <c r="J81" i="7"/>
  <c r="I81" i="7"/>
  <c r="K80" i="7"/>
  <c r="J80" i="7"/>
  <c r="I80" i="7"/>
  <c r="K79" i="7"/>
  <c r="J79" i="7"/>
  <c r="I79" i="7"/>
  <c r="K78" i="7"/>
  <c r="J78" i="7"/>
  <c r="I78" i="7"/>
  <c r="K77" i="7"/>
  <c r="J77" i="7"/>
  <c r="I77" i="7"/>
  <c r="K76" i="7"/>
  <c r="J76" i="7"/>
  <c r="I76" i="7"/>
  <c r="K75" i="7"/>
  <c r="J75" i="7"/>
  <c r="I75" i="7"/>
  <c r="K74" i="7"/>
  <c r="J74" i="7"/>
  <c r="I74" i="7"/>
  <c r="K73" i="7"/>
  <c r="J73" i="7"/>
  <c r="I73" i="7"/>
  <c r="K72" i="7"/>
  <c r="J72" i="7"/>
  <c r="I72" i="7"/>
  <c r="K71" i="7"/>
  <c r="J71" i="7"/>
  <c r="I71" i="7"/>
  <c r="K70" i="7"/>
  <c r="J70" i="7"/>
  <c r="I70" i="7"/>
  <c r="K69" i="7"/>
  <c r="J69" i="7"/>
  <c r="I69" i="7"/>
  <c r="K68" i="7"/>
  <c r="J68" i="7"/>
  <c r="I68" i="7"/>
  <c r="K67" i="7"/>
  <c r="J67" i="7"/>
  <c r="I67" i="7"/>
  <c r="K66" i="7"/>
  <c r="J66" i="7"/>
  <c r="I66" i="7"/>
  <c r="K65" i="7"/>
  <c r="J65" i="7"/>
  <c r="I65" i="7"/>
  <c r="K64" i="7"/>
  <c r="J64" i="7"/>
  <c r="I64" i="7"/>
  <c r="K63" i="7"/>
  <c r="J63" i="7"/>
  <c r="I63" i="7"/>
  <c r="K62" i="7"/>
  <c r="J62" i="7"/>
  <c r="I62" i="7"/>
  <c r="K61" i="7"/>
  <c r="J61" i="7"/>
  <c r="I61" i="7"/>
  <c r="K60" i="7"/>
  <c r="J60" i="7"/>
  <c r="I60" i="7"/>
  <c r="K59" i="7"/>
  <c r="J59" i="7"/>
  <c r="I59" i="7"/>
  <c r="K58" i="7"/>
  <c r="J58" i="7"/>
  <c r="I58" i="7"/>
  <c r="K57" i="7"/>
  <c r="J57" i="7"/>
  <c r="I57" i="7"/>
  <c r="K56" i="7"/>
  <c r="J56" i="7"/>
  <c r="I56" i="7"/>
  <c r="K55" i="7"/>
  <c r="J55" i="7"/>
  <c r="I55" i="7"/>
  <c r="K54" i="7"/>
  <c r="J54" i="7"/>
  <c r="I54" i="7"/>
  <c r="K53" i="7"/>
  <c r="J53" i="7"/>
  <c r="I53" i="7"/>
  <c r="K52" i="7"/>
  <c r="J52" i="7"/>
  <c r="I52" i="7"/>
  <c r="K51" i="7"/>
  <c r="J51" i="7"/>
  <c r="I51" i="7"/>
  <c r="K50" i="7"/>
  <c r="J50" i="7"/>
  <c r="I50" i="7"/>
  <c r="K49" i="7"/>
  <c r="J49" i="7"/>
  <c r="I49" i="7"/>
  <c r="K48" i="7"/>
  <c r="J48" i="7"/>
  <c r="I48" i="7"/>
  <c r="K47" i="7"/>
  <c r="J47" i="7"/>
  <c r="I47" i="7"/>
  <c r="K46" i="7"/>
  <c r="J46" i="7"/>
  <c r="I46" i="7"/>
  <c r="K45" i="7"/>
  <c r="J45" i="7"/>
  <c r="I45" i="7"/>
  <c r="K44" i="7"/>
  <c r="J44" i="7"/>
  <c r="I44" i="7"/>
  <c r="K43" i="7"/>
  <c r="J43" i="7"/>
  <c r="I43" i="7"/>
  <c r="K42" i="7"/>
  <c r="J42" i="7"/>
  <c r="I42" i="7"/>
  <c r="K41" i="7"/>
  <c r="J41" i="7"/>
  <c r="I41" i="7"/>
  <c r="K40" i="7"/>
  <c r="J40" i="7"/>
  <c r="I40" i="7"/>
  <c r="K39" i="7"/>
  <c r="J39" i="7"/>
  <c r="I39" i="7"/>
  <c r="K38" i="7"/>
  <c r="J38" i="7"/>
  <c r="I38" i="7"/>
  <c r="K37" i="7"/>
  <c r="J37" i="7"/>
  <c r="I37" i="7"/>
  <c r="K36" i="7"/>
  <c r="J36" i="7"/>
  <c r="I36" i="7"/>
  <c r="K35" i="7"/>
  <c r="J35" i="7"/>
  <c r="I35" i="7"/>
  <c r="K34" i="7"/>
  <c r="J34" i="7"/>
  <c r="I34" i="7"/>
  <c r="K33" i="7"/>
  <c r="J33" i="7"/>
  <c r="I33" i="7"/>
  <c r="K32" i="7"/>
  <c r="J32" i="7"/>
  <c r="I32" i="7"/>
  <c r="K31" i="7"/>
  <c r="J31" i="7"/>
  <c r="I31" i="7"/>
  <c r="K30" i="7"/>
  <c r="J30" i="7"/>
  <c r="I30" i="7"/>
  <c r="K29" i="7"/>
  <c r="J29" i="7"/>
  <c r="I29" i="7"/>
  <c r="K28" i="7"/>
  <c r="J28" i="7"/>
  <c r="I28" i="7"/>
  <c r="K27" i="7"/>
  <c r="J27" i="7"/>
  <c r="I27" i="7"/>
  <c r="K26" i="7"/>
  <c r="J26" i="7"/>
  <c r="I26" i="7"/>
  <c r="K25" i="7"/>
  <c r="J25" i="7"/>
  <c r="I25" i="7"/>
  <c r="K24" i="7"/>
  <c r="J24" i="7"/>
  <c r="I24" i="7"/>
  <c r="K23" i="7"/>
  <c r="J23" i="7"/>
  <c r="I23" i="7"/>
  <c r="K22" i="7"/>
  <c r="J22" i="7"/>
  <c r="I22" i="7"/>
  <c r="K21" i="7"/>
  <c r="J21" i="7"/>
  <c r="I21" i="7"/>
  <c r="K20" i="7"/>
  <c r="J20" i="7"/>
  <c r="I20" i="7"/>
  <c r="K19" i="7"/>
  <c r="J19" i="7"/>
  <c r="I19" i="7"/>
  <c r="K18" i="7"/>
  <c r="J18" i="7"/>
  <c r="I18" i="7"/>
  <c r="K17" i="7"/>
  <c r="J17" i="7"/>
  <c r="I17" i="7"/>
  <c r="K16" i="7"/>
  <c r="J16" i="7"/>
  <c r="I16" i="7"/>
  <c r="K15" i="7"/>
  <c r="J15" i="7"/>
  <c r="I15" i="7"/>
  <c r="K14" i="7"/>
  <c r="J14" i="7"/>
  <c r="I14" i="7"/>
  <c r="K13" i="7"/>
  <c r="J13" i="7"/>
  <c r="I13" i="7"/>
  <c r="K12" i="7"/>
  <c r="J12" i="7"/>
  <c r="I12" i="7"/>
  <c r="K11" i="7"/>
  <c r="J11" i="7"/>
  <c r="I11" i="7"/>
  <c r="K10" i="7"/>
  <c r="J10" i="7"/>
  <c r="I10" i="7"/>
  <c r="K9" i="7"/>
  <c r="J9" i="7"/>
  <c r="I9" i="7"/>
  <c r="K8" i="7"/>
  <c r="J8" i="7"/>
  <c r="I8" i="7"/>
  <c r="K7" i="7"/>
  <c r="J7" i="7"/>
  <c r="I7" i="7"/>
  <c r="K6" i="7"/>
  <c r="J6" i="7"/>
  <c r="I6" i="7"/>
  <c r="K5" i="7"/>
  <c r="J5" i="7"/>
  <c r="I5" i="7"/>
  <c r="K4" i="7"/>
  <c r="J4" i="7"/>
  <c r="I4" i="7"/>
  <c r="K3" i="7"/>
  <c r="J3" i="7"/>
  <c r="I3" i="7"/>
  <c r="K2" i="7"/>
  <c r="J2" i="7"/>
  <c r="I2" i="7"/>
  <c r="K101" i="6"/>
  <c r="J101" i="6"/>
  <c r="I101" i="6"/>
  <c r="K100" i="6"/>
  <c r="J100" i="6"/>
  <c r="I100" i="6"/>
  <c r="K99" i="6"/>
  <c r="J99" i="6"/>
  <c r="I99" i="6"/>
  <c r="K98" i="6"/>
  <c r="J98" i="6"/>
  <c r="I98" i="6"/>
  <c r="K97" i="6"/>
  <c r="J97" i="6"/>
  <c r="I97" i="6"/>
  <c r="K96" i="6"/>
  <c r="J96" i="6"/>
  <c r="I96" i="6"/>
  <c r="K95" i="6"/>
  <c r="J95" i="6"/>
  <c r="I95" i="6"/>
  <c r="K94" i="6"/>
  <c r="J94" i="6"/>
  <c r="I94" i="6"/>
  <c r="K93" i="6"/>
  <c r="J93" i="6"/>
  <c r="I93" i="6"/>
  <c r="K92" i="6"/>
  <c r="J92" i="6"/>
  <c r="I92" i="6"/>
  <c r="K91" i="6"/>
  <c r="J91" i="6"/>
  <c r="I91" i="6"/>
  <c r="K90" i="6"/>
  <c r="J90" i="6"/>
  <c r="I90" i="6"/>
  <c r="K89" i="6"/>
  <c r="J89" i="6"/>
  <c r="I89" i="6"/>
  <c r="K88" i="6"/>
  <c r="J88" i="6"/>
  <c r="I88" i="6"/>
  <c r="K87" i="6"/>
  <c r="J87" i="6"/>
  <c r="I87" i="6"/>
  <c r="K86" i="6"/>
  <c r="J86" i="6"/>
  <c r="I86" i="6"/>
  <c r="K85" i="6"/>
  <c r="J85" i="6"/>
  <c r="I85" i="6"/>
  <c r="K84" i="6"/>
  <c r="J84" i="6"/>
  <c r="I84" i="6"/>
  <c r="K83" i="6"/>
  <c r="J83" i="6"/>
  <c r="I83" i="6"/>
  <c r="K82" i="6"/>
  <c r="J82" i="6"/>
  <c r="I82" i="6"/>
  <c r="K81" i="6"/>
  <c r="J81" i="6"/>
  <c r="I81" i="6"/>
  <c r="K80" i="6"/>
  <c r="J80" i="6"/>
  <c r="I80" i="6"/>
  <c r="K79" i="6"/>
  <c r="J79" i="6"/>
  <c r="I79" i="6"/>
  <c r="K78" i="6"/>
  <c r="J78" i="6"/>
  <c r="I78" i="6"/>
  <c r="K77" i="6"/>
  <c r="J77" i="6"/>
  <c r="I77" i="6"/>
  <c r="K76" i="6"/>
  <c r="J76" i="6"/>
  <c r="I76" i="6"/>
  <c r="K75" i="6"/>
  <c r="J75" i="6"/>
  <c r="I75" i="6"/>
  <c r="K74" i="6"/>
  <c r="J74" i="6"/>
  <c r="I74" i="6"/>
  <c r="K73" i="6"/>
  <c r="J73" i="6"/>
  <c r="I73" i="6"/>
  <c r="K72" i="6"/>
  <c r="J72" i="6"/>
  <c r="I72" i="6"/>
  <c r="K71" i="6"/>
  <c r="J71" i="6"/>
  <c r="I71" i="6"/>
  <c r="K70" i="6"/>
  <c r="J70" i="6"/>
  <c r="I70" i="6"/>
  <c r="K69" i="6"/>
  <c r="J69" i="6"/>
  <c r="I69" i="6"/>
  <c r="K68" i="6"/>
  <c r="J68" i="6"/>
  <c r="I68" i="6"/>
  <c r="K67" i="6"/>
  <c r="J67" i="6"/>
  <c r="I67" i="6"/>
  <c r="K66" i="6"/>
  <c r="J66" i="6"/>
  <c r="I66" i="6"/>
  <c r="K65" i="6"/>
  <c r="J65" i="6"/>
  <c r="I65" i="6"/>
  <c r="K64" i="6"/>
  <c r="J64" i="6"/>
  <c r="I64" i="6"/>
  <c r="K63" i="6"/>
  <c r="J63" i="6"/>
  <c r="I63" i="6"/>
  <c r="K62" i="6"/>
  <c r="J62" i="6"/>
  <c r="I62" i="6"/>
  <c r="K61" i="6"/>
  <c r="J61" i="6"/>
  <c r="I61" i="6"/>
  <c r="K60" i="6"/>
  <c r="J60" i="6"/>
  <c r="I60" i="6"/>
  <c r="K59" i="6"/>
  <c r="J59" i="6"/>
  <c r="I59" i="6"/>
  <c r="K58" i="6"/>
  <c r="J58" i="6"/>
  <c r="I58" i="6"/>
  <c r="K57" i="6"/>
  <c r="J57" i="6"/>
  <c r="I57" i="6"/>
  <c r="K56" i="6"/>
  <c r="J56" i="6"/>
  <c r="I56" i="6"/>
  <c r="K55" i="6"/>
  <c r="J55" i="6"/>
  <c r="I55" i="6"/>
  <c r="K54" i="6"/>
  <c r="J54" i="6"/>
  <c r="I54" i="6"/>
  <c r="K53" i="6"/>
  <c r="J53" i="6"/>
  <c r="I53" i="6"/>
  <c r="K52" i="6"/>
  <c r="J52" i="6"/>
  <c r="I52" i="6"/>
  <c r="K51" i="6"/>
  <c r="J51" i="6"/>
  <c r="I51" i="6"/>
  <c r="K50" i="6"/>
  <c r="J50" i="6"/>
  <c r="I50" i="6"/>
  <c r="K49" i="6"/>
  <c r="J49" i="6"/>
  <c r="I49" i="6"/>
  <c r="K48" i="6"/>
  <c r="J48" i="6"/>
  <c r="I48" i="6"/>
  <c r="K47" i="6"/>
  <c r="J47" i="6"/>
  <c r="I47" i="6"/>
  <c r="K46" i="6"/>
  <c r="J46" i="6"/>
  <c r="I46" i="6"/>
  <c r="K45" i="6"/>
  <c r="J45" i="6"/>
  <c r="I45" i="6"/>
  <c r="K44" i="6"/>
  <c r="J44" i="6"/>
  <c r="I44" i="6"/>
  <c r="K43" i="6"/>
  <c r="J43" i="6"/>
  <c r="I43" i="6"/>
  <c r="K42" i="6"/>
  <c r="J42" i="6"/>
  <c r="I42" i="6"/>
  <c r="K41" i="6"/>
  <c r="J41" i="6"/>
  <c r="I41" i="6"/>
  <c r="K40" i="6"/>
  <c r="J40" i="6"/>
  <c r="I40" i="6"/>
  <c r="K39" i="6"/>
  <c r="J39" i="6"/>
  <c r="I39" i="6"/>
  <c r="K38" i="6"/>
  <c r="J38" i="6"/>
  <c r="I38" i="6"/>
  <c r="K37" i="6"/>
  <c r="J37" i="6"/>
  <c r="I37" i="6"/>
  <c r="K36" i="6"/>
  <c r="J36" i="6"/>
  <c r="I36" i="6"/>
  <c r="K35" i="6"/>
  <c r="J35" i="6"/>
  <c r="I35" i="6"/>
  <c r="K34" i="6"/>
  <c r="J34" i="6"/>
  <c r="I34" i="6"/>
  <c r="K33" i="6"/>
  <c r="J33" i="6"/>
  <c r="I33" i="6"/>
  <c r="K32" i="6"/>
  <c r="J32" i="6"/>
  <c r="I32" i="6"/>
  <c r="K31" i="6"/>
  <c r="J31" i="6"/>
  <c r="I31" i="6"/>
  <c r="K30" i="6"/>
  <c r="J30" i="6"/>
  <c r="I30" i="6"/>
  <c r="K29" i="6"/>
  <c r="J29" i="6"/>
  <c r="I29" i="6"/>
  <c r="K28" i="6"/>
  <c r="J28" i="6"/>
  <c r="I28" i="6"/>
  <c r="K27" i="6"/>
  <c r="J27" i="6"/>
  <c r="I27" i="6"/>
  <c r="K26" i="6"/>
  <c r="J26" i="6"/>
  <c r="I26" i="6"/>
  <c r="K25" i="6"/>
  <c r="J25" i="6"/>
  <c r="I25" i="6"/>
  <c r="K24" i="6"/>
  <c r="J24" i="6"/>
  <c r="I24" i="6"/>
  <c r="K23" i="6"/>
  <c r="J23" i="6"/>
  <c r="I23" i="6"/>
  <c r="K22" i="6"/>
  <c r="J22" i="6"/>
  <c r="I22" i="6"/>
  <c r="K21" i="6"/>
  <c r="J21" i="6"/>
  <c r="I21" i="6"/>
  <c r="K20" i="6"/>
  <c r="J20" i="6"/>
  <c r="I20" i="6"/>
  <c r="K19" i="6"/>
  <c r="J19" i="6"/>
  <c r="I19" i="6"/>
  <c r="K18" i="6"/>
  <c r="J18" i="6"/>
  <c r="I18" i="6"/>
  <c r="K17" i="6"/>
  <c r="J17" i="6"/>
  <c r="I17" i="6"/>
  <c r="K16" i="6"/>
  <c r="J16" i="6"/>
  <c r="I16" i="6"/>
  <c r="K15" i="6"/>
  <c r="J15" i="6"/>
  <c r="I15" i="6"/>
  <c r="K14" i="6"/>
  <c r="J14" i="6"/>
  <c r="I14" i="6"/>
  <c r="K13" i="6"/>
  <c r="J13" i="6"/>
  <c r="I13" i="6"/>
  <c r="K12" i="6"/>
  <c r="J12" i="6"/>
  <c r="I12" i="6"/>
  <c r="K11" i="6"/>
  <c r="J11" i="6"/>
  <c r="I11" i="6"/>
  <c r="K10" i="6"/>
  <c r="J10" i="6"/>
  <c r="I10" i="6"/>
  <c r="K9" i="6"/>
  <c r="J9" i="6"/>
  <c r="I9" i="6"/>
  <c r="K8" i="6"/>
  <c r="J8" i="6"/>
  <c r="I8" i="6"/>
  <c r="K7" i="6"/>
  <c r="J7" i="6"/>
  <c r="I7" i="6"/>
  <c r="K6" i="6"/>
  <c r="J6" i="6"/>
  <c r="I6" i="6"/>
  <c r="K5" i="6"/>
  <c r="J5" i="6"/>
  <c r="I5" i="6"/>
  <c r="K4" i="6"/>
  <c r="J4" i="6"/>
  <c r="I4" i="6"/>
  <c r="K3" i="6"/>
  <c r="J3" i="6"/>
  <c r="I3" i="6"/>
  <c r="K2" i="6"/>
  <c r="J2" i="6"/>
  <c r="I2" i="6"/>
  <c r="K101" i="5"/>
  <c r="J101" i="5"/>
  <c r="I101" i="5"/>
  <c r="K100" i="5"/>
  <c r="J100" i="5"/>
  <c r="I100" i="5"/>
  <c r="K99" i="5"/>
  <c r="J99" i="5"/>
  <c r="I99" i="5"/>
  <c r="K98" i="5"/>
  <c r="J98" i="5"/>
  <c r="I98" i="5"/>
  <c r="K97" i="5"/>
  <c r="J97" i="5"/>
  <c r="I97" i="5"/>
  <c r="K96" i="5"/>
  <c r="J96" i="5"/>
  <c r="I96" i="5"/>
  <c r="K95" i="5"/>
  <c r="J95" i="5"/>
  <c r="I95" i="5"/>
  <c r="K94" i="5"/>
  <c r="J94" i="5"/>
  <c r="I94" i="5"/>
  <c r="K93" i="5"/>
  <c r="J93" i="5"/>
  <c r="I93" i="5"/>
  <c r="K92" i="5"/>
  <c r="J92" i="5"/>
  <c r="I92" i="5"/>
  <c r="K91" i="5"/>
  <c r="J91" i="5"/>
  <c r="I91" i="5"/>
  <c r="K90" i="5"/>
  <c r="J90" i="5"/>
  <c r="I90" i="5"/>
  <c r="K89" i="5"/>
  <c r="J89" i="5"/>
  <c r="I89" i="5"/>
  <c r="K88" i="5"/>
  <c r="J88" i="5"/>
  <c r="I88" i="5"/>
  <c r="K87" i="5"/>
  <c r="J87" i="5"/>
  <c r="I87" i="5"/>
  <c r="K86" i="5"/>
  <c r="J86" i="5"/>
  <c r="I86" i="5"/>
  <c r="K85" i="5"/>
  <c r="J85" i="5"/>
  <c r="I85" i="5"/>
  <c r="K84" i="5"/>
  <c r="J84" i="5"/>
  <c r="I84" i="5"/>
  <c r="K83" i="5"/>
  <c r="J83" i="5"/>
  <c r="I83" i="5"/>
  <c r="K82" i="5"/>
  <c r="J82" i="5"/>
  <c r="I82" i="5"/>
  <c r="K81" i="5"/>
  <c r="J81" i="5"/>
  <c r="I81" i="5"/>
  <c r="K80" i="5"/>
  <c r="J80" i="5"/>
  <c r="I80" i="5"/>
  <c r="K79" i="5"/>
  <c r="J79" i="5"/>
  <c r="I79" i="5"/>
  <c r="K78" i="5"/>
  <c r="J78" i="5"/>
  <c r="I78" i="5"/>
  <c r="K77" i="5"/>
  <c r="J77" i="5"/>
  <c r="I77" i="5"/>
  <c r="K76" i="5"/>
  <c r="J76" i="5"/>
  <c r="I76" i="5"/>
  <c r="K75" i="5"/>
  <c r="J75" i="5"/>
  <c r="I75" i="5"/>
  <c r="K74" i="5"/>
  <c r="J74" i="5"/>
  <c r="I74" i="5"/>
  <c r="K73" i="5"/>
  <c r="J73" i="5"/>
  <c r="I73" i="5"/>
  <c r="K72" i="5"/>
  <c r="J72" i="5"/>
  <c r="I72" i="5"/>
  <c r="K71" i="5"/>
  <c r="J71" i="5"/>
  <c r="I71" i="5"/>
  <c r="K70" i="5"/>
  <c r="J70" i="5"/>
  <c r="I70" i="5"/>
  <c r="K69" i="5"/>
  <c r="J69" i="5"/>
  <c r="I69" i="5"/>
  <c r="K68" i="5"/>
  <c r="J68" i="5"/>
  <c r="I68" i="5"/>
  <c r="K67" i="5"/>
  <c r="J67" i="5"/>
  <c r="I67" i="5"/>
  <c r="K66" i="5"/>
  <c r="J66" i="5"/>
  <c r="I66" i="5"/>
  <c r="K65" i="5"/>
  <c r="J65" i="5"/>
  <c r="I65" i="5"/>
  <c r="K64" i="5"/>
  <c r="J64" i="5"/>
  <c r="I64" i="5"/>
  <c r="K63" i="5"/>
  <c r="J63" i="5"/>
  <c r="I63" i="5"/>
  <c r="K62" i="5"/>
  <c r="J62" i="5"/>
  <c r="I62" i="5"/>
  <c r="K61" i="5"/>
  <c r="J61" i="5"/>
  <c r="I61" i="5"/>
  <c r="K60" i="5"/>
  <c r="J60" i="5"/>
  <c r="I60" i="5"/>
  <c r="K59" i="5"/>
  <c r="J59" i="5"/>
  <c r="I59" i="5"/>
  <c r="K58" i="5"/>
  <c r="J58" i="5"/>
  <c r="I58" i="5"/>
  <c r="K57" i="5"/>
  <c r="J57" i="5"/>
  <c r="I57" i="5"/>
  <c r="K56" i="5"/>
  <c r="J56" i="5"/>
  <c r="I56" i="5"/>
  <c r="K55" i="5"/>
  <c r="J55" i="5"/>
  <c r="I55" i="5"/>
  <c r="K54" i="5"/>
  <c r="J54" i="5"/>
  <c r="I54" i="5"/>
  <c r="K53" i="5"/>
  <c r="J53" i="5"/>
  <c r="I53" i="5"/>
  <c r="K52" i="5"/>
  <c r="J52" i="5"/>
  <c r="I52" i="5"/>
  <c r="K51" i="5"/>
  <c r="J51" i="5"/>
  <c r="I51" i="5"/>
  <c r="K50" i="5"/>
  <c r="J50" i="5"/>
  <c r="I50" i="5"/>
  <c r="K49" i="5"/>
  <c r="J49" i="5"/>
  <c r="I49" i="5"/>
  <c r="K48" i="5"/>
  <c r="J48" i="5"/>
  <c r="I48" i="5"/>
  <c r="K47" i="5"/>
  <c r="J47" i="5"/>
  <c r="I47" i="5"/>
  <c r="K46" i="5"/>
  <c r="J46" i="5"/>
  <c r="I46" i="5"/>
  <c r="K45" i="5"/>
  <c r="J45" i="5"/>
  <c r="I45" i="5"/>
  <c r="K44" i="5"/>
  <c r="J44" i="5"/>
  <c r="I44" i="5"/>
  <c r="K43" i="5"/>
  <c r="J43" i="5"/>
  <c r="I43" i="5"/>
  <c r="K42" i="5"/>
  <c r="J42" i="5"/>
  <c r="I42" i="5"/>
  <c r="K41" i="5"/>
  <c r="J41" i="5"/>
  <c r="I41" i="5"/>
  <c r="K40" i="5"/>
  <c r="J40" i="5"/>
  <c r="I40" i="5"/>
  <c r="K39" i="5"/>
  <c r="J39" i="5"/>
  <c r="I39" i="5"/>
  <c r="K38" i="5"/>
  <c r="J38" i="5"/>
  <c r="I38" i="5"/>
  <c r="K37" i="5"/>
  <c r="J37" i="5"/>
  <c r="I37" i="5"/>
  <c r="K36" i="5"/>
  <c r="J36" i="5"/>
  <c r="I36" i="5"/>
  <c r="K35" i="5"/>
  <c r="J35" i="5"/>
  <c r="I35" i="5"/>
  <c r="K34" i="5"/>
  <c r="J34" i="5"/>
  <c r="I34" i="5"/>
  <c r="K33" i="5"/>
  <c r="J33" i="5"/>
  <c r="I33" i="5"/>
  <c r="K32" i="5"/>
  <c r="J32" i="5"/>
  <c r="I32" i="5"/>
  <c r="K31" i="5"/>
  <c r="J31" i="5"/>
  <c r="I31" i="5"/>
  <c r="K30" i="5"/>
  <c r="J30" i="5"/>
  <c r="I30" i="5"/>
  <c r="K29" i="5"/>
  <c r="J29" i="5"/>
  <c r="I29" i="5"/>
  <c r="K28" i="5"/>
  <c r="J28" i="5"/>
  <c r="I28" i="5"/>
  <c r="K27" i="5"/>
  <c r="J27" i="5"/>
  <c r="I27" i="5"/>
  <c r="K26" i="5"/>
  <c r="J26" i="5"/>
  <c r="I26" i="5"/>
  <c r="K25" i="5"/>
  <c r="J25" i="5"/>
  <c r="I25" i="5"/>
  <c r="K24" i="5"/>
  <c r="J24" i="5"/>
  <c r="I24" i="5"/>
  <c r="K23" i="5"/>
  <c r="J23" i="5"/>
  <c r="I23" i="5"/>
  <c r="K22" i="5"/>
  <c r="J22" i="5"/>
  <c r="I22" i="5"/>
  <c r="K21" i="5"/>
  <c r="J21" i="5"/>
  <c r="I21" i="5"/>
  <c r="K20" i="5"/>
  <c r="J20" i="5"/>
  <c r="I20" i="5"/>
  <c r="K19" i="5"/>
  <c r="J19" i="5"/>
  <c r="I19" i="5"/>
  <c r="K18" i="5"/>
  <c r="J18" i="5"/>
  <c r="I18" i="5"/>
  <c r="K17" i="5"/>
  <c r="J17" i="5"/>
  <c r="I17" i="5"/>
  <c r="K16" i="5"/>
  <c r="J16" i="5"/>
  <c r="I16" i="5"/>
  <c r="K15" i="5"/>
  <c r="J15" i="5"/>
  <c r="I15" i="5"/>
  <c r="K14" i="5"/>
  <c r="J14" i="5"/>
  <c r="I14" i="5"/>
  <c r="K13" i="5"/>
  <c r="J13" i="5"/>
  <c r="I13" i="5"/>
  <c r="K12" i="5"/>
  <c r="J12" i="5"/>
  <c r="I12" i="5"/>
  <c r="K11" i="5"/>
  <c r="J11" i="5"/>
  <c r="I11" i="5"/>
  <c r="K10" i="5"/>
  <c r="J10" i="5"/>
  <c r="I10" i="5"/>
  <c r="K9" i="5"/>
  <c r="J9" i="5"/>
  <c r="I9" i="5"/>
  <c r="K8" i="5"/>
  <c r="J8" i="5"/>
  <c r="I8" i="5"/>
  <c r="K7" i="5"/>
  <c r="J7" i="5"/>
  <c r="I7" i="5"/>
  <c r="K6" i="5"/>
  <c r="J6" i="5"/>
  <c r="I6" i="5"/>
  <c r="K5" i="5"/>
  <c r="J5" i="5"/>
  <c r="I5" i="5"/>
  <c r="K4" i="5"/>
  <c r="J4" i="5"/>
  <c r="I4" i="5"/>
  <c r="K3" i="5"/>
  <c r="J3" i="5"/>
  <c r="I3" i="5"/>
  <c r="K2" i="5"/>
  <c r="J2" i="5"/>
  <c r="I2" i="5"/>
  <c r="K101" i="4"/>
  <c r="J101" i="4"/>
  <c r="I101" i="4"/>
  <c r="K100" i="4"/>
  <c r="J100" i="4"/>
  <c r="I100" i="4"/>
  <c r="K99" i="4"/>
  <c r="J99" i="4"/>
  <c r="I99" i="4"/>
  <c r="K98" i="4"/>
  <c r="J98" i="4"/>
  <c r="I98" i="4"/>
  <c r="K97" i="4"/>
  <c r="J97" i="4"/>
  <c r="I97" i="4"/>
  <c r="K96" i="4"/>
  <c r="J96" i="4"/>
  <c r="I96" i="4"/>
  <c r="K95" i="4"/>
  <c r="J95" i="4"/>
  <c r="I95" i="4"/>
  <c r="K94" i="4"/>
  <c r="J94" i="4"/>
  <c r="I94" i="4"/>
  <c r="K93" i="4"/>
  <c r="J93" i="4"/>
  <c r="I93" i="4"/>
  <c r="K92" i="4"/>
  <c r="J92" i="4"/>
  <c r="I92" i="4"/>
  <c r="K91" i="4"/>
  <c r="J91" i="4"/>
  <c r="I91" i="4"/>
  <c r="K90" i="4"/>
  <c r="J90" i="4"/>
  <c r="I90" i="4"/>
  <c r="K89" i="4"/>
  <c r="J89" i="4"/>
  <c r="I89" i="4"/>
  <c r="K88" i="4"/>
  <c r="J88" i="4"/>
  <c r="I88" i="4"/>
  <c r="K87" i="4"/>
  <c r="J87" i="4"/>
  <c r="I87" i="4"/>
  <c r="K86" i="4"/>
  <c r="J86" i="4"/>
  <c r="I86" i="4"/>
  <c r="K85" i="4"/>
  <c r="J85" i="4"/>
  <c r="I85" i="4"/>
  <c r="K84" i="4"/>
  <c r="J84" i="4"/>
  <c r="I84" i="4"/>
  <c r="K83" i="4"/>
  <c r="J83" i="4"/>
  <c r="I83" i="4"/>
  <c r="K82" i="4"/>
  <c r="J82" i="4"/>
  <c r="I82" i="4"/>
  <c r="K81" i="4"/>
  <c r="J81" i="4"/>
  <c r="I81" i="4"/>
  <c r="K80" i="4"/>
  <c r="J80" i="4"/>
  <c r="I80" i="4"/>
  <c r="K79" i="4"/>
  <c r="J79" i="4"/>
  <c r="I79" i="4"/>
  <c r="K78" i="4"/>
  <c r="J78" i="4"/>
  <c r="I78" i="4"/>
  <c r="K77" i="4"/>
  <c r="J77" i="4"/>
  <c r="I77" i="4"/>
  <c r="K76" i="4"/>
  <c r="J76" i="4"/>
  <c r="I76" i="4"/>
  <c r="K75" i="4"/>
  <c r="J75" i="4"/>
  <c r="I75" i="4"/>
  <c r="K74" i="4"/>
  <c r="J74" i="4"/>
  <c r="I74" i="4"/>
  <c r="K73" i="4"/>
  <c r="J73" i="4"/>
  <c r="I73" i="4"/>
  <c r="K72" i="4"/>
  <c r="J72" i="4"/>
  <c r="I72" i="4"/>
  <c r="K71" i="4"/>
  <c r="J71" i="4"/>
  <c r="I71" i="4"/>
  <c r="K70" i="4"/>
  <c r="J70" i="4"/>
  <c r="I70" i="4"/>
  <c r="K69" i="4"/>
  <c r="J69" i="4"/>
  <c r="I69" i="4"/>
  <c r="K68" i="4"/>
  <c r="J68" i="4"/>
  <c r="I68" i="4"/>
  <c r="K67" i="4"/>
  <c r="J67" i="4"/>
  <c r="I67" i="4"/>
  <c r="K66" i="4"/>
  <c r="J66" i="4"/>
  <c r="I66" i="4"/>
  <c r="K65" i="4"/>
  <c r="J65" i="4"/>
  <c r="I65" i="4"/>
  <c r="K64" i="4"/>
  <c r="J64" i="4"/>
  <c r="I64" i="4"/>
  <c r="K63" i="4"/>
  <c r="J63" i="4"/>
  <c r="I63" i="4"/>
  <c r="K62" i="4"/>
  <c r="J62" i="4"/>
  <c r="I62" i="4"/>
  <c r="K61" i="4"/>
  <c r="J61" i="4"/>
  <c r="I61" i="4"/>
  <c r="K60" i="4"/>
  <c r="J60" i="4"/>
  <c r="I60" i="4"/>
  <c r="K59" i="4"/>
  <c r="J59" i="4"/>
  <c r="I59" i="4"/>
  <c r="K58" i="4"/>
  <c r="J58" i="4"/>
  <c r="I58" i="4"/>
  <c r="K57" i="4"/>
  <c r="J57" i="4"/>
  <c r="I57" i="4"/>
  <c r="K56" i="4"/>
  <c r="J56" i="4"/>
  <c r="I56" i="4"/>
  <c r="K55" i="4"/>
  <c r="J55" i="4"/>
  <c r="I55" i="4"/>
  <c r="K54" i="4"/>
  <c r="J54" i="4"/>
  <c r="I54" i="4"/>
  <c r="K53" i="4"/>
  <c r="J53" i="4"/>
  <c r="I53" i="4"/>
  <c r="K52" i="4"/>
  <c r="J52" i="4"/>
  <c r="I52" i="4"/>
  <c r="K51" i="4"/>
  <c r="J51" i="4"/>
  <c r="I51" i="4"/>
  <c r="K50" i="4"/>
  <c r="J50" i="4"/>
  <c r="I50" i="4"/>
  <c r="K49" i="4"/>
  <c r="J49" i="4"/>
  <c r="I49" i="4"/>
  <c r="K48" i="4"/>
  <c r="J48" i="4"/>
  <c r="I48" i="4"/>
  <c r="K47" i="4"/>
  <c r="J47" i="4"/>
  <c r="I47" i="4"/>
  <c r="K46" i="4"/>
  <c r="J46" i="4"/>
  <c r="I46" i="4"/>
  <c r="K45" i="4"/>
  <c r="J45" i="4"/>
  <c r="I45" i="4"/>
  <c r="K44" i="4"/>
  <c r="J44" i="4"/>
  <c r="I44" i="4"/>
  <c r="K43" i="4"/>
  <c r="J43" i="4"/>
  <c r="I43" i="4"/>
  <c r="K42" i="4"/>
  <c r="J42" i="4"/>
  <c r="I42" i="4"/>
  <c r="K41" i="4"/>
  <c r="J41" i="4"/>
  <c r="I41" i="4"/>
  <c r="K40" i="4"/>
  <c r="J40" i="4"/>
  <c r="I40" i="4"/>
  <c r="K39" i="4"/>
  <c r="J39" i="4"/>
  <c r="I39" i="4"/>
  <c r="K38" i="4"/>
  <c r="J38" i="4"/>
  <c r="I38" i="4"/>
  <c r="K37" i="4"/>
  <c r="J37" i="4"/>
  <c r="I37" i="4"/>
  <c r="K36" i="4"/>
  <c r="J36" i="4"/>
  <c r="I36" i="4"/>
  <c r="K35" i="4"/>
  <c r="J35" i="4"/>
  <c r="I35" i="4"/>
  <c r="K34" i="4"/>
  <c r="J34" i="4"/>
  <c r="I34" i="4"/>
  <c r="K33" i="4"/>
  <c r="J33" i="4"/>
  <c r="I33" i="4"/>
  <c r="K32" i="4"/>
  <c r="J32" i="4"/>
  <c r="I32" i="4"/>
  <c r="K31" i="4"/>
  <c r="J31" i="4"/>
  <c r="I31" i="4"/>
  <c r="K30" i="4"/>
  <c r="J30" i="4"/>
  <c r="I30" i="4"/>
  <c r="K29" i="4"/>
  <c r="J29" i="4"/>
  <c r="I29" i="4"/>
  <c r="K28" i="4"/>
  <c r="J28" i="4"/>
  <c r="I28" i="4"/>
  <c r="K27" i="4"/>
  <c r="J27" i="4"/>
  <c r="I27" i="4"/>
  <c r="K26" i="4"/>
  <c r="J26" i="4"/>
  <c r="I26" i="4"/>
  <c r="K25" i="4"/>
  <c r="J25" i="4"/>
  <c r="I25" i="4"/>
  <c r="K24" i="4"/>
  <c r="J24" i="4"/>
  <c r="I24" i="4"/>
  <c r="K23" i="4"/>
  <c r="J23" i="4"/>
  <c r="I23" i="4"/>
  <c r="K22" i="4"/>
  <c r="J22" i="4"/>
  <c r="I22" i="4"/>
  <c r="K21" i="4"/>
  <c r="J21" i="4"/>
  <c r="I21" i="4"/>
  <c r="K20" i="4"/>
  <c r="J20" i="4"/>
  <c r="I20" i="4"/>
  <c r="K19" i="4"/>
  <c r="J19" i="4"/>
  <c r="I19" i="4"/>
  <c r="K18" i="4"/>
  <c r="J18" i="4"/>
  <c r="I18" i="4"/>
  <c r="K17" i="4"/>
  <c r="J17" i="4"/>
  <c r="I17" i="4"/>
  <c r="K16" i="4"/>
  <c r="J16" i="4"/>
  <c r="I16" i="4"/>
  <c r="K15" i="4"/>
  <c r="J15" i="4"/>
  <c r="I15" i="4"/>
  <c r="K14" i="4"/>
  <c r="J14" i="4"/>
  <c r="I14" i="4"/>
  <c r="K13" i="4"/>
  <c r="J13" i="4"/>
  <c r="I13" i="4"/>
  <c r="K12" i="4"/>
  <c r="J12" i="4"/>
  <c r="I12" i="4"/>
  <c r="K11" i="4"/>
  <c r="J11" i="4"/>
  <c r="I11" i="4"/>
  <c r="K10" i="4"/>
  <c r="J10" i="4"/>
  <c r="I10" i="4"/>
  <c r="K9" i="4"/>
  <c r="J9" i="4"/>
  <c r="I9" i="4"/>
  <c r="K8" i="4"/>
  <c r="J8" i="4"/>
  <c r="I8" i="4"/>
  <c r="K7" i="4"/>
  <c r="J7" i="4"/>
  <c r="I7" i="4"/>
  <c r="K6" i="4"/>
  <c r="J6" i="4"/>
  <c r="I6" i="4"/>
  <c r="K5" i="4"/>
  <c r="J5" i="4"/>
  <c r="I5" i="4"/>
  <c r="K4" i="4"/>
  <c r="J4" i="4"/>
  <c r="I4" i="4"/>
  <c r="K3" i="4"/>
  <c r="J3" i="4"/>
  <c r="I3" i="4"/>
  <c r="K2" i="4"/>
  <c r="J2" i="4"/>
  <c r="I2" i="4"/>
  <c r="K101" i="3"/>
  <c r="J101" i="3"/>
  <c r="I101" i="3"/>
  <c r="K100" i="3"/>
  <c r="J100" i="3"/>
  <c r="I100" i="3"/>
  <c r="K99" i="3"/>
  <c r="J99" i="3"/>
  <c r="I99" i="3"/>
  <c r="K98" i="3"/>
  <c r="J98" i="3"/>
  <c r="I98" i="3"/>
  <c r="K97" i="3"/>
  <c r="J97" i="3"/>
  <c r="I97" i="3"/>
  <c r="K96" i="3"/>
  <c r="J96" i="3"/>
  <c r="I96" i="3"/>
  <c r="K95" i="3"/>
  <c r="J95" i="3"/>
  <c r="I95" i="3"/>
  <c r="K94" i="3"/>
  <c r="J94" i="3"/>
  <c r="I94" i="3"/>
  <c r="K93" i="3"/>
  <c r="J93" i="3"/>
  <c r="I93" i="3"/>
  <c r="K92" i="3"/>
  <c r="J92" i="3"/>
  <c r="I92" i="3"/>
  <c r="K91" i="3"/>
  <c r="J91" i="3"/>
  <c r="I91" i="3"/>
  <c r="K90" i="3"/>
  <c r="J90" i="3"/>
  <c r="I90" i="3"/>
  <c r="K89" i="3"/>
  <c r="J89" i="3"/>
  <c r="I89" i="3"/>
  <c r="K88" i="3"/>
  <c r="J88" i="3"/>
  <c r="I88" i="3"/>
  <c r="K87" i="3"/>
  <c r="J87" i="3"/>
  <c r="I87" i="3"/>
  <c r="K86" i="3"/>
  <c r="J86" i="3"/>
  <c r="I86" i="3"/>
  <c r="K85" i="3"/>
  <c r="J85" i="3"/>
  <c r="I85" i="3"/>
  <c r="K84" i="3"/>
  <c r="J84" i="3"/>
  <c r="I84" i="3"/>
  <c r="K83" i="3"/>
  <c r="J83" i="3"/>
  <c r="I83" i="3"/>
  <c r="K82" i="3"/>
  <c r="J82" i="3"/>
  <c r="I82" i="3"/>
  <c r="K81" i="3"/>
  <c r="J81" i="3"/>
  <c r="I81" i="3"/>
  <c r="K80" i="3"/>
  <c r="J80" i="3"/>
  <c r="I80" i="3"/>
  <c r="K79" i="3"/>
  <c r="J79" i="3"/>
  <c r="I79" i="3"/>
  <c r="K78" i="3"/>
  <c r="J78" i="3"/>
  <c r="I78" i="3"/>
  <c r="K77" i="3"/>
  <c r="J77" i="3"/>
  <c r="I77" i="3"/>
  <c r="K76" i="3"/>
  <c r="J76" i="3"/>
  <c r="I76" i="3"/>
  <c r="K75" i="3"/>
  <c r="J75" i="3"/>
  <c r="I75" i="3"/>
  <c r="K74" i="3"/>
  <c r="J74" i="3"/>
  <c r="I74" i="3"/>
  <c r="K73" i="3"/>
  <c r="J73" i="3"/>
  <c r="I73" i="3"/>
  <c r="K72" i="3"/>
  <c r="J72" i="3"/>
  <c r="I72" i="3"/>
  <c r="K71" i="3"/>
  <c r="J71" i="3"/>
  <c r="I71" i="3"/>
  <c r="K70" i="3"/>
  <c r="J70" i="3"/>
  <c r="I70" i="3"/>
  <c r="K69" i="3"/>
  <c r="J69" i="3"/>
  <c r="I69" i="3"/>
  <c r="K68" i="3"/>
  <c r="J68" i="3"/>
  <c r="I68" i="3"/>
  <c r="K67" i="3"/>
  <c r="J67" i="3"/>
  <c r="I67" i="3"/>
  <c r="K66" i="3"/>
  <c r="J66" i="3"/>
  <c r="I66" i="3"/>
  <c r="K65" i="3"/>
  <c r="J65" i="3"/>
  <c r="I65" i="3"/>
  <c r="K64" i="3"/>
  <c r="J64" i="3"/>
  <c r="I64" i="3"/>
  <c r="K63" i="3"/>
  <c r="J63" i="3"/>
  <c r="I63" i="3"/>
  <c r="K62" i="3"/>
  <c r="J62" i="3"/>
  <c r="I62" i="3"/>
  <c r="K61" i="3"/>
  <c r="J61" i="3"/>
  <c r="I61" i="3"/>
  <c r="K60" i="3"/>
  <c r="J60" i="3"/>
  <c r="I60" i="3"/>
  <c r="K59" i="3"/>
  <c r="J59" i="3"/>
  <c r="I59" i="3"/>
  <c r="K58" i="3"/>
  <c r="J58" i="3"/>
  <c r="I58" i="3"/>
  <c r="K57" i="3"/>
  <c r="J57" i="3"/>
  <c r="I57" i="3"/>
  <c r="K56" i="3"/>
  <c r="J56" i="3"/>
  <c r="I56" i="3"/>
  <c r="K55" i="3"/>
  <c r="J55" i="3"/>
  <c r="I55" i="3"/>
  <c r="K54" i="3"/>
  <c r="J54" i="3"/>
  <c r="I54" i="3"/>
  <c r="K53" i="3"/>
  <c r="J53" i="3"/>
  <c r="I53" i="3"/>
  <c r="K52" i="3"/>
  <c r="J52" i="3"/>
  <c r="I52" i="3"/>
  <c r="K51" i="3"/>
  <c r="J51" i="3"/>
  <c r="I51" i="3"/>
  <c r="K50" i="3"/>
  <c r="J50" i="3"/>
  <c r="I50" i="3"/>
  <c r="K49" i="3"/>
  <c r="J49" i="3"/>
  <c r="I49" i="3"/>
  <c r="K48" i="3"/>
  <c r="J48" i="3"/>
  <c r="I48" i="3"/>
  <c r="K47" i="3"/>
  <c r="J47" i="3"/>
  <c r="I47" i="3"/>
  <c r="K46" i="3"/>
  <c r="J46" i="3"/>
  <c r="I46" i="3"/>
  <c r="K45" i="3"/>
  <c r="J45" i="3"/>
  <c r="I45" i="3"/>
  <c r="K44" i="3"/>
  <c r="J44" i="3"/>
  <c r="I44" i="3"/>
  <c r="K43" i="3"/>
  <c r="J43" i="3"/>
  <c r="I43" i="3"/>
  <c r="K42" i="3"/>
  <c r="J42" i="3"/>
  <c r="I42" i="3"/>
  <c r="K41" i="3"/>
  <c r="J41" i="3"/>
  <c r="I41" i="3"/>
  <c r="K40" i="3"/>
  <c r="J40" i="3"/>
  <c r="I40" i="3"/>
  <c r="K39" i="3"/>
  <c r="J39" i="3"/>
  <c r="I39" i="3"/>
  <c r="K38" i="3"/>
  <c r="J38" i="3"/>
  <c r="I38" i="3"/>
  <c r="K37" i="3"/>
  <c r="J37" i="3"/>
  <c r="I37" i="3"/>
  <c r="K36" i="3"/>
  <c r="J36" i="3"/>
  <c r="I36" i="3"/>
  <c r="K35" i="3"/>
  <c r="J35" i="3"/>
  <c r="I35" i="3"/>
  <c r="K34" i="3"/>
  <c r="J34" i="3"/>
  <c r="I34" i="3"/>
  <c r="K33" i="3"/>
  <c r="J33" i="3"/>
  <c r="I33" i="3"/>
  <c r="K32" i="3"/>
  <c r="J32" i="3"/>
  <c r="I32" i="3"/>
  <c r="K31" i="3"/>
  <c r="J31" i="3"/>
  <c r="I31" i="3"/>
  <c r="K30" i="3"/>
  <c r="J30" i="3"/>
  <c r="I30" i="3"/>
  <c r="K29" i="3"/>
  <c r="J29" i="3"/>
  <c r="I29" i="3"/>
  <c r="K28" i="3"/>
  <c r="J28" i="3"/>
  <c r="I28" i="3"/>
  <c r="K27" i="3"/>
  <c r="J27" i="3"/>
  <c r="I27" i="3"/>
  <c r="K26" i="3"/>
  <c r="J26" i="3"/>
  <c r="I26" i="3"/>
  <c r="K25" i="3"/>
  <c r="J25" i="3"/>
  <c r="I25" i="3"/>
  <c r="K24" i="3"/>
  <c r="J24" i="3"/>
  <c r="I24" i="3"/>
  <c r="K23" i="3"/>
  <c r="J23" i="3"/>
  <c r="I23" i="3"/>
  <c r="K22" i="3"/>
  <c r="J22" i="3"/>
  <c r="I22" i="3"/>
  <c r="K21" i="3"/>
  <c r="J21" i="3"/>
  <c r="I21" i="3"/>
  <c r="K20" i="3"/>
  <c r="J20" i="3"/>
  <c r="I20" i="3"/>
  <c r="K19" i="3"/>
  <c r="J19" i="3"/>
  <c r="I19" i="3"/>
  <c r="K18" i="3"/>
  <c r="J18" i="3"/>
  <c r="I18" i="3"/>
  <c r="K17" i="3"/>
  <c r="J17" i="3"/>
  <c r="I17" i="3"/>
  <c r="K16" i="3"/>
  <c r="J16" i="3"/>
  <c r="I16" i="3"/>
  <c r="K15" i="3"/>
  <c r="J15" i="3"/>
  <c r="I15" i="3"/>
  <c r="K14" i="3"/>
  <c r="J14" i="3"/>
  <c r="I14" i="3"/>
  <c r="K13" i="3"/>
  <c r="J13" i="3"/>
  <c r="I13" i="3"/>
  <c r="K12" i="3"/>
  <c r="J12" i="3"/>
  <c r="I12" i="3"/>
  <c r="K11" i="3"/>
  <c r="J11" i="3"/>
  <c r="I11" i="3"/>
  <c r="K10" i="3"/>
  <c r="J10" i="3"/>
  <c r="I10" i="3"/>
  <c r="K9" i="3"/>
  <c r="J9" i="3"/>
  <c r="I9" i="3"/>
  <c r="K8" i="3"/>
  <c r="J8" i="3"/>
  <c r="I8" i="3"/>
  <c r="K7" i="3"/>
  <c r="J7" i="3"/>
  <c r="I7" i="3"/>
  <c r="K6" i="3"/>
  <c r="J6" i="3"/>
  <c r="I6" i="3"/>
  <c r="K5" i="3"/>
  <c r="J5" i="3"/>
  <c r="I5" i="3"/>
  <c r="K4" i="3"/>
  <c r="J4" i="3"/>
  <c r="I4" i="3"/>
  <c r="K3" i="3"/>
  <c r="J3" i="3"/>
  <c r="I3" i="3"/>
  <c r="K2" i="3"/>
  <c r="J2" i="3"/>
  <c r="I2" i="3"/>
  <c r="C486" i="2"/>
  <c r="C484" i="2"/>
  <c r="C483" i="2"/>
  <c r="C482" i="2"/>
  <c r="C481" i="2"/>
  <c r="C480" i="2"/>
  <c r="C479" i="2"/>
  <c r="C478" i="2"/>
  <c r="C477" i="2"/>
  <c r="C476" i="2"/>
  <c r="C475" i="2"/>
  <c r="C474" i="2"/>
  <c r="C472" i="2"/>
  <c r="C470" i="2"/>
  <c r="C469" i="2"/>
  <c r="C468" i="2"/>
  <c r="C467" i="2"/>
  <c r="C466" i="2"/>
  <c r="C465" i="2"/>
  <c r="C464" i="2"/>
  <c r="C463" i="2"/>
  <c r="C462" i="2"/>
  <c r="A462" i="2"/>
  <c r="C461" i="2"/>
  <c r="C460" i="2"/>
  <c r="A460" i="2"/>
  <c r="C459" i="2"/>
  <c r="A459" i="2"/>
  <c r="C458" i="2"/>
  <c r="A458" i="2"/>
  <c r="C457" i="2"/>
  <c r="C456" i="2"/>
  <c r="A456" i="2"/>
  <c r="C455" i="2"/>
  <c r="A455" i="2"/>
  <c r="C454" i="2"/>
  <c r="A454" i="2"/>
  <c r="C453" i="2"/>
  <c r="C452" i="2"/>
  <c r="A452" i="2"/>
  <c r="C451" i="2"/>
  <c r="A450" i="2"/>
  <c r="C449" i="2"/>
  <c r="C448" i="2"/>
  <c r="A448" i="2"/>
  <c r="A447" i="2"/>
  <c r="C446" i="2"/>
  <c r="A446" i="2"/>
  <c r="C445" i="2"/>
  <c r="A445" i="2"/>
  <c r="C444" i="2"/>
  <c r="A444" i="2"/>
  <c r="C443" i="2"/>
  <c r="A443" i="2"/>
  <c r="C442" i="2"/>
  <c r="A442" i="2"/>
  <c r="C441" i="2"/>
  <c r="A441" i="2"/>
  <c r="C440" i="2"/>
  <c r="A440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A347" i="2"/>
  <c r="C346" i="2"/>
  <c r="A346" i="2"/>
  <c r="C345" i="2"/>
  <c r="A345" i="2"/>
  <c r="C344" i="2"/>
  <c r="A344" i="2"/>
  <c r="C343" i="2"/>
  <c r="A343" i="2"/>
  <c r="C342" i="2"/>
  <c r="A342" i="2"/>
  <c r="C341" i="2"/>
  <c r="A341" i="2"/>
  <c r="C340" i="2"/>
  <c r="A340" i="2"/>
  <c r="C339" i="2"/>
  <c r="A339" i="2"/>
  <c r="C338" i="2"/>
  <c r="A338" i="2"/>
  <c r="C337" i="2"/>
  <c r="A337" i="2"/>
  <c r="C336" i="2"/>
  <c r="A336" i="2"/>
  <c r="C335" i="2"/>
  <c r="A335" i="2"/>
  <c r="C334" i="2"/>
  <c r="A334" i="2"/>
  <c r="C333" i="2"/>
  <c r="A333" i="2"/>
  <c r="C332" i="2"/>
  <c r="A332" i="2"/>
  <c r="C331" i="2"/>
  <c r="A331" i="2"/>
  <c r="C330" i="2"/>
  <c r="A330" i="2"/>
  <c r="C329" i="2"/>
  <c r="A329" i="2"/>
  <c r="C328" i="2"/>
  <c r="A328" i="2"/>
  <c r="C327" i="2"/>
  <c r="A327" i="2"/>
  <c r="C326" i="2"/>
  <c r="A326" i="2"/>
  <c r="C325" i="2"/>
  <c r="A325" i="2"/>
  <c r="C324" i="2"/>
  <c r="A324" i="2"/>
  <c r="C323" i="2"/>
  <c r="A323" i="2"/>
  <c r="C322" i="2"/>
  <c r="A322" i="2"/>
  <c r="C321" i="2"/>
  <c r="A321" i="2"/>
  <c r="C320" i="2"/>
  <c r="A320" i="2"/>
  <c r="C319" i="2"/>
  <c r="A319" i="2"/>
  <c r="C318" i="2"/>
  <c r="A318" i="2"/>
  <c r="C317" i="2"/>
  <c r="A317" i="2"/>
  <c r="C316" i="2"/>
  <c r="A316" i="2"/>
  <c r="C315" i="2"/>
  <c r="A315" i="2"/>
  <c r="C314" i="2"/>
  <c r="A314" i="2"/>
  <c r="C313" i="2"/>
  <c r="A313" i="2"/>
  <c r="C312" i="2"/>
  <c r="A312" i="2"/>
  <c r="C311" i="2"/>
  <c r="A311" i="2"/>
  <c r="C310" i="2"/>
  <c r="A310" i="2"/>
  <c r="C309" i="2"/>
  <c r="A309" i="2"/>
  <c r="C308" i="2"/>
  <c r="A308" i="2"/>
  <c r="C307" i="2"/>
  <c r="A307" i="2"/>
  <c r="C306" i="2"/>
  <c r="A306" i="2"/>
  <c r="C305" i="2"/>
  <c r="A305" i="2"/>
  <c r="C304" i="2"/>
  <c r="A304" i="2"/>
  <c r="C303" i="2"/>
  <c r="A303" i="2"/>
  <c r="C302" i="2"/>
  <c r="A302" i="2"/>
  <c r="C301" i="2"/>
  <c r="A301" i="2"/>
  <c r="C300" i="2"/>
  <c r="A300" i="2"/>
  <c r="C299" i="2"/>
  <c r="A299" i="2"/>
  <c r="C298" i="2"/>
  <c r="A298" i="2"/>
  <c r="C297" i="2"/>
  <c r="A297" i="2"/>
  <c r="C296" i="2"/>
  <c r="A296" i="2"/>
  <c r="C295" i="2"/>
  <c r="A295" i="2"/>
  <c r="C294" i="2"/>
  <c r="A294" i="2"/>
  <c r="C293" i="2"/>
  <c r="A293" i="2"/>
  <c r="C292" i="2"/>
  <c r="A292" i="2"/>
  <c r="C291" i="2"/>
  <c r="A291" i="2"/>
  <c r="C290" i="2"/>
  <c r="A290" i="2"/>
  <c r="C289" i="2"/>
  <c r="A289" i="2"/>
  <c r="C288" i="2"/>
  <c r="A288" i="2"/>
  <c r="C287" i="2"/>
  <c r="A287" i="2"/>
  <c r="C286" i="2"/>
  <c r="A286" i="2"/>
  <c r="C285" i="2"/>
  <c r="A285" i="2"/>
  <c r="C284" i="2"/>
  <c r="A284" i="2"/>
  <c r="C283" i="2"/>
  <c r="A283" i="2"/>
  <c r="C282" i="2"/>
  <c r="A282" i="2"/>
  <c r="C281" i="2"/>
  <c r="A281" i="2"/>
  <c r="C280" i="2"/>
  <c r="A280" i="2"/>
  <c r="C279" i="2"/>
  <c r="A279" i="2"/>
  <c r="C278" i="2"/>
  <c r="A278" i="2"/>
  <c r="C277" i="2"/>
  <c r="A277" i="2"/>
  <c r="C276" i="2"/>
  <c r="A276" i="2"/>
  <c r="E275" i="2"/>
  <c r="C275" i="2"/>
  <c r="A275" i="2"/>
  <c r="E274" i="2"/>
  <c r="C274" i="2"/>
  <c r="A274" i="2"/>
  <c r="E273" i="2"/>
  <c r="C273" i="2"/>
  <c r="A273" i="2"/>
  <c r="E272" i="2"/>
  <c r="C272" i="2"/>
  <c r="A272" i="2"/>
  <c r="E271" i="2"/>
  <c r="C271" i="2"/>
  <c r="A271" i="2"/>
  <c r="E270" i="2"/>
  <c r="C270" i="2"/>
  <c r="A270" i="2"/>
  <c r="E269" i="2"/>
  <c r="C269" i="2"/>
  <c r="A269" i="2"/>
  <c r="E268" i="2"/>
  <c r="C268" i="2"/>
  <c r="A268" i="2"/>
  <c r="E267" i="2"/>
  <c r="C267" i="2"/>
  <c r="A267" i="2"/>
  <c r="E266" i="2"/>
  <c r="C266" i="2"/>
  <c r="A266" i="2"/>
  <c r="E265" i="2"/>
  <c r="C265" i="2"/>
  <c r="A265" i="2"/>
  <c r="E264" i="2"/>
  <c r="C264" i="2"/>
  <c r="A264" i="2"/>
  <c r="E263" i="2"/>
  <c r="C263" i="2"/>
  <c r="A263" i="2"/>
  <c r="E262" i="2"/>
  <c r="C262" i="2"/>
  <c r="A262" i="2"/>
  <c r="E261" i="2"/>
  <c r="C261" i="2"/>
  <c r="A261" i="2"/>
  <c r="E260" i="2"/>
  <c r="C260" i="2"/>
  <c r="A260" i="2"/>
  <c r="E259" i="2"/>
  <c r="C259" i="2"/>
  <c r="A259" i="2"/>
  <c r="E258" i="2"/>
  <c r="C258" i="2"/>
  <c r="A258" i="2"/>
  <c r="E257" i="2"/>
  <c r="C257" i="2"/>
  <c r="A257" i="2"/>
  <c r="E256" i="2"/>
  <c r="C256" i="2"/>
  <c r="A256" i="2"/>
  <c r="E255" i="2"/>
  <c r="C255" i="2"/>
  <c r="A255" i="2"/>
  <c r="E254" i="2"/>
  <c r="C254" i="2"/>
  <c r="A254" i="2"/>
  <c r="E253" i="2"/>
  <c r="C253" i="2"/>
  <c r="A253" i="2"/>
  <c r="E252" i="2"/>
  <c r="C252" i="2"/>
  <c r="A252" i="2"/>
  <c r="E251" i="2"/>
  <c r="C251" i="2"/>
  <c r="A251" i="2"/>
  <c r="E250" i="2"/>
  <c r="C250" i="2"/>
  <c r="A250" i="2"/>
  <c r="E249" i="2"/>
  <c r="C249" i="2"/>
  <c r="A249" i="2"/>
  <c r="E248" i="2"/>
  <c r="C248" i="2"/>
  <c r="A248" i="2"/>
  <c r="E247" i="2"/>
  <c r="C247" i="2"/>
  <c r="A247" i="2"/>
  <c r="E246" i="2"/>
  <c r="C246" i="2"/>
  <c r="A246" i="2"/>
  <c r="E245" i="2"/>
  <c r="C245" i="2"/>
  <c r="A245" i="2"/>
  <c r="E244" i="2"/>
  <c r="C244" i="2"/>
  <c r="A244" i="2"/>
  <c r="E243" i="2"/>
  <c r="C243" i="2"/>
  <c r="A243" i="2"/>
  <c r="E242" i="2"/>
  <c r="C242" i="2"/>
  <c r="A242" i="2"/>
  <c r="E241" i="2"/>
  <c r="C241" i="2"/>
  <c r="A241" i="2"/>
  <c r="E240" i="2"/>
  <c r="C240" i="2"/>
  <c r="A240" i="2"/>
  <c r="E239" i="2"/>
  <c r="C239" i="2"/>
  <c r="A239" i="2"/>
  <c r="E238" i="2"/>
  <c r="C238" i="2"/>
  <c r="A238" i="2"/>
  <c r="E237" i="2"/>
  <c r="C237" i="2"/>
  <c r="A237" i="2"/>
  <c r="E236" i="2"/>
  <c r="C236" i="2"/>
  <c r="A236" i="2"/>
  <c r="E235" i="2"/>
  <c r="C235" i="2"/>
  <c r="A235" i="2"/>
  <c r="E234" i="2"/>
  <c r="C234" i="2"/>
  <c r="A234" i="2"/>
  <c r="E233" i="2"/>
  <c r="C233" i="2"/>
  <c r="A233" i="2"/>
  <c r="E232" i="2"/>
  <c r="C232" i="2"/>
  <c r="A232" i="2"/>
  <c r="E231" i="2"/>
  <c r="C231" i="2"/>
  <c r="A231" i="2"/>
  <c r="E230" i="2"/>
  <c r="C230" i="2"/>
  <c r="A230" i="2"/>
  <c r="E229" i="2"/>
  <c r="C229" i="2"/>
  <c r="A229" i="2"/>
  <c r="E228" i="2"/>
  <c r="C228" i="2"/>
  <c r="A228" i="2"/>
  <c r="E227" i="2"/>
  <c r="C227" i="2"/>
  <c r="A227" i="2"/>
  <c r="E226" i="2"/>
  <c r="C226" i="2"/>
  <c r="A226" i="2"/>
  <c r="E225" i="2"/>
  <c r="C225" i="2"/>
  <c r="A225" i="2"/>
  <c r="E224" i="2"/>
  <c r="C224" i="2"/>
  <c r="A224" i="2"/>
  <c r="E223" i="2"/>
  <c r="C223" i="2"/>
  <c r="A223" i="2"/>
  <c r="E222" i="2"/>
  <c r="C222" i="2"/>
  <c r="A222" i="2"/>
  <c r="E221" i="2"/>
  <c r="C221" i="2"/>
  <c r="A221" i="2"/>
  <c r="E220" i="2"/>
  <c r="C220" i="2"/>
  <c r="A220" i="2"/>
  <c r="E219" i="2"/>
  <c r="C219" i="2"/>
  <c r="A219" i="2"/>
  <c r="E218" i="2"/>
  <c r="C218" i="2"/>
  <c r="A218" i="2"/>
  <c r="E217" i="2"/>
  <c r="C217" i="2"/>
  <c r="A217" i="2"/>
  <c r="E216" i="2"/>
  <c r="C216" i="2"/>
  <c r="A216" i="2"/>
  <c r="E215" i="2"/>
  <c r="C215" i="2"/>
  <c r="A215" i="2"/>
  <c r="E214" i="2"/>
  <c r="C214" i="2"/>
  <c r="A214" i="2"/>
  <c r="E213" i="2"/>
  <c r="C213" i="2"/>
  <c r="A213" i="2"/>
  <c r="E212" i="2"/>
  <c r="C212" i="2"/>
  <c r="A212" i="2"/>
  <c r="E211" i="2"/>
  <c r="C211" i="2"/>
  <c r="A211" i="2"/>
  <c r="E210" i="2"/>
  <c r="C210" i="2"/>
  <c r="A210" i="2"/>
  <c r="E209" i="2"/>
  <c r="C209" i="2"/>
  <c r="A209" i="2"/>
  <c r="E208" i="2"/>
  <c r="C208" i="2"/>
  <c r="A208" i="2"/>
  <c r="E207" i="2"/>
  <c r="C207" i="2"/>
  <c r="A207" i="2"/>
  <c r="E206" i="2"/>
  <c r="C206" i="2"/>
  <c r="A206" i="2"/>
  <c r="E205" i="2"/>
  <c r="C205" i="2"/>
  <c r="A205" i="2"/>
  <c r="E204" i="2"/>
  <c r="C204" i="2"/>
  <c r="A204" i="2"/>
  <c r="E203" i="2"/>
  <c r="C203" i="2"/>
  <c r="A203" i="2"/>
  <c r="E202" i="2"/>
  <c r="C202" i="2"/>
  <c r="A202" i="2"/>
  <c r="E201" i="2"/>
  <c r="C201" i="2"/>
  <c r="A201" i="2"/>
  <c r="E200" i="2"/>
  <c r="C200" i="2"/>
  <c r="A200" i="2"/>
  <c r="E199" i="2"/>
  <c r="C199" i="2"/>
  <c r="A199" i="2"/>
  <c r="E198" i="2"/>
  <c r="C198" i="2"/>
  <c r="A198" i="2"/>
  <c r="E197" i="2"/>
  <c r="C197" i="2"/>
  <c r="A197" i="2"/>
  <c r="E196" i="2"/>
  <c r="C196" i="2"/>
  <c r="A196" i="2"/>
  <c r="E195" i="2"/>
  <c r="C195" i="2"/>
  <c r="A195" i="2"/>
  <c r="E194" i="2"/>
  <c r="C194" i="2"/>
  <c r="A194" i="2"/>
  <c r="E193" i="2"/>
  <c r="C193" i="2"/>
  <c r="A193" i="2"/>
  <c r="E192" i="2"/>
  <c r="C192" i="2"/>
  <c r="A192" i="2"/>
  <c r="E191" i="2"/>
  <c r="C191" i="2"/>
  <c r="A191" i="2"/>
  <c r="E190" i="2"/>
  <c r="C190" i="2"/>
  <c r="A190" i="2"/>
  <c r="E189" i="2"/>
  <c r="C189" i="2"/>
  <c r="A189" i="2"/>
  <c r="E188" i="2"/>
  <c r="C188" i="2"/>
  <c r="A188" i="2"/>
  <c r="E187" i="2"/>
  <c r="C187" i="2"/>
  <c r="A187" i="2"/>
  <c r="E186" i="2"/>
  <c r="C186" i="2"/>
  <c r="A186" i="2"/>
  <c r="E185" i="2"/>
  <c r="C185" i="2"/>
  <c r="A185" i="2"/>
  <c r="E184" i="2"/>
  <c r="C184" i="2"/>
  <c r="A184" i="2"/>
  <c r="E183" i="2"/>
  <c r="C183" i="2"/>
  <c r="A183" i="2"/>
  <c r="E182" i="2"/>
  <c r="C182" i="2"/>
  <c r="A182" i="2"/>
  <c r="E181" i="2"/>
  <c r="C181" i="2"/>
  <c r="A181" i="2"/>
  <c r="E180" i="2"/>
  <c r="C180" i="2"/>
  <c r="A180" i="2"/>
  <c r="E179" i="2"/>
  <c r="C179" i="2"/>
  <c r="A179" i="2"/>
  <c r="E178" i="2"/>
  <c r="C178" i="2"/>
  <c r="A178" i="2"/>
  <c r="E177" i="2"/>
  <c r="C177" i="2"/>
  <c r="A177" i="2"/>
  <c r="E176" i="2"/>
  <c r="C176" i="2"/>
  <c r="A176" i="2"/>
  <c r="E175" i="2"/>
  <c r="C175" i="2"/>
  <c r="A175" i="2"/>
  <c r="E174" i="2"/>
  <c r="C174" i="2"/>
  <c r="A174" i="2"/>
  <c r="E173" i="2"/>
  <c r="C173" i="2"/>
  <c r="A173" i="2"/>
  <c r="E172" i="2"/>
  <c r="C172" i="2"/>
  <c r="A172" i="2"/>
  <c r="E171" i="2"/>
  <c r="C171" i="2"/>
  <c r="A171" i="2"/>
  <c r="E170" i="2"/>
  <c r="C170" i="2"/>
  <c r="A170" i="2"/>
  <c r="E169" i="2"/>
  <c r="C169" i="2"/>
  <c r="A169" i="2"/>
  <c r="E168" i="2"/>
  <c r="C168" i="2"/>
  <c r="A168" i="2"/>
  <c r="E167" i="2"/>
  <c r="C167" i="2"/>
  <c r="A167" i="2"/>
  <c r="E166" i="2"/>
  <c r="C166" i="2"/>
  <c r="A166" i="2"/>
  <c r="E165" i="2"/>
  <c r="C165" i="2"/>
  <c r="A165" i="2"/>
  <c r="E164" i="2"/>
  <c r="C164" i="2"/>
  <c r="A164" i="2"/>
  <c r="E163" i="2"/>
  <c r="C163" i="2"/>
  <c r="A163" i="2"/>
  <c r="E162" i="2"/>
  <c r="C162" i="2"/>
  <c r="A162" i="2"/>
  <c r="E161" i="2"/>
  <c r="C161" i="2"/>
  <c r="A161" i="2"/>
  <c r="E160" i="2"/>
  <c r="C160" i="2"/>
  <c r="A160" i="2"/>
  <c r="E159" i="2"/>
  <c r="C159" i="2"/>
  <c r="A159" i="2"/>
  <c r="E158" i="2"/>
  <c r="C158" i="2"/>
  <c r="A158" i="2"/>
  <c r="E157" i="2"/>
  <c r="C157" i="2"/>
  <c r="A157" i="2"/>
  <c r="E156" i="2"/>
  <c r="C156" i="2"/>
  <c r="A156" i="2"/>
  <c r="E155" i="2"/>
  <c r="C155" i="2"/>
  <c r="A155" i="2"/>
  <c r="E154" i="2"/>
  <c r="C154" i="2"/>
  <c r="A154" i="2"/>
  <c r="E153" i="2"/>
  <c r="C153" i="2"/>
  <c r="A153" i="2"/>
  <c r="E152" i="2"/>
  <c r="C152" i="2"/>
  <c r="A152" i="2"/>
  <c r="E151" i="2"/>
  <c r="C151" i="2"/>
  <c r="A151" i="2"/>
  <c r="E150" i="2"/>
  <c r="C150" i="2"/>
  <c r="A150" i="2"/>
  <c r="E149" i="2"/>
  <c r="C149" i="2"/>
  <c r="A149" i="2"/>
  <c r="E148" i="2"/>
  <c r="C148" i="2"/>
  <c r="A148" i="2"/>
  <c r="E147" i="2"/>
  <c r="C147" i="2"/>
  <c r="A147" i="2"/>
  <c r="E146" i="2"/>
  <c r="C146" i="2"/>
  <c r="A146" i="2"/>
  <c r="E145" i="2"/>
  <c r="C145" i="2"/>
  <c r="A145" i="2"/>
  <c r="E144" i="2"/>
  <c r="C144" i="2"/>
  <c r="A144" i="2"/>
  <c r="E143" i="2"/>
  <c r="C143" i="2"/>
  <c r="A143" i="2"/>
  <c r="E142" i="2"/>
  <c r="C142" i="2"/>
  <c r="A142" i="2"/>
  <c r="E141" i="2"/>
  <c r="C141" i="2"/>
  <c r="A141" i="2"/>
  <c r="E140" i="2"/>
  <c r="C140" i="2"/>
  <c r="A140" i="2"/>
  <c r="E139" i="2"/>
  <c r="C139" i="2"/>
  <c r="A139" i="2"/>
  <c r="E138" i="2"/>
  <c r="C138" i="2"/>
  <c r="A138" i="2"/>
  <c r="E137" i="2"/>
  <c r="C137" i="2"/>
  <c r="A137" i="2"/>
  <c r="E136" i="2"/>
  <c r="C136" i="2"/>
  <c r="A136" i="2"/>
  <c r="E135" i="2"/>
  <c r="C135" i="2"/>
  <c r="A135" i="2"/>
  <c r="E134" i="2"/>
  <c r="C134" i="2"/>
  <c r="A134" i="2"/>
  <c r="E133" i="2"/>
  <c r="C133" i="2"/>
  <c r="A133" i="2"/>
  <c r="E132" i="2"/>
  <c r="C132" i="2"/>
  <c r="A132" i="2"/>
  <c r="E131" i="2"/>
  <c r="C131" i="2"/>
  <c r="A131" i="2"/>
  <c r="E130" i="2"/>
  <c r="C130" i="2"/>
  <c r="A130" i="2"/>
  <c r="E129" i="2"/>
  <c r="C129" i="2"/>
  <c r="A129" i="2"/>
  <c r="E128" i="2"/>
  <c r="C128" i="2"/>
  <c r="A128" i="2"/>
  <c r="E127" i="2"/>
  <c r="C127" i="2"/>
  <c r="A127" i="2"/>
  <c r="E126" i="2"/>
  <c r="C126" i="2"/>
  <c r="A126" i="2"/>
  <c r="E125" i="2"/>
  <c r="C125" i="2"/>
  <c r="A125" i="2"/>
  <c r="E124" i="2"/>
  <c r="C124" i="2"/>
  <c r="A124" i="2"/>
  <c r="E123" i="2"/>
  <c r="C123" i="2"/>
  <c r="A123" i="2"/>
  <c r="E122" i="2"/>
  <c r="C122" i="2"/>
  <c r="A122" i="2"/>
  <c r="C121" i="2"/>
  <c r="A121" i="2"/>
  <c r="C120" i="2"/>
  <c r="A120" i="2"/>
  <c r="C119" i="2"/>
  <c r="A119" i="2"/>
  <c r="C118" i="2"/>
  <c r="A118" i="2"/>
  <c r="E117" i="2"/>
  <c r="C117" i="2"/>
  <c r="A117" i="2"/>
  <c r="E116" i="2"/>
  <c r="C116" i="2"/>
  <c r="A116" i="2"/>
  <c r="E115" i="2"/>
  <c r="C115" i="2"/>
  <c r="A115" i="2"/>
  <c r="E114" i="2"/>
  <c r="C114" i="2"/>
  <c r="A114" i="2"/>
  <c r="E113" i="2"/>
  <c r="C113" i="2"/>
  <c r="A113" i="2"/>
  <c r="E112" i="2"/>
  <c r="C112" i="2"/>
  <c r="A112" i="2"/>
  <c r="E111" i="2"/>
  <c r="C111" i="2"/>
  <c r="A111" i="2"/>
  <c r="E110" i="2"/>
  <c r="C110" i="2"/>
  <c r="A110" i="2"/>
  <c r="E109" i="2"/>
  <c r="C109" i="2"/>
  <c r="A109" i="2"/>
  <c r="E108" i="2"/>
  <c r="C108" i="2"/>
  <c r="A108" i="2"/>
  <c r="E107" i="2"/>
  <c r="C107" i="2"/>
  <c r="A107" i="2"/>
  <c r="E106" i="2"/>
  <c r="C106" i="2"/>
  <c r="A106" i="2"/>
  <c r="E105" i="2"/>
  <c r="C105" i="2"/>
  <c r="A105" i="2"/>
  <c r="E104" i="2"/>
  <c r="C104" i="2"/>
  <c r="A104" i="2"/>
  <c r="E103" i="2"/>
  <c r="C103" i="2"/>
  <c r="A103" i="2"/>
  <c r="E102" i="2"/>
  <c r="C102" i="2"/>
  <c r="A102" i="2"/>
  <c r="E101" i="2"/>
  <c r="C101" i="2"/>
  <c r="A101" i="2"/>
  <c r="E100" i="2"/>
  <c r="C100" i="2"/>
  <c r="A100" i="2"/>
  <c r="E99" i="2"/>
  <c r="C99" i="2"/>
  <c r="A99" i="2"/>
  <c r="E98" i="2"/>
  <c r="C98" i="2"/>
  <c r="A98" i="2"/>
  <c r="E97" i="2"/>
  <c r="C97" i="2"/>
  <c r="A97" i="2"/>
  <c r="E96" i="2"/>
  <c r="C96" i="2"/>
  <c r="A96" i="2"/>
  <c r="E95" i="2"/>
  <c r="C95" i="2"/>
  <c r="A95" i="2"/>
  <c r="E94" i="2"/>
  <c r="C94" i="2"/>
  <c r="A94" i="2"/>
  <c r="E93" i="2"/>
  <c r="C93" i="2"/>
  <c r="A93" i="2"/>
  <c r="E92" i="2"/>
  <c r="C92" i="2"/>
  <c r="A92" i="2"/>
  <c r="E91" i="2"/>
  <c r="C91" i="2"/>
  <c r="A91" i="2"/>
  <c r="E90" i="2"/>
  <c r="C90" i="2"/>
  <c r="A90" i="2"/>
  <c r="E89" i="2"/>
  <c r="C89" i="2"/>
  <c r="A89" i="2"/>
  <c r="E88" i="2"/>
  <c r="C88" i="2"/>
  <c r="A88" i="2"/>
  <c r="E87" i="2"/>
  <c r="C87" i="2"/>
  <c r="A87" i="2"/>
  <c r="E86" i="2"/>
  <c r="C86" i="2"/>
  <c r="A86" i="2"/>
  <c r="E85" i="2"/>
  <c r="C85" i="2"/>
  <c r="A85" i="2"/>
  <c r="E84" i="2"/>
  <c r="C84" i="2"/>
  <c r="A84" i="2"/>
  <c r="E83" i="2"/>
  <c r="C83" i="2"/>
  <c r="A83" i="2"/>
  <c r="E82" i="2"/>
  <c r="C82" i="2"/>
  <c r="A82" i="2"/>
  <c r="E81" i="2"/>
  <c r="C81" i="2"/>
  <c r="A81" i="2"/>
  <c r="E80" i="2"/>
  <c r="C80" i="2"/>
  <c r="A80" i="2"/>
  <c r="E79" i="2"/>
  <c r="C79" i="2"/>
  <c r="A79" i="2"/>
  <c r="E78" i="2"/>
  <c r="C78" i="2"/>
  <c r="A78" i="2"/>
  <c r="E77" i="2"/>
  <c r="C77" i="2"/>
  <c r="A77" i="2"/>
  <c r="E76" i="2"/>
  <c r="C76" i="2"/>
  <c r="A76" i="2"/>
  <c r="E75" i="2"/>
  <c r="C75" i="2"/>
  <c r="A75" i="2"/>
  <c r="E74" i="2"/>
  <c r="C74" i="2"/>
  <c r="A74" i="2"/>
  <c r="E73" i="2"/>
  <c r="C73" i="2"/>
  <c r="A73" i="2"/>
  <c r="E72" i="2"/>
  <c r="C72" i="2"/>
  <c r="A72" i="2"/>
  <c r="E71" i="2"/>
  <c r="C71" i="2"/>
  <c r="A71" i="2"/>
  <c r="E70" i="2"/>
  <c r="C70" i="2"/>
  <c r="A70" i="2"/>
  <c r="E69" i="2"/>
  <c r="C69" i="2"/>
  <c r="A69" i="2"/>
  <c r="E68" i="2"/>
  <c r="C68" i="2"/>
  <c r="A68" i="2"/>
  <c r="E67" i="2"/>
  <c r="C67" i="2"/>
  <c r="A67" i="2"/>
  <c r="E66" i="2"/>
  <c r="C66" i="2"/>
  <c r="A66" i="2"/>
  <c r="E65" i="2"/>
  <c r="C65" i="2"/>
  <c r="A65" i="2"/>
  <c r="E64" i="2"/>
  <c r="C64" i="2"/>
  <c r="A64" i="2"/>
  <c r="E63" i="2"/>
  <c r="C63" i="2"/>
  <c r="A63" i="2"/>
  <c r="E62" i="2"/>
  <c r="C62" i="2"/>
  <c r="A62" i="2"/>
  <c r="E61" i="2"/>
  <c r="C61" i="2"/>
  <c r="A61" i="2"/>
  <c r="E60" i="2"/>
  <c r="C60" i="2"/>
  <c r="A60" i="2"/>
  <c r="E59" i="2"/>
  <c r="C59" i="2"/>
  <c r="A59" i="2"/>
  <c r="E58" i="2"/>
  <c r="C58" i="2"/>
  <c r="A58" i="2"/>
  <c r="E57" i="2"/>
  <c r="C57" i="2"/>
  <c r="A57" i="2"/>
  <c r="E56" i="2"/>
  <c r="C56" i="2"/>
  <c r="A56" i="2"/>
  <c r="E55" i="2"/>
  <c r="C55" i="2"/>
  <c r="A55" i="2"/>
  <c r="E54" i="2"/>
  <c r="C54" i="2"/>
  <c r="A54" i="2"/>
  <c r="E53" i="2"/>
  <c r="C53" i="2"/>
  <c r="A53" i="2"/>
  <c r="E52" i="2"/>
  <c r="C52" i="2"/>
  <c r="A52" i="2"/>
  <c r="E51" i="2"/>
  <c r="C51" i="2"/>
  <c r="A51" i="2"/>
  <c r="E50" i="2"/>
  <c r="C50" i="2"/>
  <c r="A50" i="2"/>
  <c r="E49" i="2"/>
  <c r="C49" i="2"/>
  <c r="A49" i="2"/>
  <c r="E48" i="2"/>
  <c r="C48" i="2"/>
  <c r="A48" i="2"/>
  <c r="E47" i="2"/>
  <c r="C47" i="2"/>
  <c r="A47" i="2"/>
  <c r="E46" i="2"/>
  <c r="C46" i="2"/>
  <c r="A46" i="2"/>
  <c r="E45" i="2"/>
  <c r="C45" i="2"/>
  <c r="A45" i="2"/>
  <c r="E44" i="2"/>
  <c r="C44" i="2"/>
  <c r="A44" i="2"/>
  <c r="E43" i="2"/>
  <c r="C43" i="2"/>
  <c r="A43" i="2"/>
  <c r="E42" i="2"/>
  <c r="C42" i="2"/>
  <c r="A42" i="2"/>
  <c r="E41" i="2"/>
  <c r="C41" i="2"/>
  <c r="A41" i="2"/>
  <c r="E40" i="2"/>
  <c r="C40" i="2"/>
  <c r="A40" i="2"/>
  <c r="E39" i="2"/>
  <c r="C39" i="2"/>
  <c r="A39" i="2"/>
  <c r="E38" i="2"/>
  <c r="C38" i="2"/>
  <c r="A38" i="2"/>
  <c r="E37" i="2"/>
  <c r="C37" i="2"/>
  <c r="A37" i="2"/>
  <c r="E36" i="2"/>
  <c r="C36" i="2"/>
  <c r="A36" i="2"/>
  <c r="E35" i="2"/>
  <c r="C35" i="2"/>
  <c r="A35" i="2"/>
  <c r="E34" i="2"/>
  <c r="C34" i="2"/>
  <c r="A34" i="2"/>
  <c r="E33" i="2"/>
  <c r="C33" i="2"/>
  <c r="A33" i="2"/>
  <c r="E32" i="2"/>
  <c r="C32" i="2"/>
  <c r="A32" i="2"/>
  <c r="E31" i="2"/>
  <c r="C31" i="2"/>
  <c r="A31" i="2"/>
  <c r="E30" i="2"/>
  <c r="C30" i="2"/>
  <c r="A30" i="2"/>
  <c r="E29" i="2"/>
  <c r="C29" i="2"/>
  <c r="A29" i="2"/>
  <c r="E28" i="2"/>
  <c r="C28" i="2"/>
  <c r="A28" i="2"/>
  <c r="E27" i="2"/>
  <c r="C27" i="2"/>
  <c r="A27" i="2"/>
  <c r="E26" i="2"/>
  <c r="C26" i="2"/>
  <c r="A26" i="2"/>
  <c r="E25" i="2"/>
  <c r="C25" i="2"/>
  <c r="A25" i="2"/>
  <c r="E24" i="2"/>
  <c r="C24" i="2"/>
  <c r="A24" i="2"/>
  <c r="E23" i="2"/>
  <c r="C23" i="2"/>
  <c r="A23" i="2"/>
  <c r="E22" i="2"/>
  <c r="C22" i="2"/>
  <c r="A22" i="2"/>
  <c r="E21" i="2"/>
  <c r="C21" i="2"/>
  <c r="A21" i="2"/>
  <c r="E20" i="2"/>
  <c r="C20" i="2"/>
  <c r="A20" i="2"/>
  <c r="E19" i="2"/>
  <c r="C19" i="2"/>
  <c r="A19" i="2"/>
  <c r="E18" i="2"/>
  <c r="C18" i="2"/>
  <c r="A18" i="2"/>
  <c r="E17" i="2"/>
  <c r="C17" i="2"/>
  <c r="A17" i="2"/>
  <c r="E16" i="2"/>
  <c r="C16" i="2"/>
  <c r="A16" i="2"/>
  <c r="E15" i="2"/>
  <c r="C15" i="2"/>
  <c r="A15" i="2"/>
  <c r="E14" i="2"/>
  <c r="C14" i="2"/>
  <c r="A14" i="2"/>
  <c r="E13" i="2"/>
  <c r="C13" i="2"/>
  <c r="A13" i="2"/>
  <c r="E12" i="2"/>
  <c r="C12" i="2"/>
  <c r="A12" i="2"/>
  <c r="E11" i="2"/>
  <c r="C11" i="2"/>
  <c r="A11" i="2"/>
  <c r="E10" i="2"/>
  <c r="C10" i="2"/>
  <c r="A10" i="2"/>
  <c r="E9" i="2"/>
  <c r="C9" i="2"/>
  <c r="A9" i="2"/>
  <c r="E8" i="2"/>
  <c r="C8" i="2"/>
  <c r="A8" i="2"/>
  <c r="E7" i="2"/>
  <c r="C7" i="2"/>
  <c r="A7" i="2"/>
  <c r="E6" i="2"/>
  <c r="C6" i="2"/>
  <c r="A6" i="2"/>
  <c r="E5" i="2"/>
  <c r="C5" i="2"/>
  <c r="A5" i="2"/>
  <c r="E4" i="2"/>
  <c r="C4" i="2"/>
  <c r="A4" i="2"/>
  <c r="E3" i="2"/>
  <c r="C3" i="2"/>
  <c r="A3" i="2"/>
  <c r="E2" i="2"/>
  <c r="C2" i="2"/>
  <c r="A2" i="2"/>
  <c r="E1" i="2"/>
  <c r="C1" i="2"/>
  <c r="A1" i="2"/>
  <c r="B62" i="1"/>
  <c r="B61" i="1"/>
  <c r="B60" i="1"/>
  <c r="B59" i="1"/>
  <c r="B58" i="1"/>
  <c r="B57" i="1"/>
  <c r="B56" i="1"/>
  <c r="B55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  <c r="H11" i="1" l="1"/>
  <c r="G2" i="1"/>
  <c r="C39" i="1"/>
  <c r="E16" i="1"/>
  <c r="D7" i="1"/>
  <c r="C60" i="1"/>
  <c r="C56" i="1"/>
  <c r="C51" i="1"/>
  <c r="C47" i="1"/>
  <c r="C43" i="1"/>
  <c r="C35" i="1"/>
  <c r="C31" i="1"/>
  <c r="C27" i="1"/>
  <c r="C23" i="1"/>
  <c r="C21" i="1"/>
  <c r="H19" i="1"/>
  <c r="G18" i="1"/>
  <c r="F17" i="1"/>
  <c r="D15" i="1"/>
  <c r="C14" i="1"/>
  <c r="G10" i="1"/>
  <c r="F9" i="1"/>
  <c r="E8" i="1"/>
  <c r="C6" i="1"/>
  <c r="H3" i="1"/>
  <c r="C62" i="1"/>
  <c r="C61" i="1"/>
  <c r="C59" i="1"/>
  <c r="C58" i="1"/>
  <c r="C57" i="1"/>
  <c r="C55" i="1"/>
  <c r="C53" i="1"/>
  <c r="C52" i="1"/>
  <c r="C50" i="1"/>
  <c r="C49" i="1"/>
  <c r="C48" i="1"/>
  <c r="C46" i="1"/>
  <c r="C45" i="1"/>
  <c r="C44" i="1"/>
  <c r="C42" i="1"/>
  <c r="C41" i="1"/>
  <c r="C40" i="1"/>
  <c r="C38" i="1"/>
  <c r="C37" i="1"/>
  <c r="C36" i="1"/>
  <c r="C34" i="1"/>
  <c r="C33" i="1"/>
  <c r="C32" i="1"/>
  <c r="C30" i="1"/>
  <c r="C29" i="1"/>
  <c r="C28" i="1"/>
  <c r="C26" i="1"/>
  <c r="C25" i="1"/>
  <c r="C24" i="1"/>
  <c r="G22" i="1"/>
  <c r="C22" i="1"/>
  <c r="F21" i="1"/>
  <c r="D21" i="1"/>
  <c r="G21" i="1"/>
  <c r="D20" i="1"/>
  <c r="G20" i="1"/>
  <c r="F20" i="1"/>
  <c r="D19" i="1"/>
  <c r="G19" i="1"/>
  <c r="F19" i="1"/>
  <c r="D18" i="1"/>
  <c r="H18" i="1"/>
  <c r="F18" i="1"/>
  <c r="H17" i="1"/>
  <c r="E17" i="1"/>
  <c r="D17" i="1"/>
  <c r="D16" i="1"/>
  <c r="H16" i="1"/>
  <c r="F16" i="1"/>
  <c r="F15" i="1"/>
  <c r="C15" i="1"/>
  <c r="H15" i="1"/>
  <c r="F14" i="1"/>
  <c r="D14" i="1"/>
  <c r="H14" i="1"/>
  <c r="D13" i="1"/>
  <c r="H13" i="1"/>
  <c r="F13" i="1"/>
  <c r="F12" i="1"/>
  <c r="D12" i="1"/>
  <c r="H12" i="1"/>
  <c r="D11" i="1"/>
  <c r="G11" i="1"/>
  <c r="F11" i="1"/>
  <c r="F10" i="1"/>
  <c r="D10" i="1"/>
  <c r="H10" i="1"/>
  <c r="D9" i="1"/>
  <c r="H9" i="1"/>
  <c r="E9" i="1"/>
  <c r="F8" i="1"/>
  <c r="D8" i="1"/>
  <c r="H8" i="1"/>
  <c r="C7" i="1"/>
  <c r="H7" i="1"/>
  <c r="F7" i="1"/>
  <c r="F6" i="1"/>
  <c r="D6" i="1"/>
  <c r="H6" i="1"/>
  <c r="D5" i="1"/>
  <c r="H5" i="1"/>
  <c r="F5" i="1"/>
  <c r="F4" i="1"/>
  <c r="D4" i="1"/>
  <c r="H4" i="1"/>
  <c r="D3" i="1"/>
  <c r="G3" i="1"/>
  <c r="F3" i="1"/>
  <c r="F2" i="1"/>
  <c r="D2" i="1"/>
  <c r="H2" i="1"/>
  <c r="C5" i="1"/>
  <c r="E7" i="1"/>
  <c r="G9" i="1"/>
  <c r="C13" i="1"/>
  <c r="E15" i="1"/>
  <c r="G17" i="1"/>
  <c r="C4" i="1"/>
  <c r="E6" i="1"/>
  <c r="G8" i="1"/>
  <c r="C12" i="1"/>
  <c r="E14" i="1"/>
  <c r="G16" i="1"/>
  <c r="C20" i="1"/>
  <c r="C3" i="1"/>
  <c r="E5" i="1"/>
  <c r="G7" i="1"/>
  <c r="C11" i="1"/>
  <c r="E13" i="1"/>
  <c r="G15" i="1"/>
  <c r="C19" i="1"/>
  <c r="E4" i="1"/>
  <c r="G14" i="1"/>
  <c r="C18" i="1"/>
  <c r="E20" i="1"/>
  <c r="C2" i="1"/>
  <c r="G6" i="1"/>
  <c r="C10" i="1"/>
  <c r="E12" i="1"/>
  <c r="E3" i="1"/>
  <c r="G5" i="1"/>
  <c r="C9" i="1"/>
  <c r="E11" i="1"/>
  <c r="G13" i="1"/>
  <c r="C17" i="1"/>
  <c r="E19" i="1"/>
  <c r="C16" i="1"/>
  <c r="J16" i="1" s="1"/>
  <c r="E18" i="1"/>
  <c r="H62" i="1"/>
  <c r="F62" i="1"/>
  <c r="D62" i="1"/>
  <c r="F61" i="1"/>
  <c r="D61" i="1"/>
  <c r="H61" i="1"/>
  <c r="H60" i="1"/>
  <c r="F60" i="1"/>
  <c r="D60" i="1"/>
  <c r="F59" i="1"/>
  <c r="D59" i="1"/>
  <c r="H59" i="1"/>
  <c r="H58" i="1"/>
  <c r="F58" i="1"/>
  <c r="D58" i="1"/>
  <c r="F57" i="1"/>
  <c r="D57" i="1"/>
  <c r="H57" i="1"/>
  <c r="H56" i="1"/>
  <c r="F56" i="1"/>
  <c r="D56" i="1"/>
  <c r="F55" i="1"/>
  <c r="D55" i="1"/>
  <c r="H55" i="1"/>
  <c r="H53" i="1"/>
  <c r="F53" i="1"/>
  <c r="D53" i="1"/>
  <c r="F52" i="1"/>
  <c r="D52" i="1"/>
  <c r="H52" i="1"/>
  <c r="H51" i="1"/>
  <c r="F51" i="1"/>
  <c r="D51" i="1"/>
  <c r="F50" i="1"/>
  <c r="D50" i="1"/>
  <c r="H50" i="1"/>
  <c r="H49" i="1"/>
  <c r="F49" i="1"/>
  <c r="D49" i="1"/>
  <c r="F48" i="1"/>
  <c r="D48" i="1"/>
  <c r="H48" i="1"/>
  <c r="H47" i="1"/>
  <c r="F47" i="1"/>
  <c r="D47" i="1"/>
  <c r="F46" i="1"/>
  <c r="D46" i="1"/>
  <c r="H46" i="1"/>
  <c r="H45" i="1"/>
  <c r="F45" i="1"/>
  <c r="D45" i="1"/>
  <c r="F44" i="1"/>
  <c r="D44" i="1"/>
  <c r="H44" i="1"/>
  <c r="H43" i="1"/>
  <c r="F43" i="1"/>
  <c r="D43" i="1"/>
  <c r="F42" i="1"/>
  <c r="D42" i="1"/>
  <c r="H42" i="1"/>
  <c r="H41" i="1"/>
  <c r="F41" i="1"/>
  <c r="D41" i="1"/>
  <c r="F40" i="1"/>
  <c r="D40" i="1"/>
  <c r="H40" i="1"/>
  <c r="H39" i="1"/>
  <c r="F39" i="1"/>
  <c r="D39" i="1"/>
  <c r="F38" i="1"/>
  <c r="D38" i="1"/>
  <c r="H38" i="1"/>
  <c r="H37" i="1"/>
  <c r="F37" i="1"/>
  <c r="D37" i="1"/>
  <c r="F36" i="1"/>
  <c r="D36" i="1"/>
  <c r="H36" i="1"/>
  <c r="H35" i="1"/>
  <c r="F35" i="1"/>
  <c r="D35" i="1"/>
  <c r="F34" i="1"/>
  <c r="D34" i="1"/>
  <c r="H34" i="1"/>
  <c r="H33" i="1"/>
  <c r="F33" i="1"/>
  <c r="D33" i="1"/>
  <c r="F32" i="1"/>
  <c r="D32" i="1"/>
  <c r="H32" i="1"/>
  <c r="H31" i="1"/>
  <c r="F31" i="1"/>
  <c r="D31" i="1"/>
  <c r="F30" i="1"/>
  <c r="D30" i="1"/>
  <c r="H30" i="1"/>
  <c r="H29" i="1"/>
  <c r="F29" i="1"/>
  <c r="D29" i="1"/>
  <c r="F28" i="1"/>
  <c r="D28" i="1"/>
  <c r="H28" i="1"/>
  <c r="H27" i="1"/>
  <c r="F27" i="1"/>
  <c r="D27" i="1"/>
  <c r="F26" i="1"/>
  <c r="D26" i="1"/>
  <c r="H26" i="1"/>
  <c r="H25" i="1"/>
  <c r="F25" i="1"/>
  <c r="D25" i="1"/>
  <c r="H24" i="1"/>
  <c r="F24" i="1"/>
  <c r="D24" i="1"/>
  <c r="F23" i="1"/>
  <c r="D23" i="1"/>
  <c r="H23" i="1"/>
  <c r="D22" i="1"/>
  <c r="H22" i="1"/>
  <c r="F22" i="1"/>
  <c r="E21" i="1"/>
  <c r="H21" i="1"/>
  <c r="H20" i="1"/>
  <c r="E2" i="1"/>
  <c r="G4" i="1"/>
  <c r="C8" i="1"/>
  <c r="E10" i="1"/>
  <c r="G12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5" i="1"/>
  <c r="E56" i="1"/>
  <c r="E57" i="1"/>
  <c r="E58" i="1"/>
  <c r="E59" i="1"/>
  <c r="E60" i="1"/>
  <c r="E61" i="1"/>
  <c r="E6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J38" i="1" s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5" i="1"/>
  <c r="G56" i="1"/>
  <c r="G57" i="1"/>
  <c r="G58" i="1"/>
  <c r="G59" i="1"/>
  <c r="G60" i="1"/>
  <c r="G61" i="1"/>
  <c r="G62" i="1"/>
  <c r="J14" i="1" l="1"/>
  <c r="J8" i="1"/>
  <c r="J21" i="1"/>
  <c r="J22" i="1"/>
  <c r="J6" i="1"/>
  <c r="J31" i="1"/>
  <c r="J20" i="1"/>
  <c r="J59" i="1"/>
  <c r="J42" i="1"/>
  <c r="J48" i="1"/>
  <c r="J40" i="1"/>
  <c r="J15" i="1"/>
  <c r="J58" i="1"/>
  <c r="J49" i="1"/>
  <c r="J41" i="1"/>
  <c r="J33" i="1"/>
  <c r="J25" i="1"/>
  <c r="J56" i="1"/>
  <c r="J39" i="1"/>
  <c r="J7" i="1"/>
  <c r="J55" i="1"/>
  <c r="J11" i="1"/>
  <c r="J37" i="1"/>
  <c r="J50" i="1"/>
  <c r="J34" i="1"/>
  <c r="J26" i="1"/>
  <c r="J3" i="1"/>
  <c r="J57" i="1"/>
  <c r="J32" i="1"/>
  <c r="J24" i="1"/>
  <c r="J19" i="1"/>
  <c r="J13" i="1"/>
  <c r="J47" i="1"/>
  <c r="J23" i="1"/>
  <c r="J10" i="1"/>
  <c r="J46" i="1"/>
  <c r="J30" i="1"/>
  <c r="J17" i="1"/>
  <c r="J12" i="1"/>
  <c r="J2" i="1"/>
  <c r="J5" i="1"/>
  <c r="J62" i="1"/>
  <c r="J53" i="1"/>
  <c r="J45" i="1"/>
  <c r="J29" i="1"/>
  <c r="J61" i="1"/>
  <c r="J52" i="1"/>
  <c r="J44" i="1"/>
  <c r="J36" i="1"/>
  <c r="J28" i="1"/>
  <c r="J60" i="1"/>
  <c r="J51" i="1"/>
  <c r="J43" i="1"/>
  <c r="J35" i="1"/>
  <c r="J27" i="1"/>
  <c r="J9" i="1"/>
  <c r="J18" i="1"/>
  <c r="J4" i="1"/>
</calcChain>
</file>

<file path=xl/sharedStrings.xml><?xml version="1.0" encoding="utf-8"?>
<sst xmlns="http://schemas.openxmlformats.org/spreadsheetml/2006/main" count="19177" uniqueCount="2333">
  <si>
    <t>Тижд</t>
  </si>
  <si>
    <t>Стріми</t>
  </si>
  <si>
    <t>Пісні україніських виконавців</t>
  </si>
  <si>
    <t>Пісні рускіх виконавців</t>
  </si>
  <si>
    <t>Пісні виконавців інших країн</t>
  </si>
  <si>
    <t>Дати</t>
  </si>
  <si>
    <t>2021-12-31–2022-01-06</t>
  </si>
  <si>
    <t>2022-01-07–2022-01-13</t>
  </si>
  <si>
    <t>2022-01-14–2022-01-20</t>
  </si>
  <si>
    <t>2022-01-21–2022-01-27</t>
  </si>
  <si>
    <t>2022-01-28–2022-02-03</t>
  </si>
  <si>
    <t>2022-02-04–2022-02-10</t>
  </si>
  <si>
    <t>2022-02-11–2022-02-17</t>
  </si>
  <si>
    <t>2022-02-18–2022-02-24</t>
  </si>
  <si>
    <t>2022-02-25–2022-03-03</t>
  </si>
  <si>
    <t>Ляпис Трубецкой</t>
  </si>
  <si>
    <t>2022-03-04–2022-03-10</t>
  </si>
  <si>
    <t>2022-03-11–2022-03-17</t>
  </si>
  <si>
    <t>2022-03-18–2022-03-24</t>
  </si>
  <si>
    <t>2022-03-25–2022-03-31</t>
  </si>
  <si>
    <t>2022-04-01–2022-04-07</t>
  </si>
  <si>
    <t>2022-04-08–2022-04-14</t>
  </si>
  <si>
    <t>2022-04-15–2022-04-21</t>
  </si>
  <si>
    <t>2022-04-22–2022-04-28</t>
  </si>
  <si>
    <t>2022-04-29–2022-05-05</t>
  </si>
  <si>
    <t>2022-05-06–2022-05-12</t>
  </si>
  <si>
    <t>2022-05-13–2022-05-19</t>
  </si>
  <si>
    <t>2022-05-20–2022-05-26</t>
  </si>
  <si>
    <t>2022-05-27–2022-06-02</t>
  </si>
  <si>
    <t>2022-06-03–2022-06-09</t>
  </si>
  <si>
    <t>2022-06-10–2022-06-16</t>
  </si>
  <si>
    <t>Hey Hey Rise Up (feat. Andriy Khlyvnyuk)</t>
  </si>
  <si>
    <t>Pink Floyd</t>
  </si>
  <si>
    <t>2022-06-17–2022-06-23</t>
  </si>
  <si>
    <t>2022-06-24–2022-06-30</t>
  </si>
  <si>
    <t>2022-07-01–2022-07-07</t>
  </si>
  <si>
    <t>2022-07-08–2022-07-14</t>
  </si>
  <si>
    <t>2022-07-15–2022-07-21</t>
  </si>
  <si>
    <t>2022-07-22–2022-07-28</t>
  </si>
  <si>
    <t>2022-07-29–2022-08-04</t>
  </si>
  <si>
    <t>2022-08-05–2022-08-11</t>
  </si>
  <si>
    <t>2022-08-12–2022-08-18</t>
  </si>
  <si>
    <t>2022-08-19–2022-08-25</t>
  </si>
  <si>
    <t>2022-08-26–2022-09-01</t>
  </si>
  <si>
    <t>2022-09-02–2022-09-08</t>
  </si>
  <si>
    <t>2022-09-09–2022-09-15</t>
  </si>
  <si>
    <t>2022-09-16–2022-09-22</t>
  </si>
  <si>
    <t>2022-09-23–2022-09-29</t>
  </si>
  <si>
    <t>2022-09-30–2022-10-06</t>
  </si>
  <si>
    <t>2022-10-07–2022-10-13</t>
  </si>
  <si>
    <t>2022-10-14–2022-10-20</t>
  </si>
  <si>
    <t>2022-10-21–2022-10-27</t>
  </si>
  <si>
    <t>2022-10-28–2022-11-03</t>
  </si>
  <si>
    <t>2022-11-04–2022-11-10</t>
  </si>
  <si>
    <t>2022-11-11–2022-11-17</t>
  </si>
  <si>
    <t>2022-11-18–2022-11-24</t>
  </si>
  <si>
    <t>2022-11-25–2022-12-01</t>
  </si>
  <si>
    <t>2022-12-02–2022-12-08</t>
  </si>
  <si>
    <t>2022-12-09–2022-12-15</t>
  </si>
  <si>
    <t>2022-12-16–2022-12-22</t>
  </si>
  <si>
    <t>2022-12-23–2022-12-29</t>
  </si>
  <si>
    <t>2022-12-30–2023-01-05</t>
  </si>
  <si>
    <t>2023-01-06–2023-01-12</t>
  </si>
  <si>
    <t>2023-01-13–2023-01-19</t>
  </si>
  <si>
    <t>2023-01-20–2023-01-26</t>
  </si>
  <si>
    <t>2023-01-27–2023-02-02</t>
  </si>
  <si>
    <t>2023-02-03–2023-02-09</t>
  </si>
  <si>
    <t>2023-02-10–2023-02-16</t>
  </si>
  <si>
    <t>2023-02-17–2023-02-23</t>
  </si>
  <si>
    <t>Rank</t>
  </si>
  <si>
    <t>Previous Rank</t>
  </si>
  <si>
    <t>Track Name</t>
  </si>
  <si>
    <t>Artist Names</t>
  </si>
  <si>
    <t>Weeks on Chart</t>
  </si>
  <si>
    <t>Views</t>
  </si>
  <si>
    <t>Weekly Growth</t>
  </si>
  <si>
    <t>YouTube URL</t>
  </si>
  <si>
    <t>UA</t>
  </si>
  <si>
    <t>RU</t>
  </si>
  <si>
    <t>OTHER</t>
  </si>
  <si>
    <t>Фортеця Бахмут</t>
  </si>
  <si>
    <t>Антитіла</t>
  </si>
  <si>
    <t>-27.6%</t>
  </si>
  <si>
    <t>https://www.youtube.com/watch?v=OmqLVrUXsTQ</t>
  </si>
  <si>
    <t>Чекає вдома</t>
  </si>
  <si>
    <t>YAKTAK</t>
  </si>
  <si>
    <t>-1.9%</t>
  </si>
  <si>
    <t>https://www.youtube.com/watch?v=ed0aLnuNw_U</t>
  </si>
  <si>
    <t>Чути гімн</t>
  </si>
  <si>
    <t>Skofka</t>
  </si>
  <si>
    <t>https://www.youtube.com/watch?v=ia50r3fa67s</t>
  </si>
  <si>
    <t>Flowers</t>
  </si>
  <si>
    <t>Miley Cyrus</t>
  </si>
  <si>
    <t>-19.8%</t>
  </si>
  <si>
    <t>https://www.youtube.com/watch?v=G7KNmW9a75Y</t>
  </si>
  <si>
    <t>Там у тополі</t>
  </si>
  <si>
    <t>Артем Пивоваров &amp; NK</t>
  </si>
  <si>
    <t>-5.4%</t>
  </si>
  <si>
    <t>https://www.youtube.com/watch?v=m0u7iM6Xwxw</t>
  </si>
  <si>
    <t>Ти щаслива будеш (Гай, зелений гай)</t>
  </si>
  <si>
    <t>Dima Prokopov</t>
  </si>
  <si>
    <t>-2.7%</t>
  </si>
  <si>
    <t>https://www.youtube.com/watch?v=w9l7hWlRJ5w</t>
  </si>
  <si>
    <t>Щоб не було</t>
  </si>
  <si>
    <t>Дорофеєва Надія</t>
  </si>
  <si>
    <t>-2.2%</t>
  </si>
  <si>
    <t>https://www.youtube.com/watch?v=024jiVWdPqA</t>
  </si>
  <si>
    <t>Додому</t>
  </si>
  <si>
    <t>Wellboy</t>
  </si>
  <si>
    <t>0.5%</t>
  </si>
  <si>
    <t>https://www.youtube.com/watch?v=-BaUkgUgyEE</t>
  </si>
  <si>
    <t>Провела екскурсію</t>
  </si>
  <si>
    <t>Parfeniuk</t>
  </si>
  <si>
    <t>-7.6%</t>
  </si>
  <si>
    <t>https://www.youtube.com/watch?v=Ryfm-7ZrL-Y</t>
  </si>
  <si>
    <t>Вечорниці (Добрий день Everybody)</t>
  </si>
  <si>
    <t>100лиця &amp; SKYLERR</t>
  </si>
  <si>
    <t>https://www.youtube.com/watch?v=qqrLTNqAfWs</t>
  </si>
  <si>
    <t>Люди</t>
  </si>
  <si>
    <t>MamaRika &amp; KOLA</t>
  </si>
  <si>
    <t>https://www.youtube.com/watch?v=n9loCK--fGA</t>
  </si>
  <si>
    <t>Батьківщина</t>
  </si>
  <si>
    <t>Skofka &amp; KALUSH</t>
  </si>
  <si>
    <t>https://www.youtube.com/watch?v=CSoCoSHyU5Y</t>
  </si>
  <si>
    <t>ЗА ДЕНЬГИ ДА</t>
  </si>
  <si>
    <t>Instasamka</t>
  </si>
  <si>
    <t>-23.7%</t>
  </si>
  <si>
    <t>https://www.youtube.com/watch?v=iZEca2A3tS4</t>
  </si>
  <si>
    <t>думи</t>
  </si>
  <si>
    <t>Артем Пивоваров &amp; Дорофеєва Надія</t>
  </si>
  <si>
    <t>-4.6%</t>
  </si>
  <si>
    <t>https://www.youtube.com/watch?v=dZzfjLPC-Rk</t>
  </si>
  <si>
    <t>ДИКЕ ПОЛЕ (feat. Алиса)</t>
  </si>
  <si>
    <t>YARMAK</t>
  </si>
  <si>
    <t>6.4%</t>
  </si>
  <si>
    <t>https://www.youtube.com/watch?v=mOOClonYKmc</t>
  </si>
  <si>
    <t>Маніфест</t>
  </si>
  <si>
    <t>Артем Пивоваров</t>
  </si>
  <si>
    <t>https://www.youtube.com/watch?v=g9EUQ4vdebQ</t>
  </si>
  <si>
    <t>Повільно</t>
  </si>
  <si>
    <t>Adam</t>
  </si>
  <si>
    <t>https://www.youtube.com/watch?v=op2JkITZKd4</t>
  </si>
  <si>
    <t>вотсап</t>
  </si>
  <si>
    <t>-10.8%</t>
  </si>
  <si>
    <t>https://www.youtube.com/watch?v=N9zc1Npy9iE</t>
  </si>
  <si>
    <t>Ластівки</t>
  </si>
  <si>
    <t>Qatoshi &amp; Chico</t>
  </si>
  <si>
    <t>6.2%</t>
  </si>
  <si>
    <t>https://www.youtube.com/watch?v=vCNmvFIFQ-I</t>
  </si>
  <si>
    <t>Враже</t>
  </si>
  <si>
    <t>ANGY KREYDA</t>
  </si>
  <si>
    <t>6.1%</t>
  </si>
  <si>
    <t>https://www.youtube.com/watch?v=cdEEffF7_rU</t>
  </si>
  <si>
    <t>Монро</t>
  </si>
  <si>
    <t>Slavik Pogosov</t>
  </si>
  <si>
    <t>-5.8%</t>
  </si>
  <si>
    <t>https://www.youtube.com/watch?v=62MxX43jHXs</t>
  </si>
  <si>
    <t>Big Bad Wolf</t>
  </si>
  <si>
    <t>Duck Sauce</t>
  </si>
  <si>
    <t>https://www.youtube.com/watch?v=XKMoVAObbhE</t>
  </si>
  <si>
    <t>Незламна</t>
  </si>
  <si>
    <t>ЛЮСЯ КАВА</t>
  </si>
  <si>
    <t>-4.7%</t>
  </si>
  <si>
    <t>https://www.youtube.com/watch?v=-ZuCAA_93wc</t>
  </si>
  <si>
    <t>Гуляли</t>
  </si>
  <si>
    <t>KOZAK SIROMAHA</t>
  </si>
  <si>
    <t>-0.3%</t>
  </si>
  <si>
    <t>https://www.youtube.com/watch?v=nFet6yCeOPk</t>
  </si>
  <si>
    <t>Ой на горі</t>
  </si>
  <si>
    <t>-8.6%</t>
  </si>
  <si>
    <t>https://www.youtube.com/watch?v=vRQUhObXDGU</t>
  </si>
  <si>
    <t>По барам</t>
  </si>
  <si>
    <t>ANNA ASTI</t>
  </si>
  <si>
    <t>-1.4%</t>
  </si>
  <si>
    <t>https://www.youtube.com/watch?v=Cf2ASJCa_Iw</t>
  </si>
  <si>
    <t>Не забудем і не пробачим</t>
  </si>
  <si>
    <t>0.8%</t>
  </si>
  <si>
    <t>https://www.youtube.com/watch?v=b9EJWtj5ZjI</t>
  </si>
  <si>
    <t>Чорне і біле</t>
  </si>
  <si>
    <t>ZOZULYA</t>
  </si>
  <si>
    <t>-1.3%</t>
  </si>
  <si>
    <t>https://www.youtube.com/watch?v=he1v2LSai5U</t>
  </si>
  <si>
    <t>Цей сон (Live)</t>
  </si>
  <si>
    <t>Степан Гіга</t>
  </si>
  <si>
    <t>-3.3%</t>
  </si>
  <si>
    <t>https://www.youtube.com/watch?v=2eqMmPBvXQo</t>
  </si>
  <si>
    <t>Біля тополі</t>
  </si>
  <si>
    <t>SHUMEI</t>
  </si>
  <si>
    <t>-6.6%</t>
  </si>
  <si>
    <t>https://www.youtube.com/watch?v=OdgBmb8LXKM</t>
  </si>
  <si>
    <t>Силуети</t>
  </si>
  <si>
    <t>SadSvit &amp; СТРУКТУРА ЩАСТЯ</t>
  </si>
  <si>
    <t>9.3%</t>
  </si>
  <si>
    <t>https://www.youtube.com/watch?v=NjDMzkRbSZI</t>
  </si>
  <si>
    <t>Україна переможе!</t>
  </si>
  <si>
    <t>Олександр Валерійович Пономарьов, Михайло Хома, Тарас Тополя, --, -- &amp; Петро Чорний</t>
  </si>
  <si>
    <t>0.3%</t>
  </si>
  <si>
    <t>https://www.youtube.com/watch?v=fRuiEv3JRDQ</t>
  </si>
  <si>
    <t>Біля серця</t>
  </si>
  <si>
    <t>KOLA</t>
  </si>
  <si>
    <t>2.9%</t>
  </si>
  <si>
    <t>https://www.youtube.com/watch?v=A3iPwFeleY8</t>
  </si>
  <si>
    <t>Ванька-Встанька</t>
  </si>
  <si>
    <t>Маша Кондратенко</t>
  </si>
  <si>
    <t>https://www.youtube.com/watch?v=lV9q901vS6o</t>
  </si>
  <si>
    <t>Пісня вітру (З м/ф "Мавка. Лісова пісня")</t>
  </si>
  <si>
    <t>Артем Пивоваров &amp; Христина Соловій</t>
  </si>
  <si>
    <t>90.5%</t>
  </si>
  <si>
    <t>https://www.youtube.com/watch?v=vCgxufg6xzE</t>
  </si>
  <si>
    <t>Гарно так</t>
  </si>
  <si>
    <t>Cheev</t>
  </si>
  <si>
    <t>2.7%</t>
  </si>
  <si>
    <t>https://www.youtube.com/watch?v=1gxLVS3erwM</t>
  </si>
  <si>
    <t>Відьма</t>
  </si>
  <si>
    <t>Vsivdoma</t>
  </si>
  <si>
    <t>0.4%</t>
  </si>
  <si>
    <t>https://www.youtube.com/watch?v=PyVSfWyEdNs</t>
  </si>
  <si>
    <t>Бахмут</t>
  </si>
  <si>
    <t>Спів Братів</t>
  </si>
  <si>
    <t>-24.9%</t>
  </si>
  <si>
    <t>https://www.youtube.com/watch?v=7AYy77bxaB0</t>
  </si>
  <si>
    <t>Bloody Mary</t>
  </si>
  <si>
    <t>Lady Gaga</t>
  </si>
  <si>
    <t>-6.4%</t>
  </si>
  <si>
    <t>https://www.youtube.com/watch?v=VFwmKL5OL-Q</t>
  </si>
  <si>
    <t>Троянди</t>
  </si>
  <si>
    <t>100лиця</t>
  </si>
  <si>
    <t>21.5%</t>
  </si>
  <si>
    <t>https://www.youtube.com/watch?v=N7fV2TaLTEQ</t>
  </si>
  <si>
    <t>Марiчка</t>
  </si>
  <si>
    <t>PATSYKI Z FRANEKA</t>
  </si>
  <si>
    <t>-9.5%</t>
  </si>
  <si>
    <t>https://www.youtube.com/watch?v=rHaw1MpOIzg</t>
  </si>
  <si>
    <t>All Eyez on Me (Gangsta Remix)</t>
  </si>
  <si>
    <t>Dj Belite &amp; 2Pac</t>
  </si>
  <si>
    <t>8.7%</t>
  </si>
  <si>
    <t>https://www.youtube.com/watch?v=vYMTs-AP9_Q</t>
  </si>
  <si>
    <t>Ты так красива</t>
  </si>
  <si>
    <t>Quest Pistols</t>
  </si>
  <si>
    <t>-9.3%</t>
  </si>
  <si>
    <t>https://www.youtube.com/watch?v=mYcl6p3oiCc</t>
  </si>
  <si>
    <t>Волонтер</t>
  </si>
  <si>
    <t>Олексій Потапенко</t>
  </si>
  <si>
    <t>https://www.youtube.com/watch?v=wXm0qsIlAbg</t>
  </si>
  <si>
    <t>Народна</t>
  </si>
  <si>
    <t>-3.9%</t>
  </si>
  <si>
    <t>https://www.youtube.com/watch?v=UYXcryt21m8</t>
  </si>
  <si>
    <t>Який ти козак</t>
  </si>
  <si>
    <t>Анна Трінчер &amp; POSITIFF</t>
  </si>
  <si>
    <t>-14.2%</t>
  </si>
  <si>
    <t>https://www.youtube.com/watch?v=abqLDv5LlHE</t>
  </si>
  <si>
    <t>МОЯ КРАЇНА (feat. TOF)</t>
  </si>
  <si>
    <t>https://www.youtube.com/watch?v=wtuVa-mOknA</t>
  </si>
  <si>
    <t>В дорогу</t>
  </si>
  <si>
    <t>https://www.youtube.com/watch?v=1j4qxGVxxhg</t>
  </si>
  <si>
    <t>інша любов</t>
  </si>
  <si>
    <t>ENLEO</t>
  </si>
  <si>
    <t>https://www.youtube.com/watch?v=0o0iK-ufovM</t>
  </si>
  <si>
    <t>Лелека (feat. YAKTAK)</t>
  </si>
  <si>
    <t>MamaRika</t>
  </si>
  <si>
    <t>https://www.youtube.com/watch?v=zGJePzQHKLg</t>
  </si>
  <si>
    <t>Думав вона янгол</t>
  </si>
  <si>
    <t>Колін</t>
  </si>
  <si>
    <t>https://www.youtube.com/watch?v=F9mMnWcYXQ0</t>
  </si>
  <si>
    <t>METAMORPHOSIS</t>
  </si>
  <si>
    <t>INTERWORLD</t>
  </si>
  <si>
    <t>-9.9%</t>
  </si>
  <si>
    <t>https://www.youtube.com/watch?v=lJvRohYSrZM</t>
  </si>
  <si>
    <t>Зай</t>
  </si>
  <si>
    <t>Анна Трінчер</t>
  </si>
  <si>
    <t>https://www.youtube.com/watch?v=ZzvbP0dYSAI</t>
  </si>
  <si>
    <t>Бульбашки</t>
  </si>
  <si>
    <t>Марія Арбузова</t>
  </si>
  <si>
    <t>https://www.youtube.com/watch?v=ZdcEZihKqKg</t>
  </si>
  <si>
    <t>Тебе - собі</t>
  </si>
  <si>
    <t>35.9%</t>
  </si>
  <si>
    <t>https://www.youtube.com/watch?v=C96ielMqDbQ</t>
  </si>
  <si>
    <t>КАК MOMMY</t>
  </si>
  <si>
    <t>-26.9%</t>
  </si>
  <si>
    <t>https://www.youtube.com/watch?v=l3vQ0pczKnE</t>
  </si>
  <si>
    <t>Жовті мальви</t>
  </si>
  <si>
    <t>https://www.youtube.com/watch?v=osb8QXubZD0</t>
  </si>
  <si>
    <t>Не мовчи</t>
  </si>
  <si>
    <t>https://www.youtube.com/watch?v=JulDOMKkE70</t>
  </si>
  <si>
    <t>Воїни світла</t>
  </si>
  <si>
    <t>https://www.youtube.com/watch?v=ayDNTDcZok8</t>
  </si>
  <si>
    <t>Моя хулиганка</t>
  </si>
  <si>
    <t>Xolidayboy</t>
  </si>
  <si>
    <t>-11.3%</t>
  </si>
  <si>
    <t>https://www.youtube.com/watch?v=u-gaETffwYM</t>
  </si>
  <si>
    <t>Сіґеле-міґеле</t>
  </si>
  <si>
    <t>NAZVA</t>
  </si>
  <si>
    <t>-11.4%</t>
  </si>
  <si>
    <t>https://www.youtube.com/watch?v=T_Pep6MW1wc</t>
  </si>
  <si>
    <t>Полярная звезда</t>
  </si>
  <si>
    <t>MOSOVICH &amp; Batrai</t>
  </si>
  <si>
    <t>-7.1%</t>
  </si>
  <si>
    <t>https://www.youtube.com/watch?v=mZGb_R_dmeA</t>
  </si>
  <si>
    <t>Mockingbird</t>
  </si>
  <si>
    <t>Eminem</t>
  </si>
  <si>
    <t>https://www.youtube.com/watch?v=S9bCLPwzSC0</t>
  </si>
  <si>
    <t>Отключаю телефон</t>
  </si>
  <si>
    <t>https://www.youtube.com/watch?v=AXO2i4Edl1c</t>
  </si>
  <si>
    <t>Буратино</t>
  </si>
  <si>
    <t>Sivchik &amp; Ульяна Столярова</t>
  </si>
  <si>
    <t>https://www.youtube.com/watch?v=1H_83aLO0rk</t>
  </si>
  <si>
    <t>I'm Good (Blue)</t>
  </si>
  <si>
    <t>David Guetta &amp; Bebe Rexha</t>
  </si>
  <si>
    <t>https://www.youtube.com/watch?v=90RLzVUuXe4</t>
  </si>
  <si>
    <t>Deutschland</t>
  </si>
  <si>
    <t>Rammstein</t>
  </si>
  <si>
    <t>9.9%</t>
  </si>
  <si>
    <t>https://www.youtube.com/watch?v=NeQM1c-XCDc</t>
  </si>
  <si>
    <t>Sonne</t>
  </si>
  <si>
    <t>Grandma's Smuzi</t>
  </si>
  <si>
    <t>https://www.youtube.com/watch?v=bSPKqa-jXSI</t>
  </si>
  <si>
    <t>Василина</t>
  </si>
  <si>
    <t>DZIDZIO &amp; Іван Попович</t>
  </si>
  <si>
    <t>-0.4%</t>
  </si>
  <si>
    <t>https://www.youtube.com/watch?v=iYePSq0UOfA</t>
  </si>
  <si>
    <t>SPIT IN MY FACE!</t>
  </si>
  <si>
    <t>ThxSoMch</t>
  </si>
  <si>
    <t>3.2%</t>
  </si>
  <si>
    <t>https://www.youtube.com/watch?v=h54g3lvGhaI</t>
  </si>
  <si>
    <t>Нумо Козаки</t>
  </si>
  <si>
    <t>KALUSH &amp; KOZAK SIROMAHA</t>
  </si>
  <si>
    <t>-10.2%</t>
  </si>
  <si>
    <t>https://www.youtube.com/watch?v=5CvzbWXn7_U</t>
  </si>
  <si>
    <t>Him &amp; I</t>
  </si>
  <si>
    <t>G-Eazy &amp; Halsey</t>
  </si>
  <si>
    <t>14.1%</t>
  </si>
  <si>
    <t>https://www.youtube.com/watch?v=SA7AIQw-7Ms</t>
  </si>
  <si>
    <t>Притяжение (Remix)</t>
  </si>
  <si>
    <t>ETOLUBOV</t>
  </si>
  <si>
    <t>-7.2%</t>
  </si>
  <si>
    <t>https://www.youtube.com/watch?v=cKzWHv4ivoI</t>
  </si>
  <si>
    <t>Лампочки</t>
  </si>
  <si>
    <t>MASHA DANILOVA</t>
  </si>
  <si>
    <t>https://www.youtube.com/watch?v=j-01vjVUMlY</t>
  </si>
  <si>
    <t>Лист до мами</t>
  </si>
  <si>
    <t>BARABANDA</t>
  </si>
  <si>
    <t>-19.2%</t>
  </si>
  <si>
    <t>https://www.youtube.com/watch?v=FB66mdrur5g</t>
  </si>
  <si>
    <t>Цілуй солодкими губами</t>
  </si>
  <si>
    <t>Аркадій Аркадійович Войтюк</t>
  </si>
  <si>
    <t>2.8%</t>
  </si>
  <si>
    <t>https://www.youtube.com/watch?v=CzyyTmb9gbg</t>
  </si>
  <si>
    <t>Спокійно</t>
  </si>
  <si>
    <t>DOVI</t>
  </si>
  <si>
    <t>10.4%</t>
  </si>
  <si>
    <t>https://www.youtube.com/watch?v=UkELKl1etsM</t>
  </si>
  <si>
    <t>In The Shadows Of Ukraine</t>
  </si>
  <si>
    <t>KALUSH &amp; Kalush Orchestra</t>
  </si>
  <si>
    <t>-11.5%</t>
  </si>
  <si>
    <t>https://www.youtube.com/watch?v=R0ebIzABQm0</t>
  </si>
  <si>
    <t>Ocean Drive</t>
  </si>
  <si>
    <t>Дюк Дюмон</t>
  </si>
  <si>
    <t>https://www.youtube.com/watch?v=KDxJlW6cxRk</t>
  </si>
  <si>
    <t>MIDDLE OF THE NIGHT</t>
  </si>
  <si>
    <t>Еллі Дуе</t>
  </si>
  <si>
    <t>3.9%</t>
  </si>
  <si>
    <t>https://www.youtube.com/watch?v=oSHzUD-uqKY</t>
  </si>
  <si>
    <t>Засвіт встали козаченьки</t>
  </si>
  <si>
    <t>https://www.youtube.com/watch?v=MTQ32tMs53c</t>
  </si>
  <si>
    <t>Diamonds</t>
  </si>
  <si>
    <t>Rihanna</t>
  </si>
  <si>
    <t>https://www.youtube.com/watch?v=lWA2pjMjpBs</t>
  </si>
  <si>
    <t>GigaChad Theme (Phonk House Version)</t>
  </si>
  <si>
    <t>g3ox_em</t>
  </si>
  <si>
    <t>https://www.youtube.com/watch?v=OVh0bMNSFss</t>
  </si>
  <si>
    <t>Poker Face</t>
  </si>
  <si>
    <t>5.9%</t>
  </si>
  <si>
    <t>https://www.youtube.com/watch?v=bESGLojNYSo</t>
  </si>
  <si>
    <t>Ночью на кухне</t>
  </si>
  <si>
    <t>-10.1%</t>
  </si>
  <si>
    <t>https://www.youtube.com/watch?v=zY5KWvwZ7bY</t>
  </si>
  <si>
    <t>Джеральдіна</t>
  </si>
  <si>
    <t>Арсен Мірзоян</t>
  </si>
  <si>
    <t>https://www.youtube.com/watch?v=UAGNwAh45Xg</t>
  </si>
  <si>
    <t>Легковажна</t>
  </si>
  <si>
    <t>СКАЙ</t>
  </si>
  <si>
    <t>2.3%</t>
  </si>
  <si>
    <t>https://www.youtube.com/watch?v=vvcmuEumLlA</t>
  </si>
  <si>
    <t>Unstoppable (Live)</t>
  </si>
  <si>
    <t>Sia</t>
  </si>
  <si>
    <t>-2.4%</t>
  </si>
  <si>
    <t>https://www.youtube.com/watch?v=YaEG2aWJnZ8</t>
  </si>
  <si>
    <t>Пишу тобі листа</t>
  </si>
  <si>
    <t>Ivan Navi</t>
  </si>
  <si>
    <t>https://www.youtube.com/watch?v=Ey_ptHK9tx0</t>
  </si>
  <si>
    <t>Не плачь</t>
  </si>
  <si>
    <t>Бумер</t>
  </si>
  <si>
    <t>-2.1%</t>
  </si>
  <si>
    <t>https://www.youtube.com/watch?v=N6s8qrfmkSc</t>
  </si>
  <si>
    <t>HOODAK MP3</t>
  </si>
  <si>
    <t>Єгор Ракітін &amp; Aarne</t>
  </si>
  <si>
    <t>-0.9%</t>
  </si>
  <si>
    <t>https://www.youtube.com/watch?v=3j04SfhznVE</t>
  </si>
  <si>
    <t>https://www.youtube.com/watch?v=StZcUAPRRac</t>
  </si>
  <si>
    <t>Касета</t>
  </si>
  <si>
    <t>SadSvit</t>
  </si>
  <si>
    <t>https://www.youtube.com/watch?v=EGLoIaHwKfE</t>
  </si>
  <si>
    <t>Limbo</t>
  </si>
  <si>
    <t>Freddie Dredd</t>
  </si>
  <si>
    <t>https://www.youtube.com/watch?v=glkSGJU-yLw</t>
  </si>
  <si>
    <t>Crystals</t>
  </si>
  <si>
    <t>Isolate.exe</t>
  </si>
  <si>
    <t>https://www.youtube.com/watch?v=5CGW2VYU6-A</t>
  </si>
  <si>
    <t>На небі</t>
  </si>
  <si>
    <t>Океан Ельзи</t>
  </si>
  <si>
    <t>https://www.youtube.com/watch?v=ruBsGe2HLmQ</t>
  </si>
  <si>
    <t>Невгамовна (Gfest Remix)</t>
  </si>
  <si>
    <t>Kuzmer &amp; MANARITA</t>
  </si>
  <si>
    <t>https://www.youtube.com/watch?v=QtXAkmx3SfI</t>
  </si>
  <si>
    <t>8-Ий Колір</t>
  </si>
  <si>
    <t>Мотор'Ролла</t>
  </si>
  <si>
    <t>-4.1%</t>
  </si>
  <si>
    <t>https://www.youtube.com/watch?v=bzIzXu7XNZg</t>
  </si>
  <si>
    <t>Miss You</t>
  </si>
  <si>
    <t>Оливер Три &amp; Робін Шульц</t>
  </si>
  <si>
    <t>https://www.youtube.com/watch?v=BX0lKSa_PTk</t>
  </si>
  <si>
    <t>На белом (feat. Гіо Піка)</t>
  </si>
  <si>
    <t>Каспійський груз</t>
  </si>
  <si>
    <t>https://www.youtube.com/watch?v=YhDN5ef2fr0</t>
  </si>
  <si>
    <t>-12.7%</t>
  </si>
  <si>
    <t>22.7%</t>
  </si>
  <si>
    <t>7.5%</t>
  </si>
  <si>
    <t>7.4%</t>
  </si>
  <si>
    <t>9.6%</t>
  </si>
  <si>
    <t>0.1%</t>
  </si>
  <si>
    <t>1.3%</t>
  </si>
  <si>
    <t>12.4%</t>
  </si>
  <si>
    <t>25.5%</t>
  </si>
  <si>
    <t>-0.8%</t>
  </si>
  <si>
    <t>11.3%</t>
  </si>
  <si>
    <t>-15.2%</t>
  </si>
  <si>
    <t>-5.9%</t>
  </si>
  <si>
    <t>11.8%</t>
  </si>
  <si>
    <t>74.7%</t>
  </si>
  <si>
    <t>8.4%</t>
  </si>
  <si>
    <t>12.7%</t>
  </si>
  <si>
    <t>7.9%</t>
  </si>
  <si>
    <t>9.5%</t>
  </si>
  <si>
    <t>11.2%</t>
  </si>
  <si>
    <t>0.6%</t>
  </si>
  <si>
    <t>14.5%</t>
  </si>
  <si>
    <t>40.8%</t>
  </si>
  <si>
    <t>10.7%</t>
  </si>
  <si>
    <t>8.5%</t>
  </si>
  <si>
    <t>10.2%</t>
  </si>
  <si>
    <t>9.4%</t>
  </si>
  <si>
    <t>23.4%</t>
  </si>
  <si>
    <t>-1.7%</t>
  </si>
  <si>
    <t>19.6%</t>
  </si>
  <si>
    <t>Трінчер Анна Леонідівна &amp; POSITIFF</t>
  </si>
  <si>
    <t>25.9%</t>
  </si>
  <si>
    <t>Unholy (Live)</t>
  </si>
  <si>
    <t>Sam Smith &amp; Ким Петрас</t>
  </si>
  <si>
    <t>5.3%</t>
  </si>
  <si>
    <t>https://www.youtube.com/watch?v=Uq9gPaIzbe8</t>
  </si>
  <si>
    <t>19.7%</t>
  </si>
  <si>
    <t>21.8%</t>
  </si>
  <si>
    <t>Добрий день Everybody (feat. VASIA CHARISMA)</t>
  </si>
  <si>
    <t>Мюслі UA</t>
  </si>
  <si>
    <t>5.2%</t>
  </si>
  <si>
    <t>https://www.youtube.com/watch?v=mfkiyoY8WRk</t>
  </si>
  <si>
    <t>Трінчер Анна Леонідівна</t>
  </si>
  <si>
    <t>3.1%</t>
  </si>
  <si>
    <t>25.1%</t>
  </si>
  <si>
    <t>6.8%</t>
  </si>
  <si>
    <t>Люди як кораблі</t>
  </si>
  <si>
    <t>10.5%</t>
  </si>
  <si>
    <t>https://www.youtube.com/watch?v=9CM0sVfVDx4</t>
  </si>
  <si>
    <t>Tuesday (feat. Данелл Сандовал)</t>
  </si>
  <si>
    <t>Burak Yeter</t>
  </si>
  <si>
    <t>17.1%</t>
  </si>
  <si>
    <t>https://www.youtube.com/watch?v=aVDLBQpWefM</t>
  </si>
  <si>
    <t>Lost</t>
  </si>
  <si>
    <t>Linkin Park</t>
  </si>
  <si>
    <t>https://www.youtube.com/watch?v=7NK_JOkuSVY</t>
  </si>
  <si>
    <t>-12.8%</t>
  </si>
  <si>
    <t>0.9%</t>
  </si>
  <si>
    <t>Мрієшся</t>
  </si>
  <si>
    <t>17.2%</t>
  </si>
  <si>
    <t>https://www.youtube.com/watch?v=wugM4iz1r04</t>
  </si>
  <si>
    <t>4.6%</t>
  </si>
  <si>
    <t>Save Your Tears</t>
  </si>
  <si>
    <t>The Weeknd</t>
  </si>
  <si>
    <t>https://www.youtube.com/watch?v=XXYlFuWEuKI</t>
  </si>
  <si>
    <t>Вона</t>
  </si>
  <si>
    <t>Тарас Григорович Чубай &amp; Плач Єремії</t>
  </si>
  <si>
    <t>https://www.youtube.com/watch?v=EaQEnpYoA2U</t>
  </si>
  <si>
    <t>-3.1%</t>
  </si>
  <si>
    <t>Човен</t>
  </si>
  <si>
    <t>Один в каное</t>
  </si>
  <si>
    <t>https://www.youtube.com/watch?v=lUdbxJXBuig</t>
  </si>
  <si>
    <t>10.1%</t>
  </si>
  <si>
    <t>Лише ти і я</t>
  </si>
  <si>
    <t>Voloshyn</t>
  </si>
  <si>
    <t>https://www.youtube.com/watch?v=e2vfVcLpC70</t>
  </si>
  <si>
    <t>Голова</t>
  </si>
  <si>
    <t>Канги &amp; Galust</t>
  </si>
  <si>
    <t>3.8%</t>
  </si>
  <si>
    <t>https://www.youtube.com/watch?v=3j6Vm_4-w-Y</t>
  </si>
  <si>
    <t>11.7%</t>
  </si>
  <si>
    <t>Shape Of My Heart</t>
  </si>
  <si>
    <t>Sting</t>
  </si>
  <si>
    <t>https://www.youtube.com/watch?v=NlwIDxCjL-8</t>
  </si>
  <si>
    <t>Позвони</t>
  </si>
  <si>
    <t>DJ Smash &amp; NIVESTA</t>
  </si>
  <si>
    <t>https://www.youtube.com/watch?v=ByVPVWCQVV8</t>
  </si>
  <si>
    <t>22.6%</t>
  </si>
  <si>
    <t>Way down We Go</t>
  </si>
  <si>
    <t>Kaleo</t>
  </si>
  <si>
    <t>https://www.youtube.com/watch?v=0-7IHOXkiV8</t>
  </si>
  <si>
    <t>12.9%</t>
  </si>
  <si>
    <t>Sweater Weather</t>
  </si>
  <si>
    <t>The Neighbourhood</t>
  </si>
  <si>
    <t>https://www.youtube.com/watch?v=GCdwKhTtNNw</t>
  </si>
  <si>
    <t>23.6%</t>
  </si>
  <si>
    <t>Я нікому тебе не віддам</t>
  </si>
  <si>
    <t>Роман Скорпіон &amp; Тоня Матвієнко</t>
  </si>
  <si>
    <t>https://www.youtube.com/watch?v=drCEvriWmwc</t>
  </si>
  <si>
    <t>1.4%</t>
  </si>
  <si>
    <t>Тішся</t>
  </si>
  <si>
    <t>Артем Пивоваров &amp; Оля Полякова</t>
  </si>
  <si>
    <t>https://www.youtube.com/watch?v=6y3-M72EqTQ</t>
  </si>
  <si>
    <t>Дзвін</t>
  </si>
  <si>
    <t>SKYLERR &amp; Sanaria</t>
  </si>
  <si>
    <t>https://www.youtube.com/watch?v=XrDgtxbkX34</t>
  </si>
  <si>
    <t>На белом покрывале января</t>
  </si>
  <si>
    <t>Сладкий сон &amp; Сергей Васюта</t>
  </si>
  <si>
    <t>https://www.youtube.com/watch?v=70iIqlauy0w</t>
  </si>
  <si>
    <t>7.1%</t>
  </si>
  <si>
    <t>Ай, девушка</t>
  </si>
  <si>
    <t>Sakit Səmədov</t>
  </si>
  <si>
    <t>https://www.youtube.com/watch?v=TyMtfhp8kVQ</t>
  </si>
  <si>
    <t>-0.1%</t>
  </si>
  <si>
    <t>10.6%</t>
  </si>
  <si>
    <t>Режиссёр</t>
  </si>
  <si>
    <t>Градусы</t>
  </si>
  <si>
    <t>https://www.youtube.com/watch?v=V1MK9244sE8</t>
  </si>
  <si>
    <t>ЯЛРС</t>
  </si>
  <si>
    <t>SODA LUV</t>
  </si>
  <si>
    <t>https://www.youtube.com/watch?v=SFYikVRVV1Q</t>
  </si>
  <si>
    <t>Вредина (Mbts Remix)</t>
  </si>
  <si>
    <t>Bakr</t>
  </si>
  <si>
    <t>-2.8%</t>
  </si>
  <si>
    <t>https://www.youtube.com/watch?v=LsFeLxZLybQ</t>
  </si>
  <si>
    <t>-8.8%</t>
  </si>
  <si>
    <t>25.7%</t>
  </si>
  <si>
    <t>8.3%</t>
  </si>
  <si>
    <t>2.4%</t>
  </si>
  <si>
    <t>-29.5%</t>
  </si>
  <si>
    <t>14.3%</t>
  </si>
  <si>
    <t>13.3%</t>
  </si>
  <si>
    <t>-2.3%</t>
  </si>
  <si>
    <t>-1.2%</t>
  </si>
  <si>
    <t>13.7%</t>
  </si>
  <si>
    <t>16.2%</t>
  </si>
  <si>
    <t>7.2%</t>
  </si>
  <si>
    <t>17.5%</t>
  </si>
  <si>
    <t>5.5%</t>
  </si>
  <si>
    <t>12.5%</t>
  </si>
  <si>
    <t>22.5%</t>
  </si>
  <si>
    <t>5.8%</t>
  </si>
  <si>
    <t>5.4%</t>
  </si>
  <si>
    <t>20.2%</t>
  </si>
  <si>
    <t>9.1%</t>
  </si>
  <si>
    <t>11.1%</t>
  </si>
  <si>
    <t>-2.9%</t>
  </si>
  <si>
    <t>24.2%</t>
  </si>
  <si>
    <t>4.8%</t>
  </si>
  <si>
    <t>-15.4%</t>
  </si>
  <si>
    <t>-19.1%</t>
  </si>
  <si>
    <t>9.2%</t>
  </si>
  <si>
    <t>51.2%</t>
  </si>
  <si>
    <t>8.8%</t>
  </si>
  <si>
    <t>-12.2%</t>
  </si>
  <si>
    <t>У райському саду (Яворина) (Live)</t>
  </si>
  <si>
    <t>https://www.youtube.com/watch?v=yUdwrxAEYQI</t>
  </si>
  <si>
    <t>-3.7%</t>
  </si>
  <si>
    <t>0.7%</t>
  </si>
  <si>
    <t>По-Українськи</t>
  </si>
  <si>
    <t>LOBODA</t>
  </si>
  <si>
    <t>https://www.youtube.com/watch?v=39E0ZKfJvZ4</t>
  </si>
  <si>
    <t>Бумбокс</t>
  </si>
  <si>
    <t>https://www.youtube.com/watch?v=AVu5wl8U_a4</t>
  </si>
  <si>
    <t>4.1%</t>
  </si>
  <si>
    <t>Татанці</t>
  </si>
  <si>
    <t>Марина Тимофійчук</t>
  </si>
  <si>
    <t>https://www.youtube.com/watch?v=AF0Mitd05_A</t>
  </si>
  <si>
    <t>-2.5%</t>
  </si>
  <si>
    <t>43.4%</t>
  </si>
  <si>
    <t>Азовсталь десь там під зорями</t>
  </si>
  <si>
    <t>Delamer</t>
  </si>
  <si>
    <t>https://www.youtube.com/watch?v=0jqNI9F8n-I</t>
  </si>
  <si>
    <t>Спи собі сама</t>
  </si>
  <si>
    <t>Кузьма Скрябин</t>
  </si>
  <si>
    <t>31.8%</t>
  </si>
  <si>
    <t>https://www.youtube.com/watch?v=eiobemTEDU8</t>
  </si>
  <si>
    <t>5.7%</t>
  </si>
  <si>
    <t>Superman (feat. Дина Рей)</t>
  </si>
  <si>
    <t>14.2%</t>
  </si>
  <si>
    <t>https://www.youtube.com/watch?v=8kYkciD9VjU</t>
  </si>
  <si>
    <t>Without Me</t>
  </si>
  <si>
    <t>15.2%</t>
  </si>
  <si>
    <t>https://www.youtube.com/watch?v=YVkUvmDQ3HY</t>
  </si>
  <si>
    <t>6.7%</t>
  </si>
  <si>
    <t>7.6%</t>
  </si>
  <si>
    <t>4.5%</t>
  </si>
  <si>
    <t>-4.5%</t>
  </si>
  <si>
    <t>7.8%</t>
  </si>
  <si>
    <t>Между нами ничего нет</t>
  </si>
  <si>
    <t>Mujeva</t>
  </si>
  <si>
    <t>https://www.youtube.com/watch?v=3seMPxY9TKI</t>
  </si>
  <si>
    <t>Murder In My Mind</t>
  </si>
  <si>
    <t>Kordhell</t>
  </si>
  <si>
    <t>https://www.youtube.com/watch?v=Rj4RfirEoQQ</t>
  </si>
  <si>
    <t>19.9%</t>
  </si>
  <si>
    <t>Starboy (feat. Daft Punk)</t>
  </si>
  <si>
    <t>https://www.youtube.com/watch?v=34Na4j8AVgA</t>
  </si>
  <si>
    <t>Стиль</t>
  </si>
  <si>
    <t>https://www.youtube.com/watch?v=KI8HKxbdmTc</t>
  </si>
  <si>
    <t>Заборонене</t>
  </si>
  <si>
    <t>SKYLERR</t>
  </si>
  <si>
    <t>14.6%</t>
  </si>
  <si>
    <t>https://www.youtube.com/watch?v=W1br1jQkcXE</t>
  </si>
  <si>
    <t>8.6%</t>
  </si>
  <si>
    <t>Синя смужка</t>
  </si>
  <si>
    <t>ВІА Кіп'яток</t>
  </si>
  <si>
    <t>https://www.youtube.com/watch?v=GT74WlNDsg0</t>
  </si>
  <si>
    <t>Соколи</t>
  </si>
  <si>
    <t>Mirami</t>
  </si>
  <si>
    <t>https://www.youtube.com/watch?v=TMuKsFeqFv4</t>
  </si>
  <si>
    <t>-0.5%</t>
  </si>
  <si>
    <t>After Dark Slowed</t>
  </si>
  <si>
    <t>Hà Lê</t>
  </si>
  <si>
    <t>https://www.youtube.com/watch?v=VAtuQj19T2k</t>
  </si>
  <si>
    <t>-21.3%</t>
  </si>
  <si>
    <t>-4.8%</t>
  </si>
  <si>
    <t>-5.6%</t>
  </si>
  <si>
    <t>-9.2%</t>
  </si>
  <si>
    <t>43.5%</t>
  </si>
  <si>
    <t>-4.3%</t>
  </si>
  <si>
    <t>Stefania</t>
  </si>
  <si>
    <t>-5.7%</t>
  </si>
  <si>
    <t>https://www.youtube.com/watch?v=Z8Z51no1TD0</t>
  </si>
  <si>
    <t>22.1%</t>
  </si>
  <si>
    <t>-5.3%</t>
  </si>
  <si>
    <t>-12.3%</t>
  </si>
  <si>
    <t>-1.6%</t>
  </si>
  <si>
    <t>-9.6%</t>
  </si>
  <si>
    <t>Погляд (feat. SOBOL)</t>
  </si>
  <si>
    <t>16.6%</t>
  </si>
  <si>
    <t>https://www.youtube.com/watch?v=WHQygkIG8xs</t>
  </si>
  <si>
    <t>-7.3%</t>
  </si>
  <si>
    <t>-5.1%</t>
  </si>
  <si>
    <t>-22.1%</t>
  </si>
  <si>
    <t>-4.9%</t>
  </si>
  <si>
    <t>-3.8%</t>
  </si>
  <si>
    <t>-8.9%</t>
  </si>
  <si>
    <t>2.2%</t>
  </si>
  <si>
    <t>-3.2%</t>
  </si>
  <si>
    <t>-10.7%</t>
  </si>
  <si>
    <t>-8.4%</t>
  </si>
  <si>
    <t>-4.4%</t>
  </si>
  <si>
    <t>Чисто папа</t>
  </si>
  <si>
    <t>84 &amp; Lookbuffalo</t>
  </si>
  <si>
    <t>https://www.youtube.com/watch?v=VzBvZYIDAWQ</t>
  </si>
  <si>
    <t>Маяк</t>
  </si>
  <si>
    <t>The Hardkiss</t>
  </si>
  <si>
    <t>https://www.youtube.com/watch?v=ACDMXS4J8bM</t>
  </si>
  <si>
    <t>13.5%</t>
  </si>
  <si>
    <t>орки</t>
  </si>
  <si>
    <t>Скруджі</t>
  </si>
  <si>
    <t>https://www.youtube.com/watch?v=Z_KnKPXdvdY</t>
  </si>
  <si>
    <t>-7.5%</t>
  </si>
  <si>
    <t>СІРНИК</t>
  </si>
  <si>
    <t>https://www.youtube.com/watch?v=oL3_nZtyzAw</t>
  </si>
  <si>
    <t>-4.2%</t>
  </si>
  <si>
    <t>1.8%</t>
  </si>
  <si>
    <t>POPSTAR</t>
  </si>
  <si>
    <t>-7.4%</t>
  </si>
  <si>
    <t>https://www.youtube.com/watch?v=ABNDnLv5yUY</t>
  </si>
  <si>
    <t>1.1%</t>
  </si>
  <si>
    <t>Басы долбят</t>
  </si>
  <si>
    <t>SOSKA 69</t>
  </si>
  <si>
    <t>https://www.youtube.com/watch?v=KInfDb7XsEg</t>
  </si>
  <si>
    <t>-9.7%</t>
  </si>
  <si>
    <t>Стрелы</t>
  </si>
  <si>
    <t>Markul &amp; Тося Чайкіна</t>
  </si>
  <si>
    <t>https://www.youtube.com/watch?v=h2MfDmyBFt8</t>
  </si>
  <si>
    <t>SHAKIRA</t>
  </si>
  <si>
    <t>Bizarrap &amp; Shakira</t>
  </si>
  <si>
    <t>-8.1%</t>
  </si>
  <si>
    <t>https://www.youtube.com/watch?v=CocEMWdc7Ck</t>
  </si>
  <si>
    <t>Свой дом</t>
  </si>
  <si>
    <t>Макс Корж</t>
  </si>
  <si>
    <t>https://www.youtube.com/watch?v=XPVIWPap7X0</t>
  </si>
  <si>
    <t>ЛП</t>
  </si>
  <si>
    <t>Milana Hametova &amp; Milana Star</t>
  </si>
  <si>
    <t>https://www.youtube.com/watch?v=eN7mWKv-TQE</t>
  </si>
  <si>
    <t>Порізала пальчик (Live)</t>
  </si>
  <si>
    <t>Made in Ukraine</t>
  </si>
  <si>
    <t>https://www.youtube.com/watch?v=0VRXQT3X4p0</t>
  </si>
  <si>
    <t>Чи разом?</t>
  </si>
  <si>
    <t>https://www.youtube.com/watch?v=zziNhc6ECZA</t>
  </si>
  <si>
    <t>Like A G6</t>
  </si>
  <si>
    <t>Єгор Ракітін</t>
  </si>
  <si>
    <t>https://www.youtube.com/watch?v=wNFloQMK8ow</t>
  </si>
  <si>
    <t>Повернись живим</t>
  </si>
  <si>
    <t>БЕЗ ОБМЕЖЕНЬ</t>
  </si>
  <si>
    <t>https://www.youtube.com/watch?v=YCg9i4I6Qf8</t>
  </si>
  <si>
    <t>Палала</t>
  </si>
  <si>
    <t>Наталія Валевська</t>
  </si>
  <si>
    <t>https://www.youtube.com/watch?v=S0RvrfqLuog</t>
  </si>
  <si>
    <t>Nothing Breaks Like a Heart (feat. Miley Cyrus) (feat. Miley Cyrus)</t>
  </si>
  <si>
    <t>Mark Ronson</t>
  </si>
  <si>
    <t>https://www.youtube.com/watch?v=A9hcJgtnm6Q</t>
  </si>
  <si>
    <t>Інь Ян</t>
  </si>
  <si>
    <t>Monatik &amp; ROXOLANA</t>
  </si>
  <si>
    <t>https://www.youtube.com/watch?v=oBsCUHkveVw</t>
  </si>
  <si>
    <t>84.7%</t>
  </si>
  <si>
    <t>-0.2%</t>
  </si>
  <si>
    <t>-6.5%</t>
  </si>
  <si>
    <t>-3.4%</t>
  </si>
  <si>
    <t>1.7%</t>
  </si>
  <si>
    <t>-18.2%</t>
  </si>
  <si>
    <t>-12.5%</t>
  </si>
  <si>
    <t>-1.8%</t>
  </si>
  <si>
    <t>82.1%</t>
  </si>
  <si>
    <t>-7.9%</t>
  </si>
  <si>
    <t>19.8%</t>
  </si>
  <si>
    <t>21.1%</t>
  </si>
  <si>
    <t>-0.7%</t>
  </si>
  <si>
    <t>-6.9%</t>
  </si>
  <si>
    <t>1.9%</t>
  </si>
  <si>
    <t>-13.2%</t>
  </si>
  <si>
    <t>6.3%</t>
  </si>
  <si>
    <t>2.1%</t>
  </si>
  <si>
    <t>-2.6%</t>
  </si>
  <si>
    <t>Некуда бежать</t>
  </si>
  <si>
    <t>NЮ</t>
  </si>
  <si>
    <t>https://www.youtube.com/watch?v=CdsqxF1wiMI</t>
  </si>
  <si>
    <t>24.5%</t>
  </si>
  <si>
    <t>0.2%</t>
  </si>
  <si>
    <t>-10.9%</t>
  </si>
  <si>
    <t>Наодинці</t>
  </si>
  <si>
    <t>https://www.youtube.com/watch?v=3hwj3L2hajI</t>
  </si>
  <si>
    <t>Мало</t>
  </si>
  <si>
    <t>Ірина Білик</t>
  </si>
  <si>
    <t>https://www.youtube.com/watch?v=CNhkK8R0oEA</t>
  </si>
  <si>
    <t>2.6%</t>
  </si>
  <si>
    <t>12.3%</t>
  </si>
  <si>
    <t>-9.4%</t>
  </si>
  <si>
    <t>-6.7%</t>
  </si>
  <si>
    <t>Довбуш</t>
  </si>
  <si>
    <t>FIINKA</t>
  </si>
  <si>
    <t>https://www.youtube.com/watch?v=6V4cthqp2Cg</t>
  </si>
  <si>
    <t>Heart of Steel</t>
  </si>
  <si>
    <t>TVORCHI</t>
  </si>
  <si>
    <t>-6.8%</t>
  </si>
  <si>
    <t>https://www.youtube.com/watch?v=ZxDEwIyJap8</t>
  </si>
  <si>
    <t>4.7%</t>
  </si>
  <si>
    <t>Мила</t>
  </si>
  <si>
    <t>Golubenko</t>
  </si>
  <si>
    <t>-5.5%</t>
  </si>
  <si>
    <t>https://www.youtube.com/watch?v=f4zLtKYuOK4</t>
  </si>
  <si>
    <t>Take Me To Church</t>
  </si>
  <si>
    <t>Hozier</t>
  </si>
  <si>
    <t>https://www.youtube.com/watch?v=PVjiKRfKpPI</t>
  </si>
  <si>
    <t>ВЕДМЕДІ-БАЛАЛАЙКИ</t>
  </si>
  <si>
    <t>Маша Кондратенко &amp; MASHUKOVSKY</t>
  </si>
  <si>
    <t>https://www.youtube.com/watch?v=7L1Xt1y4-6I</t>
  </si>
  <si>
    <t>#КОЗАЦЬКОМУ_РОДУ</t>
  </si>
  <si>
    <t>Jerry Heil</t>
  </si>
  <si>
    <t>https://www.youtube.com/watch?v=OhKEUfSuRws</t>
  </si>
  <si>
    <t>-14.4%</t>
  </si>
  <si>
    <t>-21.4%</t>
  </si>
  <si>
    <t>-12.1%</t>
  </si>
  <si>
    <t>-10.3%</t>
  </si>
  <si>
    <t>-23.2%</t>
  </si>
  <si>
    <t>-15.6%</t>
  </si>
  <si>
    <t>-32.1%</t>
  </si>
  <si>
    <t>https://www.youtube.com/watch?v=L1p0clhjOlg</t>
  </si>
  <si>
    <t>-15.7%</t>
  </si>
  <si>
    <t>62.2%</t>
  </si>
  <si>
    <t>13.1%</t>
  </si>
  <si>
    <t>-17.1%</t>
  </si>
  <si>
    <t>-10.6%</t>
  </si>
  <si>
    <t>-20.4%</t>
  </si>
  <si>
    <t>-13.3%</t>
  </si>
  <si>
    <t>-16.5%</t>
  </si>
  <si>
    <t>71.9%</t>
  </si>
  <si>
    <t>-13.9%</t>
  </si>
  <si>
    <t>-6.3%</t>
  </si>
  <si>
    <t>5.1%</t>
  </si>
  <si>
    <t>-10.4%</t>
  </si>
  <si>
    <t>У мене немає дому</t>
  </si>
  <si>
    <t>https://www.youtube.com/watch?v=gw2nclcoFNE</t>
  </si>
  <si>
    <t>-13.5%</t>
  </si>
  <si>
    <t>-22.6%</t>
  </si>
  <si>
    <t>-12.6%</t>
  </si>
  <si>
    <t>Дивись, куди ідеш</t>
  </si>
  <si>
    <t>Тнмк</t>
  </si>
  <si>
    <t>https://www.youtube.com/watch?v=cE8X18AEwDs</t>
  </si>
  <si>
    <t>-16.1%</t>
  </si>
  <si>
    <t>-21.7%</t>
  </si>
  <si>
    <t>-15.5%</t>
  </si>
  <si>
    <t>-25.2%</t>
  </si>
  <si>
    <t>1.2%</t>
  </si>
  <si>
    <t>-19.4%</t>
  </si>
  <si>
    <t>-13.4%</t>
  </si>
  <si>
    <t>Доча</t>
  </si>
  <si>
    <t>Jah Khalib</t>
  </si>
  <si>
    <t>-22.4%</t>
  </si>
  <si>
    <t>https://www.youtube.com/watch?v=ME-29s54CE0</t>
  </si>
  <si>
    <t>Приятная (feat. Ollane)</t>
  </si>
  <si>
    <t>Ендшпіль</t>
  </si>
  <si>
    <t>https://www.youtube.com/watch?v=taaSYRW2Rg8</t>
  </si>
  <si>
    <t>-14.3%</t>
  </si>
  <si>
    <t>-24.2%</t>
  </si>
  <si>
    <t>VIBE (feat. Jimin)</t>
  </si>
  <si>
    <t>Тхеян</t>
  </si>
  <si>
    <t>https://www.youtube.com/watch?v=cXCBiF67jLM</t>
  </si>
  <si>
    <t>Колядуй, Україно!</t>
  </si>
  <si>
    <t>Роман Скорпіон &amp; Yuriana</t>
  </si>
  <si>
    <t>-61.7%</t>
  </si>
  <si>
    <t>https://www.youtube.com/watch?v=VLR4Auk8oSk</t>
  </si>
  <si>
    <t>Ой, мамо, люблю Гриця</t>
  </si>
  <si>
    <t>Kolaba</t>
  </si>
  <si>
    <t>-22.3%</t>
  </si>
  <si>
    <t>https://www.youtube.com/watch?v=8KzU-7bca7o</t>
  </si>
  <si>
    <t>-13.8%</t>
  </si>
  <si>
    <t>Маша Краш</t>
  </si>
  <si>
    <t>Хай Ісус мале дитя</t>
  </si>
  <si>
    <t>Ірина Федишин</t>
  </si>
  <si>
    <t>https://www.youtube.com/watch?v=9VgQ3F4Fz0E</t>
  </si>
  <si>
    <t>Україна kолядує</t>
  </si>
  <si>
    <t>https://www.youtube.com/watch?v=_jSHxIivyiI</t>
  </si>
  <si>
    <t>Another Love</t>
  </si>
  <si>
    <t>Том Оделл</t>
  </si>
  <si>
    <t>https://www.youtube.com/watch?v=MwpMEbgC7DA</t>
  </si>
  <si>
    <t>Unholy</t>
  </si>
  <si>
    <t>Нова радість стала</t>
  </si>
  <si>
    <t>Ірина Білик, Тіна Кароль, Олег Юрійович Скрипка, Олександр Валерійович Пономарьов, DZIDZIO &amp; Алєксєєв Микита Володимирович</t>
  </si>
  <si>
    <t>https://www.youtube.com/watch?v=WhT4GG5AUDo</t>
  </si>
  <si>
    <t>Хай Ісус мале дитя (Live)</t>
  </si>
  <si>
    <t>https://www.youtube.com/watch?v=IYPVnLjm3CQ</t>
  </si>
  <si>
    <t>Анжеліна</t>
  </si>
  <si>
    <t>https://www.youtube.com/watch?v=rJYLhQwINW0</t>
  </si>
  <si>
    <t>Добрий вечір тобі, пане господарю</t>
  </si>
  <si>
    <t>гурт VIP</t>
  </si>
  <si>
    <t>https://www.youtube.com/watch?v=n7b3MXMwr8U</t>
  </si>
  <si>
    <t>Чарівні очі</t>
  </si>
  <si>
    <t>Оля Полякова</t>
  </si>
  <si>
    <t>https://www.youtube.com/watch?v=PbcPjzt_wpU</t>
  </si>
  <si>
    <t>Олег Винник, Олександр Валерійович Пономарьов &amp; Таюне</t>
  </si>
  <si>
    <t>https://www.youtube.com/watch?v=TzHPTnHLd8U</t>
  </si>
  <si>
    <t>Трінчер Анна Леонідівна &amp; Voloshyn</t>
  </si>
  <si>
    <t>Нумо Козаки (feat. KOZAK SIROMAHA)</t>
  </si>
  <si>
    <t>Kalush Orchestra &amp; KALUSH</t>
  </si>
  <si>
    <t>Всё будет хорошо</t>
  </si>
  <si>
    <t>Андрій Михайлович Данилко</t>
  </si>
  <si>
    <t>https://www.youtube.com/watch?v=KRVhWPignvU</t>
  </si>
  <si>
    <t>МЮСЛІ UA | ПЕРШИЙ ВИСТУП | В ВЕЧІРНЬОМУ КВАРТАЛІ | MEGA MIX.</t>
  </si>
  <si>
    <t>https://www.youtube.com/watch?v=</t>
  </si>
  <si>
    <t>ПОГУДИМ</t>
  </si>
  <si>
    <t>RASA</t>
  </si>
  <si>
    <t>https://www.youtube.com/watch?v=ddW4dZ7THRg</t>
  </si>
  <si>
    <t>Закохався (Live)</t>
  </si>
  <si>
    <t>Роман Скорпіон</t>
  </si>
  <si>
    <t>https://www.youtube.com/watch?v=NBB0DGJSbJM</t>
  </si>
  <si>
    <t>Ворогів на ножі</t>
  </si>
  <si>
    <t>https://www.youtube.com/watch?v=nQ-7ZLX3oyM</t>
  </si>
  <si>
    <t>Last Christmas</t>
  </si>
  <si>
    <t>Wham!</t>
  </si>
  <si>
    <t>https://www.youtube.com/watch?v=E8gmARGvPlI</t>
  </si>
  <si>
    <t>Новогодняя</t>
  </si>
  <si>
    <t>Дискотека Авария</t>
  </si>
  <si>
    <t>https://www.youtube.com/watch?v=xviBEvbxgZ0</t>
  </si>
  <si>
    <t>Белые розы</t>
  </si>
  <si>
    <t>Ласковый май</t>
  </si>
  <si>
    <t>На дискотеку!</t>
  </si>
  <si>
    <t>Султан Ураган &amp; Мурат Тхагалегов</t>
  </si>
  <si>
    <t>https://www.youtube.com/watch?v=CVapfTG2Z_s</t>
  </si>
  <si>
    <t>Ой на ой</t>
  </si>
  <si>
    <t>https://www.youtube.com/watch?v=PcaCISyT-X0</t>
  </si>
  <si>
    <t>Новый год</t>
  </si>
  <si>
    <t>Потап і Настя</t>
  </si>
  <si>
    <t>https://www.youtube.com/watch?v=sCjMVnDD4S4</t>
  </si>
  <si>
    <t>Пьяная вишня</t>
  </si>
  <si>
    <t>Христина Орбакайте</t>
  </si>
  <si>
    <t>https://www.youtube.com/watch?v=cCjS4o9deuk</t>
  </si>
  <si>
    <t>ДОБРОГО ВЕЧОРА (WHERE ARE YOU FROM?)</t>
  </si>
  <si>
    <t>PROBASS ∆ HARDI</t>
  </si>
  <si>
    <t>https://www.youtube.com/watch?v=W2S_ayZ-Eso</t>
  </si>
  <si>
    <t>Елки</t>
  </si>
  <si>
    <t>https://www.youtube.com/watch?v=eApdGK6kVrw</t>
  </si>
  <si>
    <t>All I Want For Christmas Is You</t>
  </si>
  <si>
    <t>Mariah Carey</t>
  </si>
  <si>
    <t>https://www.youtube.com/watch?v=aAkMkVFwAoo</t>
  </si>
  <si>
    <t>Панночка (Alex Caspian Remix)</t>
  </si>
  <si>
    <t>Chico, Qatoshi &amp; Alex Caspian</t>
  </si>
  <si>
    <t>https://www.youtube.com/watch?v=sCYH6bEnCoU</t>
  </si>
  <si>
    <t>Снежинки</t>
  </si>
  <si>
    <t>ALEKS ATAMAN &amp; FINIK</t>
  </si>
  <si>
    <t>https://www.youtube.com/watch?v=YDWy-MumsA0</t>
  </si>
  <si>
    <t>Браття українці</t>
  </si>
  <si>
    <t>Шабля</t>
  </si>
  <si>
    <t>https://www.youtube.com/watch?v=q_f2rlEsb8A</t>
  </si>
  <si>
    <t>Happy New Year</t>
  </si>
  <si>
    <t>ABBA</t>
  </si>
  <si>
    <t>https://www.youtube.com/watch?v=3Uo0JAUWijM</t>
  </si>
  <si>
    <t>THE STORY OF ALISHER</t>
  </si>
  <si>
    <t>Oxxxymiron</t>
  </si>
  <si>
    <t>https://www.youtube.com/watch?v=x--M8d7UBMM</t>
  </si>
  <si>
    <t>Гуси</t>
  </si>
  <si>
    <t>https://www.youtube.com/watch?v=7-5v5ltkWU4</t>
  </si>
  <si>
    <t>https://www.youtube.com/watch?v=D6_b4Iueeo8</t>
  </si>
  <si>
    <t>KUPALA</t>
  </si>
  <si>
    <t>alyona alyona, Jerry Heil &amp; ela.</t>
  </si>
  <si>
    <t>https://www.youtube.com/watch?v=CU-1ugD-ceg</t>
  </si>
  <si>
    <t>Зай (Shnaps Remix)</t>
  </si>
  <si>
    <t>https://www.youtube.com/watch?v=e-jIn17iTIg</t>
  </si>
  <si>
    <t>Ведьмы</t>
  </si>
  <si>
    <t>BALKON</t>
  </si>
  <si>
    <t>https://www.youtube.com/watch?v=VZfNfjhc8E8</t>
  </si>
  <si>
    <t>Welcome to Ukraine</t>
  </si>
  <si>
    <t>JKLN</t>
  </si>
  <si>
    <t>https://www.youtube.com/watch?v=ujdTL9eIgPk</t>
  </si>
  <si>
    <t>Как любовь твою понять?</t>
  </si>
  <si>
    <t>JONY &amp; ANNA ASTI</t>
  </si>
  <si>
    <t>https://www.youtube.com/watch?v=otKysx-M64k</t>
  </si>
  <si>
    <t>СОЛНЦЕ МОНАКО</t>
  </si>
  <si>
    <t>Люся Чеботіна</t>
  </si>
  <si>
    <t>https://www.youtube.com/watch?v=sfd2xj9xtN0</t>
  </si>
  <si>
    <t>Напевно ти та</t>
  </si>
  <si>
    <t>De-ne-De</t>
  </si>
  <si>
    <t>https://www.youtube.com/watch?v=xQo9YXw-h9Y</t>
  </si>
  <si>
    <t>AKM</t>
  </si>
  <si>
    <t>BURLA</t>
  </si>
  <si>
    <t>https://www.youtube.com/watch?v=5WHPSgniTo8</t>
  </si>
  <si>
    <t>Юність</t>
  </si>
  <si>
    <t>Христина Соловій</t>
  </si>
  <si>
    <t>https://www.youtube.com/watch?v=5CjAMTaurvY</t>
  </si>
  <si>
    <t>WHEN GOD SHUT THE DOOR</t>
  </si>
  <si>
    <t>https://www.youtube.com/watch?v=aZyUuZisXk0</t>
  </si>
  <si>
    <t>Колискова</t>
  </si>
  <si>
    <t>Krutь</t>
  </si>
  <si>
    <t>https://www.youtube.com/watch?v=6AncA5LcxK4</t>
  </si>
  <si>
    <t>Эндшпиль</t>
  </si>
  <si>
    <t>Dead Inside</t>
  </si>
  <si>
    <t>АДЛИН</t>
  </si>
  <si>
    <t>https://www.youtube.com/watch?v=numCkbbyzJk</t>
  </si>
  <si>
    <t>Если сгорим</t>
  </si>
  <si>
    <t>https://www.youtube.com/watch?v=L2CdIHHNifY</t>
  </si>
  <si>
    <t>Купи пёсика</t>
  </si>
  <si>
    <t>Milana Hametova</t>
  </si>
  <si>
    <t>https://www.youtube.com/watch?v=ixidX4_77Bo</t>
  </si>
  <si>
    <t>Кислород</t>
  </si>
  <si>
    <t>https://www.youtube.com/watch?v=iTYYloLTk4E</t>
  </si>
  <si>
    <t>Show Me The Will</t>
  </si>
  <si>
    <t>Sx1nxwy</t>
  </si>
  <si>
    <t>https://www.youtube.com/watch?v=qtT0PW4mC2g</t>
  </si>
  <si>
    <t>Два незнайомці</t>
  </si>
  <si>
    <t>https://www.youtube.com/watch?v=mYbi1RAr7Ok</t>
  </si>
  <si>
    <t>Калуські вечорниці (feat. Tember Blanche)</t>
  </si>
  <si>
    <t>KALUSH</t>
  </si>
  <si>
    <t>https://www.youtube.com/watch?v=doSD_dKBUF4</t>
  </si>
  <si>
    <t>Bones</t>
  </si>
  <si>
    <t>Imagine Dragons</t>
  </si>
  <si>
    <t>https://www.youtube.com/watch?v=TO-_3tck2tg</t>
  </si>
  <si>
    <t>Самотня зима</t>
  </si>
  <si>
    <t>GROSU</t>
  </si>
  <si>
    <t>https://www.youtube.com/watch?v=UUPzVoEOzA8</t>
  </si>
  <si>
    <t>Будь зі мною</t>
  </si>
  <si>
    <t>Grohotsky</t>
  </si>
  <si>
    <t>https://www.youtube.com/watch?v=ukqYb74jzYk</t>
  </si>
  <si>
    <t>Silhouette</t>
  </si>
  <si>
    <t>MiyaGi</t>
  </si>
  <si>
    <t>https://www.youtube.com/watch?v=e_atyw0IDqg</t>
  </si>
  <si>
    <t>Твоє серце</t>
  </si>
  <si>
    <t>Baryk</t>
  </si>
  <si>
    <t>https://www.youtube.com/watch?v=ZrJinmfBzH0</t>
  </si>
  <si>
    <t>Ну погоди</t>
  </si>
  <si>
    <t>Sivchik &amp; Паша Морис</t>
  </si>
  <si>
    <t>https://www.youtube.com/watch?v=CO9rkYq-35k</t>
  </si>
  <si>
    <t>Замало</t>
  </si>
  <si>
    <t>Victoria Niro</t>
  </si>
  <si>
    <t>https://www.youtube.com/watch?v=VaPCNmyfp10</t>
  </si>
  <si>
    <t>У полі калина</t>
  </si>
  <si>
    <t>https://www.youtube.com/watch?v=BYKRukwlU6o</t>
  </si>
  <si>
    <t>Хай нам брате пощастить</t>
  </si>
  <si>
    <t>https://www.youtube.com/watch?v=4IiJxK3Y4SM</t>
  </si>
  <si>
    <t>Девушка в чёрном</t>
  </si>
  <si>
    <t>KRBK</t>
  </si>
  <si>
    <t>https://www.youtube.com/watch?v=7CC7C4Dci6w</t>
  </si>
  <si>
    <t>Меня Два</t>
  </si>
  <si>
    <t>--</t>
  </si>
  <si>
    <t>https://www.youtube.com/watch?v=URc7JSaQzxQ</t>
  </si>
  <si>
    <t>Зачекай</t>
  </si>
  <si>
    <t>ОЧІ В ОЧІ</t>
  </si>
  <si>
    <t>https://www.youtube.com/watch?v=fFZBJOlhJpY</t>
  </si>
  <si>
    <t>ГОРОДА</t>
  </si>
  <si>
    <t>https://www.youtube.com/watch?v=WGNSp5qHJis</t>
  </si>
  <si>
    <t>Девочка бандитка</t>
  </si>
  <si>
    <t>FINIK &amp; ALEKS ATAMAN</t>
  </si>
  <si>
    <t>https://www.youtube.com/watch?v=0RuYJrdnvTw</t>
  </si>
  <si>
    <t>Допоможе ЗСУ</t>
  </si>
  <si>
    <t>Chico &amp; Qatoshi</t>
  </si>
  <si>
    <t>https://www.youtube.com/watch?v=B7BkkiytsKY</t>
  </si>
  <si>
    <t>Я така ще молода</t>
  </si>
  <si>
    <t>Оксана Пекун</t>
  </si>
  <si>
    <t>https://www.youtube.com/watch?v=J4hNjt1P_wI</t>
  </si>
  <si>
    <t>Adieu</t>
  </si>
  <si>
    <t>https://www.youtube.com/watch?v=skl6N3zGv-s</t>
  </si>
  <si>
    <t>Double Cup</t>
  </si>
  <si>
    <t>MORGENSHTERN &amp; Kizary</t>
  </si>
  <si>
    <t>https://www.youtube.com/watch?v=z7SkNWQINds</t>
  </si>
  <si>
    <t>Back to Life (Birthdae)</t>
  </si>
  <si>
    <t>ScurtDae</t>
  </si>
  <si>
    <t>https://www.youtube.com/watch?v=5hoqWsCrbS0</t>
  </si>
  <si>
    <t>Bandera</t>
  </si>
  <si>
    <t>Kristonko</t>
  </si>
  <si>
    <t>Мама-Зима</t>
  </si>
  <si>
    <t>NK</t>
  </si>
  <si>
    <t>https://www.youtube.com/watch?v=mh1WpPbOLI4</t>
  </si>
  <si>
    <t>#НЕСЕСТРИ</t>
  </si>
  <si>
    <t>Jerry Heil &amp; Людмила Шемаєва</t>
  </si>
  <si>
    <t>https://www.youtube.com/watch?v=paMlNnxMuGQ</t>
  </si>
  <si>
    <t>Кров</t>
  </si>
  <si>
    <t>ASKEt</t>
  </si>
  <si>
    <t>https://www.youtube.com/watch?v=PPKqao0EKd4</t>
  </si>
  <si>
    <t>Сумна і п'яна</t>
  </si>
  <si>
    <t>Віталій Лобач</t>
  </si>
  <si>
    <t>https://www.youtube.com/watch?v=x5uUiKqeY2w</t>
  </si>
  <si>
    <t>NEON BLADE (Slowed + Reverb)</t>
  </si>
  <si>
    <t>MoonDeity</t>
  </si>
  <si>
    <t>https://www.youtube.com/watch?v=gfIb3nMjXgg</t>
  </si>
  <si>
    <t>Гимн обреченных</t>
  </si>
  <si>
    <t>Ногу звело!</t>
  </si>
  <si>
    <t>https://www.youtube.com/watch?v=q07dm6lPs2k</t>
  </si>
  <si>
    <t>Мальви</t>
  </si>
  <si>
    <t>https://www.youtube.com/watch?v=YpSZ2U9bCvc</t>
  </si>
  <si>
    <t>Posmakuj</t>
  </si>
  <si>
    <t>alyona alyona, Jerry Heil &amp; Trill Pem</t>
  </si>
  <si>
    <t>https://www.youtube.com/watch?v=tbPTnFf6mqo</t>
  </si>
  <si>
    <t>Я УБИЛ МАРКА</t>
  </si>
  <si>
    <t>MORGENSHTERN</t>
  </si>
  <si>
    <t>https://www.youtube.com/watch?v=NPdPnHq2BOs</t>
  </si>
  <si>
    <t>Asher - Holding On ( Slowed + Reverb )</t>
  </si>
  <si>
    <t>Ашер</t>
  </si>
  <si>
    <t>https://www.youtube.com/watch?v=ajFB2qGRAEg</t>
  </si>
  <si>
    <t>#МРІЯ</t>
  </si>
  <si>
    <t>https://www.youtube.com/watch?v=YujzhGdUIFE</t>
  </si>
  <si>
    <t>Как всё идёт</t>
  </si>
  <si>
    <t>KIZARU</t>
  </si>
  <si>
    <t>https://www.youtube.com/watch?v=tCZyEQXDFio</t>
  </si>
  <si>
    <t>Временно</t>
  </si>
  <si>
    <t>https://www.youtube.com/watch?v=1gKZk0O2jPU</t>
  </si>
  <si>
    <t>На землі, в повітрі і на морі</t>
  </si>
  <si>
    <t>Олександр Валерійович Пономарьов, Михайло Хома, Taras Topolia &amp; Юрій Горбунов</t>
  </si>
  <si>
    <t>https://www.youtube.com/watch?v=WTMRCX_GqKg</t>
  </si>
  <si>
    <t>Nasze Domy (feat. Szpaku)</t>
  </si>
  <si>
    <t>https://www.youtube.com/watch?v=vkB-fujq5ag</t>
  </si>
  <si>
    <t>PUTIN HUILO</t>
  </si>
  <si>
    <t>Sever &amp; Marilyn Myller</t>
  </si>
  <si>
    <t>https://www.youtube.com/watch?v=yXlziPrcZFU</t>
  </si>
  <si>
    <t>Снег кружится</t>
  </si>
  <si>
    <t>Полум'я</t>
  </si>
  <si>
    <t>https://www.youtube.com/watch?v=197RZ62uTBk</t>
  </si>
  <si>
    <t>З C У (feat. DIRESH)</t>
  </si>
  <si>
    <t>LAZANOVSKYI I RIDNYI</t>
  </si>
  <si>
    <t>https://www.youtube.com/watch?v=2PWCn8QpEtg</t>
  </si>
  <si>
    <t>Живи</t>
  </si>
  <si>
    <t>YULIYA ROZNEN</t>
  </si>
  <si>
    <t>https://www.youtube.com/watch?v=u5KvPV3sZTg</t>
  </si>
  <si>
    <t>Не теряя</t>
  </si>
  <si>
    <t>MiyaGi &amp; Эндшпиль</t>
  </si>
  <si>
    <t>https://www.youtube.com/watch?v=sNtyed7A5YA</t>
  </si>
  <si>
    <t>Чом ти не прийшов</t>
  </si>
  <si>
    <t>IKSIY &amp; SESTRA</t>
  </si>
  <si>
    <t>https://www.youtube.com/watch?v=sggsj8Ftjp0</t>
  </si>
  <si>
    <t>Вродлива</t>
  </si>
  <si>
    <t>https://www.youtube.com/watch?v=HdlzRszdCc4</t>
  </si>
  <si>
    <t>SHEIKH</t>
  </si>
  <si>
    <t>https://www.youtube.com/watch?v=OvCQrgJTmxo</t>
  </si>
  <si>
    <t>MONEYKEN LOVE</t>
  </si>
  <si>
    <t>https://www.youtube.com/watch?v=VrbVxtx7TFc</t>
  </si>
  <si>
    <t>https://www.youtube.com/watch?v=cMu2Ta6fK_8</t>
  </si>
  <si>
    <t>ВСТАНЕМ</t>
  </si>
  <si>
    <t>SHAMAN</t>
  </si>
  <si>
    <t>https://www.youtube.com/watch?v=pjZZusU0nkk</t>
  </si>
  <si>
    <t>Ні я не ту кохав</t>
  </si>
  <si>
    <t>Max Triss</t>
  </si>
  <si>
    <t>https://www.youtube.com/watch?v=cOCNUdwXy90</t>
  </si>
  <si>
    <t>Saloon</t>
  </si>
  <si>
    <t>Miyagi &amp; Andy Panda</t>
  </si>
  <si>
    <t>https://www.youtube.com/watch?v=rLZw-XvC5EM</t>
  </si>
  <si>
    <t>В голові туман</t>
  </si>
  <si>
    <t>https://www.youtube.com/watch?v=Exqn3G12cRQ</t>
  </si>
  <si>
    <t>Осінній сад (Live)</t>
  </si>
  <si>
    <t>Iво Бобул</t>
  </si>
  <si>
    <t>https://www.youtube.com/watch?v=2XA9WuyAQH4</t>
  </si>
  <si>
    <t>ШОССЕ</t>
  </si>
  <si>
    <t>f0lk</t>
  </si>
  <si>
    <t>https://www.youtube.com/watch?v=MgmCS-VMVoo</t>
  </si>
  <si>
    <t>Римую</t>
  </si>
  <si>
    <t>Макс Барських &amp; ETOLUBOV</t>
  </si>
  <si>
    <t>https://www.youtube.com/watch?v=msfILsXpPT0</t>
  </si>
  <si>
    <t>Ночь</t>
  </si>
  <si>
    <t>https://www.youtube.com/watch?v=OvyR8SufABk</t>
  </si>
  <si>
    <t>BASSLINE BUSINESS</t>
  </si>
  <si>
    <t>https://www.youtube.com/watch?v=PsPvkaZsUKc</t>
  </si>
  <si>
    <t>Кобра</t>
  </si>
  <si>
    <t>Іслам Ітляшев</t>
  </si>
  <si>
    <t>https://www.youtube.com/watch?v=5j5OsWpWl8M</t>
  </si>
  <si>
    <t>Lift Me Up (From Black Panther: Wakanda Forever - Music From and Inspired By)</t>
  </si>
  <si>
    <t>https://www.youtube.com/watch?v=Mx_OexsUI2M</t>
  </si>
  <si>
    <t>у твоїй душі</t>
  </si>
  <si>
    <t>https://www.youtube.com/watch?v=bBRg9PzLXXA</t>
  </si>
  <si>
    <t>Need me</t>
  </si>
  <si>
    <t>MiyaGi &amp; Endspiel</t>
  </si>
  <si>
    <t>https://www.youtube.com/watch?v=PQGm6j62v3c</t>
  </si>
  <si>
    <t>https://www.youtube.com/watch?v=lP6zTfUn3nc</t>
  </si>
  <si>
    <t>#HABIBATI</t>
  </si>
  <si>
    <t>Пошлая Молли &amp; Hofmannita</t>
  </si>
  <si>
    <t>https://www.youtube.com/watch?v=oNr5-rQnhiM</t>
  </si>
  <si>
    <t>Лабиринт</t>
  </si>
  <si>
    <t>Ані Лорак</t>
  </si>
  <si>
    <t>https://www.youtube.com/watch?v=GMxdOiM5TZc</t>
  </si>
  <si>
    <t>По барабану</t>
  </si>
  <si>
    <t>https://www.youtube.com/watch?v=zsp7L5LHAXc</t>
  </si>
  <si>
    <t>Наречена</t>
  </si>
  <si>
    <t>https://www.youtube.com/watch?v=UEht5As6XXk</t>
  </si>
  <si>
    <t>Ресторан</t>
  </si>
  <si>
    <t>https://www.youtube.com/watch?v=3sYprBT0NaM</t>
  </si>
  <si>
    <t>Eeee</t>
  </si>
  <si>
    <t>https://www.youtube.com/watch?v=K2tMCWXeLgU</t>
  </si>
  <si>
    <t>BALANCE</t>
  </si>
  <si>
    <t>https://www.youtube.com/watch?v=usVVR5UNOgk</t>
  </si>
  <si>
    <t>TEASER</t>
  </si>
  <si>
    <t>https://www.youtube.com/watch?v=B2QF4pRwp6Q</t>
  </si>
  <si>
    <t>НЛО</t>
  </si>
  <si>
    <t>https://www.youtube.com/watch?v=Vvrc4HfBCTA</t>
  </si>
  <si>
    <t>Кохайтеся Чорнобриві</t>
  </si>
  <si>
    <t>https://www.youtube.com/watch?v=fdQFMe6NsF8</t>
  </si>
  <si>
    <t>Зозуля</t>
  </si>
  <si>
    <t>alyona alyona, Jerry Heil &amp; Джинджер Мейн</t>
  </si>
  <si>
    <t>https://www.youtube.com/watch?v=BGfMABxAy7c</t>
  </si>
  <si>
    <t>Серденько</t>
  </si>
  <si>
    <t>https://www.youtube.com/watch?v=pkujmEHwSss</t>
  </si>
  <si>
    <t>Люлі-Люлі</t>
  </si>
  <si>
    <t>Артем Пивоваров &amp; alyona alyona</t>
  </si>
  <si>
    <t>https://www.youtube.com/watch?v=y0lGH3c0YoY</t>
  </si>
  <si>
    <t>Under The Influence</t>
  </si>
  <si>
    <t>Chris Brown</t>
  </si>
  <si>
    <t>https://www.youtube.com/watch?v=LPnDCTqW7zw</t>
  </si>
  <si>
    <t>Валєра (feat. Даша Эпова)</t>
  </si>
  <si>
    <t>Олег Кензов &amp; KRAZYRAF</t>
  </si>
  <si>
    <t>https://www.youtube.com/watch?v=vm4HT1Ts9Rc</t>
  </si>
  <si>
    <t>LOCATION</t>
  </si>
  <si>
    <t>MORGENSHTERN &amp; Элджей</t>
  </si>
  <si>
    <t>https://www.youtube.com/watch?v=88qFwABLnsU</t>
  </si>
  <si>
    <t>Бадаладушки (feat. Badabum)</t>
  </si>
  <si>
    <t>Sivchik</t>
  </si>
  <si>
    <t>https://www.youtube.com/watch?v=XDq8V3oW5IA</t>
  </si>
  <si>
    <t>Плачь, но не звони</t>
  </si>
  <si>
    <t>MACAN</t>
  </si>
  <si>
    <t>https://www.youtube.com/watch?v=QjxTnorA6io</t>
  </si>
  <si>
    <t>BUGATTI</t>
  </si>
  <si>
    <t>Arut &amp; MORGENSHTERN</t>
  </si>
  <si>
    <t>https://www.youtube.com/watch?v=FVlSjitljSg</t>
  </si>
  <si>
    <t>Шёлковая простынь</t>
  </si>
  <si>
    <t>O.G EzzY</t>
  </si>
  <si>
    <t>https://www.youtube.com/watch?v=bVHhx7Y5EUQ</t>
  </si>
  <si>
    <t>Ай-яй-яй (Дикая)</t>
  </si>
  <si>
    <t>https://www.youtube.com/watch?v=bkVc4GDpWK8</t>
  </si>
  <si>
    <t>23 февраля</t>
  </si>
  <si>
    <t>https://www.youtube.com/watch?v=SPTdtnRbUto</t>
  </si>
  <si>
    <t>Не залишай</t>
  </si>
  <si>
    <t>https://www.youtube.com/watch?v=_kGN2OJ7BHA</t>
  </si>
  <si>
    <t>THE LONELIEST</t>
  </si>
  <si>
    <t>Måneskin</t>
  </si>
  <si>
    <t>https://www.youtube.com/watch?v=odWKEfp2QMY</t>
  </si>
  <si>
    <t>Ти робив мені каву</t>
  </si>
  <si>
    <t>Трінчер Анна Леонідівна &amp; MBreeze</t>
  </si>
  <si>
    <t>https://www.youtube.com/watch?v=9Q7kfx5HS2c</t>
  </si>
  <si>
    <t>ОЙДА</t>
  </si>
  <si>
    <t>https://www.youtube.com/watch?v=pYymRbfjKv8</t>
  </si>
  <si>
    <t>Відлюбилося</t>
  </si>
  <si>
    <t>Averin &amp; CHURSANOV</t>
  </si>
  <si>
    <t>https://www.youtube.com/watch?v=Hs5OWngKLoc</t>
  </si>
  <si>
    <t>Dark Horse (feat. Juicy J)</t>
  </si>
  <si>
    <t>Katy Perry</t>
  </si>
  <si>
    <t>https://www.youtube.com/watch?v=0KSOMA3QBU0</t>
  </si>
  <si>
    <t>https://www.youtube.com/watch?v=5JHc_eOZa9c</t>
  </si>
  <si>
    <t>Патрон пес DANCE</t>
  </si>
  <si>
    <t>Kolaba &amp; Yoxden</t>
  </si>
  <si>
    <t>https://www.youtube.com/watch?v=swJtm0sCT1o</t>
  </si>
  <si>
    <t>Черная любовь</t>
  </si>
  <si>
    <t>ELMAN &amp; Mona</t>
  </si>
  <si>
    <t>https://www.youtube.com/watch?v=gROiLwKJkLA</t>
  </si>
  <si>
    <t>Плакала калина</t>
  </si>
  <si>
    <t>Polina Dashkova</t>
  </si>
  <si>
    <t>https://www.youtube.com/watch?v=xmcWjahOqNk</t>
  </si>
  <si>
    <t>CASE 143</t>
  </si>
  <si>
    <t>Stray Kids</t>
  </si>
  <si>
    <t>https://www.youtube.com/watch?v=jYSlpC6Ud2A</t>
  </si>
  <si>
    <t>Тесно</t>
  </si>
  <si>
    <t>Aarne, Bushido Zho &amp; ANIKV</t>
  </si>
  <si>
    <t>https://www.youtube.com/watch?v=EjvZYUtJl60</t>
  </si>
  <si>
    <t>Молодая</t>
  </si>
  <si>
    <t>https://www.youtube.com/watch?v=qBR3prYpMOQ</t>
  </si>
  <si>
    <t>Намалюю</t>
  </si>
  <si>
    <t>Volkanov</t>
  </si>
  <si>
    <t>https://www.youtube.com/watch?v=FCC5u-twgpo</t>
  </si>
  <si>
    <t>Gangsta's Paradise (feat. L.V.)</t>
  </si>
  <si>
    <t>Coolio</t>
  </si>
  <si>
    <t>https://www.youtube.com/watch?v=fPO76Jlnz6c</t>
  </si>
  <si>
    <t>Close Eyes</t>
  </si>
  <si>
    <t>DVRST</t>
  </si>
  <si>
    <t>https://www.youtube.com/watch?v=ao4RCon11eY</t>
  </si>
  <si>
    <t>#ТАТО</t>
  </si>
  <si>
    <t>https://www.youtube.com/watch?v=NFJTTJfcN_I</t>
  </si>
  <si>
    <t>Сделано в России</t>
  </si>
  <si>
    <t>https://www.youtube.com/watch?v=LlsZbmji68Y</t>
  </si>
  <si>
    <t>Shut Down</t>
  </si>
  <si>
    <t>BLACKPINK</t>
  </si>
  <si>
    <t>https://www.youtube.com/watch?v=POe9SOEKotk</t>
  </si>
  <si>
    <t>крапають</t>
  </si>
  <si>
    <t>https://www.youtube.com/watch?v=TZOBU3X2-vM</t>
  </si>
  <si>
    <t>Квітка</t>
  </si>
  <si>
    <t>https://www.youtube.com/watch?v=flTogFbea7A</t>
  </si>
  <si>
    <t>Чак Норрис</t>
  </si>
  <si>
    <t>Galibri &amp; Mavik</t>
  </si>
  <si>
    <t>https://www.youtube.com/watch?v=5cNhT4KoSVY</t>
  </si>
  <si>
    <t>Яд</t>
  </si>
  <si>
    <t>Еріка Лундмоен</t>
  </si>
  <si>
    <t>https://www.youtube.com/watch?v=DWQr8_47MC4</t>
  </si>
  <si>
    <t>Тіпок</t>
  </si>
  <si>
    <t>https://www.youtube.com/watch?v=lyEgjIts-wc</t>
  </si>
  <si>
    <t>Cherkaschyna</t>
  </si>
  <si>
    <t>Latexfauna</t>
  </si>
  <si>
    <t>https://www.youtube.com/watch?v=2y56wHAw_FQ</t>
  </si>
  <si>
    <t>Сама п'ю, сама наливаю</t>
  </si>
  <si>
    <t>https://www.youtube.com/watch?v=dVclDrT5GBw</t>
  </si>
  <si>
    <t>Пробач</t>
  </si>
  <si>
    <t>https://www.youtube.com/watch?v=pCz2kLV_pqw</t>
  </si>
  <si>
    <t>Pink Venom</t>
  </si>
  <si>
    <t>https://www.youtube.com/watch?v=gQlMMD8auMs</t>
  </si>
  <si>
    <t>Стоник</t>
  </si>
  <si>
    <t>https://www.youtube.com/watch?v=t7QtKwnDUbQ</t>
  </si>
  <si>
    <t>Viter viie</t>
  </si>
  <si>
    <t>alyona alyona, Jerry Heil &amp; Gedz</t>
  </si>
  <si>
    <t>https://www.youtube.com/watch?v=6oaWFrsXv9M</t>
  </si>
  <si>
    <t>ВІЛЬНІ. НЕСКОРЕНІ</t>
  </si>
  <si>
    <t>Тіна Кароль</t>
  </si>
  <si>
    <t>https://www.youtube.com/watch?v=tf2fF7Cub9A</t>
  </si>
  <si>
    <t>Міраж</t>
  </si>
  <si>
    <t>https://www.youtube.com/watch?v=wRfUBcbqPsg</t>
  </si>
  <si>
    <t>Малиновая лада</t>
  </si>
  <si>
    <t>GAYAZOV$ BROTHER$</t>
  </si>
  <si>
    <t>https://www.youtube.com/watch?v=TvEkldfa3T0</t>
  </si>
  <si>
    <t>Why Not</t>
  </si>
  <si>
    <t>Ghostface Playa</t>
  </si>
  <si>
    <t>https://www.youtube.com/watch?v=Hh5jEQraXaw</t>
  </si>
  <si>
    <t>СКОРО ОСЕНЬ, ГОСПОДА</t>
  </si>
  <si>
    <t>Павел Соколов</t>
  </si>
  <si>
    <t>https://www.youtube.com/watch?v=SpbTmc6c9X4</t>
  </si>
  <si>
    <t>Believer</t>
  </si>
  <si>
    <t>https://www.youtube.com/watch?v=7wtfhZwyrcc</t>
  </si>
  <si>
    <t>https://www.youtube.com/watch?v=FWH7lRJ6mPw</t>
  </si>
  <si>
    <t>Нам би</t>
  </si>
  <si>
    <t>https://www.youtube.com/watch?v=39kYTtsEegQ</t>
  </si>
  <si>
    <t>PHANTOM</t>
  </si>
  <si>
    <t>H8.HOOD</t>
  </si>
  <si>
    <t>https://www.youtube.com/watch?v=owdZcyO-DAQ</t>
  </si>
  <si>
    <t>Дівчина</t>
  </si>
  <si>
    <t>https://www.youtube.com/watch?v=16AA0gu4KgI</t>
  </si>
  <si>
    <t>Вишнi</t>
  </si>
  <si>
    <t>https://www.youtube.com/watch?v=X6eFKOSeICU</t>
  </si>
  <si>
    <t>Хобби</t>
  </si>
  <si>
    <t>ANNA ASTI &amp; Филип Кіркоров</t>
  </si>
  <si>
    <t>https://www.youtube.com/watch?v=QZ4pPd8MRQ8</t>
  </si>
  <si>
    <t>2step (feat. Lil Baby)</t>
  </si>
  <si>
    <t>Ed Sheeran</t>
  </si>
  <si>
    <t>https://www.youtube.com/watch?v=Z_MvkyuOJgk</t>
  </si>
  <si>
    <t>Руський корабль</t>
  </si>
  <si>
    <t>https://www.youtube.com/watch?v=JpqPtmn9BA4</t>
  </si>
  <si>
    <t>相信你</t>
  </si>
  <si>
    <t>Тия Ли</t>
  </si>
  <si>
    <t>https://www.youtube.com/watch?v=v0qyVGyE87k</t>
  </si>
  <si>
    <t>3-е Сентября (feat. Михайло Шуфутинський)</t>
  </si>
  <si>
    <t>Егор Крид</t>
  </si>
  <si>
    <t>https://www.youtube.com/watch?v=HUCPwzmF7hA</t>
  </si>
  <si>
    <t>ЗСУ</t>
  </si>
  <si>
    <t>https://www.youtube.com/watch?v=9CIMf-vTCUY</t>
  </si>
  <si>
    <t>Геть з України</t>
  </si>
  <si>
    <t>https://www.youtube.com/watch?v=m_9feagdxkQ</t>
  </si>
  <si>
    <t>Оригами (feat. Белла)</t>
  </si>
  <si>
    <t>АрХангел</t>
  </si>
  <si>
    <t>https://www.youtube.com/watch?v=xhTbFzzEZ-A</t>
  </si>
  <si>
    <t>Dai Boh</t>
  </si>
  <si>
    <t>alyona alyona, Jerry Heil &amp; alyona alyona</t>
  </si>
  <si>
    <t>https://www.youtube.com/watch?v=p13GxoKvs_0</t>
  </si>
  <si>
    <t>Лепит нас</t>
  </si>
  <si>
    <t>Vendetta</t>
  </si>
  <si>
    <t>https://www.youtube.com/watch?v=JIpefaOCXIU</t>
  </si>
  <si>
    <t>Сладкая вата</t>
  </si>
  <si>
    <t>ARBUZOVA</t>
  </si>
  <si>
    <t>https://www.youtube.com/watch?v=XnENB43z7HM</t>
  </si>
  <si>
    <t>Коли мине війна</t>
  </si>
  <si>
    <t>https://www.youtube.com/watch?v=m129dBP2UI8</t>
  </si>
  <si>
    <t>Будь мені кимось</t>
  </si>
  <si>
    <t>https://www.youtube.com/watch?v=92_dHJHF3Sw</t>
  </si>
  <si>
    <t>Суета</t>
  </si>
  <si>
    <t>V $ X V PRiNCE</t>
  </si>
  <si>
    <t>https://www.youtube.com/watch?v=JJ9y3aWBaxw</t>
  </si>
  <si>
    <t>Місця щасливих людей</t>
  </si>
  <si>
    <t>https://www.youtube.com/watch?v=9AverhY6qAo</t>
  </si>
  <si>
    <t>VasЯ OMG</t>
  </si>
  <si>
    <t>https://www.youtube.com/watch?v=OC62zWk28QA</t>
  </si>
  <si>
    <t>Федерико Феллини</t>
  </si>
  <si>
    <t>https://www.youtube.com/watch?v=3-STCxyZhGE</t>
  </si>
  <si>
    <t>Крузак</t>
  </si>
  <si>
    <t>https://www.youtube.com/watch?v=F_7oaYzQB_c</t>
  </si>
  <si>
    <t>Третье сентября (Live)</t>
  </si>
  <si>
    <t>Михайло Шуфутинський</t>
  </si>
  <si>
    <t>https://www.youtube.com/watch?v=Kv-tbdVOuOA</t>
  </si>
  <si>
    <t>Рідні мої</t>
  </si>
  <si>
    <t>alyona alyona &amp; Jerry Heil</t>
  </si>
  <si>
    <t>https://www.youtube.com/watch?v=eZslMJsyKdw</t>
  </si>
  <si>
    <t>Кришталь</t>
  </si>
  <si>
    <t>https://www.youtube.com/watch?v=N0TV5oqb-2A</t>
  </si>
  <si>
    <t>I'm Alone</t>
  </si>
  <si>
    <t>Melisa &amp; Tommo</t>
  </si>
  <si>
    <t>https://www.youtube.com/watch?v=jhBP_5ROW6k</t>
  </si>
  <si>
    <t>Ти мені дуже</t>
  </si>
  <si>
    <t>Томмі Версетті</t>
  </si>
  <si>
    <t>https://www.youtube.com/watch?v=W-G0u6A1Jww</t>
  </si>
  <si>
    <t>Чекай мене (Live)</t>
  </si>
  <si>
    <t>Макс Барських</t>
  </si>
  <si>
    <t>https://www.youtube.com/watch?v=HGTcFfcNznc</t>
  </si>
  <si>
    <t>боі стули пельку</t>
  </si>
  <si>
    <t>jockii druce</t>
  </si>
  <si>
    <t>https://www.youtube.com/watch?v=rBRCQg7F9Cc</t>
  </si>
  <si>
    <t>Чудная долина</t>
  </si>
  <si>
    <t>Mr. Credo</t>
  </si>
  <si>
    <t>https://www.youtube.com/watch?v=MeWe5hXDgbs</t>
  </si>
  <si>
    <t>Пісня буде поміж нас</t>
  </si>
  <si>
    <t>https://www.youtube.com/watch?v=cydkYY9g7YM</t>
  </si>
  <si>
    <t>Місто весни</t>
  </si>
  <si>
    <t>Океан Ельзи &amp; Один в каное</t>
  </si>
  <si>
    <t>https://www.youtube.com/watch?v=pmoYP_QvGsM</t>
  </si>
  <si>
    <t>Я вдома (Live)</t>
  </si>
  <si>
    <t>Наталія Могилевська</t>
  </si>
  <si>
    <t>Пісня Сміливих Дівчат</t>
  </si>
  <si>
    <t>KAZKA</t>
  </si>
  <si>
    <t>https://www.youtube.com/watch?v=ERgKapEhK_U</t>
  </si>
  <si>
    <t>Хвилями</t>
  </si>
  <si>
    <t>https://www.youtube.com/watch?v=1dBApMl1BWE</t>
  </si>
  <si>
    <t>різнокольорова</t>
  </si>
  <si>
    <t>https://www.youtube.com/watch?v=psRnQs7wpms</t>
  </si>
  <si>
    <t>Курить</t>
  </si>
  <si>
    <t>--, A.V.G &amp; --</t>
  </si>
  <si>
    <t>https://www.youtube.com/watch?v=izYIS12cp6w</t>
  </si>
  <si>
    <t>Я з україни</t>
  </si>
  <si>
    <t>МЕРІ</t>
  </si>
  <si>
    <t>https://www.youtube.com/watch?v=IcnxI5o9Qrs</t>
  </si>
  <si>
    <t>A Million on My Soul (Remix) (feat. Alexiane)</t>
  </si>
  <si>
    <t>-- &amp; EMR3YGUL</t>
  </si>
  <si>
    <t>https://www.youtube.com/watch?v=Yg9GE54YEM4</t>
  </si>
  <si>
    <t>ОЙ, ПОДЗАБЫЛИ</t>
  </si>
  <si>
    <t>https://www.youtube.com/watch?v=5OkUqnGX8AA</t>
  </si>
  <si>
    <t>Остановіть ви цю ху..ню!</t>
  </si>
  <si>
    <t>https://www.youtube.com/watch?v=3U2L8ptMs6I</t>
  </si>
  <si>
    <t>Старі фотографії (Альбомна версія)</t>
  </si>
  <si>
    <t>https://www.youtube.com/watch?v=Bz85aM7zWOU</t>
  </si>
  <si>
    <t>Sonyachna (feat. Сальто Назад &amp; Skofka)</t>
  </si>
  <si>
    <t>https://www.youtube.com/watch?v=WConm-ljSew</t>
  </si>
  <si>
    <t>Вова, їбаш їх блять</t>
  </si>
  <si>
    <t>https://www.youtube.com/watch?v=64qSNiUmaAk</t>
  </si>
  <si>
    <t>ДО БОЮ (feat. KHAYAT)</t>
  </si>
  <si>
    <t>https://www.youtube.com/watch?v=73xZMbbeU_o</t>
  </si>
  <si>
    <t>RAVE</t>
  </si>
  <si>
    <t>Dxrk ダーク</t>
  </si>
  <si>
    <t>https://www.youtube.com/watch?v=PTZgxW_3LIQ</t>
  </si>
  <si>
    <t>Сину</t>
  </si>
  <si>
    <t>https://www.youtube.com/watch?v=KAGj8PXjdHY</t>
  </si>
  <si>
    <t>Седьмой лепесток</t>
  </si>
  <si>
    <t>Антон Токарев</t>
  </si>
  <si>
    <t>https://www.youtube.com/watch?v=xiyrXO2j08E</t>
  </si>
  <si>
    <t>Чому?</t>
  </si>
  <si>
    <t>Олександр Валерійович Пономарьов, DZIDZIO, Артем Пивоваров &amp; Алєксєєв Микита Володимирович</t>
  </si>
  <si>
    <t>https://www.youtube.com/watch?v=dBIp-Zdu6PI</t>
  </si>
  <si>
    <t>Квіти мінних зон</t>
  </si>
  <si>
    <t>https://www.youtube.com/watch?v=jMiovGnZMDk</t>
  </si>
  <si>
    <t>Настане час</t>
  </si>
  <si>
    <t>Lida Lee &amp; Ukranian United Artists</t>
  </si>
  <si>
    <t>https://www.youtube.com/watch?v=pr-20NRPyUE</t>
  </si>
  <si>
    <t>Як ти там живеш</t>
  </si>
  <si>
    <t>https://www.youtube.com/watch?v=wMZeC63a0VI</t>
  </si>
  <si>
    <t>Дочекаюсь</t>
  </si>
  <si>
    <t>https://www.youtube.com/watch?v=j0xu7Kfianc</t>
  </si>
  <si>
    <t>Повітряна тривога в Криму</t>
  </si>
  <si>
    <t>Spiv Brativ</t>
  </si>
  <si>
    <t>https://www.youtube.com/watch?v=o6LudeVAP5w</t>
  </si>
  <si>
    <t>А лето цвета</t>
  </si>
  <si>
    <t>Юрій Шатунов</t>
  </si>
  <si>
    <t>https://www.youtube.com/watch?v=-7MW3hc33cI</t>
  </si>
  <si>
    <t>Чому? (feat. Jerry Heil)</t>
  </si>
  <si>
    <t>alyona alyona</t>
  </si>
  <si>
    <t>https://www.youtube.com/watch?v=CgWiW1x5bjM</t>
  </si>
  <si>
    <t>Радiсно</t>
  </si>
  <si>
    <t>https://www.youtube.com/watch?v=9xefsv8zUNc</t>
  </si>
  <si>
    <t>Это наш путь</t>
  </si>
  <si>
    <t>https://www.youtube.com/watch?v=nSPMuy0hEtM</t>
  </si>
  <si>
    <t>СКОЛЬКО СТОИТ ЛЮБОВЬ</t>
  </si>
  <si>
    <t>MORGENSHTERN, The Limba, Niletto &amp; BoombI4</t>
  </si>
  <si>
    <t>https://www.youtube.com/watch?v=7YoAqkva_nY</t>
  </si>
  <si>
    <t>We Gotta Get Love</t>
  </si>
  <si>
    <t>https://www.youtube.com/watch?v=oWIJhJQYN4o</t>
  </si>
  <si>
    <t>Гей, соколи! / Hej, sokoły!</t>
  </si>
  <si>
    <t>Eileen</t>
  </si>
  <si>
    <t>https://www.youtube.com/watch?v=10Ha80EgaB0</t>
  </si>
  <si>
    <t>From U to z (Live)</t>
  </si>
  <si>
    <t>Monatik</t>
  </si>
  <si>
    <t>https://www.youtube.com/watch?v=HwQhDY7MA1I</t>
  </si>
  <si>
    <t>Файна (feat. Skofka)</t>
  </si>
  <si>
    <t>https://www.youtube.com/watch?v=CdYDZnWTHHM</t>
  </si>
  <si>
    <t>Ничего личного</t>
  </si>
  <si>
    <t>POSITIFF</t>
  </si>
  <si>
    <t>https://www.youtube.com/watch?v=EhI1W2_uhVg</t>
  </si>
  <si>
    <t>Козаки йдуть</t>
  </si>
  <si>
    <t>https://www.youtube.com/watch?v=ooJsW-RnSl8</t>
  </si>
  <si>
    <t>Не покинь</t>
  </si>
  <si>
    <t>Kozak System</t>
  </si>
  <si>
    <t>https://www.youtube.com/watch?v=YdVJcIMC7R4</t>
  </si>
  <si>
    <t>ТЫ МОЯ (Live)</t>
  </si>
  <si>
    <t>https://www.youtube.com/watch?v=pdiSGO5Qfzs</t>
  </si>
  <si>
    <t>Солдате</t>
  </si>
  <si>
    <t>https://www.youtube.com/watch?v=6Pl0BbKcQZA</t>
  </si>
  <si>
    <t>Вірила</t>
  </si>
  <si>
    <t>https://www.youtube.com/watch?v=0kExxJnXbQE</t>
  </si>
  <si>
    <t>Гори (feat. alyona alyona)</t>
  </si>
  <si>
    <t>https://www.youtube.com/watch?v=tXJ2-PgeLVg</t>
  </si>
  <si>
    <t>ЛСП &amp; MORGENSHTERN</t>
  </si>
  <si>
    <t>https://www.youtube.com/watch?v=-Pay-tadlq8</t>
  </si>
  <si>
    <t>DALEKO</t>
  </si>
  <si>
    <t>MORGENSHTERN &amp; Aarne</t>
  </si>
  <si>
    <t>https://www.youtube.com/watch?v=e5Vr2PHFehg</t>
  </si>
  <si>
    <t>Unstoppable</t>
  </si>
  <si>
    <t>Не говорите, кто мой враг... (Live)</t>
  </si>
  <si>
    <t>Сергій Любавін</t>
  </si>
  <si>
    <t>https://www.youtube.com/watch?v=FvP1lLCSMjY</t>
  </si>
  <si>
    <t>Береги её</t>
  </si>
  <si>
    <t>https://www.youtube.com/watch?v=nW2GDjXxKoU</t>
  </si>
  <si>
    <t>Известным</t>
  </si>
  <si>
    <t>The Limba &amp; MORGENSHTERN</t>
  </si>
  <si>
    <t>https://www.youtube.com/watch?v=DNTcYIIyMtw</t>
  </si>
  <si>
    <t>Буде весна</t>
  </si>
  <si>
    <t>https://www.youtube.com/watch?v=6CrwyBT7MiU</t>
  </si>
  <si>
    <t>CO2</t>
  </si>
  <si>
    <t>DJ Smash &amp; Artik &amp; Asti</t>
  </si>
  <si>
    <t>https://www.youtube.com/watch?v=dI7GKiP4N1I</t>
  </si>
  <si>
    <t>Ой мама</t>
  </si>
  <si>
    <t>Фати Царикаева</t>
  </si>
  <si>
    <t>https://www.youtube.com/watch?v=jqPYR_v27Rk</t>
  </si>
  <si>
    <t>Oy U Luzi Chervona Kalyna (Remix) (feat. Бумбокс)</t>
  </si>
  <si>
    <t>The Kiffness</t>
  </si>
  <si>
    <t>https://www.youtube.com/watch?v=lu8m5FA2nL8</t>
  </si>
  <si>
    <t>Мовчати</t>
  </si>
  <si>
    <t xml:space="preserve"> Ірина Білик</t>
  </si>
  <si>
    <t>https://www.youtube.com/watch?v=eN6HwEkgIrU</t>
  </si>
  <si>
    <t>Добрий ранок, Україно</t>
  </si>
  <si>
    <t>Нумер 482</t>
  </si>
  <si>
    <t>https://www.youtube.com/watch?v=3SyngeKJtkk</t>
  </si>
  <si>
    <t>Русский военный корабль, иди нахуй!</t>
  </si>
  <si>
    <t>Bakun</t>
  </si>
  <si>
    <t>https://www.youtube.com/watch?v=n6OT79TGqqA</t>
  </si>
  <si>
    <t>Enemy (feat. JID)</t>
  </si>
  <si>
    <t>https://www.youtube.com/watch?v=D9G1VOjN_84</t>
  </si>
  <si>
    <t>Юра Шатунов</t>
  </si>
  <si>
    <t>https://www.youtube.com/watch?v=D6tNrd1wDnE</t>
  </si>
  <si>
    <t>Не твоя війна</t>
  </si>
  <si>
    <t>https://www.youtube.com/watch?v=eOtEC4wCA40</t>
  </si>
  <si>
    <t>Beggin'</t>
  </si>
  <si>
    <t>https://www.youtube.com/watch?v=ZWKpPDI1M-o</t>
  </si>
  <si>
    <t>Поки молоді</t>
  </si>
  <si>
    <t>TOLOKA</t>
  </si>
  <si>
    <t>https://www.youtube.com/watch?v=UWiinhrRcKA</t>
  </si>
  <si>
    <t>RARARA</t>
  </si>
  <si>
    <t>https://www.youtube.com/watch?v=qo7K0lhBmBc</t>
  </si>
  <si>
    <t>Додому (feat. Skofka)</t>
  </si>
  <si>
    <t>https://www.youtube.com/watch?v=OF7bh0Y3vyo</t>
  </si>
  <si>
    <t>Давай начистоту (feat. Skofka)</t>
  </si>
  <si>
    <t>https://www.youtube.com/watch?v=sr-GqKwhihE</t>
  </si>
  <si>
    <t>Диалоги тет-а-тет</t>
  </si>
  <si>
    <t>https://www.youtube.com/watch?v=GBs-vSwOTAE</t>
  </si>
  <si>
    <t>SHUM (Live)</t>
  </si>
  <si>
    <t>Go_A</t>
  </si>
  <si>
    <t>https://www.youtube.com/watch?v=lqvzDkgok_g</t>
  </si>
  <si>
    <t>ЧИ ТИ ПОЧУВ for Mariupol (feat. ЕХО)</t>
  </si>
  <si>
    <t>Друга Ріка</t>
  </si>
  <si>
    <t>https://www.youtube.com/watch?v=mlG-qtJBf8U</t>
  </si>
  <si>
    <t>#МОСКАЛЬ_НЕКРАСІВИЙ (ГЕТЬ З УКРАЇНИ) (feat. Андрій Михайлович Данилко)</t>
  </si>
  <si>
    <t>https://www.youtube.com/watch?v=s8-h21rk0Co</t>
  </si>
  <si>
    <t>Дай мне надежду</t>
  </si>
  <si>
    <t>Damaji</t>
  </si>
  <si>
    <t>https://www.youtube.com/watch?v=92p95lJZkao</t>
  </si>
  <si>
    <t>Тюльпан на ландыш не похож</t>
  </si>
  <si>
    <t>Гурт «Експрес»</t>
  </si>
  <si>
    <t>https://www.youtube.com/watch?v=UOQtrWLmOpI</t>
  </si>
  <si>
    <t>Dodomu (feat. Mariia Dovgauk &amp; Skofka)</t>
  </si>
  <si>
    <t>https://www.youtube.com/watch?v=dow0OD6T5PI</t>
  </si>
  <si>
    <t>Nozzy Bossy</t>
  </si>
  <si>
    <t>https://www.youtube.com/watch?v=vs1ktEjnLP8</t>
  </si>
  <si>
    <t>Каждому своё</t>
  </si>
  <si>
    <t>https://www.youtube.com/watch?v=aJQOFXYLT0c</t>
  </si>
  <si>
    <t>Кохайтеся чорнобриві</t>
  </si>
  <si>
    <t>https://www.youtube.com/watch?v=KtC-39tJP2M</t>
  </si>
  <si>
    <t>Вільна</t>
  </si>
  <si>
    <t>Тіна Кароль &amp; Юлія Саніна</t>
  </si>
  <si>
    <t>https://www.youtube.com/watch?v=M4VkZ9XCr7Y</t>
  </si>
  <si>
    <t>VLAGA</t>
  </si>
  <si>
    <t>Arut &amp; Єгор Ракітін</t>
  </si>
  <si>
    <t>https://www.youtube.com/watch?v=6wvtY2b4zHM</t>
  </si>
  <si>
    <t>Putin</t>
  </si>
  <si>
    <t>Cypis</t>
  </si>
  <si>
    <t>https://www.youtube.com/watch?v=dBqBJ6C5Mkw</t>
  </si>
  <si>
    <t>Аналоговнет</t>
  </si>
  <si>
    <t>Ленінград</t>
  </si>
  <si>
    <t>https://www.youtube.com/watch?v=0e2O-OBHHHo</t>
  </si>
  <si>
    <t>До весни</t>
  </si>
  <si>
    <t>Артем Пивоваров &amp; Злата Огнєвіч</t>
  </si>
  <si>
    <t>https://www.youtube.com/watch?v=GRc9RPm1p6U</t>
  </si>
  <si>
    <t>SHUMEI - Тривога</t>
  </si>
  <si>
    <t>https://www.youtube.com/watch?v=l6P4onVfELQ</t>
  </si>
  <si>
    <t>MORE</t>
  </si>
  <si>
    <t>Джей-Хоуп</t>
  </si>
  <si>
    <t>https://www.youtube.com/watch?v=pKdBFeewZYE</t>
  </si>
  <si>
    <t>Детство</t>
  </si>
  <si>
    <t>https://www.youtube.com/watch?v=4dFj_pcSNkU</t>
  </si>
  <si>
    <t>Старі фотографії</t>
  </si>
  <si>
    <t>https://www.youtube.com/watch?v=UGkPQzq5Ujs</t>
  </si>
  <si>
    <t>Гогия</t>
  </si>
  <si>
    <t>ALISHKA</t>
  </si>
  <si>
    <t>https://www.youtube.com/watch?v=YooWu44t8MQ</t>
  </si>
  <si>
    <t>Don't Fuck With Ukraine</t>
  </si>
  <si>
    <t>https://www.youtube.com/watch?v=q5PiEjd3R6U</t>
  </si>
  <si>
    <t>Generation Cancellation</t>
  </si>
  <si>
    <t>Little Big</t>
  </si>
  <si>
    <t>https://www.youtube.com/watch?v=7Yy4RP4FMNk</t>
  </si>
  <si>
    <t>Седая ночь</t>
  </si>
  <si>
    <t>https://www.youtube.com/watch?v=CpkUFdgCIr4</t>
  </si>
  <si>
    <t>Рядом с ней (Live)</t>
  </si>
  <si>
    <t>https://www.youtube.com/watch?v=BcyAvcuCo3Q</t>
  </si>
  <si>
    <t>Степом (feat. Микита Рубченко)</t>
  </si>
  <si>
    <t>Приходько Анастасія Костянтинівна</t>
  </si>
  <si>
    <t>https://www.youtube.com/watch?v=mip5mqZCdBE</t>
  </si>
  <si>
    <t>24/02</t>
  </si>
  <si>
    <t>https://www.youtube.com/watch?v=JXYVKz788GE</t>
  </si>
  <si>
    <t>В пустій кімнаті</t>
  </si>
  <si>
    <t>YAKTAK &amp; Jerry Heil</t>
  </si>
  <si>
    <t>https://www.youtube.com/watch?v=E8J0HPHdoBE</t>
  </si>
  <si>
    <t>Увечье</t>
  </si>
  <si>
    <t>https://www.youtube.com/watch?v=UI8tMT2J5Rw</t>
  </si>
  <si>
    <t>Украина</t>
  </si>
  <si>
    <t>https://www.youtube.com/watch?v=nSfWKA0qrok</t>
  </si>
  <si>
    <t>Крейсер "москва"</t>
  </si>
  <si>
    <t>Zinchenko</t>
  </si>
  <si>
    <t>https://www.youtube.com/watch?v=ToavJ9yx0PY</t>
  </si>
  <si>
    <t>Українська лють</t>
  </si>
  <si>
    <t>https://www.youtube.com/watch?v=PqVCQEthhOU</t>
  </si>
  <si>
    <t>Left and Right (feat. Чонгук)</t>
  </si>
  <si>
    <t>Charlie Puth</t>
  </si>
  <si>
    <t>https://www.youtube.com/watch?v=a7GITgqwDVg</t>
  </si>
  <si>
    <t>Несмачний Мед</t>
  </si>
  <si>
    <t>To Eternity</t>
  </si>
  <si>
    <t>https://www.youtube.com/watch?v=dPGxAx8ofyA</t>
  </si>
  <si>
    <t>Коли ти в армію ідеш (Remix)</t>
  </si>
  <si>
    <t>Награш band</t>
  </si>
  <si>
    <t>https://www.youtube.com/watch?v=gqXAO6-FVdU</t>
  </si>
  <si>
    <t>Хвилі (feat. Jerry Heil)</t>
  </si>
  <si>
    <t>https://www.youtube.com/watch?v=wB-BkVzcadM</t>
  </si>
  <si>
    <t>#ПОШТА</t>
  </si>
  <si>
    <t>https://www.youtube.com/watch?v=-tQueWDJTvk</t>
  </si>
  <si>
    <t>Не Зорро!</t>
  </si>
  <si>
    <t>https://www.youtube.com/watch?v=LN7YM444d4s</t>
  </si>
  <si>
    <t>Бумеранг</t>
  </si>
  <si>
    <t>Клава Кока</t>
  </si>
  <si>
    <t>https://www.youtube.com/watch?v=AEC9mBJ3Ovk</t>
  </si>
  <si>
    <t>Горить Москва</t>
  </si>
  <si>
    <t>Діти Фрістайла</t>
  </si>
  <si>
    <t>https://www.youtube.com/watch?v=GZ8v27V2_YU</t>
  </si>
  <si>
    <t>Секрет</t>
  </si>
  <si>
    <t>The Limba</t>
  </si>
  <si>
    <t>https://www.youtube.com/watch?v=YQaG6-RBSzk</t>
  </si>
  <si>
    <t>Как ты там</t>
  </si>
  <si>
    <t>Kamazz</t>
  </si>
  <si>
    <t>https://www.youtube.com/watch?v=9pDrV_OnMsA</t>
  </si>
  <si>
    <t>ПАЛАЛА</t>
  </si>
  <si>
    <t>https://www.youtube.com/watch?v=3H5o-_0iDTE</t>
  </si>
  <si>
    <t>Кукушка (Live)</t>
  </si>
  <si>
    <t>Поліна Гагаріна</t>
  </si>
  <si>
    <t>https://www.youtube.com/watch?v=T1Co32bmmRw</t>
  </si>
  <si>
    <t>Вахтерам</t>
  </si>
  <si>
    <t>https://www.youtube.com/watch?v=tnZPDs9qepA</t>
  </si>
  <si>
    <t>Ой у лузі червона калина</t>
  </si>
  <si>
    <t>Luckie Joe</t>
  </si>
  <si>
    <t>https://www.youtube.com/watch?v=mM29x_lMsVg</t>
  </si>
  <si>
    <t>Я - Україна</t>
  </si>
  <si>
    <t>https://www.youtube.com/watch?v=ofspgP0cKbE</t>
  </si>
  <si>
    <t>Baby mama</t>
  </si>
  <si>
    <t>Скриптоніт &amp; Райда</t>
  </si>
  <si>
    <t>https://www.youtube.com/watch?v=eXLSBdxm_cs</t>
  </si>
  <si>
    <t>Yet To Come (The Most Beautiful Moment)</t>
  </si>
  <si>
    <t>BTS</t>
  </si>
  <si>
    <t>https://www.youtube.com/watch?v=kXpOEzNZ8hQ</t>
  </si>
  <si>
    <t>Дом</t>
  </si>
  <si>
    <t>https://www.youtube.com/watch?v=dvdvdk45p3Q</t>
  </si>
  <si>
    <t>Все іде за планом</t>
  </si>
  <si>
    <t>ДІТИ Фрістайла</t>
  </si>
  <si>
    <t>https://www.youtube.com/watch?v=wEm5H3cAjF4</t>
  </si>
  <si>
    <t>Геть з України</t>
  </si>
  <si>
    <t>Nick de Grand</t>
  </si>
  <si>
    <t>https://www.youtube.com/watch?v=XIHGZDHMFt4</t>
  </si>
  <si>
    <t>https://www.youtube.com/watch?v=saEpkcVi1d4</t>
  </si>
  <si>
    <t>Обійми</t>
  </si>
  <si>
    <t>https://www.youtube.com/watch?v=--Wokwe4-i0</t>
  </si>
  <si>
    <t>Коломийка про москалів 2</t>
  </si>
  <si>
    <t>Василь Мельникович</t>
  </si>
  <si>
    <t>https://www.youtube.com/watch?v=D_6aWV0eNDQ</t>
  </si>
  <si>
    <t>Гармония</t>
  </si>
  <si>
    <t>Artik &amp; Asti</t>
  </si>
  <si>
    <t>https://www.youtube.com/watch?v=I7-Djz-CBOY</t>
  </si>
  <si>
    <t>Молитва</t>
  </si>
  <si>
    <t>https://www.youtube.com/watch?v=Akn_ssbj_Rk</t>
  </si>
  <si>
    <t>Оспа</t>
  </si>
  <si>
    <t>https://www.youtube.com/watch?v=vxKO70PpnAo</t>
  </si>
  <si>
    <t>Шо ви пацики на моциках</t>
  </si>
  <si>
    <t>https://www.youtube.com/watch?v=cYvRRHxcmvc</t>
  </si>
  <si>
    <t>Ты и Я</t>
  </si>
  <si>
    <t>Xcho</t>
  </si>
  <si>
    <t>https://www.youtube.com/watch?v=x1XuN5Rq2ws</t>
  </si>
  <si>
    <t>INSTASAMKA DISS</t>
  </si>
  <si>
    <t>МЭЙБИ БЭЙБИ</t>
  </si>
  <si>
    <t>https://www.youtube.com/watch?v=Md7YEu_nlBI</t>
  </si>
  <si>
    <t>99 Problems</t>
  </si>
  <si>
    <t>Єгор Ракітін &amp; KIZARU</t>
  </si>
  <si>
    <t>https://www.youtube.com/watch?v=uuEMIqA0eow</t>
  </si>
  <si>
    <t>Братик</t>
  </si>
  <si>
    <t>Bittuev</t>
  </si>
  <si>
    <t>https://www.youtube.com/watch?v=wD3-6EP48x8</t>
  </si>
  <si>
    <t>Розстріляна весна (БУЧА)</t>
  </si>
  <si>
    <t>https://www.youtube.com/watch?v=42m6YNW5XAQ</t>
  </si>
  <si>
    <t>showdown</t>
  </si>
  <si>
    <t>Shadowraze</t>
  </si>
  <si>
    <t>https://www.youtube.com/watch?v=Oc5bIgsg1Iw</t>
  </si>
  <si>
    <t>Give That Wolf A Banana</t>
  </si>
  <si>
    <t>Subwoolfer</t>
  </si>
  <si>
    <t>https://www.youtube.com/watch?v=sDvXhZtcp0w</t>
  </si>
  <si>
    <t>Running Up That Hill</t>
  </si>
  <si>
    <t>Кейт Буш</t>
  </si>
  <si>
    <t>https://www.youtube.com/watch?v=wp43OdtAAkM</t>
  </si>
  <si>
    <t>Ой у лузі червона калина (Live)</t>
  </si>
  <si>
    <t>https://www.youtube.com/watch?v=EV_vT0Vud5Q</t>
  </si>
  <si>
    <t>Таксі (feat. Христина Соловій)</t>
  </si>
  <si>
    <t>https://www.youtube.com/watch?v=7AOgEee_pPM</t>
  </si>
  <si>
    <t>Азов-сталь</t>
  </si>
  <si>
    <t>https://www.youtube.com/watch?v=slyZVNKuMhE</t>
  </si>
  <si>
    <t>Феникс</t>
  </si>
  <si>
    <t>https://www.youtube.com/watch?v=Expq6fmXLUM</t>
  </si>
  <si>
    <t>Никто</t>
  </si>
  <si>
    <t>https://www.youtube.com/watch?v=MLzKepDXBc0</t>
  </si>
  <si>
    <t>Дорогу молодым</t>
  </si>
  <si>
    <t>Goro</t>
  </si>
  <si>
    <t>https://www.youtube.com/watch?v=WOFZ2p8jejQ</t>
  </si>
  <si>
    <t>Dicke Titten</t>
  </si>
  <si>
    <t>https://www.youtube.com/watch?v=thJgU9jkdU4</t>
  </si>
  <si>
    <t>Чорнобаївка</t>
  </si>
  <si>
    <t>https://www.youtube.com/watch?v=qpL8kmigodA</t>
  </si>
  <si>
    <t>SUPERMODEL (Live)</t>
  </si>
  <si>
    <t>https://www.youtube.com/watch?v=C89K9WPqm9A</t>
  </si>
  <si>
    <t>Наугад</t>
  </si>
  <si>
    <t>Баста &amp; Дарина Яніна</t>
  </si>
  <si>
    <t>https://www.youtube.com/watch?v=mGfIM6NJPhM</t>
  </si>
  <si>
    <t>Prolisky</t>
  </si>
  <si>
    <t>https://www.youtube.com/watch?v=k_TvD0tigHk</t>
  </si>
  <si>
    <t>Друга армія у світі</t>
  </si>
  <si>
    <t>Oisho btz</t>
  </si>
  <si>
    <t>https://www.youtube.com/watch?v=ZD-5XEmu0XY</t>
  </si>
  <si>
    <t>Мясо</t>
  </si>
  <si>
    <t>Земфіра</t>
  </si>
  <si>
    <t>https://www.youtube.com/watch?v=viy2FXOcI68</t>
  </si>
  <si>
    <t>Титры</t>
  </si>
  <si>
    <t>JONY</t>
  </si>
  <si>
    <t>https://www.youtube.com/watch?v=9Jr2dCEMxis</t>
  </si>
  <si>
    <t>Записки с голубками</t>
  </si>
  <si>
    <t>Bahh Tee &amp; Turken</t>
  </si>
  <si>
    <t>https://www.youtube.com/watch?v=z4rVYmeSrWw</t>
  </si>
  <si>
    <t>Solovey</t>
  </si>
  <si>
    <t>https://www.youtube.com/watch?v=L9l4SlpZT5E</t>
  </si>
  <si>
    <t>Кохала</t>
  </si>
  <si>
    <t>https://www.youtube.com/watch?v=QH6tR0U28h4</t>
  </si>
  <si>
    <t>Не забуду</t>
  </si>
  <si>
    <t>https://www.youtube.com/watch?v=VB8AUpJh4vU</t>
  </si>
  <si>
    <t>Двічі в одну річку не війдеш</t>
  </si>
  <si>
    <t>Юлія Думанська</t>
  </si>
  <si>
    <t>https://www.youtube.com/watch?v=HCMr_wKYGhs</t>
  </si>
  <si>
    <t>Зорі</t>
  </si>
  <si>
    <t>https://www.youtube.com/watch?v=5p-IJhnyQMM</t>
  </si>
  <si>
    <t>SPACE MAN (Live)</t>
  </si>
  <si>
    <t>Сем Райдер</t>
  </si>
  <si>
    <t>https://www.youtube.com/watch?v=RZ0hqX_92zI</t>
  </si>
  <si>
    <t>Наша экономика</t>
  </si>
  <si>
    <t>https://www.youtube.com/watch?v=osTR3FDUMoY</t>
  </si>
  <si>
    <t>Коломийки частина 2</t>
  </si>
  <si>
    <t>Maks Shoom</t>
  </si>
  <si>
    <t>https://www.youtube.com/watch?v=ImPQNNLcvL8</t>
  </si>
  <si>
    <t>Тіні Забутих Предків (Live)</t>
  </si>
  <si>
    <t>Alina Pash</t>
  </si>
  <si>
    <t>https://www.youtube.com/watch?v=rz6aQLKyBHc</t>
  </si>
  <si>
    <t>Арта</t>
  </si>
  <si>
    <t>Пирятин</t>
  </si>
  <si>
    <t>https://www.youtube.com/watch?v=0YCmjyRtNEc</t>
  </si>
  <si>
    <t>Птичка (Ptichka)</t>
  </si>
  <si>
    <t>HammAli &amp; Navai</t>
  </si>
  <si>
    <t>https://www.youtube.com/watch?v=7T82Z7BwYfM</t>
  </si>
  <si>
    <t>Жити</t>
  </si>
  <si>
    <t>Дима Коляденко</t>
  </si>
  <si>
    <t>https://www.youtube.com/watch?v=7JJQFyby6e8</t>
  </si>
  <si>
    <t>Назад, Россия!</t>
  </si>
  <si>
    <t>https://www.youtube.com/watch?v=3EhcakGH7po</t>
  </si>
  <si>
    <t>Поколение z</t>
  </si>
  <si>
    <t>https://www.youtube.com/watch?v=_HNyl-Thqik</t>
  </si>
  <si>
    <t>Відьми з Конотопу</t>
  </si>
  <si>
    <t>Slyzexx</t>
  </si>
  <si>
    <t>https://www.youtube.com/watch?v=viCdbnyzB3s</t>
  </si>
  <si>
    <t>Ромашки білі</t>
  </si>
  <si>
    <t>Наталя Бунь</t>
  </si>
  <si>
    <t>https://www.youtube.com/watch?v=-a-R8oVF-YU</t>
  </si>
  <si>
    <t>Не пробачу</t>
  </si>
  <si>
    <t>OPG SVYATIE</t>
  </si>
  <si>
    <t>https://www.youtube.com/watch?v=8UltgOBZ670</t>
  </si>
  <si>
    <t>https://www.youtube.com/watch?v=q3Goq35mXQE</t>
  </si>
  <si>
    <t>That That (feat. SUGA)</t>
  </si>
  <si>
    <t>PSY</t>
  </si>
  <si>
    <t>https://www.youtube.com/watch?v=8dJyRm2jJ-U</t>
  </si>
  <si>
    <t>Володимир Дантес</t>
  </si>
  <si>
    <t>https://www.youtube.com/watch?v=I0yZqpRVLPk</t>
  </si>
  <si>
    <t>Angst</t>
  </si>
  <si>
    <t>https://www.youtube.com/watch?v=ONj9cvHCado</t>
  </si>
  <si>
    <t>https://www.youtube.com/watch?v=lX0TPbCSAbM</t>
  </si>
  <si>
    <t>Jalsomino</t>
  </si>
  <si>
    <t>https://www.youtube.com/watch?v=pVs318gUzas</t>
  </si>
  <si>
    <t>Місто Марії</t>
  </si>
  <si>
    <t>https://www.youtube.com/watch?v=_XgWdxyBmB4</t>
  </si>
  <si>
    <t>maskva</t>
  </si>
  <si>
    <t>https://www.youtube.com/watch?v=JjB-cimVsYg</t>
  </si>
  <si>
    <t>TDME</t>
  </si>
  <si>
    <t>https://www.youtube.com/watch?v=qDXcXsbdOEI</t>
  </si>
  <si>
    <t>Як ти?</t>
  </si>
  <si>
    <t>https://www.youtube.com/watch?v=0P8QJ-x68PI</t>
  </si>
  <si>
    <t>Нас весна не там зустріла</t>
  </si>
  <si>
    <t>Ірина Федишин &amp; Євген Хмара</t>
  </si>
  <si>
    <t>https://www.youtube.com/watch?v=ZGRxEhrsKEE</t>
  </si>
  <si>
    <t>Селяви</t>
  </si>
  <si>
    <t>https://www.youtube.com/watch?v=zdUIpi3WC5s</t>
  </si>
  <si>
    <t>СНОВА?</t>
  </si>
  <si>
    <t>https://www.youtube.com/watch?v=iJLPcmKqJl0</t>
  </si>
  <si>
    <t>Наверно ты меня не помнишь</t>
  </si>
  <si>
    <t>JONY &amp; HammAli</t>
  </si>
  <si>
    <t>https://www.youtube.com/watch?v=Xl08OlVMpI0</t>
  </si>
  <si>
    <t>Батько наш - Бандера</t>
  </si>
  <si>
    <t>Romax</t>
  </si>
  <si>
    <t>https://www.youtube.com/watch?v=Ee-0C1kUp_g</t>
  </si>
  <si>
    <t>Zick Zack</t>
  </si>
  <si>
    <t>https://www.youtube.com/watch?v=hBTNyJ33LWI</t>
  </si>
  <si>
    <t>Глаза счастливые не врут</t>
  </si>
  <si>
    <t>Льоша Свік</t>
  </si>
  <si>
    <t>https://www.youtube.com/watch?v=9rZbSbwcYZU</t>
  </si>
  <si>
    <t>Смерека</t>
  </si>
  <si>
    <t>Олександр Кварта</t>
  </si>
  <si>
    <t>https://www.youtube.com/watch?v=8TZpLfBL3dg</t>
  </si>
  <si>
    <t>2 дні</t>
  </si>
  <si>
    <t>ЛАУД</t>
  </si>
  <si>
    <t>https://www.youtube.com/watch?v=C2SgiHs9KtE</t>
  </si>
  <si>
    <t>Ой, у лузі червона калина</t>
  </si>
  <si>
    <t>Віктор Франкович Павлік</t>
  </si>
  <si>
    <t>https://www.youtube.com/watch?v=Eopw24WDTQw</t>
  </si>
  <si>
    <t>Вовчиця</t>
  </si>
  <si>
    <t>Олег Винник</t>
  </si>
  <si>
    <t>https://www.youtube.com/watch?v=YvFwjiJPVEA</t>
  </si>
  <si>
    <t>Хто, як не ти?</t>
  </si>
  <si>
    <t>https://www.youtube.com/watch?v=Lf6El9jHdGg</t>
  </si>
  <si>
    <t>Номер</t>
  </si>
  <si>
    <t>https://www.youtube.com/watch?v=UnlQUWNSkUo</t>
  </si>
  <si>
    <t>https://www.youtube.com/watch?v=lazn7DAuK8U</t>
  </si>
  <si>
    <t>Непереможна Україна</t>
  </si>
  <si>
    <t>Дмитро Яремчук, Михайло Грицкан, Віктор Франкович Павлік, Іво Бобул, Оксана Білозір,  Ірина Білик, Aurica Rotaru, Ірина Зінковська, Катерина Бужинська, Павло Зібров, Назарій ЯРЕМЧУК молодший, Петро Чорний, --, Оксана Пекун, Тетяна Піскарьова, Ольга СУМСЬКА, Наталія Бучинська, Гарік Кричевський &amp; Володимир Будейчук</t>
  </si>
  <si>
    <t>https://www.youtube.com/watch?v=aRSlCW3OlkM</t>
  </si>
  <si>
    <t>Марічка</t>
  </si>
  <si>
    <t>Михайло Хома</t>
  </si>
  <si>
    <t>https://www.youtube.com/watch?v=-aPCl8mcoX8</t>
  </si>
  <si>
    <t>Нам не нужна война!</t>
  </si>
  <si>
    <t>https://www.youtube.com/watch?v=UCNgRCTMR9o</t>
  </si>
  <si>
    <t>Воины света</t>
  </si>
  <si>
    <t>https://www.youtube.com/watch?v=71QQU6awLU4</t>
  </si>
  <si>
    <t>Вставай</t>
  </si>
  <si>
    <t>https://www.youtube.com/watch?v=gO8U8UXVlA4</t>
  </si>
  <si>
    <t>Ми будем стояти</t>
  </si>
  <si>
    <t>https://www.youtube.com/watch?v=7durKpMCTWA</t>
  </si>
  <si>
    <t>Грустный дэнс (feat. Артем Качер)</t>
  </si>
  <si>
    <t>https://www.youtube.com/watch?v=XnrXCpHBor8</t>
  </si>
  <si>
    <t>I AM NOT OK</t>
  </si>
  <si>
    <t>https://www.youtube.com/watch?v=MGgDdU1BYsA</t>
  </si>
  <si>
    <t>Подай зброю</t>
  </si>
  <si>
    <t>https://www.youtube.com/watch?v=lDN76h4-HRM</t>
  </si>
  <si>
    <t>Марш Нової Армії</t>
  </si>
  <si>
    <t>Воплі Відоплясова</t>
  </si>
  <si>
    <t>https://www.youtube.com/watch?v=RgdANpB9PnY</t>
  </si>
  <si>
    <t>My ADIDAS</t>
  </si>
  <si>
    <t>Filatov &amp; Karas &amp; Minelli</t>
  </si>
  <si>
    <t>https://www.youtube.com/watch?v=XqgYj8atJqo</t>
  </si>
  <si>
    <t>Дорофеєва Надія, Юлія Саніна, Катерина Павленко &amp; Тіна Кароль</t>
  </si>
  <si>
    <t>https://www.youtube.com/watch?v=emBypaZ1FvM</t>
  </si>
  <si>
    <t>Ой у лузі червона калина (A cappella)</t>
  </si>
  <si>
    <t>https://www.youtube.com/watch?v=ZztmQsSAqfo</t>
  </si>
  <si>
    <t>Заспіваймо пісню за Україну</t>
  </si>
  <si>
    <t>Олександр Валерійович Пономарьов</t>
  </si>
  <si>
    <t>https://www.youtube.com/watch?v=2nkJ5DGiLtc</t>
  </si>
  <si>
    <t>Розстріляна весна (Буча) (Live)</t>
  </si>
  <si>
    <t>https://www.youtube.com/watch?v=pcohf_h6xXg</t>
  </si>
  <si>
    <t>Не відступати і не здаватись</t>
  </si>
  <si>
    <t>https://www.youtube.com/watch?v=QTdJkYkkQBQ</t>
  </si>
  <si>
    <t>Головы на завтрак</t>
  </si>
  <si>
    <t>Компот</t>
  </si>
  <si>
    <t>https://www.youtube.com/watch?v=ymQE6qvJC_c</t>
  </si>
  <si>
    <t>Я вернусь</t>
  </si>
  <si>
    <t>Тальков Ігор</t>
  </si>
  <si>
    <t>https://www.youtube.com/watch?v=DFtOELd5pEI</t>
  </si>
  <si>
    <t>Геополитическая</t>
  </si>
  <si>
    <t>https://www.youtube.com/watch?v=KyLcR-LRq3I</t>
  </si>
  <si>
    <t>НАСТАНЕ ДЕНЬ</t>
  </si>
  <si>
    <t>https://www.youtube.com/watch?v=XmZCdoi5e8s</t>
  </si>
  <si>
    <t>Бандерштатівські коломийки (Live)</t>
  </si>
  <si>
    <t>https://www.youtube.com/watch?v=vRYtlT5pqTE</t>
  </si>
  <si>
    <t>Летит патруль</t>
  </si>
  <si>
    <t>RAIKAHO</t>
  </si>
  <si>
    <t>https://www.youtube.com/watch?v=emGsOlB7NY8</t>
  </si>
  <si>
    <t>Kalyna</t>
  </si>
  <si>
    <t>https://www.youtube.com/watch?v=5gOia6qznyQ</t>
  </si>
  <si>
    <t>SHAKE</t>
  </si>
  <si>
    <t>https://www.youtube.com/watch?v=I-imNyWc0s8</t>
  </si>
  <si>
    <t>ТЫ НЕ КОРОЛЕВА (Swerodo Remix)</t>
  </si>
  <si>
    <t>Остап Парфёнов &amp; Nvkrn134</t>
  </si>
  <si>
    <t>https://www.youtube.com/watch?v=wVwFAZ1YgN4</t>
  </si>
  <si>
    <t>Я так хочу...</t>
  </si>
  <si>
    <t>https://www.youtube.com/watch?v=ll4fBm1apsA</t>
  </si>
  <si>
    <t>astral step</t>
  </si>
  <si>
    <t>https://www.youtube.com/watch?v=89yDiQ8WkNg</t>
  </si>
  <si>
    <t>Эскизы</t>
  </si>
  <si>
    <t>https://www.youtube.com/watch?v=9E5YJkP8x0w</t>
  </si>
  <si>
    <t>Marmalade (feat. Mav D)</t>
  </si>
  <si>
    <t>https://www.youtube.com/watch?v=ygWr2Vu28Nw</t>
  </si>
  <si>
    <t>ЛАБИРИНТ</t>
  </si>
  <si>
    <t>Face</t>
  </si>
  <si>
    <t>https://www.youtube.com/watch?v=Mo4Wt6cKGVg</t>
  </si>
  <si>
    <t>Три желания (Live)</t>
  </si>
  <si>
    <t>Рустам Нахушев</t>
  </si>
  <si>
    <t>https://www.youtube.com/watch?v=B0mvcc2tWPI</t>
  </si>
  <si>
    <t>Україна – це ти</t>
  </si>
  <si>
    <t>https://www.youtube.com/watch?v=HBLzV2P2y_s</t>
  </si>
  <si>
    <t>Потрібен живим</t>
  </si>
  <si>
    <t>https://www.youtube.com/watch?v=oTHCPpCyup8</t>
  </si>
  <si>
    <t>1944 (Live)</t>
  </si>
  <si>
    <t>Jamala</t>
  </si>
  <si>
    <t>https://www.youtube.com/watch?v=B-rnM-MwRHY</t>
  </si>
  <si>
    <t>22 (feat. TOF)</t>
  </si>
  <si>
    <t>https://www.youtube.com/watch?v=8SqTaE4-5a4</t>
  </si>
  <si>
    <t>I am Ukrainian</t>
  </si>
  <si>
    <t>Natalia Falion &amp; Lisapetniy Batalyon (Лісапетний Батальйон)</t>
  </si>
  <si>
    <t>https://www.youtube.com/watch?v=DGGZyQ0SVpg</t>
  </si>
  <si>
    <t>Буревестник</t>
  </si>
  <si>
    <t>https://www.youtube.com/watch?v=cmlZhoiJljM</t>
  </si>
  <si>
    <t>Sahara</t>
  </si>
  <si>
    <t>Hensonn</t>
  </si>
  <si>
    <t>https://www.youtube.com/watch?v=pIZ0QRWK0zg</t>
  </si>
  <si>
    <t xml:space="preserve"> Мотор'Ролла</t>
  </si>
  <si>
    <t>Мелочи</t>
  </si>
  <si>
    <t>https://www.youtube.com/watch?v=C9vuPgGMxTs</t>
  </si>
  <si>
    <t>Minelli</t>
  </si>
  <si>
    <t>Патрон</t>
  </si>
  <si>
    <t>https://www.youtube.com/watch?v=E18h8GB98Is</t>
  </si>
  <si>
    <t>Не стій під вікном</t>
  </si>
  <si>
    <t>Руся</t>
  </si>
  <si>
    <t>https://www.youtube.com/watch?v=h7K_FSKiTe0</t>
  </si>
  <si>
    <t>Халливуд Хоус</t>
  </si>
  <si>
    <t>Pharaoh</t>
  </si>
  <si>
    <t>https://www.youtube.com/watch?v=XwTxU-417iY</t>
  </si>
  <si>
    <t>https://www.youtube.com/watch?v=VxEdq7Js2NM</t>
  </si>
  <si>
    <t>А у олигархата</t>
  </si>
  <si>
    <t>https://www.youtube.com/watch?v=8bEcmq8GPk8</t>
  </si>
  <si>
    <t>Без бою</t>
  </si>
  <si>
    <t>https://www.youtube.com/watch?v=bbkEVJgrBUs</t>
  </si>
  <si>
    <t>Прощай, элита!</t>
  </si>
  <si>
    <t>https://www.youtube.com/watch?v=2WQIW7aK5Bk</t>
  </si>
  <si>
    <t>первое свидание</t>
  </si>
  <si>
    <t>Альона Швець</t>
  </si>
  <si>
    <t>https://www.youtube.com/watch?v=zkyop2jy8ak</t>
  </si>
  <si>
    <t>Жальменiна</t>
  </si>
  <si>
    <t>https://www.youtube.com/watch?v=4vEeYQ9wwuc</t>
  </si>
  <si>
    <t>Перемога</t>
  </si>
  <si>
    <t>https://www.youtube.com/watch?v=3wZvD2-NIMU</t>
  </si>
  <si>
    <t>Така, як ти</t>
  </si>
  <si>
    <t>Святослав Вакарчук</t>
  </si>
  <si>
    <t>https://www.youtube.com/watch?v=MyAdFqlW-f0</t>
  </si>
  <si>
    <t>Буде жити Україна!</t>
  </si>
  <si>
    <t>https://www.youtube.com/watch?v=t6AyOrBYucc</t>
  </si>
  <si>
    <t>Выхода нет!</t>
  </si>
  <si>
    <t>https://www.youtube.com/watch?v=FeIjDxbAZeM</t>
  </si>
  <si>
    <t>MANIAC</t>
  </si>
  <si>
    <t>https://www.youtube.com/watch?v=OvioeS1ZZ7o</t>
  </si>
  <si>
    <t>Zeit</t>
  </si>
  <si>
    <t>https://www.youtube.com/watch?v=EbHGS_bVkXY</t>
  </si>
  <si>
    <t>Не стреляйте (The Uchpochmack Version)</t>
  </si>
  <si>
    <t>https://www.youtube.com/watch?v=4rynqvi4tS0</t>
  </si>
  <si>
    <t>Я Солдат (2022 UA Version)</t>
  </si>
  <si>
    <t>Сергій Бабкін</t>
  </si>
  <si>
    <t>https://www.youtube.com/watch?v=OOdgvpDFfhc</t>
  </si>
  <si>
    <t>Сльози на землі</t>
  </si>
  <si>
    <t>https://www.youtube.com/watch?v=9W4Wcoz2MOM</t>
  </si>
  <si>
    <t>Не перегори</t>
  </si>
  <si>
    <t>Мері Гу</t>
  </si>
  <si>
    <t>https://www.youtube.com/watch?v=GtMoHPv2b6o</t>
  </si>
  <si>
    <t>Хочешь</t>
  </si>
  <si>
    <t>Ревва Олександр Володимирович &amp; Клава Кока</t>
  </si>
  <si>
    <t>https://www.youtube.com/watch?v=MNbM4tA_MmU</t>
  </si>
  <si>
    <t>Любовь после тебя</t>
  </si>
  <si>
    <t>https://www.youtube.com/watch?v=wNeCPHA8WLI</t>
  </si>
  <si>
    <t>Дискотанцы</t>
  </si>
  <si>
    <t>Хабиб &amp; Galibri &amp; Mavik</t>
  </si>
  <si>
    <t>https://www.youtube.com/watch?v=9tdpHG3M3II</t>
  </si>
  <si>
    <t>Dead But Pretty</t>
  </si>
  <si>
    <t>Ic3peak</t>
  </si>
  <si>
    <t>https://www.youtube.com/watch?v=qCljI3cIObU</t>
  </si>
  <si>
    <t>Пушка</t>
  </si>
  <si>
    <t>10AGE</t>
  </si>
  <si>
    <t>https://www.youtube.com/watch?v=AP5nU7Vhih8</t>
  </si>
  <si>
    <t>Бывшие</t>
  </si>
  <si>
    <t>Ольга Серябкіна</t>
  </si>
  <si>
    <t>https://www.youtube.com/watch?v=iamhDJS1zAw</t>
  </si>
  <si>
    <t>Зараза (Live)</t>
  </si>
  <si>
    <t>Григорій Лепс</t>
  </si>
  <si>
    <t>https://www.youtube.com/watch?v=n1Rfi8BzNOY</t>
  </si>
  <si>
    <t>https://www.youtube.com/watch?v=LbmGZWQG6eM</t>
  </si>
  <si>
    <t>ПОЧЕМУ?</t>
  </si>
  <si>
    <t>https://www.youtube.com/watch?v=2IGwkJDcIk8</t>
  </si>
  <si>
    <t>Плачут иконы (Live)</t>
  </si>
  <si>
    <t>https://www.youtube.com/watch?v=TpuQyEC-g4Q</t>
  </si>
  <si>
    <t>Потеряли пацана</t>
  </si>
  <si>
    <t>Tanir</t>
  </si>
  <si>
    <t>https://www.youtube.com/watch?v=XyTxj7DFy_0</t>
  </si>
  <si>
    <t>Cumback</t>
  </si>
  <si>
    <t>Nekoglai</t>
  </si>
  <si>
    <t>https://www.youtube.com/watch?v=N7QHOb5ZYVk</t>
  </si>
  <si>
    <t>Мальчик на девятке</t>
  </si>
  <si>
    <t>Dead Blonde</t>
  </si>
  <si>
    <t>https://www.youtube.com/watch?v=JtcrAcBB3Ps</t>
  </si>
  <si>
    <t>Отпускаю</t>
  </si>
  <si>
    <t>Егор Крид &amp; МакSим</t>
  </si>
  <si>
    <t>https://www.youtube.com/watch?v=EYVX6VVB_Vc</t>
  </si>
  <si>
    <t>Пошёл налево</t>
  </si>
  <si>
    <t>Ельбрус Джанмірзоєв &amp; Елвін Грей</t>
  </si>
  <si>
    <t>https://www.youtube.com/watch?v=D707NkplY24</t>
  </si>
  <si>
    <t>Історія України за 5 Хвилин</t>
  </si>
  <si>
    <t>https://www.youtube.com/watch?v=BhuWhgS_HlA</t>
  </si>
  <si>
    <t>За цвет голубых очей (Remix)</t>
  </si>
  <si>
    <t>Adecvat_production</t>
  </si>
  <si>
    <t>https://www.youtube.com/watch?v=gn8WwnWepBc</t>
  </si>
  <si>
    <t>Фотографирую закат</t>
  </si>
  <si>
    <t>fem.love</t>
  </si>
  <si>
    <t>https://www.youtube.com/watch?v=Yc_BHq-bzak</t>
  </si>
  <si>
    <t>Материк</t>
  </si>
  <si>
    <t>Артем Качер &amp; Ані Лорак</t>
  </si>
  <si>
    <t>https://www.youtube.com/watch?v=OB-WR2MyKmw</t>
  </si>
  <si>
    <t>Браття Українці (Live)</t>
  </si>
  <si>
    <t>https://www.youtube.com/watch?v=LtcMASV9h7k</t>
  </si>
  <si>
    <t>Я ненавиджу війну</t>
  </si>
  <si>
    <t>Віталій Білоножко (Молодший)</t>
  </si>
  <si>
    <t>https://www.youtube.com/watch?v=QZlX3MSsKgA</t>
  </si>
  <si>
    <t>Стоп музыка</t>
  </si>
  <si>
    <t>Ислам Мальсуйгенов &amp; Зульфия Чотчаева</t>
  </si>
  <si>
    <t>https://www.youtube.com/watch?v=dBAv8n-Nnyg</t>
  </si>
  <si>
    <t>Святослав Вакарчук &amp; --</t>
  </si>
  <si>
    <t>https://www.youtube.com/watch?v=16SvsYbbcgA</t>
  </si>
  <si>
    <t>Рандеву</t>
  </si>
  <si>
    <t>https://www.youtube.com/watch?v=doM429wT_dM</t>
  </si>
  <si>
    <t>ПОШЛА ЖАРА</t>
  </si>
  <si>
    <t>GAYAZOV$ BROTHER$ &amp; Filatov &amp; Karas</t>
  </si>
  <si>
    <t>https://www.youtube.com/watch?v=TBRIZRD2bYE</t>
  </si>
  <si>
    <t>ЛА ЛА ЛА</t>
  </si>
  <si>
    <t>https://www.youtube.com/watch?v=X4j8xUiOOwM</t>
  </si>
  <si>
    <t>Bandana</t>
  </si>
  <si>
    <t>https://www.youtube.com/watch?v=0j6ABOp_6nc</t>
  </si>
  <si>
    <t>Барбисайз</t>
  </si>
  <si>
    <t>дора &amp; МЭЙБИ БЭЙБИ</t>
  </si>
  <si>
    <t>https://www.youtube.com/watch?v=UBsVaSjgTIs</t>
  </si>
  <si>
    <t>LIPSI HA</t>
  </si>
  <si>
    <t>https://www.youtube.com/watch?v=BMdcG7m0gCo</t>
  </si>
  <si>
    <t>Открытка</t>
  </si>
  <si>
    <t>Ваня Дмитриенко &amp; Хабиб</t>
  </si>
  <si>
    <t>https://www.youtube.com/watch?v=IPZ8kAKDa-o</t>
  </si>
  <si>
    <t>На часах ноль-ноль</t>
  </si>
  <si>
    <t>Dabro</t>
  </si>
  <si>
    <t>https://www.youtube.com/watch?v=RK4_D2D2KZs</t>
  </si>
  <si>
    <t>Беда (Live)</t>
  </si>
  <si>
    <t>ДДТ</t>
  </si>
  <si>
    <t>https://www.youtube.com/watch?v=YKwqfNn9Ry8</t>
  </si>
  <si>
    <t>АЭРОЭКСПРЕСС</t>
  </si>
  <si>
    <t>https://www.youtube.com/watch?v=EiCMrfUNosk</t>
  </si>
  <si>
    <t>Гімн України</t>
  </si>
  <si>
    <t>https://www.youtube.com/watch?v=Wx7vo__48oE</t>
  </si>
  <si>
    <t>УМКА</t>
  </si>
  <si>
    <t>https://www.youtube.com/watch?v=8LNNFFFmzDE</t>
  </si>
  <si>
    <t>Не воюйте с русскими</t>
  </si>
  <si>
    <t>Андрей Куряев</t>
  </si>
  <si>
    <t>https://www.youtube.com/watch?v=rT1NKuOovSw</t>
  </si>
  <si>
    <t>Вот такой пацан</t>
  </si>
  <si>
    <t>TalanT</t>
  </si>
  <si>
    <t>https://www.youtube.com/watch?v=JUjIxGqiP5o</t>
  </si>
  <si>
    <t>Романтик</t>
  </si>
  <si>
    <t>Xassa</t>
  </si>
  <si>
    <t>https://www.youtube.com/watch?v=zLxGcMGqdLM</t>
  </si>
  <si>
    <t>Влюбилась в пацана</t>
  </si>
  <si>
    <t>ГУДЗОН</t>
  </si>
  <si>
    <t>https://www.youtube.com/watch?v=j2riJgJT4HM</t>
  </si>
  <si>
    <t>ЗанесLo</t>
  </si>
  <si>
    <t>https://www.youtube.com/watch?v=q8ZJ-mprbnA</t>
  </si>
  <si>
    <t>Centuries</t>
  </si>
  <si>
    <t>Pluffaduff</t>
  </si>
  <si>
    <t>https://www.youtube.com/watch?v=LBr7kECsjcQ</t>
  </si>
  <si>
    <t>Не йди</t>
  </si>
  <si>
    <t>https://www.youtube.com/watch?v=TD4h9Fdn3-o</t>
  </si>
  <si>
    <t>Hey Mama (ERS Remix)</t>
  </si>
  <si>
    <t>ERS</t>
  </si>
  <si>
    <t>https://www.youtube.com/watch?v=4Nx1iXxFUjU</t>
  </si>
  <si>
    <t>Холодно</t>
  </si>
  <si>
    <t>Chris Yank</t>
  </si>
  <si>
    <t>https://www.youtube.com/watch?v=vYnisdEaPYU</t>
  </si>
  <si>
    <t>UP</t>
  </si>
  <si>
    <t>INNA</t>
  </si>
  <si>
    <t>https://www.youtube.com/watch?v=8Fl6d_fSRNs</t>
  </si>
  <si>
    <t>Шнурки</t>
  </si>
  <si>
    <t>METAN</t>
  </si>
  <si>
    <t>https://www.youtube.com/watch?v=Vh5_96gSTOo</t>
  </si>
  <si>
    <t>Я никому не верю</t>
  </si>
  <si>
    <t>БИ-2</t>
  </si>
  <si>
    <t>https://www.youtube.com/watch?v=tsbg0eiKU1I</t>
  </si>
  <si>
    <t>По-другому</t>
  </si>
  <si>
    <t>Лолита &amp; Коста Лакоста</t>
  </si>
  <si>
    <t>https://www.youtube.com/watch?v=VOLqsrDGRcM</t>
  </si>
  <si>
    <t>Go Bananas</t>
  </si>
  <si>
    <t>https://www.youtube.com/watch?v=ADlGkXAz1D0</t>
  </si>
  <si>
    <t>5 Минут Назад</t>
  </si>
  <si>
    <t>Pharaoh &amp; Boulevard Depo</t>
  </si>
  <si>
    <t>https://www.youtube.com/watch?v=NYXpqBZSqAI</t>
  </si>
  <si>
    <t>Боже, как завидую</t>
  </si>
  <si>
    <t>HammAli, Navai &amp; Jah Khalib</t>
  </si>
  <si>
    <t>https://www.youtube.com/watch?v=Dxc5BVV7kzs</t>
  </si>
  <si>
    <t>Родной</t>
  </si>
  <si>
    <t>https://www.youtube.com/watch?v=EYtDfwfpr74</t>
  </si>
  <si>
    <t>Красное Вино</t>
  </si>
  <si>
    <t>https://www.youtube.com/watch?v=cxx7hrnKxqg</t>
  </si>
  <si>
    <t>Americano</t>
  </si>
  <si>
    <t>https://www.youtube.com/watch?v=SqAxWiqBB2g</t>
  </si>
  <si>
    <t>Є пропозиція</t>
  </si>
  <si>
    <t>https://www.youtube.com/watch?v=YvCt5d1kWNM</t>
  </si>
  <si>
    <t>Im Erazanq</t>
  </si>
  <si>
    <t>Jora Shahinyan</t>
  </si>
  <si>
    <t>https://www.youtube.com/watch?v=On79a-ijaTw</t>
  </si>
  <si>
    <t>Три Дня Любви</t>
  </si>
  <si>
    <t>ZIVERT</t>
  </si>
  <si>
    <t>https://www.youtube.com/watch?v=Fag3P9D1IPM</t>
  </si>
  <si>
    <t>Выпей меня</t>
  </si>
  <si>
    <t>Kambulat</t>
  </si>
  <si>
    <t>https://www.youtube.com/watch?v=eZK5Lsoawck</t>
  </si>
  <si>
    <t>#тамада (Сингл)</t>
  </si>
  <si>
    <t>Ендшпіль &amp; MiyaGi &amp; Endshpil</t>
  </si>
  <si>
    <t>https://www.youtube.com/watch?v=nAPPw08bZhs</t>
  </si>
  <si>
    <t>Я твоя не первая</t>
  </si>
  <si>
    <t>https://www.youtube.com/watch?v=EIzNGs_djv0</t>
  </si>
  <si>
    <t>Королева</t>
  </si>
  <si>
    <t>Рейсан Магомедкеримов &amp; Михаил Черняев</t>
  </si>
  <si>
    <t>https://www.youtube.com/watch?v=FeRHKtaUEwo</t>
  </si>
  <si>
    <t>За всех</t>
  </si>
  <si>
    <t>https://www.youtube.com/watch?v=q2s2KyqwoHs</t>
  </si>
  <si>
    <t>Ты не моя пара</t>
  </si>
  <si>
    <t>Білан Дмитро &amp; Мари Краймбрери</t>
  </si>
  <si>
    <t>https://www.youtube.com/watch?v=epTLV0At66o</t>
  </si>
  <si>
    <t>Руки-бёдра</t>
  </si>
  <si>
    <t>Глюк'OZA</t>
  </si>
  <si>
    <t>https://www.youtube.com/watch?v=Ov3IFFbgzp4</t>
  </si>
  <si>
    <t>Плакала</t>
  </si>
  <si>
    <t>https://www.youtube.com/watch?v=avgGSm1ofAw</t>
  </si>
  <si>
    <t>Танцуй сама</t>
  </si>
  <si>
    <t>Скриптоніт</t>
  </si>
  <si>
    <t>https://www.youtube.com/watch?v=kBPu7Elrq1U</t>
  </si>
  <si>
    <t>Небо</t>
  </si>
  <si>
    <t>https://www.youtube.com/watch?v=symAfYX5QM8</t>
  </si>
  <si>
    <t>Кайфую без тебя</t>
  </si>
  <si>
    <t>Batrai</t>
  </si>
  <si>
    <t>https://www.youtube.com/watch?v=G1asv_H-_uY</t>
  </si>
  <si>
    <t>Infinity</t>
  </si>
  <si>
    <t>Jaymes Young</t>
  </si>
  <si>
    <t>https://www.youtube.com/watch?v=PWqEPKduGm8</t>
  </si>
  <si>
    <t>Отель (Live)</t>
  </si>
  <si>
    <t>Ненсі &amp; Ненсі Аджрам</t>
  </si>
  <si>
    <t>https://www.youtube.com/watch?v=zXp9FHfPq9M</t>
  </si>
  <si>
    <t>Как на войне</t>
  </si>
  <si>
    <t>Агата Крісті</t>
  </si>
  <si>
    <t>https://www.youtube.com/watch?v=W-YSYFkRNvg</t>
  </si>
  <si>
    <t>ТЫ НЕ КОРОЛЕВА</t>
  </si>
  <si>
    <t>Остап Парфёнов</t>
  </si>
  <si>
    <t>https://www.youtube.com/watch?v=4D54V133fG8</t>
  </si>
  <si>
    <t>Million</t>
  </si>
  <si>
    <t>https://www.youtube.com/watch?v=YdN6NjxRHwk</t>
  </si>
  <si>
    <t>Я всё решу (Intro)</t>
  </si>
  <si>
    <t>remember.</t>
  </si>
  <si>
    <t>https://www.youtube.com/watch?v=-QMBTGZAMvU</t>
  </si>
  <si>
    <t>Длинноногое счастье (Live)</t>
  </si>
  <si>
    <t>Оля Полякова &amp; Олег Винник</t>
  </si>
  <si>
    <t>https://www.youtube.com/watch?v=RFivRDMWTW4</t>
  </si>
  <si>
    <t>ветер Надежды (Live)</t>
  </si>
  <si>
    <t>https://www.youtube.com/watch?v=oUBh-sH1B7A</t>
  </si>
  <si>
    <t>Падший ангел</t>
  </si>
  <si>
    <t>https://www.youtube.com/watch?v=oxaBlsipgpI</t>
  </si>
  <si>
    <t>Услышит весь район</t>
  </si>
  <si>
    <t>https://www.youtube.com/watch?v=VWD40cBmEME</t>
  </si>
  <si>
    <t>Angels</t>
  </si>
  <si>
    <t>Niletto</t>
  </si>
  <si>
    <t>https://www.youtube.com/watch?v=E0ygYKo7ysU</t>
  </si>
  <si>
    <t>ГУФ</t>
  </si>
  <si>
    <t>Guf</t>
  </si>
  <si>
    <t>https://www.youtube.com/watch?v=huh7xdGC-aI</t>
  </si>
  <si>
    <t>Самая (feat. Amigo)</t>
  </si>
  <si>
    <t>https://www.youtube.com/watch?v=F2AGoX50gFg</t>
  </si>
  <si>
    <t>В стиле диско</t>
  </si>
  <si>
    <t>Vírus</t>
  </si>
  <si>
    <t>https://www.youtube.com/watch?v=8OKL6M7QbVk</t>
  </si>
  <si>
    <t>Вороны</t>
  </si>
  <si>
    <t>https://www.youtube.com/watch?v=giwhBDY7tgw</t>
  </si>
  <si>
    <t>Майбутність</t>
  </si>
  <si>
    <t>Артем Пивоваров &amp; KALUSH</t>
  </si>
  <si>
    <t>https://www.youtube.com/watch?v=SIU4x5iDkJo</t>
  </si>
  <si>
    <t>Разрывная</t>
  </si>
  <si>
    <t>https://www.youtube.com/watch?v=v7DKTopaoAs</t>
  </si>
  <si>
    <t>Афган</t>
  </si>
  <si>
    <t>https://www.youtube.com/watch?v=J4tlyR742GA</t>
  </si>
  <si>
    <t>Самолёт бумажный</t>
  </si>
  <si>
    <t>ELMAN</t>
  </si>
  <si>
    <t>https://www.youtube.com/watch?v=6grb6NRzwkU</t>
  </si>
  <si>
    <t>Не тримай</t>
  </si>
  <si>
    <t>https://www.youtube.com/watch?v=Iiajrij7Bhc</t>
  </si>
  <si>
    <t>No Exit</t>
  </si>
  <si>
    <t>https://www.youtube.com/watch?v=NvFe-fnoYYk</t>
  </si>
  <si>
    <t>Между нами война</t>
  </si>
  <si>
    <t>Султан Лагучев</t>
  </si>
  <si>
    <t>https://www.youtube.com/watch?v=iyIG6mryYIU</t>
  </si>
  <si>
    <t>Джованна</t>
  </si>
  <si>
    <t>Enrasta</t>
  </si>
  <si>
    <t>https://www.youtube.com/watch?v=X9-pV8pOQUA</t>
  </si>
  <si>
    <t>Black Summer</t>
  </si>
  <si>
    <t>Red Hot Chili Peppers</t>
  </si>
  <si>
    <t>https://www.youtube.com/watch?v=OS8taasZl8k</t>
  </si>
  <si>
    <t>ЛИФОН</t>
  </si>
  <si>
    <t>UNIQE, nkeeei, -- &amp; SAGARA</t>
  </si>
  <si>
    <t>https://www.youtube.com/watch?v=dxdv5gMCmEg</t>
  </si>
  <si>
    <t>Башня</t>
  </si>
  <si>
    <t>Danya Milohin &amp; Мумий Тролль</t>
  </si>
  <si>
    <t>https://www.youtube.com/watch?v=tV_qKmkQyB0</t>
  </si>
  <si>
    <t>Полковнику никто не пишет</t>
  </si>
  <si>
    <t>https://www.youtube.com/watch?v=1u7WN2zBEDc</t>
  </si>
  <si>
    <t>Голая</t>
  </si>
  <si>
    <t>https://www.youtube.com/watch?v=fou72UMdG0k</t>
  </si>
  <si>
    <t>И ЧТОЭ</t>
  </si>
  <si>
    <t>https://www.youtube.com/watch?v=04xRauelHnw</t>
  </si>
  <si>
    <t>Зеркала</t>
  </si>
  <si>
    <t>Григорій Лепс &amp; Ані Лорак</t>
  </si>
  <si>
    <t>https://www.youtube.com/watch?v=wDn4Qhx-uGo</t>
  </si>
  <si>
    <t>Танцы На Стёклах</t>
  </si>
  <si>
    <t>Sharliz &amp; FULLER</t>
  </si>
  <si>
    <t>https://www.youtube.com/watch?v=5cfHx-xCofA</t>
  </si>
  <si>
    <t>Весна</t>
  </si>
  <si>
    <t>https://www.youtube.com/watch?v=coYQKgWWdjc</t>
  </si>
  <si>
    <t>Синий цвет твоей любви</t>
  </si>
  <si>
    <t>https://www.youtube.com/watch?v=TBmCSYakpyM</t>
  </si>
  <si>
    <t>У окна</t>
  </si>
  <si>
    <t>https://www.youtube.com/watch?v=olOnunHLoUc</t>
  </si>
  <si>
    <t>Имя твоё</t>
  </si>
  <si>
    <t>Слава</t>
  </si>
  <si>
    <t>https://www.youtube.com/watch?v=Oc5-PR_dgSA</t>
  </si>
  <si>
    <t>Грехи</t>
  </si>
  <si>
    <t>Xassa &amp; Bodiev</t>
  </si>
  <si>
    <t>https://www.youtube.com/watch?v=SE5o3rxtIc4</t>
  </si>
  <si>
    <t>Кожура</t>
  </si>
  <si>
    <t>https://www.youtube.com/watch?v=hyim08jD4GI</t>
  </si>
  <si>
    <t>Зоопарк</t>
  </si>
  <si>
    <t>https://www.youtube.com/watch?v=owASkeQ8mM0</t>
  </si>
  <si>
    <t>Последний поцелуй (Poslednij potseluj)</t>
  </si>
  <si>
    <t>Руки Вверх! &amp; HammAli &amp; Navai</t>
  </si>
  <si>
    <t>https://www.youtube.com/watch?v=qykJJ81hNHg</t>
  </si>
  <si>
    <t>Ой, мороз</t>
  </si>
  <si>
    <t>Хабиб</t>
  </si>
  <si>
    <t>https://www.youtube.com/watch?v=0-FJINvE0QI</t>
  </si>
  <si>
    <t>ВЛЮБИЛАСЬ</t>
  </si>
  <si>
    <t>Єгор Ракітін &amp; Молодой Платон</t>
  </si>
  <si>
    <t>https://www.youtube.com/watch?v=oNsJohsG5zc</t>
  </si>
  <si>
    <t>WARLORD</t>
  </si>
  <si>
    <t>Джизус</t>
  </si>
  <si>
    <t>https://www.youtube.com/watch?v=FM7HAM3t_8A</t>
  </si>
  <si>
    <t>Свободная касса</t>
  </si>
  <si>
    <t>https://www.youtube.com/watch?v=sl30SNw6zIY</t>
  </si>
  <si>
    <t>Убью тебя</t>
  </si>
  <si>
    <t>ХАННА &amp; Міша Марвін</t>
  </si>
  <si>
    <t>https://www.youtube.com/watch?v=o2cneU3dBM4</t>
  </si>
  <si>
    <t>Дискотека из 90</t>
  </si>
  <si>
    <t>RaiM, Артур &amp; --</t>
  </si>
  <si>
    <t>https://www.youtube.com/watch?v=_9VBWSVTZh8</t>
  </si>
  <si>
    <t>Родина (Live)</t>
  </si>
  <si>
    <t>Назарій Яремчук &amp; Дмитро Яремчук</t>
  </si>
  <si>
    <t>https://www.youtube.com/watch?v=U16Y8fVTIGs</t>
  </si>
  <si>
    <t>Покаянная</t>
  </si>
  <si>
    <t>https://www.youtube.com/watch?v=W1Q8KjJ62hg</t>
  </si>
  <si>
    <t>3 слова</t>
  </si>
  <si>
    <t>Артем Качер</t>
  </si>
  <si>
    <t>https://www.youtube.com/watch?v=XDNx0-xX5mU</t>
  </si>
  <si>
    <t>Просто друг</t>
  </si>
  <si>
    <t>Джарахов &amp; Стас Костюшкин</t>
  </si>
  <si>
    <t>https://www.youtube.com/watch?v=Ot-J-9wA_Ko</t>
  </si>
  <si>
    <t>Домой</t>
  </si>
  <si>
    <t>https://www.youtube.com/watch?v=E8y3z-I9VP4</t>
  </si>
  <si>
    <t>Лиса</t>
  </si>
  <si>
    <t>https://www.youtube.com/watch?v=ylUpIJAukIo</t>
  </si>
  <si>
    <t>Корпоратив</t>
  </si>
  <si>
    <t>https://www.youtube.com/watch?v=fauUXGYa3fY</t>
  </si>
  <si>
    <t>Kolyan</t>
  </si>
  <si>
    <t>https://www.youtube.com/watch?v=3e6WQbmEjn0</t>
  </si>
  <si>
    <t>Оля</t>
  </si>
  <si>
    <t>https://www.youtube.com/watch?v=5FwkX6Zqw4U</t>
  </si>
  <si>
    <t>Фантазер</t>
  </si>
  <si>
    <t>ЯРОСЛАВ ЕВДОКИМОВ</t>
  </si>
  <si>
    <t>https://www.youtube.com/watch?v=Sbg3UcBOwng</t>
  </si>
  <si>
    <t>Это любовь</t>
  </si>
  <si>
    <t>https://www.youtube.com/watch?v=wnj3zNd4FPQ</t>
  </si>
  <si>
    <t>Москва - Владивосток</t>
  </si>
  <si>
    <t>Іслам Ітляшев &amp; Ірина Круг</t>
  </si>
  <si>
    <t>https://www.youtube.com/watch?v=ty4c2ehCYiQ</t>
  </si>
  <si>
    <t>Горький вкус</t>
  </si>
  <si>
    <t>https://www.youtube.com/watch?v=Bx8Fo7WRpXg</t>
  </si>
  <si>
    <t>KOSMONAVT</t>
  </si>
  <si>
    <t>DAVA</t>
  </si>
  <si>
    <t>https://www.youtube.com/watch?v=TWj1_mx6sgE</t>
  </si>
  <si>
    <t>Пока так</t>
  </si>
  <si>
    <t>https://www.youtube.com/watch?v=QsneapmSokk</t>
  </si>
  <si>
    <t>ZAVTRA</t>
  </si>
  <si>
    <t>Mozgi</t>
  </si>
  <si>
    <t>https://www.youtube.com/watch?v=SjWuGoja8L4</t>
  </si>
  <si>
    <t>love nwantiti (ah ah ah) (feat. Kuami Eugene)</t>
  </si>
  <si>
    <t>CKay</t>
  </si>
  <si>
    <t>https://www.youtube.com/watch?v=MxjrsDV8Aeo</t>
  </si>
  <si>
    <t>Я в моменте</t>
  </si>
  <si>
    <t>Джарахов &amp; Markul</t>
  </si>
  <si>
    <t>https://www.youtube.com/watch?v=gs-H9z2h0TA</t>
  </si>
  <si>
    <t>20К</t>
  </si>
  <si>
    <t>KUSH LOVERS</t>
  </si>
  <si>
    <t>https://www.youtube.com/watch?v=-wLclLWetGg</t>
  </si>
  <si>
    <t>I do not believe</t>
  </si>
  <si>
    <t>Григорій Лепс &amp; Аллегрова Ірина</t>
  </si>
  <si>
    <t>https://www.youtube.com/watch?v=jt0xdbjVazM</t>
  </si>
  <si>
    <t>Brooklyn (feat. TumaniYO)</t>
  </si>
  <si>
    <t>https://www.youtube.com/watch?v=mhwmB95EX1A</t>
  </si>
  <si>
    <t>CRY</t>
  </si>
  <si>
    <t>https://www.youtube.com/watch?v=5C866DKUIMM</t>
  </si>
  <si>
    <t>Артур Пирожков</t>
  </si>
  <si>
    <t>Ревва Олександр Володимирович</t>
  </si>
  <si>
    <t>https://www.youtube.com/watch?v=47JI4G-qYmc</t>
  </si>
  <si>
    <t>Sugar (Ablaikan Remix)</t>
  </si>
  <si>
    <t>Zubi, Anatu &amp; Ablaikan</t>
  </si>
  <si>
    <t>https://www.youtube.com/watch?v=ifRXxjV-kec</t>
  </si>
  <si>
    <t>Олександр Валерійович Пономарьов,  Ірина Білик, Тіна Кароль, Олег Юрійович Скрипка, DZIDZIO &amp; Алєксєєв Микита Володимирович</t>
  </si>
  <si>
    <t>Всё пройдёт</t>
  </si>
  <si>
    <t>https://www.youtube.com/watch?v=Vd1JCJb9mw0</t>
  </si>
  <si>
    <t>#ДІД_ВМОРОЗ</t>
  </si>
  <si>
    <t>https://www.youtube.com/watch?v=tMHFIyTWfdM</t>
  </si>
  <si>
    <t>Хали-гаги, паратрупер</t>
  </si>
  <si>
    <t>Лєпріконси</t>
  </si>
  <si>
    <t>https://www.youtube.com/watch?v=rUd2diUWDyI</t>
  </si>
  <si>
    <t>Sacrifice</t>
  </si>
  <si>
    <t>https://www.youtube.com/watch?v=VafTMsrnSTU</t>
  </si>
  <si>
    <t>Он тебя целует</t>
  </si>
  <si>
    <t>Руки Вверх!</t>
  </si>
  <si>
    <t>https://www.youtube.com/watch?v=phxQFEH51SE</t>
  </si>
  <si>
    <t>Останься</t>
  </si>
  <si>
    <t>NЮ &amp; Асия</t>
  </si>
  <si>
    <t>https://www.youtube.com/watch?v=k3eNvXs9f5k</t>
  </si>
  <si>
    <t>БРОДЯГА (feat. Александрос Тсопозідіс)</t>
  </si>
  <si>
    <t>Ельбрус Джанмірзоєв</t>
  </si>
  <si>
    <t>https://www.youtube.com/watch?v=z9ASjQE6Q2Y</t>
  </si>
  <si>
    <t>Пьяная ночь (KalashnikoFF Remix)</t>
  </si>
  <si>
    <t>https://www.youtube.com/watch?v=0dySStjj_w0</t>
  </si>
  <si>
    <t>Сергій Лазарєв &amp; Влад Топалов</t>
  </si>
  <si>
    <t>https://www.youtube.com/watch?v=nimJlrO8L3E</t>
  </si>
  <si>
    <t>ВИТОН 2</t>
  </si>
  <si>
    <t>MONEYKEN &amp; Instasamka</t>
  </si>
  <si>
    <t>https://www.youtube.com/watch?v=nb_irflpef8</t>
  </si>
  <si>
    <t>По ресторанам [Dj Fat Maxx Remix]</t>
  </si>
  <si>
    <t>Руслан Набієв &amp; Dj Fat Maxx</t>
  </si>
  <si>
    <t>https://www.youtube.com/watch?v=TXk_lpDIqRY</t>
  </si>
  <si>
    <t>Гоп-Гоп-Гоп</t>
  </si>
  <si>
    <t>https://www.youtube.com/watch?v=lXI_T_9uU6s</t>
  </si>
  <si>
    <t>Любимая (Live)</t>
  </si>
  <si>
    <t>Григорій Лепс &amp; Юрій Антонов</t>
  </si>
  <si>
    <t>https://www.youtube.com/watch?v=gEEcf_LwBkU</t>
  </si>
  <si>
    <t>Чистый лист</t>
  </si>
  <si>
    <t>Ненсі</t>
  </si>
  <si>
    <t>https://www.youtube.com/watch?v=YnJDnG1eueE</t>
  </si>
  <si>
    <t>VESNA305</t>
  </si>
  <si>
    <t>https://www.youtube.com/watch?v=4Q29KPdNMWk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</si>
</sst>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.mm\.yyyy"/>
  </numFmts>
  <fonts count="11">
    <font>
      <sz val="10"/>
      <color rgb="FF000000"/>
      <name val="Calibri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rgb="FF202124"/>
      <name val="Arial"/>
    </font>
    <font>
      <sz val="10"/>
      <color rgb="FF222222"/>
      <name val="Arial"/>
    </font>
    <font>
      <sz val="10"/>
      <color theme="1"/>
      <name val="Calibri"/>
      <scheme val="minor"/>
    </font>
    <font>
      <sz val="11"/>
      <color theme="1"/>
      <name val="Calibri"/>
    </font>
    <font>
      <sz val="11"/>
      <color theme="1"/>
      <name val="Docs-Calibri"/>
    </font>
    <font>
      <sz val="10"/>
      <color rgb="FF000000"/>
      <name val="Arial"/>
    </font>
    <font>
      <u/>
      <sz val="10"/>
      <color rgb="FF0000FF"/>
      <name val="Calibri"/>
    </font>
    <font>
      <b/>
      <sz val="10"/>
      <color theme="1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C9DAF8"/>
        <bgColor rgb="FFC9DAF8"/>
      </patternFill>
    </fill>
    <fill>
      <patternFill patternType="solid">
        <fgColor rgb="FFF4CCCC"/>
        <bgColor rgb="FFF4CCCC"/>
      </patternFill>
    </fill>
    <fill>
      <patternFill patternType="solid">
        <fgColor rgb="FFFFF2CC"/>
        <bgColor rgb="FFFFF2CC"/>
      </patternFill>
    </fill>
    <fill>
      <patternFill patternType="solid">
        <fgColor rgb="FFFFFFFF"/>
        <bgColor rgb="FFFFFFFF"/>
      </patternFill>
    </fill>
    <fill>
      <patternFill patternType="solid">
        <fgColor rgb="FF46BDC6"/>
        <bgColor rgb="FF46BDC6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/>
      <right style="thick">
        <color rgb="FFFFFFFF"/>
      </right>
      <top/>
      <bottom/>
      <diagonal/>
    </border>
    <border>
      <left style="thick">
        <color rgb="FFFFFFFF"/>
      </left>
      <right/>
      <top/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right"/>
    </xf>
    <xf numFmtId="0" fontId="1" fillId="2" borderId="0" xfId="0" applyFont="1" applyFill="1" applyAlignment="1">
      <alignment horizontal="right" wrapText="1"/>
    </xf>
    <xf numFmtId="0" fontId="2" fillId="2" borderId="1" xfId="0" applyFont="1" applyFill="1" applyBorder="1"/>
    <xf numFmtId="0" fontId="1" fillId="3" borderId="0" xfId="0" applyFont="1" applyFill="1" applyAlignment="1">
      <alignment horizontal="right" wrapText="1"/>
    </xf>
    <xf numFmtId="0" fontId="2" fillId="3" borderId="1" xfId="0" applyFont="1" applyFill="1" applyBorder="1"/>
    <xf numFmtId="0" fontId="1" fillId="4" borderId="0" xfId="0" applyFont="1" applyFill="1" applyAlignment="1">
      <alignment horizontal="right" wrapText="1"/>
    </xf>
    <xf numFmtId="0" fontId="2" fillId="4" borderId="1" xfId="0" applyFont="1" applyFill="1" applyBorder="1"/>
    <xf numFmtId="0" fontId="1" fillId="0" borderId="0" xfId="0" applyFont="1" applyAlignment="1">
      <alignment horizontal="right"/>
    </xf>
    <xf numFmtId="0" fontId="2" fillId="0" borderId="0" xfId="0" applyFont="1"/>
    <xf numFmtId="3" fontId="3" fillId="5" borderId="1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right"/>
    </xf>
    <xf numFmtId="3" fontId="2" fillId="2" borderId="1" xfId="0" applyNumberFormat="1" applyFont="1" applyFill="1" applyBorder="1" applyAlignment="1">
      <alignment horizontal="right"/>
    </xf>
    <xf numFmtId="0" fontId="2" fillId="3" borderId="0" xfId="0" applyFont="1" applyFill="1" applyAlignment="1">
      <alignment horizontal="right"/>
    </xf>
    <xf numFmtId="3" fontId="2" fillId="3" borderId="1" xfId="0" applyNumberFormat="1" applyFont="1" applyFill="1" applyBorder="1" applyAlignment="1">
      <alignment horizontal="right"/>
    </xf>
    <xf numFmtId="0" fontId="2" fillId="4" borderId="0" xfId="0" applyFont="1" applyFill="1" applyAlignment="1">
      <alignment horizontal="right"/>
    </xf>
    <xf numFmtId="3" fontId="2" fillId="4" borderId="1" xfId="0" applyNumberFormat="1" applyFont="1" applyFill="1" applyBorder="1" applyAlignment="1">
      <alignment horizontal="right"/>
    </xf>
    <xf numFmtId="164" fontId="4" fillId="5" borderId="2" xfId="0" applyNumberFormat="1" applyFont="1" applyFill="1" applyBorder="1" applyAlignment="1">
      <alignment horizontal="right"/>
    </xf>
    <xf numFmtId="0" fontId="2" fillId="0" borderId="0" xfId="0" applyFont="1" applyAlignment="1">
      <alignment horizontal="right"/>
    </xf>
    <xf numFmtId="0" fontId="4" fillId="5" borderId="2" xfId="0" applyFont="1" applyFill="1" applyBorder="1" applyAlignment="1">
      <alignment horizontal="right"/>
    </xf>
    <xf numFmtId="0" fontId="5" fillId="0" borderId="0" xfId="0" applyFont="1"/>
    <xf numFmtId="0" fontId="2" fillId="0" borderId="2" xfId="0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0" fontId="2" fillId="0" borderId="2" xfId="0" applyFont="1" applyBorder="1"/>
    <xf numFmtId="3" fontId="2" fillId="0" borderId="0" xfId="0" applyNumberFormat="1" applyFont="1"/>
    <xf numFmtId="0" fontId="2" fillId="2" borderId="2" xfId="0" applyFont="1" applyFill="1" applyBorder="1"/>
    <xf numFmtId="3" fontId="2" fillId="2" borderId="1" xfId="0" applyNumberFormat="1" applyFont="1" applyFill="1" applyBorder="1"/>
    <xf numFmtId="0" fontId="2" fillId="3" borderId="2" xfId="0" applyFont="1" applyFill="1" applyBorder="1"/>
    <xf numFmtId="3" fontId="2" fillId="3" borderId="1" xfId="0" applyNumberFormat="1" applyFont="1" applyFill="1" applyBorder="1"/>
    <xf numFmtId="0" fontId="2" fillId="4" borderId="2" xfId="0" applyFont="1" applyFill="1" applyBorder="1"/>
    <xf numFmtId="3" fontId="2" fillId="4" borderId="1" xfId="0" applyNumberFormat="1" applyFont="1" applyFill="1" applyBorder="1"/>
    <xf numFmtId="0" fontId="2" fillId="5" borderId="0" xfId="0" applyFont="1" applyFill="1"/>
    <xf numFmtId="0" fontId="6" fillId="0" borderId="0" xfId="0" applyFont="1"/>
    <xf numFmtId="0" fontId="7" fillId="5" borderId="0" xfId="0" applyFont="1" applyFill="1"/>
    <xf numFmtId="0" fontId="8" fillId="5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1" fillId="6" borderId="0" xfId="0" applyFont="1" applyFill="1"/>
    <xf numFmtId="0" fontId="9" fillId="0" borderId="0" xfId="0" applyFont="1"/>
    <xf numFmtId="0" fontId="2" fillId="7" borderId="0" xfId="0" applyFont="1" applyFill="1" applyAlignment="1">
      <alignment horizontal="right"/>
    </xf>
    <xf numFmtId="0" fontId="2" fillId="7" borderId="0" xfId="0" applyFont="1" applyFill="1"/>
    <xf numFmtId="9" fontId="5" fillId="0" borderId="0" xfId="0" applyNumberFormat="1" applyFont="1"/>
    <xf numFmtId="10" fontId="6" fillId="0" borderId="0" xfId="0" applyNumberFormat="1" applyFont="1"/>
    <xf numFmtId="9" fontId="6" fillId="0" borderId="0" xfId="0" applyNumberFormat="1" applyFont="1"/>
    <xf numFmtId="18" fontId="6" fillId="0" borderId="0" xfId="0" applyNumberFormat="1" applyFont="1"/>
    <xf numFmtId="0" fontId="10" fillId="0" borderId="0" xfId="0" applyFont="1"/>
  </cellXfs>
  <cellStyles count="1">
    <cellStyle name="Звичайний" xfId="0" builtinId="0"/>
  </cellStyles>
  <dxfs count="122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0000"/>
          <bgColor rgb="FFFF00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calcChain" Target="calcChain.xml"/><Relationship Id="rId5" Type="http://schemas.openxmlformats.org/officeDocument/2006/relationships/worksheet" Target="worksheets/sheet5.xml"/><Relationship Id="rId61" Type="http://schemas.openxmlformats.org/officeDocument/2006/relationships/worksheet" Target="worksheets/sheet61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tyles" Target="style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Cf2ASJCa_Iw" TargetMode="External"/><Relationship Id="rId21" Type="http://schemas.openxmlformats.org/officeDocument/2006/relationships/hyperlink" Target="https://www.youtube.com/watch?v=62MxX43jHXs" TargetMode="External"/><Relationship Id="rId42" Type="http://schemas.openxmlformats.org/officeDocument/2006/relationships/hyperlink" Target="https://www.youtube.com/watch?v=vYMTs-AP9_Q" TargetMode="External"/><Relationship Id="rId47" Type="http://schemas.openxmlformats.org/officeDocument/2006/relationships/hyperlink" Target="https://www.youtube.com/watch?v=wtuVa-mOknA" TargetMode="External"/><Relationship Id="rId63" Type="http://schemas.openxmlformats.org/officeDocument/2006/relationships/hyperlink" Target="https://www.youtube.com/watch?v=S9bCLPwzSC0" TargetMode="External"/><Relationship Id="rId68" Type="http://schemas.openxmlformats.org/officeDocument/2006/relationships/hyperlink" Target="https://www.youtube.com/watch?v=bSPKqa-jXSI" TargetMode="External"/><Relationship Id="rId84" Type="http://schemas.openxmlformats.org/officeDocument/2006/relationships/hyperlink" Target="https://www.youtube.com/watch?v=bESGLojNYSo" TargetMode="External"/><Relationship Id="rId89" Type="http://schemas.openxmlformats.org/officeDocument/2006/relationships/hyperlink" Target="https://www.youtube.com/watch?v=Ey_ptHK9tx0" TargetMode="External"/><Relationship Id="rId16" Type="http://schemas.openxmlformats.org/officeDocument/2006/relationships/hyperlink" Target="https://www.youtube.com/watch?v=g9EUQ4vdebQ" TargetMode="External"/><Relationship Id="rId11" Type="http://schemas.openxmlformats.org/officeDocument/2006/relationships/hyperlink" Target="https://www.youtube.com/watch?v=n9loCK--fGA" TargetMode="External"/><Relationship Id="rId32" Type="http://schemas.openxmlformats.org/officeDocument/2006/relationships/hyperlink" Target="https://www.youtube.com/watch?v=fRuiEv3JRDQ" TargetMode="External"/><Relationship Id="rId37" Type="http://schemas.openxmlformats.org/officeDocument/2006/relationships/hyperlink" Target="https://www.youtube.com/watch?v=PyVSfWyEdNs" TargetMode="External"/><Relationship Id="rId53" Type="http://schemas.openxmlformats.org/officeDocument/2006/relationships/hyperlink" Target="https://www.youtube.com/watch?v=ZzvbP0dYSAI" TargetMode="External"/><Relationship Id="rId58" Type="http://schemas.openxmlformats.org/officeDocument/2006/relationships/hyperlink" Target="https://www.youtube.com/watch?v=JulDOMKkE70" TargetMode="External"/><Relationship Id="rId74" Type="http://schemas.openxmlformats.org/officeDocument/2006/relationships/hyperlink" Target="https://www.youtube.com/watch?v=j-01vjVUMlY" TargetMode="External"/><Relationship Id="rId79" Type="http://schemas.openxmlformats.org/officeDocument/2006/relationships/hyperlink" Target="https://www.youtube.com/watch?v=KDxJlW6cxRk" TargetMode="External"/><Relationship Id="rId5" Type="http://schemas.openxmlformats.org/officeDocument/2006/relationships/hyperlink" Target="https://www.youtube.com/watch?v=m0u7iM6Xwxw" TargetMode="External"/><Relationship Id="rId90" Type="http://schemas.openxmlformats.org/officeDocument/2006/relationships/hyperlink" Target="https://www.youtube.com/watch?v=N6s8qrfmkSc" TargetMode="External"/><Relationship Id="rId95" Type="http://schemas.openxmlformats.org/officeDocument/2006/relationships/hyperlink" Target="https://www.youtube.com/watch?v=5CGW2VYU6-A" TargetMode="External"/><Relationship Id="rId22" Type="http://schemas.openxmlformats.org/officeDocument/2006/relationships/hyperlink" Target="https://www.youtube.com/watch?v=XKMoVAObbhE" TargetMode="External"/><Relationship Id="rId27" Type="http://schemas.openxmlformats.org/officeDocument/2006/relationships/hyperlink" Target="https://www.youtube.com/watch?v=b9EJWtj5ZjI" TargetMode="External"/><Relationship Id="rId43" Type="http://schemas.openxmlformats.org/officeDocument/2006/relationships/hyperlink" Target="https://www.youtube.com/watch?v=mYcl6p3oiCc" TargetMode="External"/><Relationship Id="rId48" Type="http://schemas.openxmlformats.org/officeDocument/2006/relationships/hyperlink" Target="https://www.youtube.com/watch?v=1j4qxGVxxhg" TargetMode="External"/><Relationship Id="rId64" Type="http://schemas.openxmlformats.org/officeDocument/2006/relationships/hyperlink" Target="https://www.youtube.com/watch?v=AXO2i4Edl1c" TargetMode="External"/><Relationship Id="rId69" Type="http://schemas.openxmlformats.org/officeDocument/2006/relationships/hyperlink" Target="https://www.youtube.com/watch?v=iYePSq0UOfA" TargetMode="External"/><Relationship Id="rId80" Type="http://schemas.openxmlformats.org/officeDocument/2006/relationships/hyperlink" Target="https://www.youtube.com/watch?v=oSHzUD-uqKY" TargetMode="External"/><Relationship Id="rId85" Type="http://schemas.openxmlformats.org/officeDocument/2006/relationships/hyperlink" Target="https://www.youtube.com/watch?v=zY5KWvwZ7bY" TargetMode="External"/><Relationship Id="rId3" Type="http://schemas.openxmlformats.org/officeDocument/2006/relationships/hyperlink" Target="https://www.youtube.com/watch?v=ia50r3fa67s" TargetMode="External"/><Relationship Id="rId12" Type="http://schemas.openxmlformats.org/officeDocument/2006/relationships/hyperlink" Target="https://www.youtube.com/watch?v=CSoCoSHyU5Y" TargetMode="External"/><Relationship Id="rId17" Type="http://schemas.openxmlformats.org/officeDocument/2006/relationships/hyperlink" Target="https://www.youtube.com/watch?v=op2JkITZKd4" TargetMode="External"/><Relationship Id="rId25" Type="http://schemas.openxmlformats.org/officeDocument/2006/relationships/hyperlink" Target="https://www.youtube.com/watch?v=vRQUhObXDGU" TargetMode="External"/><Relationship Id="rId33" Type="http://schemas.openxmlformats.org/officeDocument/2006/relationships/hyperlink" Target="https://www.youtube.com/watch?v=A3iPwFeleY8" TargetMode="External"/><Relationship Id="rId38" Type="http://schemas.openxmlformats.org/officeDocument/2006/relationships/hyperlink" Target="https://www.youtube.com/watch?v=7AYy77bxaB0" TargetMode="External"/><Relationship Id="rId46" Type="http://schemas.openxmlformats.org/officeDocument/2006/relationships/hyperlink" Target="https://www.youtube.com/watch?v=abqLDv5LlHE" TargetMode="External"/><Relationship Id="rId59" Type="http://schemas.openxmlformats.org/officeDocument/2006/relationships/hyperlink" Target="https://www.youtube.com/watch?v=ayDNTDcZok8" TargetMode="External"/><Relationship Id="rId67" Type="http://schemas.openxmlformats.org/officeDocument/2006/relationships/hyperlink" Target="https://www.youtube.com/watch?v=NeQM1c-XCDc" TargetMode="External"/><Relationship Id="rId20" Type="http://schemas.openxmlformats.org/officeDocument/2006/relationships/hyperlink" Target="https://www.youtube.com/watch?v=cdEEffF7_rU" TargetMode="External"/><Relationship Id="rId41" Type="http://schemas.openxmlformats.org/officeDocument/2006/relationships/hyperlink" Target="https://www.youtube.com/watch?v=rHaw1MpOIzg" TargetMode="External"/><Relationship Id="rId54" Type="http://schemas.openxmlformats.org/officeDocument/2006/relationships/hyperlink" Target="https://www.youtube.com/watch?v=ZdcEZihKqKg" TargetMode="External"/><Relationship Id="rId62" Type="http://schemas.openxmlformats.org/officeDocument/2006/relationships/hyperlink" Target="https://www.youtube.com/watch?v=mZGb_R_dmeA" TargetMode="External"/><Relationship Id="rId70" Type="http://schemas.openxmlformats.org/officeDocument/2006/relationships/hyperlink" Target="https://www.youtube.com/watch?v=h54g3lvGhaI" TargetMode="External"/><Relationship Id="rId75" Type="http://schemas.openxmlformats.org/officeDocument/2006/relationships/hyperlink" Target="https://www.youtube.com/watch?v=FB66mdrur5g" TargetMode="External"/><Relationship Id="rId83" Type="http://schemas.openxmlformats.org/officeDocument/2006/relationships/hyperlink" Target="https://www.youtube.com/watch?v=OVh0bMNSFss" TargetMode="External"/><Relationship Id="rId88" Type="http://schemas.openxmlformats.org/officeDocument/2006/relationships/hyperlink" Target="https://www.youtube.com/watch?v=YaEG2aWJnZ8" TargetMode="External"/><Relationship Id="rId91" Type="http://schemas.openxmlformats.org/officeDocument/2006/relationships/hyperlink" Target="https://www.youtube.com/watch?v=3j04SfhznVE" TargetMode="External"/><Relationship Id="rId96" Type="http://schemas.openxmlformats.org/officeDocument/2006/relationships/hyperlink" Target="https://www.youtube.com/watch?v=ruBsGe2HLmQ" TargetMode="External"/><Relationship Id="rId1" Type="http://schemas.openxmlformats.org/officeDocument/2006/relationships/hyperlink" Target="https://www.youtube.com/watch?v=OmqLVrUXsTQ" TargetMode="External"/><Relationship Id="rId6" Type="http://schemas.openxmlformats.org/officeDocument/2006/relationships/hyperlink" Target="https://www.youtube.com/watch?v=w9l7hWlRJ5w" TargetMode="External"/><Relationship Id="rId15" Type="http://schemas.openxmlformats.org/officeDocument/2006/relationships/hyperlink" Target="https://www.youtube.com/watch?v=mOOClonYKmc" TargetMode="External"/><Relationship Id="rId23" Type="http://schemas.openxmlformats.org/officeDocument/2006/relationships/hyperlink" Target="https://www.youtube.com/watch?v=-ZuCAA_93wc" TargetMode="External"/><Relationship Id="rId28" Type="http://schemas.openxmlformats.org/officeDocument/2006/relationships/hyperlink" Target="https://www.youtube.com/watch?v=he1v2LSai5U" TargetMode="External"/><Relationship Id="rId36" Type="http://schemas.openxmlformats.org/officeDocument/2006/relationships/hyperlink" Target="https://www.youtube.com/watch?v=1gxLVS3erwM" TargetMode="External"/><Relationship Id="rId49" Type="http://schemas.openxmlformats.org/officeDocument/2006/relationships/hyperlink" Target="https://www.youtube.com/watch?v=0o0iK-ufovM" TargetMode="External"/><Relationship Id="rId57" Type="http://schemas.openxmlformats.org/officeDocument/2006/relationships/hyperlink" Target="https://www.youtube.com/watch?v=osb8QXubZD0" TargetMode="External"/><Relationship Id="rId10" Type="http://schemas.openxmlformats.org/officeDocument/2006/relationships/hyperlink" Target="https://www.youtube.com/watch?v=qqrLTNqAfWs" TargetMode="External"/><Relationship Id="rId31" Type="http://schemas.openxmlformats.org/officeDocument/2006/relationships/hyperlink" Target="https://www.youtube.com/watch?v=NjDMzkRbSZI" TargetMode="External"/><Relationship Id="rId44" Type="http://schemas.openxmlformats.org/officeDocument/2006/relationships/hyperlink" Target="https://www.youtube.com/watch?v=wXm0qsIlAbg" TargetMode="External"/><Relationship Id="rId52" Type="http://schemas.openxmlformats.org/officeDocument/2006/relationships/hyperlink" Target="https://www.youtube.com/watch?v=lJvRohYSrZM" TargetMode="External"/><Relationship Id="rId60" Type="http://schemas.openxmlformats.org/officeDocument/2006/relationships/hyperlink" Target="https://www.youtube.com/watch?v=u-gaETffwYM" TargetMode="External"/><Relationship Id="rId65" Type="http://schemas.openxmlformats.org/officeDocument/2006/relationships/hyperlink" Target="https://www.youtube.com/watch?v=1H_83aLO0rk" TargetMode="External"/><Relationship Id="rId73" Type="http://schemas.openxmlformats.org/officeDocument/2006/relationships/hyperlink" Target="https://www.youtube.com/watch?v=cKzWHv4ivoI" TargetMode="External"/><Relationship Id="rId78" Type="http://schemas.openxmlformats.org/officeDocument/2006/relationships/hyperlink" Target="https://www.youtube.com/watch?v=R0ebIzABQm0" TargetMode="External"/><Relationship Id="rId81" Type="http://schemas.openxmlformats.org/officeDocument/2006/relationships/hyperlink" Target="https://www.youtube.com/watch?v=MTQ32tMs53c" TargetMode="External"/><Relationship Id="rId86" Type="http://schemas.openxmlformats.org/officeDocument/2006/relationships/hyperlink" Target="https://www.youtube.com/watch?v=UAGNwAh45Xg" TargetMode="External"/><Relationship Id="rId94" Type="http://schemas.openxmlformats.org/officeDocument/2006/relationships/hyperlink" Target="https://www.youtube.com/watch?v=glkSGJU-yLw" TargetMode="External"/><Relationship Id="rId99" Type="http://schemas.openxmlformats.org/officeDocument/2006/relationships/hyperlink" Target="https://www.youtube.com/watch?v=BX0lKSa_PTk" TargetMode="External"/><Relationship Id="rId4" Type="http://schemas.openxmlformats.org/officeDocument/2006/relationships/hyperlink" Target="https://www.youtube.com/watch?v=G7KNmW9a75Y" TargetMode="External"/><Relationship Id="rId9" Type="http://schemas.openxmlformats.org/officeDocument/2006/relationships/hyperlink" Target="https://www.youtube.com/watch?v=Ryfm-7ZrL-Y" TargetMode="External"/><Relationship Id="rId13" Type="http://schemas.openxmlformats.org/officeDocument/2006/relationships/hyperlink" Target="https://www.youtube.com/watch?v=iZEca2A3tS4" TargetMode="External"/><Relationship Id="rId18" Type="http://schemas.openxmlformats.org/officeDocument/2006/relationships/hyperlink" Target="https://www.youtube.com/watch?v=N9zc1Npy9iE" TargetMode="External"/><Relationship Id="rId39" Type="http://schemas.openxmlformats.org/officeDocument/2006/relationships/hyperlink" Target="https://www.youtube.com/watch?v=VFwmKL5OL-Q" TargetMode="External"/><Relationship Id="rId34" Type="http://schemas.openxmlformats.org/officeDocument/2006/relationships/hyperlink" Target="https://www.youtube.com/watch?v=lV9q901vS6o" TargetMode="External"/><Relationship Id="rId50" Type="http://schemas.openxmlformats.org/officeDocument/2006/relationships/hyperlink" Target="https://www.youtube.com/watch?v=zGJePzQHKLg" TargetMode="External"/><Relationship Id="rId55" Type="http://schemas.openxmlformats.org/officeDocument/2006/relationships/hyperlink" Target="https://www.youtube.com/watch?v=C96ielMqDbQ" TargetMode="External"/><Relationship Id="rId76" Type="http://schemas.openxmlformats.org/officeDocument/2006/relationships/hyperlink" Target="https://www.youtube.com/watch?v=CzyyTmb9gbg" TargetMode="External"/><Relationship Id="rId97" Type="http://schemas.openxmlformats.org/officeDocument/2006/relationships/hyperlink" Target="https://www.youtube.com/watch?v=QtXAkmx3SfI" TargetMode="External"/><Relationship Id="rId7" Type="http://schemas.openxmlformats.org/officeDocument/2006/relationships/hyperlink" Target="https://www.youtube.com/watch?v=024jiVWdPqA" TargetMode="External"/><Relationship Id="rId71" Type="http://schemas.openxmlformats.org/officeDocument/2006/relationships/hyperlink" Target="https://www.youtube.com/watch?v=5CvzbWXn7_U" TargetMode="External"/><Relationship Id="rId92" Type="http://schemas.openxmlformats.org/officeDocument/2006/relationships/hyperlink" Target="https://www.youtube.com/watch?v=StZcUAPRRac" TargetMode="External"/><Relationship Id="rId2" Type="http://schemas.openxmlformats.org/officeDocument/2006/relationships/hyperlink" Target="https://www.youtube.com/watch?v=ed0aLnuNw_U" TargetMode="External"/><Relationship Id="rId29" Type="http://schemas.openxmlformats.org/officeDocument/2006/relationships/hyperlink" Target="https://www.youtube.com/watch?v=2eqMmPBvXQo" TargetMode="External"/><Relationship Id="rId24" Type="http://schemas.openxmlformats.org/officeDocument/2006/relationships/hyperlink" Target="https://www.youtube.com/watch?v=nFet6yCeOPk" TargetMode="External"/><Relationship Id="rId40" Type="http://schemas.openxmlformats.org/officeDocument/2006/relationships/hyperlink" Target="https://www.youtube.com/watch?v=N7fV2TaLTEQ" TargetMode="External"/><Relationship Id="rId45" Type="http://schemas.openxmlformats.org/officeDocument/2006/relationships/hyperlink" Target="https://www.youtube.com/watch?v=UYXcryt21m8" TargetMode="External"/><Relationship Id="rId66" Type="http://schemas.openxmlformats.org/officeDocument/2006/relationships/hyperlink" Target="https://www.youtube.com/watch?v=90RLzVUuXe4" TargetMode="External"/><Relationship Id="rId87" Type="http://schemas.openxmlformats.org/officeDocument/2006/relationships/hyperlink" Target="https://www.youtube.com/watch?v=vvcmuEumLlA" TargetMode="External"/><Relationship Id="rId61" Type="http://schemas.openxmlformats.org/officeDocument/2006/relationships/hyperlink" Target="https://www.youtube.com/watch?v=T_Pep6MW1wc" TargetMode="External"/><Relationship Id="rId82" Type="http://schemas.openxmlformats.org/officeDocument/2006/relationships/hyperlink" Target="https://www.youtube.com/watch?v=lWA2pjMjpBs" TargetMode="External"/><Relationship Id="rId19" Type="http://schemas.openxmlformats.org/officeDocument/2006/relationships/hyperlink" Target="https://www.youtube.com/watch?v=vCNmvFIFQ-I" TargetMode="External"/><Relationship Id="rId14" Type="http://schemas.openxmlformats.org/officeDocument/2006/relationships/hyperlink" Target="https://www.youtube.com/watch?v=dZzfjLPC-Rk" TargetMode="External"/><Relationship Id="rId30" Type="http://schemas.openxmlformats.org/officeDocument/2006/relationships/hyperlink" Target="https://www.youtube.com/watch?v=OdgBmb8LXKM" TargetMode="External"/><Relationship Id="rId35" Type="http://schemas.openxmlformats.org/officeDocument/2006/relationships/hyperlink" Target="https://www.youtube.com/watch?v=vCgxufg6xzE" TargetMode="External"/><Relationship Id="rId56" Type="http://schemas.openxmlformats.org/officeDocument/2006/relationships/hyperlink" Target="https://www.youtube.com/watch?v=l3vQ0pczKnE" TargetMode="External"/><Relationship Id="rId77" Type="http://schemas.openxmlformats.org/officeDocument/2006/relationships/hyperlink" Target="https://www.youtube.com/watch?v=UkELKl1etsM" TargetMode="External"/><Relationship Id="rId100" Type="http://schemas.openxmlformats.org/officeDocument/2006/relationships/hyperlink" Target="https://www.youtube.com/watch?v=YhDN5ef2fr0" TargetMode="External"/><Relationship Id="rId8" Type="http://schemas.openxmlformats.org/officeDocument/2006/relationships/hyperlink" Target="https://www.youtube.com/watch?v=-BaUkgUgyEE" TargetMode="External"/><Relationship Id="rId51" Type="http://schemas.openxmlformats.org/officeDocument/2006/relationships/hyperlink" Target="https://www.youtube.com/watch?v=F9mMnWcYXQ0" TargetMode="External"/><Relationship Id="rId72" Type="http://schemas.openxmlformats.org/officeDocument/2006/relationships/hyperlink" Target="https://www.youtube.com/watch?v=SA7AIQw-7Ms" TargetMode="External"/><Relationship Id="rId93" Type="http://schemas.openxmlformats.org/officeDocument/2006/relationships/hyperlink" Target="https://www.youtube.com/watch?v=EGLoIaHwKfE" TargetMode="External"/><Relationship Id="rId98" Type="http://schemas.openxmlformats.org/officeDocument/2006/relationships/hyperlink" Target="https://www.youtube.com/watch?v=bzIzXu7XNZg" TargetMode="External"/></Relationships>
</file>

<file path=xl/worksheets/_rels/sheet4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OdgBmb8LXKM" TargetMode="External"/><Relationship Id="rId21" Type="http://schemas.openxmlformats.org/officeDocument/2006/relationships/hyperlink" Target="https://www.youtube.com/watch?v=-ZuCAA_93wc" TargetMode="External"/><Relationship Id="rId42" Type="http://schemas.openxmlformats.org/officeDocument/2006/relationships/hyperlink" Target="https://www.youtube.com/watch?v=Uq9gPaIzbe8" TargetMode="External"/><Relationship Id="rId47" Type="http://schemas.openxmlformats.org/officeDocument/2006/relationships/hyperlink" Target="https://www.youtube.com/watch?v=ZzvbP0dYSAI" TargetMode="External"/><Relationship Id="rId63" Type="http://schemas.openxmlformats.org/officeDocument/2006/relationships/hyperlink" Target="https://www.youtube.com/watch?v=S9bCLPwzSC0" TargetMode="External"/><Relationship Id="rId68" Type="http://schemas.openxmlformats.org/officeDocument/2006/relationships/hyperlink" Target="https://www.youtube.com/watch?v=R0ebIzABQm0" TargetMode="External"/><Relationship Id="rId84" Type="http://schemas.openxmlformats.org/officeDocument/2006/relationships/hyperlink" Target="https://www.youtube.com/watch?v=6y3-M72EqTQ" TargetMode="External"/><Relationship Id="rId89" Type="http://schemas.openxmlformats.org/officeDocument/2006/relationships/hyperlink" Target="https://www.youtube.com/watch?v=N6s8qrfmkSc" TargetMode="External"/><Relationship Id="rId16" Type="http://schemas.openxmlformats.org/officeDocument/2006/relationships/hyperlink" Target="https://www.youtube.com/watch?v=mOOClonYKmc" TargetMode="External"/><Relationship Id="rId11" Type="http://schemas.openxmlformats.org/officeDocument/2006/relationships/hyperlink" Target="https://www.youtube.com/watch?v=qqrLTNqAfWs" TargetMode="External"/><Relationship Id="rId32" Type="http://schemas.openxmlformats.org/officeDocument/2006/relationships/hyperlink" Target="https://www.youtube.com/watch?v=A3iPwFeleY8" TargetMode="External"/><Relationship Id="rId37" Type="http://schemas.openxmlformats.org/officeDocument/2006/relationships/hyperlink" Target="https://www.youtube.com/watch?v=1gxLVS3erwM" TargetMode="External"/><Relationship Id="rId53" Type="http://schemas.openxmlformats.org/officeDocument/2006/relationships/hyperlink" Target="https://www.youtube.com/watch?v=7NK_JOkuSVY" TargetMode="External"/><Relationship Id="rId58" Type="http://schemas.openxmlformats.org/officeDocument/2006/relationships/hyperlink" Target="https://www.youtube.com/watch?v=MTQ32tMs53c" TargetMode="External"/><Relationship Id="rId74" Type="http://schemas.openxmlformats.org/officeDocument/2006/relationships/hyperlink" Target="https://www.youtube.com/watch?v=iYePSq0UOfA" TargetMode="External"/><Relationship Id="rId79" Type="http://schemas.openxmlformats.org/officeDocument/2006/relationships/hyperlink" Target="https://www.youtube.com/watch?v=h54g3lvGhaI" TargetMode="External"/><Relationship Id="rId5" Type="http://schemas.openxmlformats.org/officeDocument/2006/relationships/hyperlink" Target="https://www.youtube.com/watch?v=m0u7iM6Xwxw" TargetMode="External"/><Relationship Id="rId90" Type="http://schemas.openxmlformats.org/officeDocument/2006/relationships/hyperlink" Target="https://www.youtube.com/watch?v=TyMtfhp8kVQ" TargetMode="External"/><Relationship Id="rId95" Type="http://schemas.openxmlformats.org/officeDocument/2006/relationships/hyperlink" Target="https://www.youtube.com/watch?v=bESGLojNYSo" TargetMode="External"/><Relationship Id="rId22" Type="http://schemas.openxmlformats.org/officeDocument/2006/relationships/hyperlink" Target="https://www.youtube.com/watch?v=vRQUhObXDGU" TargetMode="External"/><Relationship Id="rId27" Type="http://schemas.openxmlformats.org/officeDocument/2006/relationships/hyperlink" Target="https://www.youtube.com/watch?v=b9EJWtj5ZjI" TargetMode="External"/><Relationship Id="rId43" Type="http://schemas.openxmlformats.org/officeDocument/2006/relationships/hyperlink" Target="https://www.youtube.com/watch?v=lJvRohYSrZM" TargetMode="External"/><Relationship Id="rId48" Type="http://schemas.openxmlformats.org/officeDocument/2006/relationships/hyperlink" Target="https://www.youtube.com/watch?v=N7fV2TaLTEQ" TargetMode="External"/><Relationship Id="rId64" Type="http://schemas.openxmlformats.org/officeDocument/2006/relationships/hyperlink" Target="https://www.youtube.com/watch?v=lUdbxJXBuig" TargetMode="External"/><Relationship Id="rId69" Type="http://schemas.openxmlformats.org/officeDocument/2006/relationships/hyperlink" Target="https://www.youtube.com/watch?v=cKzWHv4ivoI" TargetMode="External"/><Relationship Id="rId80" Type="http://schemas.openxmlformats.org/officeDocument/2006/relationships/hyperlink" Target="https://www.youtube.com/watch?v=C96ielMqDbQ" TargetMode="External"/><Relationship Id="rId85" Type="http://schemas.openxmlformats.org/officeDocument/2006/relationships/hyperlink" Target="https://www.youtube.com/watch?v=XrDgtxbkX34" TargetMode="External"/><Relationship Id="rId3" Type="http://schemas.openxmlformats.org/officeDocument/2006/relationships/hyperlink" Target="https://www.youtube.com/watch?v=ed0aLnuNw_U" TargetMode="External"/><Relationship Id="rId12" Type="http://schemas.openxmlformats.org/officeDocument/2006/relationships/hyperlink" Target="https://www.youtube.com/watch?v=CSoCoSHyU5Y" TargetMode="External"/><Relationship Id="rId17" Type="http://schemas.openxmlformats.org/officeDocument/2006/relationships/hyperlink" Target="https://www.youtube.com/watch?v=g9EUQ4vdebQ" TargetMode="External"/><Relationship Id="rId25" Type="http://schemas.openxmlformats.org/officeDocument/2006/relationships/hyperlink" Target="https://www.youtube.com/watch?v=7AYy77bxaB0" TargetMode="External"/><Relationship Id="rId33" Type="http://schemas.openxmlformats.org/officeDocument/2006/relationships/hyperlink" Target="https://www.youtube.com/watch?v=NjDMzkRbSZI" TargetMode="External"/><Relationship Id="rId38" Type="http://schemas.openxmlformats.org/officeDocument/2006/relationships/hyperlink" Target="https://www.youtube.com/watch?v=abqLDv5LlHE" TargetMode="External"/><Relationship Id="rId46" Type="http://schemas.openxmlformats.org/officeDocument/2006/relationships/hyperlink" Target="https://www.youtube.com/watch?v=mfkiyoY8WRk" TargetMode="External"/><Relationship Id="rId59" Type="http://schemas.openxmlformats.org/officeDocument/2006/relationships/hyperlink" Target="https://www.youtube.com/watch?v=wugM4iz1r04" TargetMode="External"/><Relationship Id="rId67" Type="http://schemas.openxmlformats.org/officeDocument/2006/relationships/hyperlink" Target="https://www.youtube.com/watch?v=3j6Vm_4-w-Y" TargetMode="External"/><Relationship Id="rId20" Type="http://schemas.openxmlformats.org/officeDocument/2006/relationships/hyperlink" Target="https://www.youtube.com/watch?v=vCNmvFIFQ-I" TargetMode="External"/><Relationship Id="rId41" Type="http://schemas.openxmlformats.org/officeDocument/2006/relationships/hyperlink" Target="https://www.youtube.com/watch?v=UYXcryt21m8" TargetMode="External"/><Relationship Id="rId54" Type="http://schemas.openxmlformats.org/officeDocument/2006/relationships/hyperlink" Target="https://www.youtube.com/watch?v=T_Pep6MW1wc" TargetMode="External"/><Relationship Id="rId62" Type="http://schemas.openxmlformats.org/officeDocument/2006/relationships/hyperlink" Target="https://www.youtube.com/watch?v=EaQEnpYoA2U" TargetMode="External"/><Relationship Id="rId70" Type="http://schemas.openxmlformats.org/officeDocument/2006/relationships/hyperlink" Target="https://www.youtube.com/watch?v=90RLzVUuXe4" TargetMode="External"/><Relationship Id="rId75" Type="http://schemas.openxmlformats.org/officeDocument/2006/relationships/hyperlink" Target="https://www.youtube.com/watch?v=0-7IHOXkiV8" TargetMode="External"/><Relationship Id="rId83" Type="http://schemas.openxmlformats.org/officeDocument/2006/relationships/hyperlink" Target="https://www.youtube.com/watch?v=CzyyTmb9gbg" TargetMode="External"/><Relationship Id="rId88" Type="http://schemas.openxmlformats.org/officeDocument/2006/relationships/hyperlink" Target="https://www.youtube.com/watch?v=oSHzUD-uqKY" TargetMode="External"/><Relationship Id="rId91" Type="http://schemas.openxmlformats.org/officeDocument/2006/relationships/hyperlink" Target="https://www.youtube.com/watch?v=SA7AIQw-7Ms" TargetMode="External"/><Relationship Id="rId96" Type="http://schemas.openxmlformats.org/officeDocument/2006/relationships/hyperlink" Target="https://www.youtube.com/watch?v=bzIzXu7XNZg" TargetMode="External"/><Relationship Id="rId1" Type="http://schemas.openxmlformats.org/officeDocument/2006/relationships/hyperlink" Target="https://www.youtube.com/watch?v=OmqLVrUXsTQ" TargetMode="External"/><Relationship Id="rId6" Type="http://schemas.openxmlformats.org/officeDocument/2006/relationships/hyperlink" Target="https://www.youtube.com/watch?v=iZEca2A3tS4" TargetMode="External"/><Relationship Id="rId15" Type="http://schemas.openxmlformats.org/officeDocument/2006/relationships/hyperlink" Target="https://www.youtube.com/watch?v=62MxX43jHXs" TargetMode="External"/><Relationship Id="rId23" Type="http://schemas.openxmlformats.org/officeDocument/2006/relationships/hyperlink" Target="https://www.youtube.com/watch?v=nFet6yCeOPk" TargetMode="External"/><Relationship Id="rId28" Type="http://schemas.openxmlformats.org/officeDocument/2006/relationships/hyperlink" Target="https://www.youtube.com/watch?v=2eqMmPBvXQo" TargetMode="External"/><Relationship Id="rId36" Type="http://schemas.openxmlformats.org/officeDocument/2006/relationships/hyperlink" Target="https://www.youtube.com/watch?v=PyVSfWyEdNs" TargetMode="External"/><Relationship Id="rId49" Type="http://schemas.openxmlformats.org/officeDocument/2006/relationships/hyperlink" Target="https://www.youtube.com/watch?v=F9mMnWcYXQ0" TargetMode="External"/><Relationship Id="rId57" Type="http://schemas.openxmlformats.org/officeDocument/2006/relationships/hyperlink" Target="https://www.youtube.com/watch?v=osb8QXubZD0" TargetMode="External"/><Relationship Id="rId10" Type="http://schemas.openxmlformats.org/officeDocument/2006/relationships/hyperlink" Target="https://www.youtube.com/watch?v=-BaUkgUgyEE" TargetMode="External"/><Relationship Id="rId31" Type="http://schemas.openxmlformats.org/officeDocument/2006/relationships/hyperlink" Target="https://www.youtube.com/watch?v=fRuiEv3JRDQ" TargetMode="External"/><Relationship Id="rId44" Type="http://schemas.openxmlformats.org/officeDocument/2006/relationships/hyperlink" Target="https://www.youtube.com/watch?v=vYMTs-AP9_Q" TargetMode="External"/><Relationship Id="rId52" Type="http://schemas.openxmlformats.org/officeDocument/2006/relationships/hyperlink" Target="https://www.youtube.com/watch?v=aVDLBQpWefM" TargetMode="External"/><Relationship Id="rId60" Type="http://schemas.openxmlformats.org/officeDocument/2006/relationships/hyperlink" Target="https://www.youtube.com/watch?v=FB66mdrur5g" TargetMode="External"/><Relationship Id="rId65" Type="http://schemas.openxmlformats.org/officeDocument/2006/relationships/hyperlink" Target="https://www.youtube.com/watch?v=5CvzbWXn7_U" TargetMode="External"/><Relationship Id="rId73" Type="http://schemas.openxmlformats.org/officeDocument/2006/relationships/hyperlink" Target="https://www.youtube.com/watch?v=vCgxufg6xzE" TargetMode="External"/><Relationship Id="rId78" Type="http://schemas.openxmlformats.org/officeDocument/2006/relationships/hyperlink" Target="https://www.youtube.com/watch?v=NeQM1c-XCDc" TargetMode="External"/><Relationship Id="rId81" Type="http://schemas.openxmlformats.org/officeDocument/2006/relationships/hyperlink" Target="https://www.youtube.com/watch?v=drCEvriWmwc" TargetMode="External"/><Relationship Id="rId86" Type="http://schemas.openxmlformats.org/officeDocument/2006/relationships/hyperlink" Target="https://www.youtube.com/watch?v=70iIqlauy0w" TargetMode="External"/><Relationship Id="rId94" Type="http://schemas.openxmlformats.org/officeDocument/2006/relationships/hyperlink" Target="https://www.youtube.com/watch?v=3j04SfhznVE" TargetMode="External"/><Relationship Id="rId99" Type="http://schemas.openxmlformats.org/officeDocument/2006/relationships/hyperlink" Target="https://www.youtube.com/watch?v=KDxJlW6cxRk" TargetMode="External"/><Relationship Id="rId4" Type="http://schemas.openxmlformats.org/officeDocument/2006/relationships/hyperlink" Target="https://www.youtube.com/watch?v=ia50r3fa67s" TargetMode="External"/><Relationship Id="rId9" Type="http://schemas.openxmlformats.org/officeDocument/2006/relationships/hyperlink" Target="https://www.youtube.com/watch?v=024jiVWdPqA" TargetMode="External"/><Relationship Id="rId13" Type="http://schemas.openxmlformats.org/officeDocument/2006/relationships/hyperlink" Target="https://www.youtube.com/watch?v=dZzfjLPC-Rk" TargetMode="External"/><Relationship Id="rId18" Type="http://schemas.openxmlformats.org/officeDocument/2006/relationships/hyperlink" Target="https://www.youtube.com/watch?v=op2JkITZKd4" TargetMode="External"/><Relationship Id="rId39" Type="http://schemas.openxmlformats.org/officeDocument/2006/relationships/hyperlink" Target="https://www.youtube.com/watch?v=mYcl6p3oiCc" TargetMode="External"/><Relationship Id="rId34" Type="http://schemas.openxmlformats.org/officeDocument/2006/relationships/hyperlink" Target="https://www.youtube.com/watch?v=rHaw1MpOIzg" TargetMode="External"/><Relationship Id="rId50" Type="http://schemas.openxmlformats.org/officeDocument/2006/relationships/hyperlink" Target="https://www.youtube.com/watch?v=9CM0sVfVDx4" TargetMode="External"/><Relationship Id="rId55" Type="http://schemas.openxmlformats.org/officeDocument/2006/relationships/hyperlink" Target="https://www.youtube.com/watch?v=zGJePzQHKLg" TargetMode="External"/><Relationship Id="rId76" Type="http://schemas.openxmlformats.org/officeDocument/2006/relationships/hyperlink" Target="https://www.youtube.com/watch?v=zY5KWvwZ7bY" TargetMode="External"/><Relationship Id="rId97" Type="http://schemas.openxmlformats.org/officeDocument/2006/relationships/hyperlink" Target="https://www.youtube.com/watch?v=V1MK9244sE8" TargetMode="External"/><Relationship Id="rId7" Type="http://schemas.openxmlformats.org/officeDocument/2006/relationships/hyperlink" Target="https://www.youtube.com/watch?v=w9l7hWlRJ5w" TargetMode="External"/><Relationship Id="rId71" Type="http://schemas.openxmlformats.org/officeDocument/2006/relationships/hyperlink" Target="https://www.youtube.com/watch?v=NlwIDxCjL-8" TargetMode="External"/><Relationship Id="rId92" Type="http://schemas.openxmlformats.org/officeDocument/2006/relationships/hyperlink" Target="https://www.youtube.com/watch?v=UkELKl1etsM" TargetMode="External"/><Relationship Id="rId2" Type="http://schemas.openxmlformats.org/officeDocument/2006/relationships/hyperlink" Target="https://www.youtube.com/watch?v=G7KNmW9a75Y" TargetMode="External"/><Relationship Id="rId29" Type="http://schemas.openxmlformats.org/officeDocument/2006/relationships/hyperlink" Target="https://www.youtube.com/watch?v=he1v2LSai5U" TargetMode="External"/><Relationship Id="rId24" Type="http://schemas.openxmlformats.org/officeDocument/2006/relationships/hyperlink" Target="https://www.youtube.com/watch?v=Cf2ASJCa_Iw" TargetMode="External"/><Relationship Id="rId40" Type="http://schemas.openxmlformats.org/officeDocument/2006/relationships/hyperlink" Target="https://www.youtube.com/watch?v=l3vQ0pczKnE" TargetMode="External"/><Relationship Id="rId45" Type="http://schemas.openxmlformats.org/officeDocument/2006/relationships/hyperlink" Target="https://www.youtube.com/watch?v=1j4qxGVxxhg" TargetMode="External"/><Relationship Id="rId66" Type="http://schemas.openxmlformats.org/officeDocument/2006/relationships/hyperlink" Target="https://www.youtube.com/watch?v=e2vfVcLpC70" TargetMode="External"/><Relationship Id="rId87" Type="http://schemas.openxmlformats.org/officeDocument/2006/relationships/hyperlink" Target="https://www.youtube.com/watch?v=YaEG2aWJnZ8" TargetMode="External"/><Relationship Id="rId61" Type="http://schemas.openxmlformats.org/officeDocument/2006/relationships/hyperlink" Target="https://www.youtube.com/watch?v=XXYlFuWEuKI" TargetMode="External"/><Relationship Id="rId82" Type="http://schemas.openxmlformats.org/officeDocument/2006/relationships/hyperlink" Target="https://www.youtube.com/watch?v=glkSGJU-yLw" TargetMode="External"/><Relationship Id="rId19" Type="http://schemas.openxmlformats.org/officeDocument/2006/relationships/hyperlink" Target="https://www.youtube.com/watch?v=cdEEffF7_rU" TargetMode="External"/><Relationship Id="rId14" Type="http://schemas.openxmlformats.org/officeDocument/2006/relationships/hyperlink" Target="https://www.youtube.com/watch?v=N9zc1Npy9iE" TargetMode="External"/><Relationship Id="rId30" Type="http://schemas.openxmlformats.org/officeDocument/2006/relationships/hyperlink" Target="https://www.youtube.com/watch?v=lV9q901vS6o" TargetMode="External"/><Relationship Id="rId35" Type="http://schemas.openxmlformats.org/officeDocument/2006/relationships/hyperlink" Target="https://www.youtube.com/watch?v=VFwmKL5OL-Q" TargetMode="External"/><Relationship Id="rId56" Type="http://schemas.openxmlformats.org/officeDocument/2006/relationships/hyperlink" Target="https://www.youtube.com/watch?v=mZGb_R_dmeA" TargetMode="External"/><Relationship Id="rId77" Type="http://schemas.openxmlformats.org/officeDocument/2006/relationships/hyperlink" Target="https://www.youtube.com/watch?v=GCdwKhTtNNw" TargetMode="External"/><Relationship Id="rId100" Type="http://schemas.openxmlformats.org/officeDocument/2006/relationships/hyperlink" Target="https://www.youtube.com/watch?v=LsFeLxZLybQ" TargetMode="External"/><Relationship Id="rId8" Type="http://schemas.openxmlformats.org/officeDocument/2006/relationships/hyperlink" Target="https://www.youtube.com/watch?v=Ryfm-7ZrL-Y" TargetMode="External"/><Relationship Id="rId51" Type="http://schemas.openxmlformats.org/officeDocument/2006/relationships/hyperlink" Target="https://www.youtube.com/watch?v=u-gaETffwYM" TargetMode="External"/><Relationship Id="rId72" Type="http://schemas.openxmlformats.org/officeDocument/2006/relationships/hyperlink" Target="https://www.youtube.com/watch?v=ByVPVWCQVV8" TargetMode="External"/><Relationship Id="rId93" Type="http://schemas.openxmlformats.org/officeDocument/2006/relationships/hyperlink" Target="https://www.youtube.com/watch?v=vvcmuEumLlA" TargetMode="External"/><Relationship Id="rId98" Type="http://schemas.openxmlformats.org/officeDocument/2006/relationships/hyperlink" Target="https://www.youtube.com/watch?v=SFYikVRVV1Q" TargetMode="External"/></Relationships>
</file>

<file path=xl/worksheets/_rels/sheet5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he1v2LSai5U" TargetMode="External"/><Relationship Id="rId21" Type="http://schemas.openxmlformats.org/officeDocument/2006/relationships/hyperlink" Target="https://www.youtube.com/watch?v=vRQUhObXDGU" TargetMode="External"/><Relationship Id="rId42" Type="http://schemas.openxmlformats.org/officeDocument/2006/relationships/hyperlink" Target="https://www.youtube.com/watch?v=Uq9gPaIzbe8" TargetMode="External"/><Relationship Id="rId47" Type="http://schemas.openxmlformats.org/officeDocument/2006/relationships/hyperlink" Target="https://www.youtube.com/watch?v=u-gaETffwYM" TargetMode="External"/><Relationship Id="rId63" Type="http://schemas.openxmlformats.org/officeDocument/2006/relationships/hyperlink" Target="https://www.youtube.com/watch?v=0jqNI9F8n-I" TargetMode="External"/><Relationship Id="rId68" Type="http://schemas.openxmlformats.org/officeDocument/2006/relationships/hyperlink" Target="https://www.youtube.com/watch?v=3j6Vm_4-w-Y" TargetMode="External"/><Relationship Id="rId84" Type="http://schemas.openxmlformats.org/officeDocument/2006/relationships/hyperlink" Target="https://www.youtube.com/watch?v=CzyyTmb9gbg" TargetMode="External"/><Relationship Id="rId89" Type="http://schemas.openxmlformats.org/officeDocument/2006/relationships/hyperlink" Target="https://www.youtube.com/watch?v=oSHzUD-uqKY" TargetMode="External"/><Relationship Id="rId16" Type="http://schemas.openxmlformats.org/officeDocument/2006/relationships/hyperlink" Target="https://www.youtube.com/watch?v=mOOClonYKmc" TargetMode="External"/><Relationship Id="rId11" Type="http://schemas.openxmlformats.org/officeDocument/2006/relationships/hyperlink" Target="https://www.youtube.com/watch?v=CSoCoSHyU5Y" TargetMode="External"/><Relationship Id="rId32" Type="http://schemas.openxmlformats.org/officeDocument/2006/relationships/hyperlink" Target="https://www.youtube.com/watch?v=fRuiEv3JRDQ" TargetMode="External"/><Relationship Id="rId37" Type="http://schemas.openxmlformats.org/officeDocument/2006/relationships/hyperlink" Target="https://www.youtube.com/watch?v=mYcl6p3oiCc" TargetMode="External"/><Relationship Id="rId53" Type="http://schemas.openxmlformats.org/officeDocument/2006/relationships/hyperlink" Target="https://www.youtube.com/watch?v=vYMTs-AP9_Q" TargetMode="External"/><Relationship Id="rId58" Type="http://schemas.openxmlformats.org/officeDocument/2006/relationships/hyperlink" Target="https://www.youtube.com/watch?v=AF0Mitd05_A" TargetMode="External"/><Relationship Id="rId74" Type="http://schemas.openxmlformats.org/officeDocument/2006/relationships/hyperlink" Target="https://www.youtube.com/watch?v=90RLzVUuXe4" TargetMode="External"/><Relationship Id="rId79" Type="http://schemas.openxmlformats.org/officeDocument/2006/relationships/hyperlink" Target="https://www.youtube.com/watch?v=LsFeLxZLybQ" TargetMode="External"/><Relationship Id="rId5" Type="http://schemas.openxmlformats.org/officeDocument/2006/relationships/hyperlink" Target="https://www.youtube.com/watch?v=iZEca2A3tS4" TargetMode="External"/><Relationship Id="rId90" Type="http://schemas.openxmlformats.org/officeDocument/2006/relationships/hyperlink" Target="https://www.youtube.com/watch?v=StZcUAPRRac" TargetMode="External"/><Relationship Id="rId95" Type="http://schemas.openxmlformats.org/officeDocument/2006/relationships/hyperlink" Target="https://www.youtube.com/watch?v=BX0lKSa_PTk" TargetMode="External"/><Relationship Id="rId22" Type="http://schemas.openxmlformats.org/officeDocument/2006/relationships/hyperlink" Target="https://www.youtube.com/watch?v=Cf2ASJCa_Iw" TargetMode="External"/><Relationship Id="rId27" Type="http://schemas.openxmlformats.org/officeDocument/2006/relationships/hyperlink" Target="https://www.youtube.com/watch?v=7AYy77bxaB0" TargetMode="External"/><Relationship Id="rId43" Type="http://schemas.openxmlformats.org/officeDocument/2006/relationships/hyperlink" Target="https://www.youtube.com/watch?v=ZzvbP0dYSAI" TargetMode="External"/><Relationship Id="rId48" Type="http://schemas.openxmlformats.org/officeDocument/2006/relationships/hyperlink" Target="https://www.youtube.com/watch?v=F9mMnWcYXQ0" TargetMode="External"/><Relationship Id="rId64" Type="http://schemas.openxmlformats.org/officeDocument/2006/relationships/hyperlink" Target="https://www.youtube.com/watch?v=R0ebIzABQm0" TargetMode="External"/><Relationship Id="rId69" Type="http://schemas.openxmlformats.org/officeDocument/2006/relationships/hyperlink" Target="https://www.youtube.com/watch?v=cKzWHv4ivoI" TargetMode="External"/><Relationship Id="rId80" Type="http://schemas.openxmlformats.org/officeDocument/2006/relationships/hyperlink" Target="https://www.youtube.com/watch?v=3seMPxY9TKI" TargetMode="External"/><Relationship Id="rId85" Type="http://schemas.openxmlformats.org/officeDocument/2006/relationships/hyperlink" Target="https://www.youtube.com/watch?v=34Na4j8AVgA" TargetMode="External"/><Relationship Id="rId3" Type="http://schemas.openxmlformats.org/officeDocument/2006/relationships/hyperlink" Target="https://www.youtube.com/watch?v=ed0aLnuNw_U" TargetMode="External"/><Relationship Id="rId12" Type="http://schemas.openxmlformats.org/officeDocument/2006/relationships/hyperlink" Target="https://www.youtube.com/watch?v=-BaUkgUgyEE" TargetMode="External"/><Relationship Id="rId17" Type="http://schemas.openxmlformats.org/officeDocument/2006/relationships/hyperlink" Target="https://www.youtube.com/watch?v=g9EUQ4vdebQ" TargetMode="External"/><Relationship Id="rId25" Type="http://schemas.openxmlformats.org/officeDocument/2006/relationships/hyperlink" Target="https://www.youtube.com/watch?v=2eqMmPBvXQo" TargetMode="External"/><Relationship Id="rId33" Type="http://schemas.openxmlformats.org/officeDocument/2006/relationships/hyperlink" Target="https://www.youtube.com/watch?v=A3iPwFeleY8" TargetMode="External"/><Relationship Id="rId38" Type="http://schemas.openxmlformats.org/officeDocument/2006/relationships/hyperlink" Target="https://www.youtube.com/watch?v=OdgBmb8LXKM" TargetMode="External"/><Relationship Id="rId46" Type="http://schemas.openxmlformats.org/officeDocument/2006/relationships/hyperlink" Target="https://www.youtube.com/watch?v=wtuVa-mOknA" TargetMode="External"/><Relationship Id="rId59" Type="http://schemas.openxmlformats.org/officeDocument/2006/relationships/hyperlink" Target="https://www.youtube.com/watch?v=zGJePzQHKLg" TargetMode="External"/><Relationship Id="rId67" Type="http://schemas.openxmlformats.org/officeDocument/2006/relationships/hyperlink" Target="https://www.youtube.com/watch?v=eiobemTEDU8" TargetMode="External"/><Relationship Id="rId20" Type="http://schemas.openxmlformats.org/officeDocument/2006/relationships/hyperlink" Target="https://www.youtube.com/watch?v=vCNmvFIFQ-I" TargetMode="External"/><Relationship Id="rId41" Type="http://schemas.openxmlformats.org/officeDocument/2006/relationships/hyperlink" Target="https://www.youtube.com/watch?v=PyVSfWyEdNs" TargetMode="External"/><Relationship Id="rId54" Type="http://schemas.openxmlformats.org/officeDocument/2006/relationships/hyperlink" Target="https://www.youtube.com/watch?v=39E0ZKfJvZ4" TargetMode="External"/><Relationship Id="rId62" Type="http://schemas.openxmlformats.org/officeDocument/2006/relationships/hyperlink" Target="https://www.youtube.com/watch?v=N7fV2TaLTEQ" TargetMode="External"/><Relationship Id="rId70" Type="http://schemas.openxmlformats.org/officeDocument/2006/relationships/hyperlink" Target="https://www.youtube.com/watch?v=8kYkciD9VjU" TargetMode="External"/><Relationship Id="rId75" Type="http://schemas.openxmlformats.org/officeDocument/2006/relationships/hyperlink" Target="https://www.youtube.com/watch?v=glkSGJU-yLw" TargetMode="External"/><Relationship Id="rId83" Type="http://schemas.openxmlformats.org/officeDocument/2006/relationships/hyperlink" Target="https://www.youtube.com/watch?v=iYePSq0UOfA" TargetMode="External"/><Relationship Id="rId88" Type="http://schemas.openxmlformats.org/officeDocument/2006/relationships/hyperlink" Target="https://www.youtube.com/watch?v=W1br1jQkcXE" TargetMode="External"/><Relationship Id="rId91" Type="http://schemas.openxmlformats.org/officeDocument/2006/relationships/hyperlink" Target="https://www.youtube.com/watch?v=h54g3lvGhaI" TargetMode="External"/><Relationship Id="rId96" Type="http://schemas.openxmlformats.org/officeDocument/2006/relationships/hyperlink" Target="https://www.youtube.com/watch?v=GT74WlNDsg0" TargetMode="External"/><Relationship Id="rId1" Type="http://schemas.openxmlformats.org/officeDocument/2006/relationships/hyperlink" Target="https://www.youtube.com/watch?v=G7KNmW9a75Y" TargetMode="External"/><Relationship Id="rId6" Type="http://schemas.openxmlformats.org/officeDocument/2006/relationships/hyperlink" Target="https://www.youtube.com/watch?v=Ryfm-7ZrL-Y" TargetMode="External"/><Relationship Id="rId15" Type="http://schemas.openxmlformats.org/officeDocument/2006/relationships/hyperlink" Target="https://www.youtube.com/watch?v=qqrLTNqAfWs" TargetMode="External"/><Relationship Id="rId23" Type="http://schemas.openxmlformats.org/officeDocument/2006/relationships/hyperlink" Target="https://www.youtube.com/watch?v=nFet6yCeOPk" TargetMode="External"/><Relationship Id="rId28" Type="http://schemas.openxmlformats.org/officeDocument/2006/relationships/hyperlink" Target="https://www.youtube.com/watch?v=lV9q901vS6o" TargetMode="External"/><Relationship Id="rId36" Type="http://schemas.openxmlformats.org/officeDocument/2006/relationships/hyperlink" Target="https://www.youtube.com/watch?v=op2JkITZKd4" TargetMode="External"/><Relationship Id="rId49" Type="http://schemas.openxmlformats.org/officeDocument/2006/relationships/hyperlink" Target="https://www.youtube.com/watch?v=UYXcryt21m8" TargetMode="External"/><Relationship Id="rId57" Type="http://schemas.openxmlformats.org/officeDocument/2006/relationships/hyperlink" Target="https://www.youtube.com/watch?v=S9bCLPwzSC0" TargetMode="External"/><Relationship Id="rId10" Type="http://schemas.openxmlformats.org/officeDocument/2006/relationships/hyperlink" Target="https://www.youtube.com/watch?v=w9l7hWlRJ5w" TargetMode="External"/><Relationship Id="rId31" Type="http://schemas.openxmlformats.org/officeDocument/2006/relationships/hyperlink" Target="https://www.youtube.com/watch?v=abqLDv5LlHE" TargetMode="External"/><Relationship Id="rId44" Type="http://schemas.openxmlformats.org/officeDocument/2006/relationships/hyperlink" Target="https://www.youtube.com/watch?v=mfkiyoY8WRk" TargetMode="External"/><Relationship Id="rId52" Type="http://schemas.openxmlformats.org/officeDocument/2006/relationships/hyperlink" Target="https://www.youtube.com/watch?v=9CM0sVfVDx4" TargetMode="External"/><Relationship Id="rId60" Type="http://schemas.openxmlformats.org/officeDocument/2006/relationships/hyperlink" Target="https://www.youtube.com/watch?v=aVDLBQpWefM" TargetMode="External"/><Relationship Id="rId65" Type="http://schemas.openxmlformats.org/officeDocument/2006/relationships/hyperlink" Target="https://www.youtube.com/watch?v=ayDNTDcZok8" TargetMode="External"/><Relationship Id="rId73" Type="http://schemas.openxmlformats.org/officeDocument/2006/relationships/hyperlink" Target="https://www.youtube.com/watch?v=e2vfVcLpC70" TargetMode="External"/><Relationship Id="rId78" Type="http://schemas.openxmlformats.org/officeDocument/2006/relationships/hyperlink" Target="https://www.youtube.com/watch?v=XrDgtxbkX34" TargetMode="External"/><Relationship Id="rId81" Type="http://schemas.openxmlformats.org/officeDocument/2006/relationships/hyperlink" Target="https://www.youtube.com/watch?v=3j04SfhznVE" TargetMode="External"/><Relationship Id="rId86" Type="http://schemas.openxmlformats.org/officeDocument/2006/relationships/hyperlink" Target="https://www.youtube.com/watch?v=YaEG2aWJnZ8" TargetMode="External"/><Relationship Id="rId94" Type="http://schemas.openxmlformats.org/officeDocument/2006/relationships/hyperlink" Target="https://www.youtube.com/watch?v=QtXAkmx3SfI" TargetMode="External"/><Relationship Id="rId99" Type="http://schemas.openxmlformats.org/officeDocument/2006/relationships/hyperlink" Target="https://www.youtube.com/watch?v=bESGLojNYSo" TargetMode="External"/><Relationship Id="rId4" Type="http://schemas.openxmlformats.org/officeDocument/2006/relationships/hyperlink" Target="https://www.youtube.com/watch?v=m0u7iM6Xwxw" TargetMode="External"/><Relationship Id="rId9" Type="http://schemas.openxmlformats.org/officeDocument/2006/relationships/hyperlink" Target="https://www.youtube.com/watch?v=024jiVWdPqA" TargetMode="External"/><Relationship Id="rId13" Type="http://schemas.openxmlformats.org/officeDocument/2006/relationships/hyperlink" Target="https://www.youtube.com/watch?v=62MxX43jHXs" TargetMode="External"/><Relationship Id="rId18" Type="http://schemas.openxmlformats.org/officeDocument/2006/relationships/hyperlink" Target="https://www.youtube.com/watch?v=cdEEffF7_rU" TargetMode="External"/><Relationship Id="rId39" Type="http://schemas.openxmlformats.org/officeDocument/2006/relationships/hyperlink" Target="https://www.youtube.com/watch?v=T_Pep6MW1wc" TargetMode="External"/><Relationship Id="rId34" Type="http://schemas.openxmlformats.org/officeDocument/2006/relationships/hyperlink" Target="https://www.youtube.com/watch?v=NjDMzkRbSZI" TargetMode="External"/><Relationship Id="rId50" Type="http://schemas.openxmlformats.org/officeDocument/2006/relationships/hyperlink" Target="https://www.youtube.com/watch?v=lJvRohYSrZM" TargetMode="External"/><Relationship Id="rId55" Type="http://schemas.openxmlformats.org/officeDocument/2006/relationships/hyperlink" Target="https://www.youtube.com/watch?v=MTQ32tMs53c" TargetMode="External"/><Relationship Id="rId76" Type="http://schemas.openxmlformats.org/officeDocument/2006/relationships/hyperlink" Target="https://www.youtube.com/watch?v=NeQM1c-XCDc" TargetMode="External"/><Relationship Id="rId97" Type="http://schemas.openxmlformats.org/officeDocument/2006/relationships/hyperlink" Target="https://www.youtube.com/watch?v=TMuKsFeqFv4" TargetMode="External"/><Relationship Id="rId7" Type="http://schemas.openxmlformats.org/officeDocument/2006/relationships/hyperlink" Target="https://www.youtube.com/watch?v=N9zc1Npy9iE" TargetMode="External"/><Relationship Id="rId71" Type="http://schemas.openxmlformats.org/officeDocument/2006/relationships/hyperlink" Target="https://www.youtube.com/watch?v=5CvzbWXn7_U" TargetMode="External"/><Relationship Id="rId92" Type="http://schemas.openxmlformats.org/officeDocument/2006/relationships/hyperlink" Target="https://www.youtube.com/watch?v=KDxJlW6cxRk" TargetMode="External"/><Relationship Id="rId2" Type="http://schemas.openxmlformats.org/officeDocument/2006/relationships/hyperlink" Target="https://www.youtube.com/watch?v=ia50r3fa67s" TargetMode="External"/><Relationship Id="rId29" Type="http://schemas.openxmlformats.org/officeDocument/2006/relationships/hyperlink" Target="https://www.youtube.com/watch?v=VFwmKL5OL-Q" TargetMode="External"/><Relationship Id="rId24" Type="http://schemas.openxmlformats.org/officeDocument/2006/relationships/hyperlink" Target="https://www.youtube.com/watch?v=b9EJWtj5ZjI" TargetMode="External"/><Relationship Id="rId40" Type="http://schemas.openxmlformats.org/officeDocument/2006/relationships/hyperlink" Target="https://www.youtube.com/watch?v=rHaw1MpOIzg" TargetMode="External"/><Relationship Id="rId45" Type="http://schemas.openxmlformats.org/officeDocument/2006/relationships/hyperlink" Target="https://www.youtube.com/watch?v=yUdwrxAEYQI" TargetMode="External"/><Relationship Id="rId66" Type="http://schemas.openxmlformats.org/officeDocument/2006/relationships/hyperlink" Target="https://www.youtube.com/watch?v=wugM4iz1r04" TargetMode="External"/><Relationship Id="rId87" Type="http://schemas.openxmlformats.org/officeDocument/2006/relationships/hyperlink" Target="https://www.youtube.com/watch?v=KI8HKxbdmTc" TargetMode="External"/><Relationship Id="rId61" Type="http://schemas.openxmlformats.org/officeDocument/2006/relationships/hyperlink" Target="https://www.youtube.com/watch?v=FB66mdrur5g" TargetMode="External"/><Relationship Id="rId82" Type="http://schemas.openxmlformats.org/officeDocument/2006/relationships/hyperlink" Target="https://www.youtube.com/watch?v=Rj4RfirEoQQ" TargetMode="External"/><Relationship Id="rId19" Type="http://schemas.openxmlformats.org/officeDocument/2006/relationships/hyperlink" Target="https://www.youtube.com/watch?v=-ZuCAA_93wc" TargetMode="External"/><Relationship Id="rId14" Type="http://schemas.openxmlformats.org/officeDocument/2006/relationships/hyperlink" Target="https://www.youtube.com/watch?v=dZzfjLPC-Rk" TargetMode="External"/><Relationship Id="rId30" Type="http://schemas.openxmlformats.org/officeDocument/2006/relationships/hyperlink" Target="https://www.youtube.com/watch?v=l3vQ0pczKnE" TargetMode="External"/><Relationship Id="rId35" Type="http://schemas.openxmlformats.org/officeDocument/2006/relationships/hyperlink" Target="https://www.youtube.com/watch?v=1gxLVS3erwM" TargetMode="External"/><Relationship Id="rId56" Type="http://schemas.openxmlformats.org/officeDocument/2006/relationships/hyperlink" Target="https://www.youtube.com/watch?v=AVu5wl8U_a4" TargetMode="External"/><Relationship Id="rId77" Type="http://schemas.openxmlformats.org/officeDocument/2006/relationships/hyperlink" Target="https://www.youtube.com/watch?v=zY5KWvwZ7bY" TargetMode="External"/><Relationship Id="rId100" Type="http://schemas.openxmlformats.org/officeDocument/2006/relationships/hyperlink" Target="https://www.youtube.com/watch?v=VAtuQj19T2k" TargetMode="External"/><Relationship Id="rId8" Type="http://schemas.openxmlformats.org/officeDocument/2006/relationships/hyperlink" Target="https://www.youtube.com/watch?v=OmqLVrUXsTQ" TargetMode="External"/><Relationship Id="rId51" Type="http://schemas.openxmlformats.org/officeDocument/2006/relationships/hyperlink" Target="https://www.youtube.com/watch?v=mZGb_R_dmeA" TargetMode="External"/><Relationship Id="rId72" Type="http://schemas.openxmlformats.org/officeDocument/2006/relationships/hyperlink" Target="https://www.youtube.com/watch?v=YVkUvmDQ3HY" TargetMode="External"/><Relationship Id="rId93" Type="http://schemas.openxmlformats.org/officeDocument/2006/relationships/hyperlink" Target="https://www.youtube.com/watch?v=TyMtfhp8kVQ" TargetMode="External"/><Relationship Id="rId98" Type="http://schemas.openxmlformats.org/officeDocument/2006/relationships/hyperlink" Target="https://www.youtube.com/watch?v=EGLoIaHwKfE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OdgBmb8LXKM" TargetMode="External"/><Relationship Id="rId21" Type="http://schemas.openxmlformats.org/officeDocument/2006/relationships/hyperlink" Target="https://www.youtube.com/watch?v=-ZuCAA_93wc" TargetMode="External"/><Relationship Id="rId42" Type="http://schemas.openxmlformats.org/officeDocument/2006/relationships/hyperlink" Target="https://www.youtube.com/watch?v=wtuVa-mOknA" TargetMode="External"/><Relationship Id="rId47" Type="http://schemas.openxmlformats.org/officeDocument/2006/relationships/hyperlink" Target="https://www.youtube.com/watch?v=F9mMnWcYXQ0" TargetMode="External"/><Relationship Id="rId63" Type="http://schemas.openxmlformats.org/officeDocument/2006/relationships/hyperlink" Target="https://www.youtube.com/watch?v=vYMTs-AP9_Q" TargetMode="External"/><Relationship Id="rId68" Type="http://schemas.openxmlformats.org/officeDocument/2006/relationships/hyperlink" Target="https://www.youtube.com/watch?v=90RLzVUuXe4" TargetMode="External"/><Relationship Id="rId84" Type="http://schemas.openxmlformats.org/officeDocument/2006/relationships/hyperlink" Target="https://www.youtube.com/watch?v=KI8HKxbdmTc" TargetMode="External"/><Relationship Id="rId89" Type="http://schemas.openxmlformats.org/officeDocument/2006/relationships/hyperlink" Target="https://www.youtube.com/watch?v=XPVIWPap7X0" TargetMode="External"/><Relationship Id="rId16" Type="http://schemas.openxmlformats.org/officeDocument/2006/relationships/hyperlink" Target="https://www.youtube.com/watch?v=g9EUQ4vdebQ" TargetMode="External"/><Relationship Id="rId11" Type="http://schemas.openxmlformats.org/officeDocument/2006/relationships/hyperlink" Target="https://www.youtube.com/watch?v=w9l7hWlRJ5w" TargetMode="External"/><Relationship Id="rId32" Type="http://schemas.openxmlformats.org/officeDocument/2006/relationships/hyperlink" Target="https://www.youtube.com/watch?v=NjDMzkRbSZI" TargetMode="External"/><Relationship Id="rId37" Type="http://schemas.openxmlformats.org/officeDocument/2006/relationships/hyperlink" Target="https://www.youtube.com/watch?v=fRuiEv3JRDQ" TargetMode="External"/><Relationship Id="rId53" Type="http://schemas.openxmlformats.org/officeDocument/2006/relationships/hyperlink" Target="https://www.youtube.com/watch?v=R0ebIzABQm0" TargetMode="External"/><Relationship Id="rId58" Type="http://schemas.openxmlformats.org/officeDocument/2006/relationships/hyperlink" Target="https://www.youtube.com/watch?v=Z_KnKPXdvdY" TargetMode="External"/><Relationship Id="rId74" Type="http://schemas.openxmlformats.org/officeDocument/2006/relationships/hyperlink" Target="https://www.youtube.com/watch?v=YaEG2aWJnZ8" TargetMode="External"/><Relationship Id="rId79" Type="http://schemas.openxmlformats.org/officeDocument/2006/relationships/hyperlink" Target="https://www.youtube.com/watch?v=eiobemTEDU8" TargetMode="External"/><Relationship Id="rId5" Type="http://schemas.openxmlformats.org/officeDocument/2006/relationships/hyperlink" Target="https://www.youtube.com/watch?v=Ryfm-7ZrL-Y" TargetMode="External"/><Relationship Id="rId90" Type="http://schemas.openxmlformats.org/officeDocument/2006/relationships/hyperlink" Target="https://www.youtube.com/watch?v=eN7mWKv-TQE" TargetMode="External"/><Relationship Id="rId95" Type="http://schemas.openxmlformats.org/officeDocument/2006/relationships/hyperlink" Target="https://www.youtube.com/watch?v=YCg9i4I6Qf8" TargetMode="External"/><Relationship Id="rId22" Type="http://schemas.openxmlformats.org/officeDocument/2006/relationships/hyperlink" Target="https://www.youtube.com/watch?v=Cf2ASJCa_Iw" TargetMode="External"/><Relationship Id="rId27" Type="http://schemas.openxmlformats.org/officeDocument/2006/relationships/hyperlink" Target="https://www.youtube.com/watch?v=VFwmKL5OL-Q" TargetMode="External"/><Relationship Id="rId43" Type="http://schemas.openxmlformats.org/officeDocument/2006/relationships/hyperlink" Target="https://www.youtube.com/watch?v=rHaw1MpOIzg" TargetMode="External"/><Relationship Id="rId48" Type="http://schemas.openxmlformats.org/officeDocument/2006/relationships/hyperlink" Target="https://www.youtube.com/watch?v=lJvRohYSrZM" TargetMode="External"/><Relationship Id="rId64" Type="http://schemas.openxmlformats.org/officeDocument/2006/relationships/hyperlink" Target="https://www.youtube.com/watch?v=oL3_nZtyzAw" TargetMode="External"/><Relationship Id="rId69" Type="http://schemas.openxmlformats.org/officeDocument/2006/relationships/hyperlink" Target="https://www.youtube.com/watch?v=YVkUvmDQ3HY" TargetMode="External"/><Relationship Id="rId80" Type="http://schemas.openxmlformats.org/officeDocument/2006/relationships/hyperlink" Target="https://www.youtube.com/watch?v=EGLoIaHwKfE" TargetMode="External"/><Relationship Id="rId85" Type="http://schemas.openxmlformats.org/officeDocument/2006/relationships/hyperlink" Target="https://www.youtube.com/watch?v=bESGLojNYSo" TargetMode="External"/><Relationship Id="rId3" Type="http://schemas.openxmlformats.org/officeDocument/2006/relationships/hyperlink" Target="https://www.youtube.com/watch?v=ia50r3fa67s" TargetMode="External"/><Relationship Id="rId12" Type="http://schemas.openxmlformats.org/officeDocument/2006/relationships/hyperlink" Target="https://www.youtube.com/watch?v=dZzfjLPC-Rk" TargetMode="External"/><Relationship Id="rId17" Type="http://schemas.openxmlformats.org/officeDocument/2006/relationships/hyperlink" Target="https://www.youtube.com/watch?v=vRQUhObXDGU" TargetMode="External"/><Relationship Id="rId25" Type="http://schemas.openxmlformats.org/officeDocument/2006/relationships/hyperlink" Target="https://www.youtube.com/watch?v=2eqMmPBvXQo" TargetMode="External"/><Relationship Id="rId33" Type="http://schemas.openxmlformats.org/officeDocument/2006/relationships/hyperlink" Target="https://www.youtube.com/watch?v=he1v2LSai5U" TargetMode="External"/><Relationship Id="rId38" Type="http://schemas.openxmlformats.org/officeDocument/2006/relationships/hyperlink" Target="https://www.youtube.com/watch?v=A3iPwFeleY8" TargetMode="External"/><Relationship Id="rId46" Type="http://schemas.openxmlformats.org/officeDocument/2006/relationships/hyperlink" Target="https://www.youtube.com/watch?v=Uq9gPaIzbe8" TargetMode="External"/><Relationship Id="rId59" Type="http://schemas.openxmlformats.org/officeDocument/2006/relationships/hyperlink" Target="https://www.youtube.com/watch?v=PyVSfWyEdNs" TargetMode="External"/><Relationship Id="rId67" Type="http://schemas.openxmlformats.org/officeDocument/2006/relationships/hyperlink" Target="https://www.youtube.com/watch?v=8kYkciD9VjU" TargetMode="External"/><Relationship Id="rId20" Type="http://schemas.openxmlformats.org/officeDocument/2006/relationships/hyperlink" Target="https://www.youtube.com/watch?v=cdEEffF7_rU" TargetMode="External"/><Relationship Id="rId41" Type="http://schemas.openxmlformats.org/officeDocument/2006/relationships/hyperlink" Target="https://www.youtube.com/watch?v=abqLDv5LlHE" TargetMode="External"/><Relationship Id="rId54" Type="http://schemas.openxmlformats.org/officeDocument/2006/relationships/hyperlink" Target="https://www.youtube.com/watch?v=VzBvZYIDAWQ" TargetMode="External"/><Relationship Id="rId62" Type="http://schemas.openxmlformats.org/officeDocument/2006/relationships/hyperlink" Target="https://www.youtube.com/watch?v=cKzWHv4ivoI" TargetMode="External"/><Relationship Id="rId70" Type="http://schemas.openxmlformats.org/officeDocument/2006/relationships/hyperlink" Target="https://www.youtube.com/watch?v=NeQM1c-XCDc" TargetMode="External"/><Relationship Id="rId75" Type="http://schemas.openxmlformats.org/officeDocument/2006/relationships/hyperlink" Target="https://www.youtube.com/watch?v=BX0lKSa_PTk" TargetMode="External"/><Relationship Id="rId83" Type="http://schemas.openxmlformats.org/officeDocument/2006/relationships/hyperlink" Target="https://www.youtube.com/watch?v=KInfDb7XsEg" TargetMode="External"/><Relationship Id="rId88" Type="http://schemas.openxmlformats.org/officeDocument/2006/relationships/hyperlink" Target="https://www.youtube.com/watch?v=CocEMWdc7Ck" TargetMode="External"/><Relationship Id="rId91" Type="http://schemas.openxmlformats.org/officeDocument/2006/relationships/hyperlink" Target="https://www.youtube.com/watch?v=0VRXQT3X4p0" TargetMode="External"/><Relationship Id="rId96" Type="http://schemas.openxmlformats.org/officeDocument/2006/relationships/hyperlink" Target="https://www.youtube.com/watch?v=S0RvrfqLuog" TargetMode="External"/><Relationship Id="rId1" Type="http://schemas.openxmlformats.org/officeDocument/2006/relationships/hyperlink" Target="https://www.youtube.com/watch?v=G7KNmW9a75Y" TargetMode="External"/><Relationship Id="rId6" Type="http://schemas.openxmlformats.org/officeDocument/2006/relationships/hyperlink" Target="https://www.youtube.com/watch?v=iZEca2A3tS4" TargetMode="External"/><Relationship Id="rId15" Type="http://schemas.openxmlformats.org/officeDocument/2006/relationships/hyperlink" Target="https://www.youtube.com/watch?v=qqrLTNqAfWs" TargetMode="External"/><Relationship Id="rId23" Type="http://schemas.openxmlformats.org/officeDocument/2006/relationships/hyperlink" Target="https://www.youtube.com/watch?v=WHQygkIG8xs" TargetMode="External"/><Relationship Id="rId28" Type="http://schemas.openxmlformats.org/officeDocument/2006/relationships/hyperlink" Target="https://www.youtube.com/watch?v=T_Pep6MW1wc" TargetMode="External"/><Relationship Id="rId36" Type="http://schemas.openxmlformats.org/officeDocument/2006/relationships/hyperlink" Target="https://www.youtube.com/watch?v=ZzvbP0dYSAI" TargetMode="External"/><Relationship Id="rId49" Type="http://schemas.openxmlformats.org/officeDocument/2006/relationships/hyperlink" Target="https://www.youtube.com/watch?v=mZGb_R_dmeA" TargetMode="External"/><Relationship Id="rId57" Type="http://schemas.openxmlformats.org/officeDocument/2006/relationships/hyperlink" Target="https://www.youtube.com/watch?v=wugM4iz1r04" TargetMode="External"/><Relationship Id="rId10" Type="http://schemas.openxmlformats.org/officeDocument/2006/relationships/hyperlink" Target="https://www.youtube.com/watch?v=62MxX43jHXs" TargetMode="External"/><Relationship Id="rId31" Type="http://schemas.openxmlformats.org/officeDocument/2006/relationships/hyperlink" Target="https://www.youtube.com/watch?v=lV9q901vS6o" TargetMode="External"/><Relationship Id="rId44" Type="http://schemas.openxmlformats.org/officeDocument/2006/relationships/hyperlink" Target="https://www.youtube.com/watch?v=u-gaETffwYM" TargetMode="External"/><Relationship Id="rId52" Type="http://schemas.openxmlformats.org/officeDocument/2006/relationships/hyperlink" Target="https://www.youtube.com/watch?v=S9bCLPwzSC0" TargetMode="External"/><Relationship Id="rId60" Type="http://schemas.openxmlformats.org/officeDocument/2006/relationships/hyperlink" Target="https://www.youtube.com/watch?v=5CvzbWXn7_U" TargetMode="External"/><Relationship Id="rId65" Type="http://schemas.openxmlformats.org/officeDocument/2006/relationships/hyperlink" Target="https://www.youtube.com/watch?v=XrDgtxbkX34" TargetMode="External"/><Relationship Id="rId73" Type="http://schemas.openxmlformats.org/officeDocument/2006/relationships/hyperlink" Target="https://www.youtube.com/watch?v=QtXAkmx3SfI" TargetMode="External"/><Relationship Id="rId78" Type="http://schemas.openxmlformats.org/officeDocument/2006/relationships/hyperlink" Target="https://www.youtube.com/watch?v=ABNDnLv5yUY" TargetMode="External"/><Relationship Id="rId81" Type="http://schemas.openxmlformats.org/officeDocument/2006/relationships/hyperlink" Target="https://www.youtube.com/watch?v=oSHzUD-uqKY" TargetMode="External"/><Relationship Id="rId86" Type="http://schemas.openxmlformats.org/officeDocument/2006/relationships/hyperlink" Target="https://www.youtube.com/watch?v=StZcUAPRRac" TargetMode="External"/><Relationship Id="rId94" Type="http://schemas.openxmlformats.org/officeDocument/2006/relationships/hyperlink" Target="https://www.youtube.com/watch?v=W1br1jQkcXE" TargetMode="External"/><Relationship Id="rId99" Type="http://schemas.openxmlformats.org/officeDocument/2006/relationships/hyperlink" Target="https://www.youtube.com/watch?v=oBsCUHkveVw" TargetMode="External"/><Relationship Id="rId4" Type="http://schemas.openxmlformats.org/officeDocument/2006/relationships/hyperlink" Target="https://www.youtube.com/watch?v=m0u7iM6Xwxw" TargetMode="External"/><Relationship Id="rId9" Type="http://schemas.openxmlformats.org/officeDocument/2006/relationships/hyperlink" Target="https://www.youtube.com/watch?v=CSoCoSHyU5Y" TargetMode="External"/><Relationship Id="rId13" Type="http://schemas.openxmlformats.org/officeDocument/2006/relationships/hyperlink" Target="https://www.youtube.com/watch?v=-BaUkgUgyEE" TargetMode="External"/><Relationship Id="rId18" Type="http://schemas.openxmlformats.org/officeDocument/2006/relationships/hyperlink" Target="https://www.youtube.com/watch?v=mOOClonYKmc" TargetMode="External"/><Relationship Id="rId39" Type="http://schemas.openxmlformats.org/officeDocument/2006/relationships/hyperlink" Target="https://www.youtube.com/watch?v=mYcl6p3oiCc" TargetMode="External"/><Relationship Id="rId34" Type="http://schemas.openxmlformats.org/officeDocument/2006/relationships/hyperlink" Target="https://www.youtube.com/watch?v=l3vQ0pczKnE" TargetMode="External"/><Relationship Id="rId50" Type="http://schemas.openxmlformats.org/officeDocument/2006/relationships/hyperlink" Target="https://www.youtube.com/watch?v=UYXcryt21m8" TargetMode="External"/><Relationship Id="rId55" Type="http://schemas.openxmlformats.org/officeDocument/2006/relationships/hyperlink" Target="https://www.youtube.com/watch?v=ACDMXS4J8bM" TargetMode="External"/><Relationship Id="rId76" Type="http://schemas.openxmlformats.org/officeDocument/2006/relationships/hyperlink" Target="https://www.youtube.com/watch?v=LsFeLxZLybQ" TargetMode="External"/><Relationship Id="rId97" Type="http://schemas.openxmlformats.org/officeDocument/2006/relationships/hyperlink" Target="https://www.youtube.com/watch?v=KDxJlW6cxRk" TargetMode="External"/><Relationship Id="rId7" Type="http://schemas.openxmlformats.org/officeDocument/2006/relationships/hyperlink" Target="https://www.youtube.com/watch?v=024jiVWdPqA" TargetMode="External"/><Relationship Id="rId71" Type="http://schemas.openxmlformats.org/officeDocument/2006/relationships/hyperlink" Target="https://www.youtube.com/watch?v=glkSGJU-yLw" TargetMode="External"/><Relationship Id="rId92" Type="http://schemas.openxmlformats.org/officeDocument/2006/relationships/hyperlink" Target="https://www.youtube.com/watch?v=zziNhc6ECZA" TargetMode="External"/><Relationship Id="rId2" Type="http://schemas.openxmlformats.org/officeDocument/2006/relationships/hyperlink" Target="https://www.youtube.com/watch?v=N9zc1Npy9iE" TargetMode="External"/><Relationship Id="rId29" Type="http://schemas.openxmlformats.org/officeDocument/2006/relationships/hyperlink" Target="https://www.youtube.com/watch?v=7AYy77bxaB0" TargetMode="External"/><Relationship Id="rId24" Type="http://schemas.openxmlformats.org/officeDocument/2006/relationships/hyperlink" Target="https://www.youtube.com/watch?v=b9EJWtj5ZjI" TargetMode="External"/><Relationship Id="rId40" Type="http://schemas.openxmlformats.org/officeDocument/2006/relationships/hyperlink" Target="https://www.youtube.com/watch?v=mfkiyoY8WRk" TargetMode="External"/><Relationship Id="rId45" Type="http://schemas.openxmlformats.org/officeDocument/2006/relationships/hyperlink" Target="https://www.youtube.com/watch?v=1j4qxGVxxhg" TargetMode="External"/><Relationship Id="rId66" Type="http://schemas.openxmlformats.org/officeDocument/2006/relationships/hyperlink" Target="https://www.youtube.com/watch?v=ByVPVWCQVV8" TargetMode="External"/><Relationship Id="rId87" Type="http://schemas.openxmlformats.org/officeDocument/2006/relationships/hyperlink" Target="https://www.youtube.com/watch?v=h2MfDmyBFt8" TargetMode="External"/><Relationship Id="rId61" Type="http://schemas.openxmlformats.org/officeDocument/2006/relationships/hyperlink" Target="https://www.youtube.com/watch?v=3j6Vm_4-w-Y" TargetMode="External"/><Relationship Id="rId82" Type="http://schemas.openxmlformats.org/officeDocument/2006/relationships/hyperlink" Target="https://www.youtube.com/watch?v=e2vfVcLpC70" TargetMode="External"/><Relationship Id="rId19" Type="http://schemas.openxmlformats.org/officeDocument/2006/relationships/hyperlink" Target="https://www.youtube.com/watch?v=vCNmvFIFQ-I" TargetMode="External"/><Relationship Id="rId14" Type="http://schemas.openxmlformats.org/officeDocument/2006/relationships/hyperlink" Target="https://www.youtube.com/watch?v=Z8Z51no1TD0" TargetMode="External"/><Relationship Id="rId30" Type="http://schemas.openxmlformats.org/officeDocument/2006/relationships/hyperlink" Target="https://www.youtube.com/watch?v=nFet6yCeOPk" TargetMode="External"/><Relationship Id="rId35" Type="http://schemas.openxmlformats.org/officeDocument/2006/relationships/hyperlink" Target="https://www.youtube.com/watch?v=1gxLVS3erwM" TargetMode="External"/><Relationship Id="rId56" Type="http://schemas.openxmlformats.org/officeDocument/2006/relationships/hyperlink" Target="https://www.youtube.com/watch?v=zGJePzQHKLg" TargetMode="External"/><Relationship Id="rId77" Type="http://schemas.openxmlformats.org/officeDocument/2006/relationships/hyperlink" Target="https://www.youtube.com/watch?v=N7fV2TaLTEQ" TargetMode="External"/><Relationship Id="rId100" Type="http://schemas.openxmlformats.org/officeDocument/2006/relationships/hyperlink" Target="https://www.youtube.com/watch?v=iYePSq0UOfA" TargetMode="External"/><Relationship Id="rId8" Type="http://schemas.openxmlformats.org/officeDocument/2006/relationships/hyperlink" Target="https://www.youtube.com/watch?v=ed0aLnuNw_U" TargetMode="External"/><Relationship Id="rId51" Type="http://schemas.openxmlformats.org/officeDocument/2006/relationships/hyperlink" Target="https://www.youtube.com/watch?v=FB66mdrur5g" TargetMode="External"/><Relationship Id="rId72" Type="http://schemas.openxmlformats.org/officeDocument/2006/relationships/hyperlink" Target="https://www.youtube.com/watch?v=zY5KWvwZ7bY" TargetMode="External"/><Relationship Id="rId93" Type="http://schemas.openxmlformats.org/officeDocument/2006/relationships/hyperlink" Target="https://www.youtube.com/watch?v=wNFloQMK8ow" TargetMode="External"/><Relationship Id="rId98" Type="http://schemas.openxmlformats.org/officeDocument/2006/relationships/hyperlink" Target="https://www.youtube.com/watch?v=A9hcJgtnm6Q" TargetMode="Externa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g9EUQ4vdebQ" TargetMode="External"/><Relationship Id="rId21" Type="http://schemas.openxmlformats.org/officeDocument/2006/relationships/hyperlink" Target="https://www.youtube.com/watch?v=Cf2ASJCa_Iw" TargetMode="External"/><Relationship Id="rId42" Type="http://schemas.openxmlformats.org/officeDocument/2006/relationships/hyperlink" Target="https://www.youtube.com/watch?v=rHaw1MpOIzg" TargetMode="External"/><Relationship Id="rId47" Type="http://schemas.openxmlformats.org/officeDocument/2006/relationships/hyperlink" Target="https://www.youtube.com/watch?v=lJvRohYSrZM" TargetMode="External"/><Relationship Id="rId63" Type="http://schemas.openxmlformats.org/officeDocument/2006/relationships/hyperlink" Target="https://www.youtube.com/watch?v=zGJePzQHKLg" TargetMode="External"/><Relationship Id="rId68" Type="http://schemas.openxmlformats.org/officeDocument/2006/relationships/hyperlink" Target="https://www.youtube.com/watch?v=vYMTs-AP9_Q" TargetMode="External"/><Relationship Id="rId84" Type="http://schemas.openxmlformats.org/officeDocument/2006/relationships/hyperlink" Target="https://www.youtube.com/watch?v=h2MfDmyBFt8" TargetMode="External"/><Relationship Id="rId89" Type="http://schemas.openxmlformats.org/officeDocument/2006/relationships/hyperlink" Target="https://www.youtube.com/watch?v=h54g3lvGhaI" TargetMode="External"/><Relationship Id="rId16" Type="http://schemas.openxmlformats.org/officeDocument/2006/relationships/hyperlink" Target="https://www.youtube.com/watch?v=cdEEffF7_rU" TargetMode="External"/><Relationship Id="rId11" Type="http://schemas.openxmlformats.org/officeDocument/2006/relationships/hyperlink" Target="https://www.youtube.com/watch?v=-BaUkgUgyEE" TargetMode="External"/><Relationship Id="rId32" Type="http://schemas.openxmlformats.org/officeDocument/2006/relationships/hyperlink" Target="https://www.youtube.com/watch?v=mYcl6p3oiCc" TargetMode="External"/><Relationship Id="rId37" Type="http://schemas.openxmlformats.org/officeDocument/2006/relationships/hyperlink" Target="https://www.youtube.com/watch?v=NjDMzkRbSZI" TargetMode="External"/><Relationship Id="rId53" Type="http://schemas.openxmlformats.org/officeDocument/2006/relationships/hyperlink" Target="https://www.youtube.com/watch?v=0o0iK-ufovM" TargetMode="External"/><Relationship Id="rId58" Type="http://schemas.openxmlformats.org/officeDocument/2006/relationships/hyperlink" Target="https://www.youtube.com/watch?v=5CvzbWXn7_U" TargetMode="External"/><Relationship Id="rId74" Type="http://schemas.openxmlformats.org/officeDocument/2006/relationships/hyperlink" Target="https://www.youtube.com/watch?v=QtXAkmx3SfI" TargetMode="External"/><Relationship Id="rId79" Type="http://schemas.openxmlformats.org/officeDocument/2006/relationships/hyperlink" Target="https://www.youtube.com/watch?v=YaEG2aWJnZ8" TargetMode="External"/><Relationship Id="rId5" Type="http://schemas.openxmlformats.org/officeDocument/2006/relationships/hyperlink" Target="https://www.youtube.com/watch?v=Ryfm-7ZrL-Y" TargetMode="External"/><Relationship Id="rId90" Type="http://schemas.openxmlformats.org/officeDocument/2006/relationships/hyperlink" Target="https://www.youtube.com/watch?v=EGLoIaHwKfE" TargetMode="External"/><Relationship Id="rId95" Type="http://schemas.openxmlformats.org/officeDocument/2006/relationships/hyperlink" Target="https://www.youtube.com/watch?v=KInfDb7XsEg" TargetMode="External"/><Relationship Id="rId22" Type="http://schemas.openxmlformats.org/officeDocument/2006/relationships/hyperlink" Target="https://www.youtube.com/watch?v=-ZuCAA_93wc" TargetMode="External"/><Relationship Id="rId27" Type="http://schemas.openxmlformats.org/officeDocument/2006/relationships/hyperlink" Target="https://www.youtube.com/watch?v=VFwmKL5OL-Q" TargetMode="External"/><Relationship Id="rId43" Type="http://schemas.openxmlformats.org/officeDocument/2006/relationships/hyperlink" Target="https://www.youtube.com/watch?v=1j4qxGVxxhg" TargetMode="External"/><Relationship Id="rId48" Type="http://schemas.openxmlformats.org/officeDocument/2006/relationships/hyperlink" Target="https://www.youtube.com/watch?v=yUdwrxAEYQI" TargetMode="External"/><Relationship Id="rId64" Type="http://schemas.openxmlformats.org/officeDocument/2006/relationships/hyperlink" Target="https://www.youtube.com/watch?v=8kYkciD9VjU" TargetMode="External"/><Relationship Id="rId69" Type="http://schemas.openxmlformats.org/officeDocument/2006/relationships/hyperlink" Target="https://www.youtube.com/watch?v=YVkUvmDQ3HY" TargetMode="External"/><Relationship Id="rId80" Type="http://schemas.openxmlformats.org/officeDocument/2006/relationships/hyperlink" Target="https://www.youtube.com/watch?v=CocEMWdc7Ck" TargetMode="External"/><Relationship Id="rId85" Type="http://schemas.openxmlformats.org/officeDocument/2006/relationships/hyperlink" Target="https://www.youtube.com/watch?v=bESGLojNYSo" TargetMode="External"/><Relationship Id="rId3" Type="http://schemas.openxmlformats.org/officeDocument/2006/relationships/hyperlink" Target="https://www.youtube.com/watch?v=iZEca2A3tS4" TargetMode="External"/><Relationship Id="rId12" Type="http://schemas.openxmlformats.org/officeDocument/2006/relationships/hyperlink" Target="https://www.youtube.com/watch?v=Z8Z51no1TD0" TargetMode="External"/><Relationship Id="rId17" Type="http://schemas.openxmlformats.org/officeDocument/2006/relationships/hyperlink" Target="https://www.youtube.com/watch?v=vCNmvFIFQ-I" TargetMode="External"/><Relationship Id="rId25" Type="http://schemas.openxmlformats.org/officeDocument/2006/relationships/hyperlink" Target="https://www.youtube.com/watch?v=7AYy77bxaB0" TargetMode="External"/><Relationship Id="rId33" Type="http://schemas.openxmlformats.org/officeDocument/2006/relationships/hyperlink" Target="https://www.youtube.com/watch?v=he1v2LSai5U" TargetMode="External"/><Relationship Id="rId38" Type="http://schemas.openxmlformats.org/officeDocument/2006/relationships/hyperlink" Target="https://www.youtube.com/watch?v=1gxLVS3erwM" TargetMode="External"/><Relationship Id="rId46" Type="http://schemas.openxmlformats.org/officeDocument/2006/relationships/hyperlink" Target="https://www.youtube.com/watch?v=mZGb_R_dmeA" TargetMode="External"/><Relationship Id="rId59" Type="http://schemas.openxmlformats.org/officeDocument/2006/relationships/hyperlink" Target="https://www.youtube.com/watch?v=wugM4iz1r04" TargetMode="External"/><Relationship Id="rId67" Type="http://schemas.openxmlformats.org/officeDocument/2006/relationships/hyperlink" Target="https://www.youtube.com/watch?v=3hwj3L2hajI" TargetMode="External"/><Relationship Id="rId20" Type="http://schemas.openxmlformats.org/officeDocument/2006/relationships/hyperlink" Target="https://www.youtube.com/watch?v=b9EJWtj5ZjI" TargetMode="External"/><Relationship Id="rId41" Type="http://schemas.openxmlformats.org/officeDocument/2006/relationships/hyperlink" Target="https://www.youtube.com/watch?v=mfkiyoY8WRk" TargetMode="External"/><Relationship Id="rId54" Type="http://schemas.openxmlformats.org/officeDocument/2006/relationships/hyperlink" Target="https://www.youtube.com/watch?v=UYXcryt21m8" TargetMode="External"/><Relationship Id="rId62" Type="http://schemas.openxmlformats.org/officeDocument/2006/relationships/hyperlink" Target="https://www.youtube.com/watch?v=CdsqxF1wiMI" TargetMode="External"/><Relationship Id="rId70" Type="http://schemas.openxmlformats.org/officeDocument/2006/relationships/hyperlink" Target="https://www.youtube.com/watch?v=CNhkK8R0oEA" TargetMode="External"/><Relationship Id="rId75" Type="http://schemas.openxmlformats.org/officeDocument/2006/relationships/hyperlink" Target="https://www.youtube.com/watch?v=NeQM1c-XCDc" TargetMode="External"/><Relationship Id="rId83" Type="http://schemas.openxmlformats.org/officeDocument/2006/relationships/hyperlink" Target="https://www.youtube.com/watch?v=e2vfVcLpC70" TargetMode="External"/><Relationship Id="rId88" Type="http://schemas.openxmlformats.org/officeDocument/2006/relationships/hyperlink" Target="https://www.youtube.com/watch?v=eN7mWKv-TQE" TargetMode="External"/><Relationship Id="rId91" Type="http://schemas.openxmlformats.org/officeDocument/2006/relationships/hyperlink" Target="https://www.youtube.com/watch?v=oSHzUD-uqKY" TargetMode="External"/><Relationship Id="rId96" Type="http://schemas.openxmlformats.org/officeDocument/2006/relationships/hyperlink" Target="https://www.youtube.com/watch?v=PVjiKRfKpPI" TargetMode="External"/><Relationship Id="rId1" Type="http://schemas.openxmlformats.org/officeDocument/2006/relationships/hyperlink" Target="https://www.youtube.com/watch?v=G7KNmW9a75Y" TargetMode="External"/><Relationship Id="rId6" Type="http://schemas.openxmlformats.org/officeDocument/2006/relationships/hyperlink" Target="https://www.youtube.com/watch?v=024jiVWdPqA" TargetMode="External"/><Relationship Id="rId15" Type="http://schemas.openxmlformats.org/officeDocument/2006/relationships/hyperlink" Target="https://www.youtube.com/watch?v=vRQUhObXDGU" TargetMode="External"/><Relationship Id="rId23" Type="http://schemas.openxmlformats.org/officeDocument/2006/relationships/hyperlink" Target="https://www.youtube.com/watch?v=2eqMmPBvXQo" TargetMode="External"/><Relationship Id="rId28" Type="http://schemas.openxmlformats.org/officeDocument/2006/relationships/hyperlink" Target="https://www.youtube.com/watch?v=nFet6yCeOPk" TargetMode="External"/><Relationship Id="rId36" Type="http://schemas.openxmlformats.org/officeDocument/2006/relationships/hyperlink" Target="https://www.youtube.com/watch?v=fRuiEv3JRDQ" TargetMode="External"/><Relationship Id="rId49" Type="http://schemas.openxmlformats.org/officeDocument/2006/relationships/hyperlink" Target="https://www.youtube.com/watch?v=Uq9gPaIzbe8" TargetMode="External"/><Relationship Id="rId57" Type="http://schemas.openxmlformats.org/officeDocument/2006/relationships/hyperlink" Target="https://www.youtube.com/watch?v=VzBvZYIDAWQ" TargetMode="External"/><Relationship Id="rId10" Type="http://schemas.openxmlformats.org/officeDocument/2006/relationships/hyperlink" Target="https://www.youtube.com/watch?v=dZzfjLPC-Rk" TargetMode="External"/><Relationship Id="rId31" Type="http://schemas.openxmlformats.org/officeDocument/2006/relationships/hyperlink" Target="https://www.youtube.com/watch?v=ZzvbP0dYSAI" TargetMode="External"/><Relationship Id="rId44" Type="http://schemas.openxmlformats.org/officeDocument/2006/relationships/hyperlink" Target="https://www.youtube.com/watch?v=u-gaETffwYM" TargetMode="External"/><Relationship Id="rId52" Type="http://schemas.openxmlformats.org/officeDocument/2006/relationships/hyperlink" Target="https://www.youtube.com/watch?v=FB66mdrur5g" TargetMode="External"/><Relationship Id="rId60" Type="http://schemas.openxmlformats.org/officeDocument/2006/relationships/hyperlink" Target="https://www.youtube.com/watch?v=XrDgtxbkX34" TargetMode="External"/><Relationship Id="rId65" Type="http://schemas.openxmlformats.org/officeDocument/2006/relationships/hyperlink" Target="https://www.youtube.com/watch?v=ByVPVWCQVV8" TargetMode="External"/><Relationship Id="rId73" Type="http://schemas.openxmlformats.org/officeDocument/2006/relationships/hyperlink" Target="https://www.youtube.com/watch?v=ABNDnLv5yUY" TargetMode="External"/><Relationship Id="rId78" Type="http://schemas.openxmlformats.org/officeDocument/2006/relationships/hyperlink" Target="https://www.youtube.com/watch?v=BX0lKSa_PTk" TargetMode="External"/><Relationship Id="rId81" Type="http://schemas.openxmlformats.org/officeDocument/2006/relationships/hyperlink" Target="https://www.youtube.com/watch?v=LsFeLxZLybQ" TargetMode="External"/><Relationship Id="rId86" Type="http://schemas.openxmlformats.org/officeDocument/2006/relationships/hyperlink" Target="https://www.youtube.com/watch?v=6V4cthqp2Cg" TargetMode="External"/><Relationship Id="rId94" Type="http://schemas.openxmlformats.org/officeDocument/2006/relationships/hyperlink" Target="https://www.youtube.com/watch?v=A9hcJgtnm6Q" TargetMode="External"/><Relationship Id="rId99" Type="http://schemas.openxmlformats.org/officeDocument/2006/relationships/hyperlink" Target="https://www.youtube.com/watch?v=7L1Xt1y4-6I" TargetMode="External"/><Relationship Id="rId4" Type="http://schemas.openxmlformats.org/officeDocument/2006/relationships/hyperlink" Target="https://www.youtube.com/watch?v=m0u7iM6Xwxw" TargetMode="External"/><Relationship Id="rId9" Type="http://schemas.openxmlformats.org/officeDocument/2006/relationships/hyperlink" Target="https://www.youtube.com/watch?v=ed0aLnuNw_U" TargetMode="External"/><Relationship Id="rId13" Type="http://schemas.openxmlformats.org/officeDocument/2006/relationships/hyperlink" Target="https://www.youtube.com/watch?v=mOOClonYKmc" TargetMode="External"/><Relationship Id="rId18" Type="http://schemas.openxmlformats.org/officeDocument/2006/relationships/hyperlink" Target="https://www.youtube.com/watch?v=T_Pep6MW1wc" TargetMode="External"/><Relationship Id="rId39" Type="http://schemas.openxmlformats.org/officeDocument/2006/relationships/hyperlink" Target="https://www.youtube.com/watch?v=abqLDv5LlHE" TargetMode="External"/><Relationship Id="rId34" Type="http://schemas.openxmlformats.org/officeDocument/2006/relationships/hyperlink" Target="https://www.youtube.com/watch?v=l3vQ0pczKnE" TargetMode="External"/><Relationship Id="rId50" Type="http://schemas.openxmlformats.org/officeDocument/2006/relationships/hyperlink" Target="https://www.youtube.com/watch?v=S9bCLPwzSC0" TargetMode="External"/><Relationship Id="rId55" Type="http://schemas.openxmlformats.org/officeDocument/2006/relationships/hyperlink" Target="https://www.youtube.com/watch?v=3j6Vm_4-w-Y" TargetMode="External"/><Relationship Id="rId76" Type="http://schemas.openxmlformats.org/officeDocument/2006/relationships/hyperlink" Target="https://www.youtube.com/watch?v=90RLzVUuXe4" TargetMode="External"/><Relationship Id="rId97" Type="http://schemas.openxmlformats.org/officeDocument/2006/relationships/hyperlink" Target="https://www.youtube.com/watch?v=S0RvrfqLuog" TargetMode="External"/><Relationship Id="rId7" Type="http://schemas.openxmlformats.org/officeDocument/2006/relationships/hyperlink" Target="https://www.youtube.com/watch?v=CSoCoSHyU5Y" TargetMode="External"/><Relationship Id="rId71" Type="http://schemas.openxmlformats.org/officeDocument/2006/relationships/hyperlink" Target="https://www.youtube.com/watch?v=zY5KWvwZ7bY" TargetMode="External"/><Relationship Id="rId92" Type="http://schemas.openxmlformats.org/officeDocument/2006/relationships/hyperlink" Target="https://www.youtube.com/watch?v=XPVIWPap7X0" TargetMode="External"/><Relationship Id="rId2" Type="http://schemas.openxmlformats.org/officeDocument/2006/relationships/hyperlink" Target="https://www.youtube.com/watch?v=ia50r3fa67s" TargetMode="External"/><Relationship Id="rId29" Type="http://schemas.openxmlformats.org/officeDocument/2006/relationships/hyperlink" Target="https://www.youtube.com/watch?v=lV9q901vS6o" TargetMode="External"/><Relationship Id="rId24" Type="http://schemas.openxmlformats.org/officeDocument/2006/relationships/hyperlink" Target="https://www.youtube.com/watch?v=OdgBmb8LXKM" TargetMode="External"/><Relationship Id="rId40" Type="http://schemas.openxmlformats.org/officeDocument/2006/relationships/hyperlink" Target="https://www.youtube.com/watch?v=F9mMnWcYXQ0" TargetMode="External"/><Relationship Id="rId45" Type="http://schemas.openxmlformats.org/officeDocument/2006/relationships/hyperlink" Target="https://www.youtube.com/watch?v=wtuVa-mOknA" TargetMode="External"/><Relationship Id="rId66" Type="http://schemas.openxmlformats.org/officeDocument/2006/relationships/hyperlink" Target="https://www.youtube.com/watch?v=glkSGJU-yLw" TargetMode="External"/><Relationship Id="rId87" Type="http://schemas.openxmlformats.org/officeDocument/2006/relationships/hyperlink" Target="https://www.youtube.com/watch?v=ZxDEwIyJap8" TargetMode="External"/><Relationship Id="rId61" Type="http://schemas.openxmlformats.org/officeDocument/2006/relationships/hyperlink" Target="https://www.youtube.com/watch?v=XXYlFuWEuKI" TargetMode="External"/><Relationship Id="rId82" Type="http://schemas.openxmlformats.org/officeDocument/2006/relationships/hyperlink" Target="https://www.youtube.com/watch?v=StZcUAPRRac" TargetMode="External"/><Relationship Id="rId19" Type="http://schemas.openxmlformats.org/officeDocument/2006/relationships/hyperlink" Target="https://www.youtube.com/watch?v=w9l7hWlRJ5w" TargetMode="External"/><Relationship Id="rId14" Type="http://schemas.openxmlformats.org/officeDocument/2006/relationships/hyperlink" Target="https://www.youtube.com/watch?v=qqrLTNqAfWs" TargetMode="External"/><Relationship Id="rId30" Type="http://schemas.openxmlformats.org/officeDocument/2006/relationships/hyperlink" Target="https://www.youtube.com/watch?v=WHQygkIG8xs" TargetMode="External"/><Relationship Id="rId35" Type="http://schemas.openxmlformats.org/officeDocument/2006/relationships/hyperlink" Target="https://www.youtube.com/watch?v=A3iPwFeleY8" TargetMode="External"/><Relationship Id="rId56" Type="http://schemas.openxmlformats.org/officeDocument/2006/relationships/hyperlink" Target="https://www.youtube.com/watch?v=9CM0sVfVDx4" TargetMode="External"/><Relationship Id="rId77" Type="http://schemas.openxmlformats.org/officeDocument/2006/relationships/hyperlink" Target="https://www.youtube.com/watch?v=KI8HKxbdmTc" TargetMode="External"/><Relationship Id="rId100" Type="http://schemas.openxmlformats.org/officeDocument/2006/relationships/hyperlink" Target="https://www.youtube.com/watch?v=OhKEUfSuRws" TargetMode="External"/><Relationship Id="rId8" Type="http://schemas.openxmlformats.org/officeDocument/2006/relationships/hyperlink" Target="https://www.youtube.com/watch?v=62MxX43jHXs" TargetMode="External"/><Relationship Id="rId51" Type="http://schemas.openxmlformats.org/officeDocument/2006/relationships/hyperlink" Target="https://www.youtube.com/watch?v=R0ebIzABQm0" TargetMode="External"/><Relationship Id="rId72" Type="http://schemas.openxmlformats.org/officeDocument/2006/relationships/hyperlink" Target="https://www.youtube.com/watch?v=JulDOMKkE70" TargetMode="External"/><Relationship Id="rId93" Type="http://schemas.openxmlformats.org/officeDocument/2006/relationships/hyperlink" Target="https://www.youtube.com/watch?v=f4zLtKYuOK4" TargetMode="External"/><Relationship Id="rId98" Type="http://schemas.openxmlformats.org/officeDocument/2006/relationships/hyperlink" Target="https://www.youtube.com/watch?v=iYePSq0UOfA" TargetMode="External"/></Relationships>
</file>

<file path=xl/worksheets/_rels/sheet8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youtube.com/watch?v=OdgBmb8LXKM" TargetMode="External"/><Relationship Id="rId21" Type="http://schemas.openxmlformats.org/officeDocument/2006/relationships/hyperlink" Target="https://www.youtube.com/watch?v=Cf2ASJCa_Iw" TargetMode="External"/><Relationship Id="rId42" Type="http://schemas.openxmlformats.org/officeDocument/2006/relationships/hyperlink" Target="https://www.youtube.com/watch?v=rHaw1MpOIzg" TargetMode="External"/><Relationship Id="rId47" Type="http://schemas.openxmlformats.org/officeDocument/2006/relationships/hyperlink" Target="https://www.youtube.com/watch?v=lJvRohYSrZM" TargetMode="External"/><Relationship Id="rId63" Type="http://schemas.openxmlformats.org/officeDocument/2006/relationships/hyperlink" Target="https://www.youtube.com/watch?v=zY5KWvwZ7bY" TargetMode="External"/><Relationship Id="rId68" Type="http://schemas.openxmlformats.org/officeDocument/2006/relationships/hyperlink" Target="https://www.youtube.com/watch?v=LsFeLxZLybQ" TargetMode="External"/><Relationship Id="rId84" Type="http://schemas.openxmlformats.org/officeDocument/2006/relationships/hyperlink" Target="https://www.youtube.com/watch?v=NeQM1c-XCDc" TargetMode="External"/><Relationship Id="rId89" Type="http://schemas.openxmlformats.org/officeDocument/2006/relationships/hyperlink" Target="https://www.youtube.com/watch?v=StZcUAPRRac" TargetMode="External"/><Relationship Id="rId16" Type="http://schemas.openxmlformats.org/officeDocument/2006/relationships/hyperlink" Target="https://www.youtube.com/watch?v=vRQUhObXDGU" TargetMode="External"/><Relationship Id="rId11" Type="http://schemas.openxmlformats.org/officeDocument/2006/relationships/hyperlink" Target="https://www.youtube.com/watch?v=Z8Z51no1TD0" TargetMode="External"/><Relationship Id="rId32" Type="http://schemas.openxmlformats.org/officeDocument/2006/relationships/hyperlink" Target="https://www.youtube.com/watch?v=A3iPwFeleY8" TargetMode="External"/><Relationship Id="rId37" Type="http://schemas.openxmlformats.org/officeDocument/2006/relationships/hyperlink" Target="https://www.youtube.com/watch?v=nFet6yCeOPk" TargetMode="External"/><Relationship Id="rId53" Type="http://schemas.openxmlformats.org/officeDocument/2006/relationships/hyperlink" Target="https://www.youtube.com/watch?v=3j6Vm_4-w-Y" TargetMode="External"/><Relationship Id="rId58" Type="http://schemas.openxmlformats.org/officeDocument/2006/relationships/hyperlink" Target="https://www.youtube.com/watch?v=vYMTs-AP9_Q" TargetMode="External"/><Relationship Id="rId74" Type="http://schemas.openxmlformats.org/officeDocument/2006/relationships/hyperlink" Target="https://www.youtube.com/watch?v=ZxDEwIyJap8" TargetMode="External"/><Relationship Id="rId79" Type="http://schemas.openxmlformats.org/officeDocument/2006/relationships/hyperlink" Target="https://www.youtube.com/watch?v=0-7IHOXkiV8" TargetMode="External"/><Relationship Id="rId5" Type="http://schemas.openxmlformats.org/officeDocument/2006/relationships/hyperlink" Target="https://www.youtube.com/watch?v=m0u7iM6Xwxw" TargetMode="External"/><Relationship Id="rId90" Type="http://schemas.openxmlformats.org/officeDocument/2006/relationships/hyperlink" Target="https://www.youtube.com/watch?v=YaEG2aWJnZ8" TargetMode="External"/><Relationship Id="rId95" Type="http://schemas.openxmlformats.org/officeDocument/2006/relationships/hyperlink" Target="https://www.youtube.com/watch?v=EGLoIaHwKfE" TargetMode="External"/><Relationship Id="rId22" Type="http://schemas.openxmlformats.org/officeDocument/2006/relationships/hyperlink" Target="https://www.youtube.com/watch?v=b9EJWtj5ZjI" TargetMode="External"/><Relationship Id="rId27" Type="http://schemas.openxmlformats.org/officeDocument/2006/relationships/hyperlink" Target="https://www.youtube.com/watch?v=mYcl6p3oiCc" TargetMode="External"/><Relationship Id="rId43" Type="http://schemas.openxmlformats.org/officeDocument/2006/relationships/hyperlink" Target="https://www.youtube.com/watch?v=ZzvbP0dYSAI" TargetMode="External"/><Relationship Id="rId48" Type="http://schemas.openxmlformats.org/officeDocument/2006/relationships/hyperlink" Target="https://www.youtube.com/watch?v=S9bCLPwzSC0" TargetMode="External"/><Relationship Id="rId64" Type="http://schemas.openxmlformats.org/officeDocument/2006/relationships/hyperlink" Target="https://www.youtube.com/watch?v=CocEMWdc7Ck" TargetMode="External"/><Relationship Id="rId69" Type="http://schemas.openxmlformats.org/officeDocument/2006/relationships/hyperlink" Target="https://www.youtube.com/watch?v=6V4cthqp2Cg" TargetMode="External"/><Relationship Id="rId80" Type="http://schemas.openxmlformats.org/officeDocument/2006/relationships/hyperlink" Target="https://www.youtube.com/watch?v=BX0lKSa_PTk" TargetMode="External"/><Relationship Id="rId85" Type="http://schemas.openxmlformats.org/officeDocument/2006/relationships/hyperlink" Target="https://www.youtube.com/watch?v=KInfDb7XsEg" TargetMode="External"/><Relationship Id="rId3" Type="http://schemas.openxmlformats.org/officeDocument/2006/relationships/hyperlink" Target="https://www.youtube.com/watch?v=iZEca2A3tS4" TargetMode="External"/><Relationship Id="rId12" Type="http://schemas.openxmlformats.org/officeDocument/2006/relationships/hyperlink" Target="https://www.youtube.com/watch?v=-BaUkgUgyEE" TargetMode="External"/><Relationship Id="rId17" Type="http://schemas.openxmlformats.org/officeDocument/2006/relationships/hyperlink" Target="https://www.youtube.com/watch?v=w9l7hWlRJ5w" TargetMode="External"/><Relationship Id="rId25" Type="http://schemas.openxmlformats.org/officeDocument/2006/relationships/hyperlink" Target="https://www.youtube.com/watch?v=lV9q901vS6o" TargetMode="External"/><Relationship Id="rId33" Type="http://schemas.openxmlformats.org/officeDocument/2006/relationships/hyperlink" Target="https://www.youtube.com/watch?v=F9mMnWcYXQ0" TargetMode="External"/><Relationship Id="rId38" Type="http://schemas.openxmlformats.org/officeDocument/2006/relationships/hyperlink" Target="https://www.youtube.com/watch?v=NjDMzkRbSZI" TargetMode="External"/><Relationship Id="rId46" Type="http://schemas.openxmlformats.org/officeDocument/2006/relationships/hyperlink" Target="https://www.youtube.com/watch?v=R0ebIzABQm0" TargetMode="External"/><Relationship Id="rId59" Type="http://schemas.openxmlformats.org/officeDocument/2006/relationships/hyperlink" Target="https://www.youtube.com/watch?v=UYXcryt21m8" TargetMode="External"/><Relationship Id="rId67" Type="http://schemas.openxmlformats.org/officeDocument/2006/relationships/hyperlink" Target="https://www.youtube.com/watch?v=cE8X18AEwDs" TargetMode="External"/><Relationship Id="rId20" Type="http://schemas.openxmlformats.org/officeDocument/2006/relationships/hyperlink" Target="https://www.youtube.com/watch?v=L1p0clhjOlg" TargetMode="External"/><Relationship Id="rId41" Type="http://schemas.openxmlformats.org/officeDocument/2006/relationships/hyperlink" Target="https://www.youtube.com/watch?v=1gxLVS3erwM" TargetMode="External"/><Relationship Id="rId54" Type="http://schemas.openxmlformats.org/officeDocument/2006/relationships/hyperlink" Target="https://www.youtube.com/watch?v=gw2nclcoFNE" TargetMode="External"/><Relationship Id="rId62" Type="http://schemas.openxmlformats.org/officeDocument/2006/relationships/hyperlink" Target="https://www.youtube.com/watch?v=ByVPVWCQVV8" TargetMode="External"/><Relationship Id="rId70" Type="http://schemas.openxmlformats.org/officeDocument/2006/relationships/hyperlink" Target="https://www.youtube.com/watch?v=5CvzbWXn7_U" TargetMode="External"/><Relationship Id="rId75" Type="http://schemas.openxmlformats.org/officeDocument/2006/relationships/hyperlink" Target="https://www.youtube.com/watch?v=JulDOMKkE70" TargetMode="External"/><Relationship Id="rId83" Type="http://schemas.openxmlformats.org/officeDocument/2006/relationships/hyperlink" Target="https://www.youtube.com/watch?v=bESGLojNYSo" TargetMode="External"/><Relationship Id="rId88" Type="http://schemas.openxmlformats.org/officeDocument/2006/relationships/hyperlink" Target="https://www.youtube.com/watch?v=ME-29s54CE0" TargetMode="External"/><Relationship Id="rId91" Type="http://schemas.openxmlformats.org/officeDocument/2006/relationships/hyperlink" Target="https://www.youtube.com/watch?v=taaSYRW2Rg8" TargetMode="External"/><Relationship Id="rId96" Type="http://schemas.openxmlformats.org/officeDocument/2006/relationships/hyperlink" Target="https://www.youtube.com/watch?v=cXCBiF67jLM" TargetMode="External"/><Relationship Id="rId1" Type="http://schemas.openxmlformats.org/officeDocument/2006/relationships/hyperlink" Target="https://www.youtube.com/watch?v=G7KNmW9a75Y" TargetMode="External"/><Relationship Id="rId6" Type="http://schemas.openxmlformats.org/officeDocument/2006/relationships/hyperlink" Target="https://www.youtube.com/watch?v=62MxX43jHXs" TargetMode="External"/><Relationship Id="rId15" Type="http://schemas.openxmlformats.org/officeDocument/2006/relationships/hyperlink" Target="https://www.youtube.com/watch?v=qqrLTNqAfWs" TargetMode="External"/><Relationship Id="rId23" Type="http://schemas.openxmlformats.org/officeDocument/2006/relationships/hyperlink" Target="https://www.youtube.com/watch?v=g9EUQ4vdebQ" TargetMode="External"/><Relationship Id="rId28" Type="http://schemas.openxmlformats.org/officeDocument/2006/relationships/hyperlink" Target="https://www.youtube.com/watch?v=-ZuCAA_93wc" TargetMode="External"/><Relationship Id="rId36" Type="http://schemas.openxmlformats.org/officeDocument/2006/relationships/hyperlink" Target="https://www.youtube.com/watch?v=u-gaETffwYM" TargetMode="External"/><Relationship Id="rId49" Type="http://schemas.openxmlformats.org/officeDocument/2006/relationships/hyperlink" Target="https://www.youtube.com/watch?v=FB66mdrur5g" TargetMode="External"/><Relationship Id="rId57" Type="http://schemas.openxmlformats.org/officeDocument/2006/relationships/hyperlink" Target="https://www.youtube.com/watch?v=wugM4iz1r04" TargetMode="External"/><Relationship Id="rId10" Type="http://schemas.openxmlformats.org/officeDocument/2006/relationships/hyperlink" Target="https://www.youtube.com/watch?v=dZzfjLPC-Rk" TargetMode="External"/><Relationship Id="rId31" Type="http://schemas.openxmlformats.org/officeDocument/2006/relationships/hyperlink" Target="https://www.youtube.com/watch?v=fRuiEv3JRDQ" TargetMode="External"/><Relationship Id="rId44" Type="http://schemas.openxmlformats.org/officeDocument/2006/relationships/hyperlink" Target="https://www.youtube.com/watch?v=1j4qxGVxxhg" TargetMode="External"/><Relationship Id="rId52" Type="http://schemas.openxmlformats.org/officeDocument/2006/relationships/hyperlink" Target="https://www.youtube.com/watch?v=XrDgtxbkX34" TargetMode="External"/><Relationship Id="rId60" Type="http://schemas.openxmlformats.org/officeDocument/2006/relationships/hyperlink" Target="https://www.youtube.com/watch?v=CdsqxF1wiMI" TargetMode="External"/><Relationship Id="rId65" Type="http://schemas.openxmlformats.org/officeDocument/2006/relationships/hyperlink" Target="https://www.youtube.com/watch?v=YVkUvmDQ3HY" TargetMode="External"/><Relationship Id="rId73" Type="http://schemas.openxmlformats.org/officeDocument/2006/relationships/hyperlink" Target="https://www.youtube.com/watch?v=QtXAkmx3SfI" TargetMode="External"/><Relationship Id="rId78" Type="http://schemas.openxmlformats.org/officeDocument/2006/relationships/hyperlink" Target="https://www.youtube.com/watch?v=KI8HKxbdmTc" TargetMode="External"/><Relationship Id="rId81" Type="http://schemas.openxmlformats.org/officeDocument/2006/relationships/hyperlink" Target="https://www.youtube.com/watch?v=zGJePzQHKLg" TargetMode="External"/><Relationship Id="rId86" Type="http://schemas.openxmlformats.org/officeDocument/2006/relationships/hyperlink" Target="https://www.youtube.com/watch?v=wNFloQMK8ow" TargetMode="External"/><Relationship Id="rId94" Type="http://schemas.openxmlformats.org/officeDocument/2006/relationships/hyperlink" Target="https://www.youtube.com/watch?v=TyMtfhp8kVQ" TargetMode="External"/><Relationship Id="rId99" Type="http://schemas.openxmlformats.org/officeDocument/2006/relationships/hyperlink" Target="https://www.youtube.com/watch?v=OhKEUfSuRws" TargetMode="External"/><Relationship Id="rId4" Type="http://schemas.openxmlformats.org/officeDocument/2006/relationships/hyperlink" Target="https://www.youtube.com/watch?v=Ryfm-7ZrL-Y" TargetMode="External"/><Relationship Id="rId9" Type="http://schemas.openxmlformats.org/officeDocument/2006/relationships/hyperlink" Target="https://www.youtube.com/watch?v=024jiVWdPqA" TargetMode="External"/><Relationship Id="rId13" Type="http://schemas.openxmlformats.org/officeDocument/2006/relationships/hyperlink" Target="https://www.youtube.com/watch?v=T_Pep6MW1wc" TargetMode="External"/><Relationship Id="rId18" Type="http://schemas.openxmlformats.org/officeDocument/2006/relationships/hyperlink" Target="https://www.youtube.com/watch?v=vCNmvFIFQ-I" TargetMode="External"/><Relationship Id="rId39" Type="http://schemas.openxmlformats.org/officeDocument/2006/relationships/hyperlink" Target="https://www.youtube.com/watch?v=mfkiyoY8WRk" TargetMode="External"/><Relationship Id="rId34" Type="http://schemas.openxmlformats.org/officeDocument/2006/relationships/hyperlink" Target="https://www.youtube.com/watch?v=he1v2LSai5U" TargetMode="External"/><Relationship Id="rId50" Type="http://schemas.openxmlformats.org/officeDocument/2006/relationships/hyperlink" Target="https://www.youtube.com/watch?v=Uq9gPaIzbe8" TargetMode="External"/><Relationship Id="rId55" Type="http://schemas.openxmlformats.org/officeDocument/2006/relationships/hyperlink" Target="https://www.youtube.com/watch?v=VzBvZYIDAWQ" TargetMode="External"/><Relationship Id="rId76" Type="http://schemas.openxmlformats.org/officeDocument/2006/relationships/hyperlink" Target="https://www.youtube.com/watch?v=eN7mWKv-TQE" TargetMode="External"/><Relationship Id="rId97" Type="http://schemas.openxmlformats.org/officeDocument/2006/relationships/hyperlink" Target="https://www.youtube.com/watch?v=VLR4Auk8oSk" TargetMode="External"/><Relationship Id="rId7" Type="http://schemas.openxmlformats.org/officeDocument/2006/relationships/hyperlink" Target="https://www.youtube.com/watch?v=CSoCoSHyU5Y" TargetMode="External"/><Relationship Id="rId71" Type="http://schemas.openxmlformats.org/officeDocument/2006/relationships/hyperlink" Target="https://www.youtube.com/watch?v=ABNDnLv5yUY" TargetMode="External"/><Relationship Id="rId92" Type="http://schemas.openxmlformats.org/officeDocument/2006/relationships/hyperlink" Target="https://www.youtube.com/watch?v=oSHzUD-uqKY" TargetMode="External"/><Relationship Id="rId2" Type="http://schemas.openxmlformats.org/officeDocument/2006/relationships/hyperlink" Target="https://www.youtube.com/watch?v=ia50r3fa67s" TargetMode="External"/><Relationship Id="rId29" Type="http://schemas.openxmlformats.org/officeDocument/2006/relationships/hyperlink" Target="https://www.youtube.com/watch?v=WHQygkIG8xs" TargetMode="External"/><Relationship Id="rId24" Type="http://schemas.openxmlformats.org/officeDocument/2006/relationships/hyperlink" Target="https://www.youtube.com/watch?v=2eqMmPBvXQo" TargetMode="External"/><Relationship Id="rId40" Type="http://schemas.openxmlformats.org/officeDocument/2006/relationships/hyperlink" Target="https://www.youtube.com/watch?v=mZGb_R_dmeA" TargetMode="External"/><Relationship Id="rId45" Type="http://schemas.openxmlformats.org/officeDocument/2006/relationships/hyperlink" Target="https://www.youtube.com/watch?v=wtuVa-mOknA" TargetMode="External"/><Relationship Id="rId66" Type="http://schemas.openxmlformats.org/officeDocument/2006/relationships/hyperlink" Target="https://www.youtube.com/watch?v=90RLzVUuXe4" TargetMode="External"/><Relationship Id="rId87" Type="http://schemas.openxmlformats.org/officeDocument/2006/relationships/hyperlink" Target="https://www.youtube.com/watch?v=iYePSq0UOfA" TargetMode="External"/><Relationship Id="rId61" Type="http://schemas.openxmlformats.org/officeDocument/2006/relationships/hyperlink" Target="https://www.youtube.com/watch?v=8kYkciD9VjU" TargetMode="External"/><Relationship Id="rId82" Type="http://schemas.openxmlformats.org/officeDocument/2006/relationships/hyperlink" Target="https://www.youtube.com/watch?v=f4zLtKYuOK4" TargetMode="External"/><Relationship Id="rId19" Type="http://schemas.openxmlformats.org/officeDocument/2006/relationships/hyperlink" Target="https://www.youtube.com/watch?v=cdEEffF7_rU" TargetMode="External"/><Relationship Id="rId14" Type="http://schemas.openxmlformats.org/officeDocument/2006/relationships/hyperlink" Target="https://www.youtube.com/watch?v=mOOClonYKmc" TargetMode="External"/><Relationship Id="rId30" Type="http://schemas.openxmlformats.org/officeDocument/2006/relationships/hyperlink" Target="https://www.youtube.com/watch?v=l3vQ0pczKnE" TargetMode="External"/><Relationship Id="rId35" Type="http://schemas.openxmlformats.org/officeDocument/2006/relationships/hyperlink" Target="https://www.youtube.com/watch?v=abqLDv5LlHE" TargetMode="External"/><Relationship Id="rId56" Type="http://schemas.openxmlformats.org/officeDocument/2006/relationships/hyperlink" Target="https://www.youtube.com/watch?v=glkSGJU-yLw" TargetMode="External"/><Relationship Id="rId77" Type="http://schemas.openxmlformats.org/officeDocument/2006/relationships/hyperlink" Target="https://www.youtube.com/watch?v=e2vfVcLpC70" TargetMode="External"/><Relationship Id="rId100" Type="http://schemas.openxmlformats.org/officeDocument/2006/relationships/hyperlink" Target="https://www.youtube.com/watch?v=7L1Xt1y4-6I" TargetMode="External"/><Relationship Id="rId8" Type="http://schemas.openxmlformats.org/officeDocument/2006/relationships/hyperlink" Target="https://www.youtube.com/watch?v=ed0aLnuNw_U" TargetMode="External"/><Relationship Id="rId51" Type="http://schemas.openxmlformats.org/officeDocument/2006/relationships/hyperlink" Target="https://www.youtube.com/watch?v=7AYy77bxaB0" TargetMode="External"/><Relationship Id="rId72" Type="http://schemas.openxmlformats.org/officeDocument/2006/relationships/hyperlink" Target="https://www.youtube.com/watch?v=h2MfDmyBFt8" TargetMode="External"/><Relationship Id="rId93" Type="http://schemas.openxmlformats.org/officeDocument/2006/relationships/hyperlink" Target="https://www.youtube.com/watch?v=S0RvrfqLuog" TargetMode="External"/><Relationship Id="rId98" Type="http://schemas.openxmlformats.org/officeDocument/2006/relationships/hyperlink" Target="https://www.youtube.com/watch?v=8KzU-7bca7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Аркуш1">
    <outlinePr summaryBelow="0" summaryRight="0"/>
  </sheetPr>
  <dimension ref="A1:L62"/>
  <sheetViews>
    <sheetView workbookViewId="0">
      <selection activeCell="B54" sqref="B54"/>
    </sheetView>
  </sheetViews>
  <sheetFormatPr defaultColWidth="14.44140625" defaultRowHeight="15.75" customHeight="1"/>
  <cols>
    <col min="1" max="1" width="6" customWidth="1"/>
    <col min="9" max="9" width="29.109375" customWidth="1"/>
  </cols>
  <sheetData>
    <row r="1" spans="1:11">
      <c r="A1" s="1" t="s">
        <v>0</v>
      </c>
      <c r="B1" s="2" t="s">
        <v>1</v>
      </c>
      <c r="C1" s="3" t="s">
        <v>2</v>
      </c>
      <c r="D1" s="4"/>
      <c r="E1" s="5" t="s">
        <v>3</v>
      </c>
      <c r="F1" s="6"/>
      <c r="G1" s="7" t="s">
        <v>4</v>
      </c>
      <c r="H1" s="8"/>
      <c r="I1" s="9" t="s">
        <v>5</v>
      </c>
      <c r="J1" s="9">
        <v>100</v>
      </c>
    </row>
    <row r="2" spans="1:11">
      <c r="A2" s="10">
        <v>1</v>
      </c>
      <c r="B2" s="11">
        <f>SUM(week1!F2:F101)</f>
        <v>40362937</v>
      </c>
      <c r="C2" s="12">
        <f ca="1">COUNTIF(week1!I2:I101, "UA")</f>
        <v>18</v>
      </c>
      <c r="D2" s="13">
        <f ca="1">SUMIF(week1!I2:I101,"UA",week1!F2:F101)</f>
        <v>6780934</v>
      </c>
      <c r="E2" s="14">
        <f ca="1">COUNTIF(week1!J2:J101, "RU")</f>
        <v>73</v>
      </c>
      <c r="F2" s="15">
        <f ca="1">SUMIF(week1!J2:J101,"RU",week1!F2:F101)</f>
        <v>30674765</v>
      </c>
      <c r="G2" s="16">
        <f ca="1">COUNTIF(week1!K2:K101, "OTHER")</f>
        <v>9</v>
      </c>
      <c r="H2" s="17">
        <f ca="1">SUMIF(week1!K2:K101,"OTHER",week1!F2:F101)</f>
        <v>2907238</v>
      </c>
      <c r="I2" s="18" t="s">
        <v>6</v>
      </c>
      <c r="J2" s="19">
        <f t="shared" ref="J2:J53" ca="1" si="0">SUM(C2+E2+G2)</f>
        <v>100</v>
      </c>
    </row>
    <row r="3" spans="1:11">
      <c r="A3" s="10">
        <v>2</v>
      </c>
      <c r="B3" s="11">
        <f>SUM(week2!F2:F101)</f>
        <v>33459850</v>
      </c>
      <c r="C3" s="12">
        <f ca="1">COUNTIF(week2!I2:I101, "UA")</f>
        <v>22</v>
      </c>
      <c r="D3" s="13">
        <f ca="1">SUMIF(week2!I2:I101,"UA",week2!F2:F101)</f>
        <v>6300848</v>
      </c>
      <c r="E3" s="14">
        <f ca="1">COUNTIF(week2!J2:J101, "RU")</f>
        <v>71</v>
      </c>
      <c r="F3" s="15">
        <f ca="1">SUMIF(week2!J2:J101,"RU",week2!F2:F101)</f>
        <v>25288575</v>
      </c>
      <c r="G3" s="16">
        <f ca="1">COUNTIF(week2!K2:K101, "OTHER")</f>
        <v>7</v>
      </c>
      <c r="H3" s="17">
        <f ca="1">SUMIF(week2!K2:K101,"OTHER",week2!F2:F101)</f>
        <v>1870427</v>
      </c>
      <c r="I3" s="20" t="s">
        <v>7</v>
      </c>
      <c r="J3" s="19">
        <f t="shared" ca="1" si="0"/>
        <v>100</v>
      </c>
    </row>
    <row r="4" spans="1:11">
      <c r="A4" s="10">
        <v>3</v>
      </c>
      <c r="B4" s="11">
        <f>SUM(week3!F2:F101)</f>
        <v>35495937</v>
      </c>
      <c r="C4" s="12">
        <f ca="1">COUNTIF(week3!I2:I101, "UA")</f>
        <v>15</v>
      </c>
      <c r="D4" s="13">
        <f ca="1">SUMIF(week3!I2:I101,"UA",week3!F2:F101)</f>
        <v>4643519</v>
      </c>
      <c r="E4" s="14">
        <f ca="1">COUNTIF(week3!J2:J101, "RU")</f>
        <v>77</v>
      </c>
      <c r="F4" s="15">
        <f ca="1">SUMIF(week3!J2:J101,"RU",week3!F2:F101)</f>
        <v>28834486</v>
      </c>
      <c r="G4" s="16">
        <f ca="1">COUNTIF(week3!K2:K101, "OTHER")</f>
        <v>8</v>
      </c>
      <c r="H4" s="17">
        <f ca="1">SUMIF(week3!K2:K101,"OTHER",week3!F2:F101)</f>
        <v>2017932</v>
      </c>
      <c r="I4" s="20" t="s">
        <v>8</v>
      </c>
      <c r="J4" s="19">
        <f t="shared" ca="1" si="0"/>
        <v>100</v>
      </c>
    </row>
    <row r="5" spans="1:11">
      <c r="A5" s="10">
        <v>4</v>
      </c>
      <c r="B5" s="11">
        <f>SUM(week4!F2:F101)</f>
        <v>33290218</v>
      </c>
      <c r="C5" s="12">
        <f ca="1">COUNTIF(week4!I2:I101, "UA")</f>
        <v>12</v>
      </c>
      <c r="D5" s="13">
        <f ca="1">SUMIF(week4!I2:I101,"UA",week4!F2:F101)</f>
        <v>4083596</v>
      </c>
      <c r="E5" s="14">
        <f ca="1">COUNTIF(week4!J2:J101, "RU")</f>
        <v>81</v>
      </c>
      <c r="F5" s="15">
        <f ca="1">SUMIF(week4!J2:J101,"RU",week4!F2:F101)</f>
        <v>27426035</v>
      </c>
      <c r="G5" s="16">
        <f ca="1">COUNTIF(week4!K2:K101, "OTHER")</f>
        <v>7</v>
      </c>
      <c r="H5" s="17">
        <f ca="1">SUMIF(week4!K2:K101,"OTHER",week4!F2:F101)</f>
        <v>1780587</v>
      </c>
      <c r="I5" s="20" t="s">
        <v>9</v>
      </c>
      <c r="J5" s="19">
        <f t="shared" ca="1" si="0"/>
        <v>100</v>
      </c>
    </row>
    <row r="6" spans="1:11">
      <c r="A6" s="10">
        <v>5</v>
      </c>
      <c r="B6" s="11">
        <f>SUM(week5!F2:F101)</f>
        <v>32961607</v>
      </c>
      <c r="C6" s="12">
        <f ca="1">COUNTIF(week5!I2:I101, "UA")</f>
        <v>14</v>
      </c>
      <c r="D6" s="13">
        <f ca="1">SUMIF(week5!I2:I101,"UA",week5!F2:F101)</f>
        <v>4242464</v>
      </c>
      <c r="E6" s="14">
        <f ca="1">COUNTIF(week5!J2:J101, "RU")</f>
        <v>79</v>
      </c>
      <c r="F6" s="15">
        <f ca="1">SUMIF(week5!J2:J101,"RU",week5!F2:F101)</f>
        <v>26995990</v>
      </c>
      <c r="G6" s="16">
        <f ca="1">COUNTIF(week5!K2:K101, "OTHER")</f>
        <v>7</v>
      </c>
      <c r="H6" s="17">
        <f ca="1">SUMIF(week5!K2:K101,"OTHER",week5!F2:F101)</f>
        <v>1723153</v>
      </c>
      <c r="I6" s="20" t="s">
        <v>10</v>
      </c>
      <c r="J6" s="19">
        <f t="shared" ca="1" si="0"/>
        <v>100</v>
      </c>
    </row>
    <row r="7" spans="1:11">
      <c r="A7" s="10">
        <v>6</v>
      </c>
      <c r="B7" s="11">
        <f>SUM(week6!F2:F101)</f>
        <v>33782192</v>
      </c>
      <c r="C7" s="12">
        <f ca="1">COUNTIF(week6!I2:I101, "UA")</f>
        <v>16</v>
      </c>
      <c r="D7" s="13">
        <f ca="1">SUMIF(week6!I2:I101,"UA",week6!F2:F101)</f>
        <v>4815018</v>
      </c>
      <c r="E7" s="14">
        <f ca="1">COUNTIF(week6!J2:J101, "RU")</f>
        <v>75</v>
      </c>
      <c r="F7" s="15">
        <f ca="1">SUMIF(week6!J2:J101,"RU",week6!F2:F101)</f>
        <v>26892529</v>
      </c>
      <c r="G7" s="16">
        <f ca="1">COUNTIF(week6!K2:K101, "OTHER")</f>
        <v>9</v>
      </c>
      <c r="H7" s="17">
        <f ca="1">SUMIF(week6!K2:K101,"OTHER",week6!F2:F101)</f>
        <v>2074645</v>
      </c>
      <c r="I7" s="20" t="s">
        <v>11</v>
      </c>
      <c r="J7" s="19">
        <f t="shared" ca="1" si="0"/>
        <v>100</v>
      </c>
    </row>
    <row r="8" spans="1:11">
      <c r="A8" s="10">
        <v>7</v>
      </c>
      <c r="B8" s="11">
        <f>SUM(week7!F2:F101)</f>
        <v>35299550</v>
      </c>
      <c r="C8" s="12">
        <f ca="1">COUNTIF(week7!I2:I101, "UA")</f>
        <v>24</v>
      </c>
      <c r="D8" s="13">
        <f ca="1">SUMIF(week7!I2:I101,"UA",week7!F2:F101)</f>
        <v>8258354</v>
      </c>
      <c r="E8" s="14">
        <f ca="1">COUNTIF(week7!J2:J101, "RU")</f>
        <v>71</v>
      </c>
      <c r="F8" s="15">
        <f ca="1">SUMIF(week7!J2:J101,"RU",week7!F2:F101)</f>
        <v>25704530</v>
      </c>
      <c r="G8" s="16">
        <f ca="1">COUNTIF(week7!K2:K101, "OTHER")</f>
        <v>5</v>
      </c>
      <c r="H8" s="17">
        <f ca="1">SUMIF(week7!K2:K101,"OTHER",week7!F2:F101)</f>
        <v>1336666</v>
      </c>
      <c r="I8" s="20" t="s">
        <v>12</v>
      </c>
      <c r="J8" s="19">
        <f t="shared" ca="1" si="0"/>
        <v>100</v>
      </c>
    </row>
    <row r="9" spans="1:11">
      <c r="A9" s="10">
        <v>8</v>
      </c>
      <c r="B9" s="11">
        <f>SUM(week8!F2:F101)</f>
        <v>31202410</v>
      </c>
      <c r="C9" s="12">
        <f ca="1">COUNTIF(week8!I2:I101, "UA")</f>
        <v>22</v>
      </c>
      <c r="D9" s="13">
        <f ca="1">SUMIF(week8!I2:I101,"UA",week8!F2:F101)</f>
        <v>6800300</v>
      </c>
      <c r="E9" s="14">
        <f ca="1">COUNTIF(week8!J2:J101, "RU")</f>
        <v>70</v>
      </c>
      <c r="F9" s="15">
        <f ca="1">SUMIF(week8!J2:J101,"RU",week8!F2:F101)</f>
        <v>22809077</v>
      </c>
      <c r="G9" s="16">
        <f ca="1">COUNTIF(week8!K2:K101, "OTHER")</f>
        <v>8</v>
      </c>
      <c r="H9" s="17">
        <f ca="1">SUMIF(week8!K2:K101,"OTHER",week8!F2:F101)</f>
        <v>1593033</v>
      </c>
      <c r="I9" s="20" t="s">
        <v>13</v>
      </c>
      <c r="J9" s="19">
        <f t="shared" ca="1" si="0"/>
        <v>100</v>
      </c>
    </row>
    <row r="10" spans="1:11">
      <c r="A10" s="10">
        <v>9</v>
      </c>
      <c r="B10" s="11">
        <f>SUM(week9!F2:F101)</f>
        <v>13357771</v>
      </c>
      <c r="C10" s="12">
        <f ca="1">COUNTIF(week9!I2:I101, "UA")</f>
        <v>30</v>
      </c>
      <c r="D10" s="13">
        <f ca="1">SUMIF(week9!I2:I101,"UA",week9!F2:F101)</f>
        <v>4742159</v>
      </c>
      <c r="E10" s="14">
        <f ca="1">COUNTIF(week9!J2:J101, "RU")</f>
        <v>60</v>
      </c>
      <c r="F10" s="15">
        <f ca="1">SUMIF(week9!J2:J101,"RU",week9!F2:F101)</f>
        <v>7535215</v>
      </c>
      <c r="G10" s="16">
        <f ca="1">COUNTIF(week9!K2:K101, "OTHER")</f>
        <v>10</v>
      </c>
      <c r="H10" s="17">
        <f ca="1">SUMIF(week9!K2:K101,"OTHER",week9!F2:F101)</f>
        <v>1080397</v>
      </c>
      <c r="I10" s="20" t="s">
        <v>14</v>
      </c>
      <c r="J10" s="19">
        <f t="shared" ca="1" si="0"/>
        <v>100</v>
      </c>
      <c r="K10" s="21"/>
    </row>
    <row r="11" spans="1:11">
      <c r="A11" s="10">
        <v>10</v>
      </c>
      <c r="B11" s="11">
        <f>SUM(week10!F2:F101)</f>
        <v>19118422</v>
      </c>
      <c r="C11" s="12">
        <f ca="1">COUNTIF(week10!I2:I101, "UA")</f>
        <v>45</v>
      </c>
      <c r="D11" s="13">
        <f ca="1">SUMIF(week10!I2:I101,"UA",week10!F2:F101)</f>
        <v>9218112</v>
      </c>
      <c r="E11" s="14">
        <f ca="1">COUNTIF(week10!J2:J101, "RU")</f>
        <v>47</v>
      </c>
      <c r="F11" s="15">
        <f ca="1">SUMIF(week10!J2:J101,"RU",week10!F2:F101)</f>
        <v>8790029</v>
      </c>
      <c r="G11" s="16">
        <f ca="1">COUNTIF(week10!K2:K101, "OTHER")</f>
        <v>8</v>
      </c>
      <c r="H11" s="17">
        <f ca="1">SUMIF(week10!K2:K101,"OTHER",week10!F2:F101)</f>
        <v>1110281</v>
      </c>
      <c r="I11" s="20" t="s">
        <v>16</v>
      </c>
      <c r="J11" s="19">
        <f t="shared" ca="1" si="0"/>
        <v>100</v>
      </c>
    </row>
    <row r="12" spans="1:11">
      <c r="A12" s="10">
        <v>11</v>
      </c>
      <c r="B12" s="11">
        <f>SUM(week11!F2:F101)</f>
        <v>23618041</v>
      </c>
      <c r="C12" s="12">
        <f ca="1">COUNTIF(week11!I2:I101, "UA")</f>
        <v>49</v>
      </c>
      <c r="D12" s="13">
        <f ca="1">SUMIF(week11!I2:I101,"UA",week11!F2:F101)</f>
        <v>11588248</v>
      </c>
      <c r="E12" s="14">
        <f ca="1">COUNTIF(week11!J2:J101, "RU")</f>
        <v>44</v>
      </c>
      <c r="F12" s="15">
        <f ca="1">SUMIF(week11!J2:J101,"RU",week11!F2:F101)</f>
        <v>10699340</v>
      </c>
      <c r="G12" s="16">
        <f ca="1">COUNTIF(week11!K2:K101, "OTHER")</f>
        <v>7</v>
      </c>
      <c r="H12" s="17">
        <f ca="1">SUMIF(week11!K2:K101,"OTHER",week11!F2:F101)</f>
        <v>1330453</v>
      </c>
      <c r="I12" s="20" t="s">
        <v>17</v>
      </c>
      <c r="J12" s="19">
        <f t="shared" ca="1" si="0"/>
        <v>100</v>
      </c>
    </row>
    <row r="13" spans="1:11">
      <c r="A13" s="10">
        <v>12</v>
      </c>
      <c r="B13" s="11">
        <f>SUM(week12!F2:F101)</f>
        <v>24883776</v>
      </c>
      <c r="C13" s="12">
        <f ca="1">COUNTIF(week12!I2:I101, "UA")</f>
        <v>56</v>
      </c>
      <c r="D13" s="13">
        <f ca="1">SUMIF(week12!I2:I101,"UA",week12!F2:F101)</f>
        <v>14651127</v>
      </c>
      <c r="E13" s="14">
        <f ca="1">COUNTIF(week12!J2:J101, "RU")</f>
        <v>37</v>
      </c>
      <c r="F13" s="15">
        <f ca="1">SUMIF(week12!J2:J101,"RU",week12!F2:F101)</f>
        <v>8812826</v>
      </c>
      <c r="G13" s="16">
        <f ca="1">COUNTIF(week12!K2:K101, "OTHER")</f>
        <v>7</v>
      </c>
      <c r="H13" s="17">
        <f ca="1">SUMIF(week12!K2:K101,"OTHER",week12!F2:F101)</f>
        <v>1419823</v>
      </c>
      <c r="I13" s="20" t="s">
        <v>18</v>
      </c>
      <c r="J13" s="19">
        <f t="shared" ca="1" si="0"/>
        <v>100</v>
      </c>
    </row>
    <row r="14" spans="1:11">
      <c r="A14" s="10">
        <v>13</v>
      </c>
      <c r="B14" s="11">
        <f>SUM(week13!F2:F101)</f>
        <v>24533902</v>
      </c>
      <c r="C14" s="12">
        <f ca="1">COUNTIF(week13!I2:I101, "UA")</f>
        <v>63</v>
      </c>
      <c r="D14" s="13">
        <f ca="1">SUMIF(week13!I2:I101,"UA",week13!F2:F101)</f>
        <v>16140120</v>
      </c>
      <c r="E14" s="14">
        <f ca="1">COUNTIF(week13!J2:J101, "RU")</f>
        <v>32</v>
      </c>
      <c r="F14" s="15">
        <f ca="1">SUMIF(week13!J2:J101,"RU",week13!F2:F101)</f>
        <v>7317331</v>
      </c>
      <c r="G14" s="16">
        <f ca="1">COUNTIF(week13!K2:K101, "OTHER")</f>
        <v>5</v>
      </c>
      <c r="H14" s="17">
        <f ca="1">SUMIF(week13!K2:K101,"OTHER",week13!F2:F101)</f>
        <v>1076451</v>
      </c>
      <c r="I14" s="20" t="s">
        <v>19</v>
      </c>
      <c r="J14" s="19">
        <f t="shared" ca="1" si="0"/>
        <v>100</v>
      </c>
    </row>
    <row r="15" spans="1:11">
      <c r="A15" s="10">
        <v>14</v>
      </c>
      <c r="B15" s="11">
        <f>SUM(week14!F2:F101)</f>
        <v>27845073</v>
      </c>
      <c r="C15" s="12">
        <f ca="1">COUNTIF(week14!I2:I101, "UA")</f>
        <v>69</v>
      </c>
      <c r="D15" s="13">
        <f ca="1">SUMIF(week14!I2:I101,"UA",week14!F2:F101)</f>
        <v>20926467</v>
      </c>
      <c r="E15" s="14">
        <f ca="1">COUNTIF(week14!J2:J101, "RU")</f>
        <v>27</v>
      </c>
      <c r="F15" s="15">
        <f ca="1">SUMIF(week14!J2:J101,"RU",week14!F2:F101)</f>
        <v>6029110</v>
      </c>
      <c r="G15" s="16">
        <f ca="1">COUNTIF(week14!K2:K101, "OTHER")</f>
        <v>4</v>
      </c>
      <c r="H15" s="17">
        <f ca="1">SUMIF(week14!K2:K101,"OTHER",week14!F2:F101)</f>
        <v>889496</v>
      </c>
      <c r="I15" s="22" t="s">
        <v>20</v>
      </c>
      <c r="J15" s="19">
        <f t="shared" ca="1" si="0"/>
        <v>100</v>
      </c>
    </row>
    <row r="16" spans="1:11">
      <c r="A16" s="10">
        <v>15</v>
      </c>
      <c r="B16" s="11">
        <f>SUM(week15!F2:F101)</f>
        <v>33865127</v>
      </c>
      <c r="C16" s="12">
        <f ca="1">COUNTIF(week15!I2:I101, "UA")</f>
        <v>73</v>
      </c>
      <c r="D16" s="13">
        <f ca="1">SUMIF(week15!I2:I101,"UA",week15!F2:F101)</f>
        <v>26423066</v>
      </c>
      <c r="E16" s="14">
        <f ca="1">COUNTIF(week15!J2:J101, "RU")</f>
        <v>22</v>
      </c>
      <c r="F16" s="15">
        <f ca="1">SUMIF(week15!J2:J101,"RU",week15!F2:F101)</f>
        <v>6124041</v>
      </c>
      <c r="G16" s="16">
        <f ca="1">COUNTIF(week15!K2:K101, "OTHER")</f>
        <v>5</v>
      </c>
      <c r="H16" s="17">
        <f ca="1">SUMIF(week15!K2:K101,"OTHER",week15!F2:F101)</f>
        <v>1318020</v>
      </c>
      <c r="I16" s="20" t="s">
        <v>21</v>
      </c>
      <c r="J16" s="19">
        <f t="shared" ca="1" si="0"/>
        <v>100</v>
      </c>
    </row>
    <row r="17" spans="1:12">
      <c r="A17" s="10">
        <v>16</v>
      </c>
      <c r="B17" s="11">
        <f>SUM(week16!F2:F101)</f>
        <v>34156006</v>
      </c>
      <c r="C17" s="12">
        <f ca="1">COUNTIF(week16!I2:I101, "UA")</f>
        <v>77</v>
      </c>
      <c r="D17" s="13">
        <f ca="1">SUMIF(week16!I2:I101,"UA",week16!F2:F101)</f>
        <v>28103946</v>
      </c>
      <c r="E17" s="14">
        <f ca="1">COUNTIF(week16!J2:J101, "RU")</f>
        <v>18</v>
      </c>
      <c r="F17" s="15">
        <f ca="1">SUMIF(week16!J2:J101,"RU",week16!F2:F101)</f>
        <v>4934080</v>
      </c>
      <c r="G17" s="16">
        <f ca="1">COUNTIF(week16!K2:K101, "OTHER")</f>
        <v>5</v>
      </c>
      <c r="H17" s="17">
        <f ca="1">SUMIF(week16!K2:K101,"OTHER",week16!F2:F101)</f>
        <v>1117980</v>
      </c>
      <c r="I17" s="20" t="s">
        <v>22</v>
      </c>
      <c r="J17" s="19">
        <f t="shared" ca="1" si="0"/>
        <v>100</v>
      </c>
    </row>
    <row r="18" spans="1:12">
      <c r="A18" s="10">
        <v>17</v>
      </c>
      <c r="B18" s="23">
        <f>SUM(week17!F2:F101)</f>
        <v>36246507</v>
      </c>
      <c r="C18" s="12">
        <f ca="1">COUNTIF(week17!I2:I101, "UA")</f>
        <v>76</v>
      </c>
      <c r="D18" s="13">
        <f ca="1">SUMIF(week17!I2:I101,"UA",week17!F2:F101)</f>
        <v>29617506</v>
      </c>
      <c r="E18" s="14">
        <f ca="1">COUNTIF(week17!J2:J101, "RU")</f>
        <v>19</v>
      </c>
      <c r="F18" s="15">
        <f ca="1">SUMIF(week17!J2:J101,"RU",week17!F2:F101)</f>
        <v>5542980</v>
      </c>
      <c r="G18" s="16">
        <f ca="1">COUNTIF(week17!K2:K101, "OTHER")</f>
        <v>5</v>
      </c>
      <c r="H18" s="17">
        <f ca="1">SUMIF(week17!K2:K101,"OTHER",week17!F2:F101)</f>
        <v>1086021</v>
      </c>
      <c r="I18" s="22" t="s">
        <v>23</v>
      </c>
      <c r="J18" s="19">
        <f t="shared" ca="1" si="0"/>
        <v>100</v>
      </c>
    </row>
    <row r="19" spans="1:12">
      <c r="A19" s="10">
        <v>18</v>
      </c>
      <c r="B19" s="23">
        <f>SUM(week18!F2:F101)</f>
        <v>35844804</v>
      </c>
      <c r="C19" s="12">
        <f ca="1">COUNTIF(week18!I2:I101, "UA")</f>
        <v>74</v>
      </c>
      <c r="D19" s="13">
        <f ca="1">SUMIF(week18!I2:I101,"UA",week18!F2:F101)</f>
        <v>28059137</v>
      </c>
      <c r="E19" s="14">
        <f ca="1">COUNTIF(week18!J2:J101, "RU")</f>
        <v>18</v>
      </c>
      <c r="F19" s="15">
        <f ca="1">SUMIF(week18!J2:J101,"RU",week18!F2:F101)</f>
        <v>4718855</v>
      </c>
      <c r="G19" s="16">
        <f ca="1">COUNTIF(week18!K2:K101, "OTHER")</f>
        <v>8</v>
      </c>
      <c r="H19" s="17">
        <f ca="1">SUMIF(week18!K2:K101,"OTHER",week18!F2:F101)</f>
        <v>3066812</v>
      </c>
      <c r="I19" s="20" t="s">
        <v>24</v>
      </c>
      <c r="J19" s="19">
        <f t="shared" ca="1" si="0"/>
        <v>100</v>
      </c>
    </row>
    <row r="20" spans="1:12">
      <c r="A20" s="10">
        <v>19</v>
      </c>
      <c r="B20" s="23">
        <f>SUM(week19!F2:F101)</f>
        <v>35385028</v>
      </c>
      <c r="C20" s="12">
        <f ca="1">COUNTIF(week19!I2:I101, "UA")</f>
        <v>74</v>
      </c>
      <c r="D20" s="13">
        <f ca="1">SUMIF(week19!I2:I101,"UA",week19!F2:F101)</f>
        <v>27878825</v>
      </c>
      <c r="E20" s="14">
        <f ca="1">COUNTIF(week19!J2:J101, "RU")</f>
        <v>18</v>
      </c>
      <c r="F20" s="15">
        <f ca="1">SUMIF(week19!J2:J101,"RU",week19!F2:F101)</f>
        <v>4722838</v>
      </c>
      <c r="G20" s="16">
        <f ca="1">COUNTIF(week19!K2:K101, "OTHER")</f>
        <v>8</v>
      </c>
      <c r="H20" s="17">
        <f ca="1">SUMIF(week19!K2:K101,"OTHER",week19!F2:F101)</f>
        <v>2783365</v>
      </c>
      <c r="I20" s="20" t="s">
        <v>25</v>
      </c>
      <c r="J20" s="19">
        <f t="shared" ca="1" si="0"/>
        <v>100</v>
      </c>
    </row>
    <row r="21" spans="1:12">
      <c r="A21" s="10">
        <v>20</v>
      </c>
      <c r="B21" s="23">
        <f>SUM(week20!F2:F101)</f>
        <v>41822052</v>
      </c>
      <c r="C21" s="12">
        <f ca="1">COUNTIF(week20!I2:I101, "UA")</f>
        <v>78</v>
      </c>
      <c r="D21" s="13">
        <f ca="1">SUMIF(week20!I2:I101,"UA",week20!F2:F101)</f>
        <v>35135815</v>
      </c>
      <c r="E21" s="14">
        <f ca="1">COUNTIF(week20!J2:J101, "RU")</f>
        <v>13</v>
      </c>
      <c r="F21" s="15">
        <f ca="1">SUMIF(week20!J2:J101,"RU",week20!F2:F101)</f>
        <v>3721853</v>
      </c>
      <c r="G21" s="16">
        <f ca="1">COUNTIF(week20!K2:K101, "OTHER")</f>
        <v>9</v>
      </c>
      <c r="H21" s="17">
        <f ca="1">SUMIF(week20!K2:K101,"OTHER",week20!F2:F101)</f>
        <v>2964384</v>
      </c>
      <c r="I21" s="22" t="s">
        <v>26</v>
      </c>
      <c r="J21" s="19">
        <f t="shared" ca="1" si="0"/>
        <v>100</v>
      </c>
    </row>
    <row r="22" spans="1:12">
      <c r="A22" s="10">
        <v>21</v>
      </c>
      <c r="B22" s="23">
        <f>SUM(week21!F2:F101)</f>
        <v>35230530</v>
      </c>
      <c r="C22" s="12">
        <f ca="1">COUNTIF(week21!I2:I101, "UA")</f>
        <v>74</v>
      </c>
      <c r="D22" s="13">
        <f ca="1">SUMIF(week21!I2:I101,"UA",week21!F2:F101)</f>
        <v>28175947</v>
      </c>
      <c r="E22" s="14">
        <f ca="1">COUNTIF(week21!J2:J101, "RU")</f>
        <v>18</v>
      </c>
      <c r="F22" s="15">
        <f ca="1">SUMIF(week21!J2:J101,"RU",week21!F2:F101)</f>
        <v>4753189</v>
      </c>
      <c r="G22" s="16">
        <f ca="1">COUNTIF(week21!K2:K101, "OTHER")</f>
        <v>8</v>
      </c>
      <c r="H22" s="17">
        <f ca="1">SUMIF(week21!K2:K101,"OTHER",week21!F2:F101)</f>
        <v>2301394</v>
      </c>
      <c r="I22" s="22" t="s">
        <v>27</v>
      </c>
      <c r="J22" s="19">
        <f t="shared" ca="1" si="0"/>
        <v>100</v>
      </c>
    </row>
    <row r="23" spans="1:12">
      <c r="A23" s="10">
        <v>22</v>
      </c>
      <c r="B23" s="23">
        <f>SUM(week22!F2:F101)</f>
        <v>34100370</v>
      </c>
      <c r="C23" s="12">
        <f ca="1">COUNTIF(week22!I2:I101, "UA")</f>
        <v>70</v>
      </c>
      <c r="D23" s="13">
        <f ca="1">SUMIF(week22!I2:I101,"UA",week22!F2:F101)</f>
        <v>25934440</v>
      </c>
      <c r="E23" s="14">
        <f ca="1">COUNTIF(week22!J2:J101, "RU")</f>
        <v>22</v>
      </c>
      <c r="F23" s="15">
        <f ca="1">SUMIF(week22!J2:J101,"RU",week22!F2:F101)</f>
        <v>6051204</v>
      </c>
      <c r="G23" s="16">
        <f ca="1">COUNTIF(week22!K2:K101, "OTHER")</f>
        <v>8</v>
      </c>
      <c r="H23" s="17">
        <f ca="1">SUMIF(week22!K2:K101,"OTHER",week22!F2:F101)</f>
        <v>2114726</v>
      </c>
      <c r="I23" s="22" t="s">
        <v>28</v>
      </c>
      <c r="J23" s="19">
        <f t="shared" ca="1" si="0"/>
        <v>100</v>
      </c>
    </row>
    <row r="24" spans="1:12">
      <c r="A24" s="10">
        <v>23</v>
      </c>
      <c r="B24" s="23">
        <f>SUM(week23!F2:F101)</f>
        <v>36898027</v>
      </c>
      <c r="C24" s="12">
        <f ca="1">COUNTIF(week23!I2:I101, "UA")</f>
        <v>71</v>
      </c>
      <c r="D24" s="13">
        <f ca="1">SUMIF(week23!I2:I101,"UA",week23!F2:F101)</f>
        <v>28103376</v>
      </c>
      <c r="E24" s="14">
        <f ca="1">COUNTIF(week23!J2:J101, "RU")</f>
        <v>21</v>
      </c>
      <c r="F24" s="15">
        <f ca="1">SUMIF(week23!J2:J101,"RU",week23!F2:F101)</f>
        <v>6957688</v>
      </c>
      <c r="G24" s="16">
        <f ca="1">COUNTIF(week23!K2:K101, "OTHER")</f>
        <v>8</v>
      </c>
      <c r="H24" s="17">
        <f ca="1">SUMIF(week23!K2:K101,"OTHER",week23!F2:F101)</f>
        <v>1836963</v>
      </c>
      <c r="I24" s="22" t="s">
        <v>29</v>
      </c>
      <c r="J24" s="19">
        <f t="shared" ca="1" si="0"/>
        <v>100</v>
      </c>
    </row>
    <row r="25" spans="1:12">
      <c r="A25" s="10">
        <v>24</v>
      </c>
      <c r="B25" s="23">
        <f>SUM(week24!F2:F101)</f>
        <v>36184594</v>
      </c>
      <c r="C25" s="12">
        <f ca="1">COUNTIF(week24!I2:I101, "UA")</f>
        <v>78</v>
      </c>
      <c r="D25" s="13">
        <f ca="1">SUMIF(week24!I2:I101,"UA",week24!F2:F101)</f>
        <v>28440807</v>
      </c>
      <c r="E25" s="14">
        <f ca="1">COUNTIF(week24!J2:J101, "RU")</f>
        <v>16</v>
      </c>
      <c r="F25" s="15">
        <f ca="1">SUMIF(week24!J2:J101,"RU",week24!F2:F101)</f>
        <v>6214529</v>
      </c>
      <c r="G25" s="16">
        <f ca="1">COUNTIF(week24!K2:K101, "OTHER")</f>
        <v>6</v>
      </c>
      <c r="H25" s="17">
        <f ca="1">SUMIF(week24!K2:K101,"OTHER",week24!F2:F101)</f>
        <v>1529258</v>
      </c>
      <c r="I25" s="22" t="s">
        <v>30</v>
      </c>
      <c r="J25" s="19">
        <f t="shared" ca="1" si="0"/>
        <v>100</v>
      </c>
      <c r="K25" s="21"/>
      <c r="L25" s="21"/>
    </row>
    <row r="26" spans="1:12">
      <c r="A26" s="10">
        <v>25</v>
      </c>
      <c r="B26" s="23">
        <f>SUM(week25!F2:F101)</f>
        <v>35894292</v>
      </c>
      <c r="C26" s="12">
        <f ca="1">COUNTIF(week25!I2:I101, "UA")</f>
        <v>80</v>
      </c>
      <c r="D26" s="13">
        <f ca="1">SUMIF(week25!I2:I101,"UA",week25!F2:F101)</f>
        <v>29514045</v>
      </c>
      <c r="E26" s="14">
        <f ca="1">COUNTIF(week25!J2:J101, "RU")</f>
        <v>16</v>
      </c>
      <c r="F26" s="15">
        <f ca="1">SUMIF(week25!J2:J101,"RU",week25!F2:F101)</f>
        <v>5239259</v>
      </c>
      <c r="G26" s="16">
        <f ca="1">COUNTIF(week25!K2:K101, "OTHER")</f>
        <v>4</v>
      </c>
      <c r="H26" s="17">
        <f ca="1">SUMIF(week25!K2:K101,"OTHER",week25!F2:F101)</f>
        <v>1140988</v>
      </c>
      <c r="I26" s="22" t="s">
        <v>33</v>
      </c>
      <c r="J26" s="19">
        <f t="shared" ca="1" si="0"/>
        <v>100</v>
      </c>
    </row>
    <row r="27" spans="1:12">
      <c r="A27" s="10">
        <v>26</v>
      </c>
      <c r="B27" s="23">
        <f>SUM(week26!F2:F101)</f>
        <v>33751480</v>
      </c>
      <c r="C27" s="12">
        <f ca="1">COUNTIF(week26!I2:I101, "UA")</f>
        <v>74</v>
      </c>
      <c r="D27" s="13">
        <f ca="1">SUMIF(week26!I2:I101,"UA",week26!F2:F101)</f>
        <v>25917527</v>
      </c>
      <c r="E27" s="14">
        <f ca="1">COUNTIF(week26!J2:J101, "RU")</f>
        <v>21</v>
      </c>
      <c r="F27" s="15">
        <f ca="1">SUMIF(week26!J2:J101,"RU",week26!F2:F101)</f>
        <v>6622614</v>
      </c>
      <c r="G27" s="16">
        <f ca="1">COUNTIF(week26!K2:K101, "OTHER")</f>
        <v>5</v>
      </c>
      <c r="H27" s="17">
        <f ca="1">SUMIF(week26!K2:K101,"OTHER",week26!F2:F101)</f>
        <v>1211339</v>
      </c>
      <c r="I27" s="22" t="s">
        <v>34</v>
      </c>
      <c r="J27" s="19">
        <f t="shared" ca="1" si="0"/>
        <v>100</v>
      </c>
    </row>
    <row r="28" spans="1:12">
      <c r="A28" s="10">
        <v>27</v>
      </c>
      <c r="B28" s="23">
        <f>SUM(week27!F2:F101)</f>
        <v>34425923</v>
      </c>
      <c r="C28" s="12">
        <f ca="1">COUNTIF(week27!I2:I101, "UA")</f>
        <v>70</v>
      </c>
      <c r="D28" s="13">
        <f ca="1">SUMIF(week27!I2:I101,"UA",week27!F2:F101)</f>
        <v>26691202</v>
      </c>
      <c r="E28" s="14">
        <f ca="1">COUNTIF(week27!J2:J101, "RU")</f>
        <v>22</v>
      </c>
      <c r="F28" s="15">
        <f ca="1">SUMIF(week27!J2:J101,"RU",week27!F2:F101)</f>
        <v>5918644</v>
      </c>
      <c r="G28" s="16">
        <f ca="1">COUNTIF(week27!K2:K101, "OTHER")</f>
        <v>8</v>
      </c>
      <c r="H28" s="17">
        <f ca="1">SUMIF(week27!K2:K101,"OTHER",week27!F2:F101)</f>
        <v>1816077</v>
      </c>
      <c r="I28" s="22" t="s">
        <v>35</v>
      </c>
      <c r="J28" s="19">
        <f t="shared" ca="1" si="0"/>
        <v>100</v>
      </c>
    </row>
    <row r="29" spans="1:12">
      <c r="A29" s="10">
        <v>28</v>
      </c>
      <c r="B29" s="23">
        <f>SUM(week28!F2:F101)</f>
        <v>38542122</v>
      </c>
      <c r="C29" s="12">
        <f ca="1">COUNTIF(week28!I2:I101, "UA")</f>
        <v>76</v>
      </c>
      <c r="D29" s="13">
        <f ca="1">SUMIF(week28!I2:I101,"UA",week28!F2:F101)</f>
        <v>31612865</v>
      </c>
      <c r="E29" s="14">
        <f ca="1">COUNTIF(week28!J2:J101, "RU")</f>
        <v>20</v>
      </c>
      <c r="F29" s="15">
        <f ca="1">SUMIF(week28!J2:J101,"RU",week28!F2:F101)</f>
        <v>5912380</v>
      </c>
      <c r="G29" s="16">
        <f ca="1">COUNTIF(week28!K2:K101, "OTHER")</f>
        <v>4</v>
      </c>
      <c r="H29" s="17">
        <f ca="1">SUMIF(week28!K2:K101,"OTHER",week28!F2:F101)</f>
        <v>1016877</v>
      </c>
      <c r="I29" s="22" t="s">
        <v>36</v>
      </c>
      <c r="J29" s="19">
        <f t="shared" ca="1" si="0"/>
        <v>100</v>
      </c>
    </row>
    <row r="30" spans="1:12">
      <c r="A30" s="10">
        <v>29</v>
      </c>
      <c r="B30" s="23">
        <f>SUM(week29!F2:F101)</f>
        <v>36727523</v>
      </c>
      <c r="C30" s="12">
        <f ca="1">COUNTIF(week29!I2:I101, "UA")</f>
        <v>72</v>
      </c>
      <c r="D30" s="13">
        <f ca="1">SUMIF(week29!I2:I101,"UA",week29!F2:F101)</f>
        <v>29369061</v>
      </c>
      <c r="E30" s="14">
        <f ca="1">COUNTIF(week29!J2:J101, "RU")</f>
        <v>21</v>
      </c>
      <c r="F30" s="15">
        <f ca="1">SUMIF(week29!J2:J101,"RU",week29!F2:F101)</f>
        <v>5690313</v>
      </c>
      <c r="G30" s="16">
        <f ca="1">COUNTIF(week29!K2:K101, "OTHER")</f>
        <v>7</v>
      </c>
      <c r="H30" s="17">
        <f ca="1">SUMIF(week29!K2:K101,"OTHER",week29!F2:F101)</f>
        <v>1668149</v>
      </c>
      <c r="I30" s="22" t="s">
        <v>37</v>
      </c>
      <c r="J30" s="19">
        <f t="shared" ca="1" si="0"/>
        <v>100</v>
      </c>
    </row>
    <row r="31" spans="1:12">
      <c r="A31" s="10">
        <v>30</v>
      </c>
      <c r="B31" s="23">
        <f>SUM(week30!F2:F101)</f>
        <v>36332864</v>
      </c>
      <c r="C31" s="12">
        <f ca="1">COUNTIF(week30!I2:I101, "UA")</f>
        <v>69</v>
      </c>
      <c r="D31" s="13">
        <f ca="1">SUMIF(week30!I2:I101,"UA",week30!F2:F101)</f>
        <v>28702252</v>
      </c>
      <c r="E31" s="14">
        <f ca="1">COUNTIF(week30!J2:J101, "RU")</f>
        <v>24</v>
      </c>
      <c r="F31" s="15">
        <f ca="1">SUMIF(week30!J2:J101,"RU",week30!F2:F101)</f>
        <v>6063811</v>
      </c>
      <c r="G31" s="16">
        <f ca="1">COUNTIF(week30!K2:K101, "OTHER")</f>
        <v>7</v>
      </c>
      <c r="H31" s="17">
        <f ca="1">SUMIF(week30!K2:K101,"OTHER",week30!F2:F101)</f>
        <v>1566801</v>
      </c>
      <c r="I31" s="22" t="s">
        <v>38</v>
      </c>
      <c r="J31" s="19">
        <f t="shared" ca="1" si="0"/>
        <v>100</v>
      </c>
    </row>
    <row r="32" spans="1:12">
      <c r="A32" s="10">
        <v>31</v>
      </c>
      <c r="B32" s="23">
        <f>SUM(week31!F2:F101)</f>
        <v>36692079</v>
      </c>
      <c r="C32" s="12">
        <f ca="1">COUNTIF(week31!I2:I101, "UA")</f>
        <v>75</v>
      </c>
      <c r="D32" s="13">
        <f ca="1">SUMIF(week31!I2:I101,"UA",week31!F2:F101)</f>
        <v>30519240</v>
      </c>
      <c r="E32" s="14">
        <f ca="1">COUNTIF(week31!J2:J101, "RU")</f>
        <v>18</v>
      </c>
      <c r="F32" s="15">
        <f ca="1">SUMIF(week31!J2:J101,"RU",week31!F2:F101)</f>
        <v>4718504</v>
      </c>
      <c r="G32" s="16">
        <f ca="1">COUNTIF(week31!K2:K101, "OTHER")</f>
        <v>7</v>
      </c>
      <c r="H32" s="17">
        <f ca="1">SUMIF(week31!K2:K101,"OTHER",week31!F2:F101)</f>
        <v>1454335</v>
      </c>
      <c r="I32" s="22" t="s">
        <v>39</v>
      </c>
      <c r="J32" s="19">
        <f t="shared" ca="1" si="0"/>
        <v>100</v>
      </c>
    </row>
    <row r="33" spans="1:10">
      <c r="A33" s="10">
        <v>32</v>
      </c>
      <c r="B33" s="23">
        <f>SUM(week32!F2:F101)</f>
        <v>38476117</v>
      </c>
      <c r="C33" s="12">
        <f ca="1">COUNTIF(week32!I2:I101, "UA")</f>
        <v>72</v>
      </c>
      <c r="D33" s="13">
        <f ca="1">SUMIF(week32!I2:I101,"UA",week32!F2:F101)</f>
        <v>31263016</v>
      </c>
      <c r="E33" s="14">
        <f ca="1">COUNTIF(week32!J2:J101, "RU")</f>
        <v>20</v>
      </c>
      <c r="F33" s="15">
        <f ca="1">SUMIF(week32!J2:J101,"RU",week32!F2:F101)</f>
        <v>5337341</v>
      </c>
      <c r="G33" s="16">
        <f ca="1">COUNTIF(week32!K2:K101, "OTHER")</f>
        <v>8</v>
      </c>
      <c r="H33" s="17">
        <f ca="1">SUMIF(week32!K2:K101,"OTHER",week32!F2:F101)</f>
        <v>1875760</v>
      </c>
      <c r="I33" s="22" t="s">
        <v>40</v>
      </c>
      <c r="J33" s="19">
        <f t="shared" ca="1" si="0"/>
        <v>100</v>
      </c>
    </row>
    <row r="34" spans="1:10">
      <c r="A34" s="10">
        <v>33</v>
      </c>
      <c r="B34" s="23">
        <f>SUM(week33!F2:F101)</f>
        <v>36422237</v>
      </c>
      <c r="C34" s="12">
        <f ca="1">COUNTIF(week33!I2:I101, "UA")</f>
        <v>74</v>
      </c>
      <c r="D34" s="13">
        <f ca="1">SUMIF(week33!I2:I101,"UA",week33!F2:F101)</f>
        <v>30107793</v>
      </c>
      <c r="E34" s="14">
        <f ca="1">COUNTIF(week33!J2:J101, "RU")</f>
        <v>18</v>
      </c>
      <c r="F34" s="15">
        <f ca="1">SUMIF(week33!J2:J101,"RU",week33!F2:F101)</f>
        <v>4506420</v>
      </c>
      <c r="G34" s="16">
        <f ca="1">COUNTIF(week33!K2:K101, "OTHER")</f>
        <v>8</v>
      </c>
      <c r="H34" s="17">
        <f ca="1">SUMIF(week33!K2:K101,"OTHER",week33!F2:F101)</f>
        <v>1808024</v>
      </c>
      <c r="I34" s="22" t="s">
        <v>41</v>
      </c>
      <c r="J34" s="19">
        <f t="shared" ca="1" si="0"/>
        <v>100</v>
      </c>
    </row>
    <row r="35" spans="1:10">
      <c r="A35" s="10">
        <v>34</v>
      </c>
      <c r="B35" s="23">
        <f>SUM(week34!F2:F101)</f>
        <v>36835061</v>
      </c>
      <c r="C35" s="12">
        <f ca="1">COUNTIF(week34!I2:I101, "UA")</f>
        <v>73</v>
      </c>
      <c r="D35" s="13">
        <f ca="1">SUMIF(week34!I2:I101,"UA",week34!F2:F101)</f>
        <v>30258465</v>
      </c>
      <c r="E35" s="14">
        <f ca="1">COUNTIF(week34!J2:J101, "RU")</f>
        <v>17</v>
      </c>
      <c r="F35" s="15">
        <f ca="1">SUMIF(week34!J2:J101,"RU",week34!F2:F101)</f>
        <v>3961188</v>
      </c>
      <c r="G35" s="16">
        <f ca="1">COUNTIF(week34!K2:K101, "OTHER")</f>
        <v>10</v>
      </c>
      <c r="H35" s="17">
        <f ca="1">SUMIF(week34!K2:K101,"OTHER",week34!F2:F101)</f>
        <v>2615408</v>
      </c>
      <c r="I35" s="22" t="s">
        <v>42</v>
      </c>
      <c r="J35" s="19">
        <f t="shared" ca="1" si="0"/>
        <v>100</v>
      </c>
    </row>
    <row r="36" spans="1:10">
      <c r="A36" s="10">
        <v>35</v>
      </c>
      <c r="B36" s="23">
        <f>SUM(week35!F2:F101)</f>
        <v>34983029</v>
      </c>
      <c r="C36" s="12">
        <f ca="1">COUNTIF(week35!I2:I101, "UA")</f>
        <v>72</v>
      </c>
      <c r="D36" s="13">
        <f ca="1">SUMIF(week35!I2:I101,"UA",week35!F2:F101)</f>
        <v>28598218</v>
      </c>
      <c r="E36" s="14">
        <f ca="1">COUNTIF(week35!J2:J101, "RU")</f>
        <v>17</v>
      </c>
      <c r="F36" s="15">
        <f ca="1">SUMIF(week35!J2:J101,"RU",week35!F2:F101)</f>
        <v>3828512</v>
      </c>
      <c r="G36" s="16">
        <f ca="1">COUNTIF(week35!K2:K101, "OTHER")</f>
        <v>11</v>
      </c>
      <c r="H36" s="17">
        <f ca="1">SUMIF(week35!K2:K101,"OTHER",week35!F2:F101)</f>
        <v>2556299</v>
      </c>
      <c r="I36" s="22" t="s">
        <v>43</v>
      </c>
      <c r="J36" s="19">
        <f t="shared" ca="1" si="0"/>
        <v>100</v>
      </c>
    </row>
    <row r="37" spans="1:10">
      <c r="A37" s="10">
        <v>36</v>
      </c>
      <c r="B37" s="23">
        <f>SUM(week36!F2:F101)</f>
        <v>32565673</v>
      </c>
      <c r="C37" s="12">
        <f ca="1">COUNTIF(week36!I2:I101, "UA")</f>
        <v>69</v>
      </c>
      <c r="D37" s="13">
        <f ca="1">SUMIF(week36!I2:I101,"UA",week36!F2:F101)</f>
        <v>25251014</v>
      </c>
      <c r="E37" s="14">
        <f ca="1">COUNTIF(week36!J2:J101, "RU")</f>
        <v>21</v>
      </c>
      <c r="F37" s="15">
        <f ca="1">SUMIF(week36!J2:J101,"RU",week36!F2:F101)</f>
        <v>5021952</v>
      </c>
      <c r="G37" s="16">
        <f ca="1">COUNTIF(week36!K2:K101, "OTHER")</f>
        <v>10</v>
      </c>
      <c r="H37" s="17">
        <f ca="1">SUMIF(week36!K2:K101,"OTHER",week36!F2:F101)</f>
        <v>2292707</v>
      </c>
      <c r="I37" s="22" t="s">
        <v>44</v>
      </c>
      <c r="J37" s="19">
        <f t="shared" ca="1" si="0"/>
        <v>100</v>
      </c>
    </row>
    <row r="38" spans="1:10">
      <c r="A38" s="10">
        <v>37</v>
      </c>
      <c r="B38" s="23">
        <f>SUM(week37!F2:F101)</f>
        <v>31873615</v>
      </c>
      <c r="C38" s="12">
        <f ca="1">COUNTIF(week37!I2:I101, "UA")</f>
        <v>67</v>
      </c>
      <c r="D38" s="13">
        <f ca="1">SUMIF(week37!I2:I101,"UA",week37!F2:F101)</f>
        <v>25033074</v>
      </c>
      <c r="E38" s="14">
        <f ca="1">COUNTIF(week37!J2:J101, "RU")</f>
        <v>22</v>
      </c>
      <c r="F38" s="15">
        <f ca="1">SUMIF(week37!J2:J101,"RU",week37!F2:F101)</f>
        <v>4684127</v>
      </c>
      <c r="G38" s="16">
        <f ca="1">COUNTIF(week37!K2:K101, "OTHER")</f>
        <v>11</v>
      </c>
      <c r="H38" s="17">
        <f ca="1">SUMIF(week37!K2:K101,"OTHER",week37!F2:F101)</f>
        <v>2156414</v>
      </c>
      <c r="I38" s="22" t="s">
        <v>45</v>
      </c>
      <c r="J38" s="19">
        <f t="shared" ca="1" si="0"/>
        <v>100</v>
      </c>
    </row>
    <row r="39" spans="1:10">
      <c r="A39" s="10">
        <v>38</v>
      </c>
      <c r="B39" s="23">
        <f>SUM(week38!F2:F101)</f>
        <v>33483137</v>
      </c>
      <c r="C39" s="12">
        <f ca="1">COUNTIF(week38!I2:I101, "UA")</f>
        <v>60</v>
      </c>
      <c r="D39" s="13">
        <f ca="1">SUMIF(week38!I2:I101,"UA",week38!F2:F101)</f>
        <v>23856433</v>
      </c>
      <c r="E39" s="14">
        <f ca="1">COUNTIF(week38!J2:J101, "RU")</f>
        <v>25</v>
      </c>
      <c r="F39" s="15">
        <f ca="1">SUMIF(week38!J2:J101,"RU",week38!F2:F101)</f>
        <v>6369609</v>
      </c>
      <c r="G39" s="16">
        <f ca="1">COUNTIF(week38!K2:K101, "OTHER")</f>
        <v>15</v>
      </c>
      <c r="H39" s="17">
        <f ca="1">SUMIF(week38!K2:K101,"OTHER",week38!F2:F101)</f>
        <v>3257095</v>
      </c>
      <c r="I39" s="22" t="s">
        <v>46</v>
      </c>
      <c r="J39" s="19">
        <f t="shared" ca="1" si="0"/>
        <v>100</v>
      </c>
    </row>
    <row r="40" spans="1:10">
      <c r="A40" s="10">
        <v>39</v>
      </c>
      <c r="B40" s="23">
        <f>SUM(week39!F2:F101)</f>
        <v>34306932</v>
      </c>
      <c r="C40" s="12">
        <f ca="1">COUNTIF(week39!I2:I101, "UA")</f>
        <v>64</v>
      </c>
      <c r="D40" s="13">
        <f ca="1">SUMIF(week39!I2:I101,"UA",week39!F2:F101)</f>
        <v>24539008</v>
      </c>
      <c r="E40" s="14">
        <f ca="1">COUNTIF(week39!J2:J101, "RU")</f>
        <v>20</v>
      </c>
      <c r="F40" s="15">
        <f ca="1">SUMIF(week39!J2:J101,"RU",week39!F2:F101)</f>
        <v>5676404</v>
      </c>
      <c r="G40" s="16">
        <f ca="1">COUNTIF(week39!K2:K101, "OTHER")</f>
        <v>16</v>
      </c>
      <c r="H40" s="17">
        <f ca="1">SUMIF(week39!K2:K101,"OTHER",week39!F2:F101)</f>
        <v>4091520</v>
      </c>
      <c r="I40" s="22" t="s">
        <v>47</v>
      </c>
      <c r="J40" s="19">
        <f t="shared" ca="1" si="0"/>
        <v>100</v>
      </c>
    </row>
    <row r="41" spans="1:10">
      <c r="A41" s="10">
        <v>40</v>
      </c>
      <c r="B41" s="23">
        <f>SUM(week40!F2:F101)</f>
        <v>33446648</v>
      </c>
      <c r="C41" s="12">
        <f ca="1">COUNTIF(week40!I2:I101, "UA")</f>
        <v>64</v>
      </c>
      <c r="D41" s="13">
        <f ca="1">SUMIF(week40!I2:I101,"UA",week40!F2:F101)</f>
        <v>23672280</v>
      </c>
      <c r="E41" s="14">
        <f ca="1">COUNTIF(week40!J2:J101, "RU")</f>
        <v>22</v>
      </c>
      <c r="F41" s="15">
        <f ca="1">SUMIF(week40!J2:J101,"RU",week40!F2:F101)</f>
        <v>6017576</v>
      </c>
      <c r="G41" s="16">
        <f ca="1">COUNTIF(week40!K2:K101, "OTHER")</f>
        <v>14</v>
      </c>
      <c r="H41" s="17">
        <f ca="1">SUMIF(week40!K2:K101,"OTHER",week40!F2:F101)</f>
        <v>3756792</v>
      </c>
      <c r="I41" s="22" t="s">
        <v>48</v>
      </c>
      <c r="J41" s="19">
        <f t="shared" ca="1" si="0"/>
        <v>100</v>
      </c>
    </row>
    <row r="42" spans="1:10">
      <c r="A42" s="10">
        <v>41</v>
      </c>
      <c r="B42" s="23">
        <f>SUM(week41!F2:F101)</f>
        <v>31901276</v>
      </c>
      <c r="C42" s="12">
        <f ca="1">COUNTIF(week41!I2:I101, "UA")</f>
        <v>62</v>
      </c>
      <c r="D42" s="13">
        <f ca="1">SUMIF(week41!I2:I101,"UA",week41!F2:F101)</f>
        <v>22178357</v>
      </c>
      <c r="E42" s="14">
        <f ca="1">COUNTIF(week41!J2:J101, "RU")</f>
        <v>21</v>
      </c>
      <c r="F42" s="15">
        <f ca="1">SUMIF(week41!J2:J101,"RU",week41!F2:F101)</f>
        <v>5773482</v>
      </c>
      <c r="G42" s="16">
        <f ca="1">COUNTIF(week41!K2:K101, "OTHER")</f>
        <v>17</v>
      </c>
      <c r="H42" s="17">
        <f ca="1">SUMIF(week41!K2:K101,"OTHER",week41!F2:F101)</f>
        <v>3949437</v>
      </c>
      <c r="I42" s="22" t="s">
        <v>49</v>
      </c>
      <c r="J42" s="19">
        <f t="shared" ca="1" si="0"/>
        <v>100</v>
      </c>
    </row>
    <row r="43" spans="1:10">
      <c r="A43" s="10">
        <v>42</v>
      </c>
      <c r="B43" s="23">
        <f>SUM(week42!F2:F101)</f>
        <v>31686901</v>
      </c>
      <c r="C43" s="12">
        <f ca="1">COUNTIF(week42!I2:I101, "UA")</f>
        <v>63</v>
      </c>
      <c r="D43" s="13">
        <f ca="1">SUMIF(week42!I2:I101,"UA",week42!F2:F101)</f>
        <v>22511194</v>
      </c>
      <c r="E43" s="14">
        <f ca="1">COUNTIF(week42!J2:J101, "RU")</f>
        <v>20</v>
      </c>
      <c r="F43" s="15">
        <f ca="1">SUMIF(week42!J2:J101,"RU",week42!F2:F101)</f>
        <v>5347044</v>
      </c>
      <c r="G43" s="16">
        <f ca="1">COUNTIF(week42!K2:K101, "OTHER")</f>
        <v>17</v>
      </c>
      <c r="H43" s="17">
        <f ca="1">SUMIF(week42!K2:K101,"OTHER",week42!F2:F101)</f>
        <v>3828663</v>
      </c>
      <c r="I43" s="22" t="s">
        <v>50</v>
      </c>
      <c r="J43" s="19">
        <f t="shared" ca="1" si="0"/>
        <v>100</v>
      </c>
    </row>
    <row r="44" spans="1:10">
      <c r="A44" s="10">
        <v>43</v>
      </c>
      <c r="B44" s="23">
        <f>SUM(week43!F2:F101)</f>
        <v>31882496</v>
      </c>
      <c r="C44" s="12">
        <f ca="1">COUNTIF(week43!I2:I101, "UA")</f>
        <v>59</v>
      </c>
      <c r="D44" s="13">
        <f ca="1">SUMIF(week43!I2:I101,"UA",week43!F2:F101)</f>
        <v>21451155</v>
      </c>
      <c r="E44" s="14">
        <f ca="1">COUNTIF(week43!J2:J101, "RU")</f>
        <v>26</v>
      </c>
      <c r="F44" s="15">
        <f ca="1">SUMIF(week43!J2:J101,"RU",week43!F2:F101)</f>
        <v>6825472</v>
      </c>
      <c r="G44" s="16">
        <f ca="1">COUNTIF(week43!K2:K101, "OTHER")</f>
        <v>15</v>
      </c>
      <c r="H44" s="17">
        <f ca="1">SUMIF(week43!K2:K101,"OTHER",week43!F2:F101)</f>
        <v>3605869</v>
      </c>
      <c r="I44" s="22" t="s">
        <v>51</v>
      </c>
      <c r="J44" s="19">
        <f t="shared" ca="1" si="0"/>
        <v>100</v>
      </c>
    </row>
    <row r="45" spans="1:10">
      <c r="A45" s="10">
        <v>44</v>
      </c>
      <c r="B45" s="23">
        <f>SUM(week44!F2:F101)</f>
        <v>32245531</v>
      </c>
      <c r="C45" s="12">
        <f ca="1">COUNTIF(week44!I2:I101, "UA")</f>
        <v>58</v>
      </c>
      <c r="D45" s="13">
        <f ca="1">SUMIF(week44!I2:I101,"UA",week44!F2:F101)</f>
        <v>21089520</v>
      </c>
      <c r="E45" s="14">
        <f ca="1">COUNTIF(week44!J2:J101, "RU")</f>
        <v>24</v>
      </c>
      <c r="F45" s="15">
        <f ca="1">SUMIF(week44!J2:J101,"RU",week44!F2:F101)</f>
        <v>6952542</v>
      </c>
      <c r="G45" s="16">
        <f ca="1">COUNTIF(week44!K2:K101, "OTHER")</f>
        <v>18</v>
      </c>
      <c r="H45" s="17">
        <f ca="1">SUMIF(week44!K2:K101,"OTHER",week44!F2:F101)</f>
        <v>4203469</v>
      </c>
      <c r="I45" s="22" t="s">
        <v>52</v>
      </c>
      <c r="J45" s="19">
        <f t="shared" ca="1" si="0"/>
        <v>100</v>
      </c>
    </row>
    <row r="46" spans="1:10">
      <c r="A46" s="10">
        <v>45</v>
      </c>
      <c r="B46" s="23">
        <f>SUM(week45!F2:F101)</f>
        <v>30727755</v>
      </c>
      <c r="C46" s="12">
        <f ca="1">COUNTIF(week45!I2:I101, "UA")</f>
        <v>63</v>
      </c>
      <c r="D46" s="13">
        <f ca="1">SUMIF(week45!I2:I101,"UA",week45!F2:F101)</f>
        <v>21291919</v>
      </c>
      <c r="E46" s="14">
        <f ca="1">COUNTIF(week45!J2:J101, "RU")</f>
        <v>21</v>
      </c>
      <c r="F46" s="15">
        <f ca="1">SUMIF(week45!J2:J101,"RU",week45!F2:F101)</f>
        <v>5833199</v>
      </c>
      <c r="G46" s="16">
        <f ca="1">COUNTIF(week45!K2:K101, "OTHER")</f>
        <v>16</v>
      </c>
      <c r="H46" s="17">
        <f ca="1">SUMIF(week45!K2:K101,"OTHER",week45!F2:F101)</f>
        <v>3602637</v>
      </c>
      <c r="I46" s="22" t="s">
        <v>53</v>
      </c>
      <c r="J46" s="19">
        <f t="shared" ca="1" si="0"/>
        <v>100</v>
      </c>
    </row>
    <row r="47" spans="1:10">
      <c r="A47" s="10">
        <v>46</v>
      </c>
      <c r="B47" s="23">
        <f>SUM(week46!F2:F101)</f>
        <v>29114252</v>
      </c>
      <c r="C47" s="12">
        <f ca="1">COUNTIF(week46!I2:I101, "UA")</f>
        <v>62</v>
      </c>
      <c r="D47" s="13">
        <f ca="1">SUMIF(week46!I2:I101,"UA",week46!F2:F101)</f>
        <v>20348769</v>
      </c>
      <c r="E47" s="14">
        <f ca="1">COUNTIF(week46!J2:J101, "RU")</f>
        <v>21</v>
      </c>
      <c r="F47" s="15">
        <f ca="1">SUMIF(week46!J2:J101,"RU",week46!F2:F101)</f>
        <v>5272665</v>
      </c>
      <c r="G47" s="16">
        <f ca="1">COUNTIF(week46!K2:K101, "OTHER")</f>
        <v>17</v>
      </c>
      <c r="H47" s="17">
        <f ca="1">SUMIF(week46!K2:K101,"OTHER",week46!F2:F101)</f>
        <v>3492818</v>
      </c>
      <c r="I47" s="22" t="s">
        <v>54</v>
      </c>
      <c r="J47" s="19">
        <f t="shared" ca="1" si="0"/>
        <v>100</v>
      </c>
    </row>
    <row r="48" spans="1:10">
      <c r="A48" s="10">
        <v>47</v>
      </c>
      <c r="B48" s="23">
        <f>SUM(week47!F2:F101)</f>
        <v>27184828</v>
      </c>
      <c r="C48" s="12">
        <f ca="1">COUNTIF(week47!I2:I101, "UA")</f>
        <v>59</v>
      </c>
      <c r="D48" s="13">
        <f ca="1">SUMIF(week47!I2:I101,"UA",week47!F2:F101)</f>
        <v>18283234</v>
      </c>
      <c r="E48" s="14">
        <f ca="1">COUNTIF(week47!J2:J101, "RU")</f>
        <v>23</v>
      </c>
      <c r="F48" s="15">
        <f ca="1">SUMIF(week47!J2:J101,"RU",week47!F2:F101)</f>
        <v>5732897</v>
      </c>
      <c r="G48" s="16">
        <f ca="1">COUNTIF(week47!K2:K101, "OTHER")</f>
        <v>18</v>
      </c>
      <c r="H48" s="17">
        <f ca="1">SUMIF(week47!K2:K101,"OTHER",week47!F2:F101)</f>
        <v>3168697</v>
      </c>
      <c r="I48" s="22" t="s">
        <v>55</v>
      </c>
      <c r="J48" s="19">
        <f t="shared" ca="1" si="0"/>
        <v>100</v>
      </c>
    </row>
    <row r="49" spans="1:10">
      <c r="A49" s="10">
        <v>48</v>
      </c>
      <c r="B49" s="23">
        <f>SUM(week48!F2:F101)</f>
        <v>24646423</v>
      </c>
      <c r="C49" s="12">
        <f ca="1">COUNTIF(week48!I2:I101, "UA")</f>
        <v>58</v>
      </c>
      <c r="D49" s="13">
        <f ca="1">SUMIF(week48!I2:I101,"UA",week48!F2:F101)</f>
        <v>15828694</v>
      </c>
      <c r="E49" s="14">
        <f ca="1">COUNTIF(week48!J2:J101, "RU")</f>
        <v>22</v>
      </c>
      <c r="F49" s="15">
        <f ca="1">SUMIF(week48!J2:J101,"RU",week48!F2:F101)</f>
        <v>5061480</v>
      </c>
      <c r="G49" s="16">
        <f ca="1">COUNTIF(week48!K2:K101, "OTHER")</f>
        <v>20</v>
      </c>
      <c r="H49" s="17">
        <f ca="1">SUMIF(week48!K2:K101,"OTHER",week48!F2:F101)</f>
        <v>3756249</v>
      </c>
      <c r="I49" s="22" t="s">
        <v>56</v>
      </c>
      <c r="J49" s="19">
        <f t="shared" ca="1" si="0"/>
        <v>100</v>
      </c>
    </row>
    <row r="50" spans="1:10">
      <c r="A50" s="10">
        <v>49</v>
      </c>
      <c r="B50" s="23">
        <f>SUM(week49!F2:F101)</f>
        <v>25189847</v>
      </c>
      <c r="C50" s="12">
        <f ca="1">COUNTIF(week49!I2:I101, "UA")</f>
        <v>53</v>
      </c>
      <c r="D50" s="13">
        <f ca="1">SUMIF(week49!I2:I101,"UA",week49!F2:F101)</f>
        <v>15144627</v>
      </c>
      <c r="E50" s="14">
        <f ca="1">COUNTIF(week49!J2:J101, "RU")</f>
        <v>27</v>
      </c>
      <c r="F50" s="15">
        <f ca="1">SUMIF(week49!J2:J101,"RU",week49!F2:F101)</f>
        <v>5655456</v>
      </c>
      <c r="G50" s="16">
        <f ca="1">COUNTIF(week49!K2:K101, "OTHER")</f>
        <v>20</v>
      </c>
      <c r="H50" s="17">
        <f ca="1">SUMIF(week49!K2:K101,"OTHER",week49!F2:F101)</f>
        <v>4389764</v>
      </c>
      <c r="I50" s="22" t="s">
        <v>57</v>
      </c>
      <c r="J50" s="19">
        <f t="shared" ca="1" si="0"/>
        <v>100</v>
      </c>
    </row>
    <row r="51" spans="1:10">
      <c r="A51" s="10">
        <v>50</v>
      </c>
      <c r="B51" s="23">
        <f>SUM(week50!F2:F101)</f>
        <v>27171188</v>
      </c>
      <c r="C51" s="12">
        <f ca="1">COUNTIF(week50!I2:I101, "UA")</f>
        <v>59</v>
      </c>
      <c r="D51" s="13">
        <f ca="1">SUMIF(week50!I2:I101,"UA",week50!F2:F101)</f>
        <v>17365447</v>
      </c>
      <c r="E51" s="14">
        <f ca="1">COUNTIF(week50!J2:J101, "RU")</f>
        <v>25</v>
      </c>
      <c r="F51" s="15">
        <f ca="1">SUMIF(week50!J2:J101,"RU",week50!F2:F101)</f>
        <v>5787110</v>
      </c>
      <c r="G51" s="16">
        <f ca="1">COUNTIF(week50!K2:K101, "OTHER")</f>
        <v>16</v>
      </c>
      <c r="H51" s="17">
        <f ca="1">SUMIF(week50!K2:K101,"OTHER",week50!F2:F101)</f>
        <v>4018631</v>
      </c>
      <c r="I51" s="22" t="s">
        <v>58</v>
      </c>
      <c r="J51" s="19">
        <f t="shared" ca="1" si="0"/>
        <v>100</v>
      </c>
    </row>
    <row r="52" spans="1:10">
      <c r="A52" s="10">
        <v>51</v>
      </c>
      <c r="B52" s="23">
        <f>SUM(week51!F2:F101)</f>
        <v>27126422</v>
      </c>
      <c r="C52" s="12">
        <f ca="1">COUNTIF(week51!I2:I101, "UA")</f>
        <v>58</v>
      </c>
      <c r="D52" s="13">
        <f ca="1">SUMIF(week51!I2:I101,"UA",week51!F2:F101)</f>
        <v>18414959</v>
      </c>
      <c r="E52" s="14">
        <f ca="1">COUNTIF(week51!J2:J101, "RU")</f>
        <v>25</v>
      </c>
      <c r="F52" s="15">
        <f ca="1">SUMIF(week51!J2:J101,"RU",week51!F2:F101)</f>
        <v>5911156</v>
      </c>
      <c r="G52" s="16">
        <f ca="1">COUNTIF(week51!K2:K101, "OTHER")</f>
        <v>17</v>
      </c>
      <c r="H52" s="17">
        <f ca="1">SUMIF(week51!K2:K101,"OTHER",week51!F2:F101)</f>
        <v>2800307</v>
      </c>
      <c r="I52" s="22" t="s">
        <v>59</v>
      </c>
      <c r="J52" s="19">
        <f t="shared" ca="1" si="0"/>
        <v>100</v>
      </c>
    </row>
    <row r="53" spans="1:10">
      <c r="A53" s="10">
        <v>52</v>
      </c>
      <c r="B53" s="23">
        <f>SUM(week52!F2:F101)</f>
        <v>33262747</v>
      </c>
      <c r="C53" s="12">
        <f ca="1">COUNTIF(week52!I2:I101, "UA")</f>
        <v>65</v>
      </c>
      <c r="D53" s="13">
        <f ca="1">SUMIF(week52!I2:I101,"UA",week52!F2:F101)</f>
        <v>23139483</v>
      </c>
      <c r="E53" s="14">
        <f ca="1">COUNTIF(week52!J2:J101, "RU")</f>
        <v>22</v>
      </c>
      <c r="F53" s="15">
        <f ca="1">SUMIF(week52!J2:J101,"RU",week52!F2:F101)</f>
        <v>6906850</v>
      </c>
      <c r="G53" s="16">
        <f ca="1">COUNTIF(week52!K2:K101, "OTHER")</f>
        <v>13</v>
      </c>
      <c r="H53" s="17">
        <f ca="1">SUMIF(week52!K2:K101,"OTHER",week52!F2:F101)</f>
        <v>3216414</v>
      </c>
      <c r="I53" s="22" t="s">
        <v>60</v>
      </c>
      <c r="J53" s="19">
        <f t="shared" ca="1" si="0"/>
        <v>100</v>
      </c>
    </row>
    <row r="54" spans="1:10">
      <c r="A54" s="45">
        <v>2023</v>
      </c>
      <c r="I54" s="24"/>
    </row>
    <row r="55" spans="1:10">
      <c r="A55" s="21">
        <v>1</v>
      </c>
      <c r="B55" s="23">
        <f>SUM('23week1'!F2:F101)</f>
        <v>37559186</v>
      </c>
      <c r="C55" s="12">
        <f ca="1">COUNTIF('23week1'!I2:I101, "UA")</f>
        <v>63</v>
      </c>
      <c r="D55" s="13">
        <f ca="1">SUMIF('23week1'!I2:I101,"UA",'23week1'!F2:F101)</f>
        <v>25876905</v>
      </c>
      <c r="E55" s="14">
        <f ca="1">COUNTIF('23week1'!J2:J101, "RU")</f>
        <v>26</v>
      </c>
      <c r="F55" s="15">
        <f ca="1">SUMIF('23week1'!J2:J101,"RU",'23week1'!F2:F101)</f>
        <v>8478948</v>
      </c>
      <c r="G55" s="16">
        <f ca="1">COUNTIF('23week1'!K2:K101, "OTHER")</f>
        <v>11</v>
      </c>
      <c r="H55" s="17">
        <f ca="1">SUMIF('23week1'!K2:K101,"OTHER",'23week1'!F2:F101)</f>
        <v>3203333</v>
      </c>
      <c r="I55" s="22" t="s">
        <v>61</v>
      </c>
      <c r="J55" s="19">
        <f t="shared" ref="J55:J62" ca="1" si="1">SUM(C55+E55+G55)</f>
        <v>100</v>
      </c>
    </row>
    <row r="56" spans="1:10">
      <c r="A56" s="10">
        <v>2</v>
      </c>
      <c r="B56" s="25">
        <f>SUM('23week2'!F2:F101)</f>
        <v>30595813</v>
      </c>
      <c r="C56" s="26">
        <f ca="1">COUNTIF('23week2'!I2:I101, "UA")</f>
        <v>68</v>
      </c>
      <c r="D56" s="27">
        <f ca="1">SUMIF('23week2'!I2:I101,"UA",'23week2'!F2:F101)</f>
        <v>22135169</v>
      </c>
      <c r="E56" s="28">
        <f ca="1">COUNTIF('23week2'!J2:J101, "RU")</f>
        <v>19</v>
      </c>
      <c r="F56" s="29">
        <f ca="1">SUMIF('23week2'!J2:J101,"RU",'23week2'!F2:F101)</f>
        <v>5696285</v>
      </c>
      <c r="G56" s="30">
        <f ca="1">COUNTIF('23week2'!K2:K101, "OTHER")</f>
        <v>13</v>
      </c>
      <c r="H56" s="31">
        <f ca="1">SUMIF('23week2'!K2:K101,"OTHER",'23week2'!F2:F101)</f>
        <v>2764359</v>
      </c>
      <c r="I56" s="22" t="s">
        <v>62</v>
      </c>
      <c r="J56" s="19">
        <f t="shared" ca="1" si="1"/>
        <v>100</v>
      </c>
    </row>
    <row r="57" spans="1:10">
      <c r="A57" s="10">
        <v>3</v>
      </c>
      <c r="B57" s="25">
        <f>SUM('23week3'!F2:F101)</f>
        <v>28433791</v>
      </c>
      <c r="C57" s="26">
        <f ca="1">COUNTIF('23week3'!I2:I101, "UA")</f>
        <v>61</v>
      </c>
      <c r="D57" s="27">
        <f ca="1">SUMIF('23week3'!I2:I101,"UA",'23week3'!F2:F101)</f>
        <v>19556261</v>
      </c>
      <c r="E57" s="28">
        <f ca="1">COUNTIF('23week3'!J2:J101, "RU")</f>
        <v>20</v>
      </c>
      <c r="F57" s="29">
        <f ca="1">SUMIF('23week3'!J2:J101,"RU",'23week3'!F2:F101)</f>
        <v>4893342</v>
      </c>
      <c r="G57" s="30">
        <f ca="1">COUNTIF('23week3'!K2:K101, "OTHER")</f>
        <v>19</v>
      </c>
      <c r="H57" s="31">
        <f ca="1">SUMIF('23week3'!K2:K101,"OTHER",'23week3'!F2:F101)</f>
        <v>3984188</v>
      </c>
      <c r="I57" s="22" t="s">
        <v>63</v>
      </c>
      <c r="J57" s="19">
        <f t="shared" ca="1" si="1"/>
        <v>100</v>
      </c>
    </row>
    <row r="58" spans="1:10">
      <c r="A58" s="10">
        <v>4</v>
      </c>
      <c r="B58" s="25">
        <f>SUM('23week4'!F2:F101)</f>
        <v>28874800</v>
      </c>
      <c r="C58" s="26">
        <f ca="1">COUNTIF('23week4'!I2:I101, "UA")</f>
        <v>62</v>
      </c>
      <c r="D58" s="27">
        <f ca="1">SUMIF('23week4'!I2:I101,"UA",'23week4'!F2:F101)</f>
        <v>19640944</v>
      </c>
      <c r="E58" s="28">
        <f ca="1">COUNTIF('23week4'!J2:J101, "RU")</f>
        <v>17</v>
      </c>
      <c r="F58" s="29">
        <f ca="1">SUMIF('23week4'!J2:J101,"RU",'23week4'!F2:F101)</f>
        <v>4224274</v>
      </c>
      <c r="G58" s="30">
        <f ca="1">COUNTIF('23week4'!K2:K101, "OTHER")</f>
        <v>21</v>
      </c>
      <c r="H58" s="31">
        <f ca="1">SUMIF('23week4'!K2:K101,"OTHER",'23week4'!F2:F101)</f>
        <v>5009582</v>
      </c>
      <c r="I58" s="22" t="s">
        <v>64</v>
      </c>
      <c r="J58" s="19">
        <f t="shared" ca="1" si="1"/>
        <v>100</v>
      </c>
    </row>
    <row r="59" spans="1:10">
      <c r="A59" s="10">
        <v>5</v>
      </c>
      <c r="B59" s="25">
        <f>SUM('23week5'!F2:F101)</f>
        <v>28669609</v>
      </c>
      <c r="C59" s="26">
        <f ca="1">COUNTIF('23week5'!I2:I101, "UA")</f>
        <v>63</v>
      </c>
      <c r="D59" s="27">
        <f ca="1">SUMIF('23week5'!I2:I101,"UA",'23week5'!F2:F101)</f>
        <v>20197527</v>
      </c>
      <c r="E59" s="28">
        <f ca="1">COUNTIF('23week5'!J2:J101, "RU")</f>
        <v>18</v>
      </c>
      <c r="F59" s="29">
        <f ca="1">SUMIF('23week5'!J2:J101,"RU",'23week5'!F2:F101)</f>
        <v>4174339</v>
      </c>
      <c r="G59" s="30">
        <f ca="1">COUNTIF('23week5'!K2:K101, "OTHER")</f>
        <v>19</v>
      </c>
      <c r="H59" s="31">
        <f ca="1">SUMIF('23week5'!K2:K101,"OTHER",'23week5'!F2:F101)</f>
        <v>4297743</v>
      </c>
      <c r="I59" s="22" t="s">
        <v>65</v>
      </c>
      <c r="J59" s="19">
        <f t="shared" ca="1" si="1"/>
        <v>100</v>
      </c>
    </row>
    <row r="60" spans="1:10">
      <c r="A60" s="10">
        <v>6</v>
      </c>
      <c r="B60" s="25">
        <f>SUM('23week6'!F2:F101)</f>
        <v>30448655</v>
      </c>
      <c r="C60" s="26">
        <f ca="1">COUNTIF('23week6'!I2:I101, "UA")</f>
        <v>64</v>
      </c>
      <c r="D60" s="27">
        <f ca="1">SUMIF('23week6'!I2:I101,"UA",'23week6'!F2:F101)</f>
        <v>21723753</v>
      </c>
      <c r="E60" s="28">
        <f ca="1">COUNTIF('23week6'!J2:J101, "RU")</f>
        <v>13</v>
      </c>
      <c r="F60" s="29">
        <f ca="1">SUMIF('23week6'!J2:J101,"RU",'23week6'!F2:F101)</f>
        <v>3660299</v>
      </c>
      <c r="G60" s="30">
        <f ca="1">COUNTIF('23week6'!K2:K101, "OTHER")</f>
        <v>23</v>
      </c>
      <c r="H60" s="31">
        <f ca="1">SUMIF('23week6'!K2:K101,"OTHER",'23week6'!F2:F101)</f>
        <v>5064603</v>
      </c>
      <c r="I60" s="22" t="s">
        <v>66</v>
      </c>
      <c r="J60" s="19">
        <f t="shared" ca="1" si="1"/>
        <v>100</v>
      </c>
    </row>
    <row r="61" spans="1:10">
      <c r="A61" s="10">
        <v>7</v>
      </c>
      <c r="B61" s="25">
        <f>SUM('23week7'!F2:F101)</f>
        <v>33707234</v>
      </c>
      <c r="C61" s="26">
        <f ca="1">COUNTIF('23week7'!I2:I101, "UA")</f>
        <v>63</v>
      </c>
      <c r="D61" s="27">
        <f ca="1">SUMIF('23week7'!I2:I101,"UA",'23week7'!F2:F101)</f>
        <v>24586662</v>
      </c>
      <c r="E61" s="28">
        <f ca="1">COUNTIF('23week7'!J2:J101, "RU")</f>
        <v>16</v>
      </c>
      <c r="F61" s="29">
        <f ca="1">SUMIF('23week7'!J2:J101,"RU",'23week7'!F2:F101)</f>
        <v>4081648</v>
      </c>
      <c r="G61" s="30">
        <f ca="1">COUNTIF('23week7'!K2:K101, "OTHER")</f>
        <v>21</v>
      </c>
      <c r="H61" s="31">
        <f ca="1">SUMIF('23week7'!K2:K101,"OTHER",'23week7'!F2:F101)</f>
        <v>5038924</v>
      </c>
      <c r="I61" s="22" t="s">
        <v>67</v>
      </c>
      <c r="J61" s="19">
        <f t="shared" ca="1" si="1"/>
        <v>100</v>
      </c>
    </row>
    <row r="62" spans="1:10">
      <c r="A62" s="10">
        <v>8</v>
      </c>
      <c r="B62" s="25">
        <f>SUM('23week8'!F2:F101)</f>
        <v>32880045</v>
      </c>
      <c r="C62" s="26">
        <f ca="1">COUNTIF('23week8'!I2:I101, "UA")</f>
        <v>67</v>
      </c>
      <c r="D62" s="27">
        <f ca="1">SUMIF('23week8'!I2:I101,"UA",'23week8'!F2:F101)</f>
        <v>24892505</v>
      </c>
      <c r="E62" s="28">
        <f ca="1">COUNTIF('23week8'!J2:J101, "RU")</f>
        <v>12</v>
      </c>
      <c r="F62" s="29">
        <f ca="1">SUMIF('23week8'!J2:J101,"RU",'23week8'!F2:F101)</f>
        <v>3134191</v>
      </c>
      <c r="G62" s="30">
        <f ca="1">COUNTIF('23week8'!K2:K101, "OTHER")</f>
        <v>21</v>
      </c>
      <c r="H62" s="31">
        <f ca="1">SUMIF('23week8'!K2:K101,"OTHER",'23week8'!F2:F101)</f>
        <v>4853349</v>
      </c>
      <c r="I62" s="22" t="s">
        <v>68</v>
      </c>
      <c r="J62" s="19">
        <f t="shared" ca="1" si="1"/>
        <v>100</v>
      </c>
    </row>
  </sheetData>
  <conditionalFormatting sqref="J2:J1000">
    <cfRule type="cellIs" dxfId="121" priority="1" operator="greaterThan">
      <formula>100</formula>
    </cfRule>
    <cfRule type="cellIs" dxfId="120" priority="2" operator="lessThan">
      <formula>100</formula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Аркуш10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4" width="8.6640625" customWidth="1"/>
    <col min="5" max="5" width="8.6640625" hidden="1" customWidth="1"/>
    <col min="6" max="6" width="8.6640625" customWidth="1"/>
    <col min="7" max="7" width="13.109375" customWidth="1"/>
    <col min="8" max="8" width="8.6640625" hidden="1" customWidth="1"/>
    <col min="9" max="9" width="10.6640625" customWidth="1"/>
    <col min="10" max="11" width="9.5546875" customWidth="1"/>
    <col min="12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B2" s="21">
        <v>4</v>
      </c>
      <c r="C2" s="21" t="s">
        <v>88</v>
      </c>
      <c r="D2" s="21" t="s">
        <v>89</v>
      </c>
      <c r="E2" s="21">
        <v>23</v>
      </c>
      <c r="F2" s="21">
        <v>1167905</v>
      </c>
      <c r="G2" s="42">
        <v>0.16400000000000001</v>
      </c>
      <c r="H2" s="21" t="s">
        <v>90</v>
      </c>
      <c r="I2" s="39" t="str">
        <f ca="1">IFERROR(__xludf.DUMMYFUNCTION("IF(SUM(COUNTIF(artists!A:A, SPLIT(D2, "",""))) &gt; 0, ""UA"", 0)"),"UA")</f>
        <v>UA</v>
      </c>
      <c r="J2" s="40">
        <f ca="1">IFERROR(__xludf.DUMMYFUNCTION("IF(SUM(COUNTIF(artists!C:C, SPLIT(D2, "",""))) &gt; 0, ""RU"", 0)"),0)</f>
        <v>0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B3" s="21">
        <v>3</v>
      </c>
      <c r="C3" s="21" t="s">
        <v>124</v>
      </c>
      <c r="D3" s="21" t="s">
        <v>125</v>
      </c>
      <c r="E3" s="21">
        <v>6</v>
      </c>
      <c r="F3" s="21">
        <v>1136782</v>
      </c>
      <c r="G3" s="42">
        <v>0.112</v>
      </c>
      <c r="H3" s="21" t="s">
        <v>127</v>
      </c>
      <c r="I3" s="39">
        <f ca="1">IFERROR(__xludf.DUMMYFUNCTION("IF(SUM(COUNTIF(artists!A:A, SPLIT(D3, "",""))) &gt; 0, ""UA"", 0)"),0)</f>
        <v>0</v>
      </c>
      <c r="J3" s="40" t="str">
        <f ca="1">IFERROR(__xludf.DUMMYFUNCTION("IF(SUM(COUNTIF(artists!C:C, SPLIT(D3, "",""))) &gt; 0, ""RU"", 0)"),"RU")</f>
        <v>RU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B4" s="21">
        <v>1</v>
      </c>
      <c r="C4" s="21" t="s">
        <v>111</v>
      </c>
      <c r="D4" s="21" t="s">
        <v>112</v>
      </c>
      <c r="E4" s="21">
        <v>4</v>
      </c>
      <c r="F4" s="21">
        <v>1133651</v>
      </c>
      <c r="G4" s="43">
        <v>0</v>
      </c>
      <c r="H4" s="21" t="s">
        <v>114</v>
      </c>
      <c r="I4" s="39" t="str">
        <f ca="1">IFERROR(__xludf.DUMMYFUNCTION("IF(SUM(COUNTIF(artists!A:A, SPLIT(D4, "",""))) &gt; 0, ""UA"", 0)"),"UA")</f>
        <v>UA</v>
      </c>
      <c r="J4" s="40">
        <f ca="1">IFERROR(__xludf.DUMMYFUNCTION("IF(SUM(COUNTIF(artists!C:C, SPLIT(D4, "",""))) &gt; 0, ""RU"", 0)"),0)</f>
        <v>0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B5" s="21">
        <v>5</v>
      </c>
      <c r="C5" s="21" t="s">
        <v>103</v>
      </c>
      <c r="D5" s="21" t="s">
        <v>104</v>
      </c>
      <c r="E5" s="21">
        <v>4</v>
      </c>
      <c r="F5" s="21">
        <v>1000968</v>
      </c>
      <c r="G5" s="42">
        <v>4.9000000000000002E-2</v>
      </c>
      <c r="H5" s="21" t="s">
        <v>106</v>
      </c>
      <c r="I5" s="39" t="str">
        <f ca="1">IFERROR(__xludf.DUMMYFUNCTION("IF(SUM(COUNTIF(artists!A:A, SPLIT(D5, "",""))) &gt; 0, ""UA"", 0)"),"UA")</f>
        <v>UA</v>
      </c>
      <c r="J5" s="40">
        <f ca="1">IFERROR(__xludf.DUMMYFUNCTION("IF(SUM(COUNTIF(artists!C:C, SPLIT(D5, "",""))) &gt; 0, ""RU"", 0)"),0)</f>
        <v>0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B6" s="21">
        <v>2</v>
      </c>
      <c r="C6" s="21" t="s">
        <v>121</v>
      </c>
      <c r="D6" s="21" t="s">
        <v>122</v>
      </c>
      <c r="E6" s="21">
        <v>3</v>
      </c>
      <c r="F6" s="21">
        <v>999997</v>
      </c>
      <c r="G6" s="42">
        <v>-0.11700000000000001</v>
      </c>
      <c r="H6" s="21" t="s">
        <v>123</v>
      </c>
      <c r="I6" s="39" t="str">
        <f ca="1">IFERROR(__xludf.DUMMYFUNCTION("IF(SUM(COUNTIF(artists!A:A, SPLIT(D6, "",""))) &gt; 0, ""UA"", 0)"),"UA")</f>
        <v>UA</v>
      </c>
      <c r="J6" s="40">
        <f ca="1">IFERROR(__xludf.DUMMYFUNCTION("IF(SUM(COUNTIF(artists!C:C, SPLIT(D6, "",""))) &gt; 0, ""RU"", 0)"),0)</f>
        <v>0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B7" s="21">
        <v>6</v>
      </c>
      <c r="C7" s="21" t="s">
        <v>153</v>
      </c>
      <c r="D7" s="21" t="s">
        <v>154</v>
      </c>
      <c r="E7" s="21">
        <v>3</v>
      </c>
      <c r="F7" s="21">
        <v>964879</v>
      </c>
      <c r="G7" s="42">
        <v>3.7999999999999999E-2</v>
      </c>
      <c r="H7" s="21" t="s">
        <v>156</v>
      </c>
      <c r="I7" s="39">
        <f ca="1">IFERROR(__xludf.DUMMYFUNCTION("IF(SUM(COUNTIF(artists!A:A, SPLIT(D7, "",""))) &gt; 0, ""UA"", 0)"),0)</f>
        <v>0</v>
      </c>
      <c r="J7" s="40" t="str">
        <f ca="1">IFERROR(__xludf.DUMMYFUNCTION("IF(SUM(COUNTIF(artists!C:C, SPLIT(D7, "",""))) &gt; 0, ""RU"", 0)"),"RU")</f>
        <v>RU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B8" s="21">
        <v>7</v>
      </c>
      <c r="C8" s="21" t="s">
        <v>95</v>
      </c>
      <c r="D8" s="21" t="s">
        <v>96</v>
      </c>
      <c r="E8" s="21">
        <v>8</v>
      </c>
      <c r="F8" s="21">
        <v>906682</v>
      </c>
      <c r="G8" s="42">
        <v>0.17799999999999999</v>
      </c>
      <c r="H8" s="21" t="s">
        <v>98</v>
      </c>
      <c r="I8" s="39" t="str">
        <f ca="1">IFERROR(__xludf.DUMMYFUNCTION("IF(SUM(COUNTIF(artists!A:A, SPLIT(D8, "",""))) &gt; 0, ""UA"", 0)"),"UA")</f>
        <v>UA</v>
      </c>
      <c r="J8" s="40">
        <f ca="1">IFERROR(__xludf.DUMMYFUNCTION("IF(SUM(COUNTIF(artists!C:C, SPLIT(D8, "",""))) &gt; 0, ""RU"", 0)"),0)</f>
        <v>0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B9" s="21">
        <v>16</v>
      </c>
      <c r="C9" s="21" t="s">
        <v>221</v>
      </c>
      <c r="D9" s="21" t="s">
        <v>222</v>
      </c>
      <c r="E9" s="21">
        <v>5</v>
      </c>
      <c r="F9" s="21">
        <v>830936</v>
      </c>
      <c r="G9" s="42">
        <v>0.71499999999999997</v>
      </c>
      <c r="H9" s="21" t="s">
        <v>224</v>
      </c>
      <c r="I9" s="39">
        <f ca="1">IFERROR(__xludf.DUMMYFUNCTION("IF(SUM(COUNTIF(artists!A:A, SPLIT(D9, "",""))) &gt; 0, ""UA"", 0)"),0)</f>
        <v>0</v>
      </c>
      <c r="J9" s="40">
        <f ca="1">IFERROR(__xludf.DUMMYFUNCTION("IF(SUM(COUNTIF(artists!C:C, SPLIT(D9, "",""))) &gt; 0, ""RU"", 0)"),0)</f>
        <v>0</v>
      </c>
      <c r="K9" s="39" t="str">
        <f ca="1">IFERROR(__xludf.DUMMYFUNCTION("IF(SUM(COUNTIF(artists!E:E, SPLIT(D9, "",""))) &gt; 0, ""OTHER"", 0)"),"OTHER")</f>
        <v>OTHER</v>
      </c>
    </row>
    <row r="10" spans="1:11" ht="14.25" customHeight="1">
      <c r="A10" s="21">
        <v>9</v>
      </c>
      <c r="B10" s="21">
        <v>8</v>
      </c>
      <c r="C10" s="21" t="s">
        <v>645</v>
      </c>
      <c r="D10" s="21" t="s">
        <v>352</v>
      </c>
      <c r="E10" s="21">
        <v>48</v>
      </c>
      <c r="F10" s="21">
        <v>771946</v>
      </c>
      <c r="G10" s="43">
        <v>0.19</v>
      </c>
      <c r="H10" s="21" t="s">
        <v>647</v>
      </c>
      <c r="I10" s="39" t="str">
        <f ca="1">IFERROR(__xludf.DUMMYFUNCTION("IF(SUM(COUNTIF(artists!A:A, SPLIT(D10, "",""))) &gt; 0, ""UA"", 0)"),"UA")</f>
        <v>UA</v>
      </c>
      <c r="J10" s="40">
        <f ca="1">IFERROR(__xludf.DUMMYFUNCTION("IF(SUM(COUNTIF(artists!C:C, SPLIT(D10, "",""))) &gt; 0, ""RU"", 0)"),0)</f>
        <v>0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B11" s="21">
        <v>10</v>
      </c>
      <c r="C11" s="21" t="s">
        <v>99</v>
      </c>
      <c r="D11" s="21" t="s">
        <v>100</v>
      </c>
      <c r="E11" s="21">
        <v>5</v>
      </c>
      <c r="F11" s="21">
        <v>760681</v>
      </c>
      <c r="G11" s="42">
        <v>0.315</v>
      </c>
      <c r="H11" s="21" t="s">
        <v>102</v>
      </c>
      <c r="I11" s="39" t="str">
        <f ca="1">IFERROR(__xludf.DUMMYFUNCTION("IF(SUM(COUNTIF(artists!A:A, SPLIT(D11, "",""))) &gt; 0, ""UA"", 0)"),"UA")</f>
        <v>UA</v>
      </c>
      <c r="J11" s="40">
        <f ca="1">IFERROR(__xludf.DUMMYFUNCTION("IF(SUM(COUNTIF(artists!C:C, SPLIT(D11, "",""))) &gt; 0, ""RU"", 0)"),0)</f>
        <v>0</v>
      </c>
      <c r="K11" s="39">
        <f ca="1">IFERROR(__xludf.DUMMYFUNCTION("IF(SUM(COUNTIF(artists!E:E, SPLIT(D11, "",""))) &gt; 0, ""OTHER"", 0)"),0)</f>
        <v>0</v>
      </c>
    </row>
    <row r="12" spans="1:11" ht="14.25" customHeight="1">
      <c r="A12" s="21">
        <v>11</v>
      </c>
      <c r="B12" s="21">
        <v>12</v>
      </c>
      <c r="C12" s="21" t="s">
        <v>128</v>
      </c>
      <c r="D12" s="21" t="s">
        <v>129</v>
      </c>
      <c r="E12" s="21">
        <v>31</v>
      </c>
      <c r="F12" s="21">
        <v>738956</v>
      </c>
      <c r="G12" s="42">
        <v>0.30399999999999999</v>
      </c>
      <c r="H12" s="21" t="s">
        <v>131</v>
      </c>
      <c r="I12" s="39" t="str">
        <f ca="1">IFERROR(__xludf.DUMMYFUNCTION("IF(SUM(COUNTIF(artists!A:A, SPLIT(D12, "",""))) &gt; 0, ""UA"", 0)"),"UA")</f>
        <v>UA</v>
      </c>
      <c r="J12" s="40">
        <f ca="1">IFERROR(__xludf.DUMMYFUNCTION("IF(SUM(COUNTIF(artists!C:C, SPLIT(D12, "",""))) &gt; 0, ""RU"", 0)"),0)</f>
        <v>0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B13" s="21">
        <v>13</v>
      </c>
      <c r="C13" s="21" t="s">
        <v>115</v>
      </c>
      <c r="D13" s="21" t="s">
        <v>116</v>
      </c>
      <c r="E13" s="21">
        <v>25</v>
      </c>
      <c r="F13" s="21">
        <v>709788</v>
      </c>
      <c r="G13" s="42">
        <v>0.27300000000000002</v>
      </c>
      <c r="H13" s="21" t="s">
        <v>117</v>
      </c>
      <c r="I13" s="39" t="str">
        <f ca="1">IFERROR(__xludf.DUMMYFUNCTION("IF(SUM(COUNTIF(artists!A:A, SPLIT(D13, "",""))) &gt; 0, ""UA"", 0)"),"UA")</f>
        <v>UA</v>
      </c>
      <c r="J13" s="40">
        <f ca="1">IFERROR(__xludf.DUMMYFUNCTION("IF(SUM(COUNTIF(artists!C:C, SPLIT(D13, "",""))) &gt; 0, ""RU"", 0)"),0)</f>
        <v>0</v>
      </c>
      <c r="K13" s="39">
        <f ca="1">IFERROR(__xludf.DUMMYFUNCTION("IF(SUM(COUNTIF(artists!E:E, SPLIT(D13, "",""))) &gt; 0, ""OTHER"", 0)"),0)</f>
        <v>0</v>
      </c>
    </row>
    <row r="14" spans="1:11" ht="14.25" customHeight="1">
      <c r="A14" s="21">
        <v>13</v>
      </c>
      <c r="B14" s="21">
        <v>39</v>
      </c>
      <c r="C14" s="21" t="s">
        <v>84</v>
      </c>
      <c r="D14" s="21" t="s">
        <v>85</v>
      </c>
      <c r="E14" s="21">
        <v>2</v>
      </c>
      <c r="F14" s="21">
        <v>688266</v>
      </c>
      <c r="G14" s="42">
        <v>1.3720000000000001</v>
      </c>
      <c r="H14" s="21" t="s">
        <v>87</v>
      </c>
      <c r="I14" s="39" t="str">
        <f ca="1">IFERROR(__xludf.DUMMYFUNCTION("IF(SUM(COUNTIF(artists!A:A, SPLIT(D14, "",""))) &gt; 0, ""UA"", 0)"),"UA")</f>
        <v>UA</v>
      </c>
      <c r="J14" s="40">
        <f ca="1">IFERROR(__xludf.DUMMYFUNCTION("IF(SUM(COUNTIF(artists!C:C, SPLIT(D14, "",""))) &gt; 0, ""RU"", 0)"),0)</f>
        <v>0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B15" s="21">
        <v>14</v>
      </c>
      <c r="C15" s="21" t="s">
        <v>145</v>
      </c>
      <c r="D15" s="21" t="s">
        <v>146</v>
      </c>
      <c r="E15" s="21">
        <v>29</v>
      </c>
      <c r="F15" s="21">
        <v>682387</v>
      </c>
      <c r="G15" s="42">
        <v>0.24399999999999999</v>
      </c>
      <c r="H15" s="21" t="s">
        <v>148</v>
      </c>
      <c r="I15" s="39" t="str">
        <f ca="1">IFERROR(__xludf.DUMMYFUNCTION("IF(SUM(COUNTIF(artists!A:A, SPLIT(D15, "",""))) &gt; 0, ""UA"", 0)"),"UA")</f>
        <v>UA</v>
      </c>
      <c r="J15" s="40">
        <f ca="1">IFERROR(__xludf.DUMMYFUNCTION("IF(SUM(COUNTIF(artists!C:C, SPLIT(D15, "",""))) &gt; 0, ""RU"", 0)"),0)</f>
        <v>0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B16" s="21">
        <v>31</v>
      </c>
      <c r="C16" s="21" t="s">
        <v>107</v>
      </c>
      <c r="D16" s="21" t="s">
        <v>108</v>
      </c>
      <c r="E16" s="21">
        <v>3</v>
      </c>
      <c r="F16" s="21">
        <v>665841</v>
      </c>
      <c r="G16" s="42">
        <v>1.0780000000000001</v>
      </c>
      <c r="H16" s="21" t="s">
        <v>110</v>
      </c>
      <c r="I16" s="39" t="str">
        <f ca="1">IFERROR(__xludf.DUMMYFUNCTION("IF(SUM(COUNTIF(artists!A:A, SPLIT(D16, "",""))) &gt; 0, ""UA"", 0)"),"UA")</f>
        <v>UA</v>
      </c>
      <c r="J16" s="40">
        <f ca="1">IFERROR(__xludf.DUMMYFUNCTION("IF(SUM(COUNTIF(artists!C:C, SPLIT(D16, "",""))) &gt; 0, ""RU"", 0)"),0)</f>
        <v>0</v>
      </c>
      <c r="K16" s="39">
        <f ca="1">IFERROR(__xludf.DUMMYFUNCTION("IF(SUM(COUNTIF(artists!E:E, SPLIT(D16, "",""))) &gt; 0, ""OTHER"", 0)"),0)</f>
        <v>0</v>
      </c>
    </row>
    <row r="17" spans="1:11" ht="14.25" customHeight="1">
      <c r="A17" s="21">
        <v>16</v>
      </c>
      <c r="B17" s="21">
        <v>9</v>
      </c>
      <c r="C17" s="21" t="s">
        <v>132</v>
      </c>
      <c r="D17" s="21" t="s">
        <v>133</v>
      </c>
      <c r="E17" s="21">
        <v>35</v>
      </c>
      <c r="F17" s="21">
        <v>658397</v>
      </c>
      <c r="G17" s="42">
        <v>6.8000000000000005E-2</v>
      </c>
      <c r="H17" s="21" t="s">
        <v>135</v>
      </c>
      <c r="I17" s="39" t="str">
        <f ca="1">IFERROR(__xludf.DUMMYFUNCTION("IF(SUM(COUNTIF(artists!A:A, SPLIT(D17, "",""))) &gt; 0, ""UA"", 0)"),"UA")</f>
        <v>UA</v>
      </c>
      <c r="J17" s="40">
        <f ca="1">IFERROR(__xludf.DUMMYFUNCTION("IF(SUM(COUNTIF(artists!C:C, SPLIT(D17, "",""))) &gt; 0, ""RU"", 0)"),0)</f>
        <v>0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B18" s="21">
        <v>15</v>
      </c>
      <c r="C18" s="21" t="s">
        <v>168</v>
      </c>
      <c r="D18" s="21" t="s">
        <v>137</v>
      </c>
      <c r="E18" s="21">
        <v>26</v>
      </c>
      <c r="F18" s="21">
        <v>604000</v>
      </c>
      <c r="G18" s="42">
        <v>0.247</v>
      </c>
      <c r="H18" s="21" t="s">
        <v>170</v>
      </c>
      <c r="I18" s="39" t="str">
        <f ca="1">IFERROR(__xludf.DUMMYFUNCTION("IF(SUM(COUNTIF(artists!A:A, SPLIT(D18, "",""))) &gt; 0, ""UA"", 0)"),"UA")</f>
        <v>UA</v>
      </c>
      <c r="J18" s="40">
        <f ca="1">IFERROR(__xludf.DUMMYFUNCTION("IF(SUM(COUNTIF(artists!C:C, SPLIT(D18, "",""))) &gt; 0, ""RU"", 0)"),0)</f>
        <v>0</v>
      </c>
      <c r="K18" s="39">
        <f ca="1">IFERROR(__xludf.DUMMYFUNCTION("IF(SUM(COUNTIF(artists!E:E, SPLIT(D18, "",""))) &gt; 0, ""OTHER"", 0)"),0)</f>
        <v>0</v>
      </c>
    </row>
    <row r="19" spans="1:11" ht="14.25" customHeight="1">
      <c r="A19" s="21">
        <v>18</v>
      </c>
      <c r="B19" s="21">
        <v>17</v>
      </c>
      <c r="C19" s="21" t="s">
        <v>171</v>
      </c>
      <c r="D19" s="21" t="s">
        <v>172</v>
      </c>
      <c r="E19" s="21">
        <v>30</v>
      </c>
      <c r="F19" s="21">
        <v>596771</v>
      </c>
      <c r="G19" s="42">
        <v>0.26500000000000001</v>
      </c>
      <c r="H19" s="21" t="s">
        <v>174</v>
      </c>
      <c r="I19" s="39">
        <f ca="1">IFERROR(__xludf.DUMMYFUNCTION("IF(SUM(COUNTIF(artists!A:A, SPLIT(D19, "",""))) &gt; 0, ""UA"", 0)"),0)</f>
        <v>0</v>
      </c>
      <c r="J19" s="40" t="str">
        <f ca="1">IFERROR(__xludf.DUMMYFUNCTION("IF(SUM(COUNTIF(artists!C:C, SPLIT(D19, "",""))) &gt; 0, ""RU"", 0)"),"RU")</f>
        <v>RU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B20" s="21">
        <v>21</v>
      </c>
      <c r="C20" s="21" t="s">
        <v>182</v>
      </c>
      <c r="D20" s="21" t="s">
        <v>183</v>
      </c>
      <c r="E20" s="21">
        <v>31</v>
      </c>
      <c r="F20" s="21">
        <v>573128</v>
      </c>
      <c r="G20" s="42">
        <v>0.33200000000000002</v>
      </c>
      <c r="H20" s="21" t="s">
        <v>185</v>
      </c>
      <c r="I20" s="39" t="str">
        <f ca="1">IFERROR(__xludf.DUMMYFUNCTION("IF(SUM(COUNTIF(artists!A:A, SPLIT(D20, "",""))) &gt; 0, ""UA"", 0)"),"UA")</f>
        <v>UA</v>
      </c>
      <c r="J20" s="40">
        <f ca="1">IFERROR(__xludf.DUMMYFUNCTION("IF(SUM(COUNTIF(artists!C:C, SPLIT(D20, "",""))) &gt; 0, ""RU"", 0)"),0)</f>
        <v>0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B21" s="21">
        <v>20</v>
      </c>
      <c r="C21" s="21" t="s">
        <v>202</v>
      </c>
      <c r="D21" s="21" t="s">
        <v>835</v>
      </c>
      <c r="E21" s="21">
        <v>25</v>
      </c>
      <c r="F21" s="21">
        <v>547534</v>
      </c>
      <c r="G21" s="42">
        <v>0.25600000000000001</v>
      </c>
      <c r="H21" s="21" t="s">
        <v>204</v>
      </c>
      <c r="I21" s="39" t="str">
        <f ca="1">IFERROR(__xludf.DUMMYFUNCTION("IF(SUM(COUNTIF(artists!A:A, SPLIT(D21, "",""))) &gt; 0, ""UA"", 0)"),"UA")</f>
        <v>UA</v>
      </c>
      <c r="J21" s="40">
        <f ca="1">IFERROR(__xludf.DUMMYFUNCTION("IF(SUM(COUNTIF(artists!C:C, SPLIT(D21, "",""))) &gt; 0, ""RU"", 0)"),0)</f>
        <v>0</v>
      </c>
      <c r="K21" s="39">
        <f ca="1">IFERROR(__xludf.DUMMYFUNCTION("IF(SUM(COUNTIF(artists!E:E, SPLIT(D21, "",""))) &gt; 0, ""OTHER"", 0)"),0)</f>
        <v>0</v>
      </c>
    </row>
    <row r="22" spans="1:11" ht="14.25" customHeight="1">
      <c r="A22" s="21">
        <v>21</v>
      </c>
      <c r="B22" s="21">
        <v>18</v>
      </c>
      <c r="C22" s="21" t="s">
        <v>149</v>
      </c>
      <c r="D22" s="21" t="s">
        <v>150</v>
      </c>
      <c r="E22" s="21">
        <v>28</v>
      </c>
      <c r="F22" s="21">
        <v>532114</v>
      </c>
      <c r="G22" s="42">
        <v>0.186</v>
      </c>
      <c r="H22" s="21" t="s">
        <v>152</v>
      </c>
      <c r="I22" s="39" t="str">
        <f ca="1">IFERROR(__xludf.DUMMYFUNCTION("IF(SUM(COUNTIF(artists!A:A, SPLIT(D22, "",""))) &gt; 0, ""UA"", 0)"),"UA")</f>
        <v>UA</v>
      </c>
      <c r="J22" s="40">
        <f ca="1">IFERROR(__xludf.DUMMYFUNCTION("IF(SUM(COUNTIF(artists!C:C, SPLIT(D22, "",""))) &gt; 0, ""RU"", 0)"),0)</f>
        <v>0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B23" s="21">
        <v>19</v>
      </c>
      <c r="C23" s="21" t="s">
        <v>175</v>
      </c>
      <c r="D23" s="21" t="s">
        <v>89</v>
      </c>
      <c r="E23" s="21">
        <v>35</v>
      </c>
      <c r="F23" s="21">
        <v>503936</v>
      </c>
      <c r="G23" s="43">
        <v>0.13</v>
      </c>
      <c r="H23" s="21" t="s">
        <v>177</v>
      </c>
      <c r="I23" s="39" t="str">
        <f ca="1">IFERROR(__xludf.DUMMYFUNCTION("IF(SUM(COUNTIF(artists!A:A, SPLIT(D23, "",""))) &gt; 0, ""UA"", 0)"),"UA")</f>
        <v>UA</v>
      </c>
      <c r="J23" s="40">
        <f ca="1">IFERROR(__xludf.DUMMYFUNCTION("IF(SUM(COUNTIF(artists!C:C, SPLIT(D23, "",""))) &gt; 0, ""RU"", 0)"),0)</f>
        <v>0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B24" s="21">
        <v>11</v>
      </c>
      <c r="C24" s="21" t="s">
        <v>237</v>
      </c>
      <c r="D24" s="21" t="s">
        <v>238</v>
      </c>
      <c r="E24" s="21">
        <v>4</v>
      </c>
      <c r="F24" s="21">
        <v>502352</v>
      </c>
      <c r="G24" s="42">
        <v>-0.121</v>
      </c>
      <c r="H24" s="21" t="s">
        <v>240</v>
      </c>
      <c r="I24" s="39" t="str">
        <f ca="1">IFERROR(__xludf.DUMMYFUNCTION("IF(SUM(COUNTIF(artists!A:A, SPLIT(D24, "",""))) &gt; 0, ""UA"", 0)"),"UA")</f>
        <v>UA</v>
      </c>
      <c r="J24" s="40">
        <f ca="1">IFERROR(__xludf.DUMMYFUNCTION("IF(SUM(COUNTIF(artists!C:C, SPLIT(D24, "",""))) &gt; 0, ""RU"", 0)"),0)</f>
        <v>0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B25" s="21">
        <v>27</v>
      </c>
      <c r="C25" s="21" t="s">
        <v>194</v>
      </c>
      <c r="D25" s="21" t="s">
        <v>195</v>
      </c>
      <c r="E25" s="21">
        <v>38</v>
      </c>
      <c r="F25" s="21">
        <v>469132</v>
      </c>
      <c r="G25" s="42">
        <v>0.27500000000000002</v>
      </c>
      <c r="H25" s="21" t="s">
        <v>197</v>
      </c>
      <c r="I25" s="39" t="str">
        <f ca="1">IFERROR(__xludf.DUMMYFUNCTION("IF(SUM(COUNTIF(artists!A:A, SPLIT(D25, "",""))) &gt; 0, ""UA"", 0)"),"UA")</f>
        <v>UA</v>
      </c>
      <c r="J25" s="40">
        <f ca="1">IFERROR(__xludf.DUMMYFUNCTION("IF(SUM(COUNTIF(artists!C:C, SPLIT(D25, "",""))) &gt; 0, ""RU"", 0)"),0)</f>
        <v>0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B26" s="21">
        <v>24</v>
      </c>
      <c r="C26" s="21" t="s">
        <v>186</v>
      </c>
      <c r="D26" s="21" t="s">
        <v>187</v>
      </c>
      <c r="E26" s="21">
        <v>39</v>
      </c>
      <c r="F26" s="21">
        <v>450859</v>
      </c>
      <c r="G26" s="42">
        <v>0.121</v>
      </c>
      <c r="H26" s="21" t="s">
        <v>189</v>
      </c>
      <c r="I26" s="39" t="str">
        <f ca="1">IFERROR(__xludf.DUMMYFUNCTION("IF(SUM(COUNTIF(artists!A:A, SPLIT(D26, "",""))) &gt; 0, ""UA"", 0)"),"UA")</f>
        <v>UA</v>
      </c>
      <c r="J26" s="40">
        <f ca="1">IFERROR(__xludf.DUMMYFUNCTION("IF(SUM(COUNTIF(artists!C:C, SPLIT(D26, "",""))) &gt; 0, ""RU"", 0)"),0)</f>
        <v>0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B27" s="21">
        <v>28</v>
      </c>
      <c r="C27" s="21" t="s">
        <v>160</v>
      </c>
      <c r="D27" s="21" t="s">
        <v>161</v>
      </c>
      <c r="E27" s="21">
        <v>29</v>
      </c>
      <c r="F27" s="21">
        <v>442179</v>
      </c>
      <c r="G27" s="42">
        <v>0.249</v>
      </c>
      <c r="H27" s="21" t="s">
        <v>163</v>
      </c>
      <c r="I27" s="39" t="str">
        <f ca="1">IFERROR(__xludf.DUMMYFUNCTION("IF(SUM(COUNTIF(artists!A:A, SPLIT(D27, "",""))) &gt; 0, ""UA"", 0)"),"UA")</f>
        <v>UA</v>
      </c>
      <c r="J27" s="40">
        <f ca="1">IFERROR(__xludf.DUMMYFUNCTION("IF(SUM(COUNTIF(artists!C:C, SPLIT(D27, "",""))) &gt; 0, ""RU"", 0)"),0)</f>
        <v>0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B28" s="21">
        <v>26</v>
      </c>
      <c r="C28" s="21" t="s">
        <v>261</v>
      </c>
      <c r="D28" s="21" t="s">
        <v>262</v>
      </c>
      <c r="E28" s="21">
        <v>5</v>
      </c>
      <c r="F28" s="21">
        <v>440382</v>
      </c>
      <c r="G28" s="42">
        <v>0.14099999999999999</v>
      </c>
      <c r="H28" s="21" t="s">
        <v>263</v>
      </c>
      <c r="I28" s="39" t="str">
        <f ca="1">IFERROR(__xludf.DUMMYFUNCTION("IF(SUM(COUNTIF(artists!A:A, SPLIT(D28, "",""))) &gt; 0, ""UA"", 0)"),"UA")</f>
        <v>UA</v>
      </c>
      <c r="J28" s="40">
        <f ca="1">IFERROR(__xludf.DUMMYFUNCTION("IF(SUM(COUNTIF(artists!C:C, SPLIT(D28, "",""))) &gt; 0, ""RU"", 0)"),0)</f>
        <v>0</v>
      </c>
      <c r="K28" s="39">
        <f ca="1">IFERROR(__xludf.DUMMYFUNCTION("IF(SUM(COUNTIF(artists!E:E, SPLIT(D28, "",""))) &gt; 0, ""OTHER"", 0)"),0)</f>
        <v>0</v>
      </c>
    </row>
    <row r="29" spans="1:11" ht="14.25" customHeight="1">
      <c r="A29" s="21">
        <v>28</v>
      </c>
      <c r="B29" s="21">
        <v>23</v>
      </c>
      <c r="C29" s="21" t="s">
        <v>294</v>
      </c>
      <c r="D29" s="21" t="s">
        <v>295</v>
      </c>
      <c r="E29" s="21">
        <v>7</v>
      </c>
      <c r="F29" s="21">
        <v>420666</v>
      </c>
      <c r="G29" s="42">
        <v>4.1000000000000002E-2</v>
      </c>
      <c r="H29" s="21" t="s">
        <v>297</v>
      </c>
      <c r="I29" s="39">
        <f ca="1">IFERROR(__xludf.DUMMYFUNCTION("IF(SUM(COUNTIF(artists!A:A, SPLIT(D29, "",""))) &gt; 0, ""UA"", 0)"),0)</f>
        <v>0</v>
      </c>
      <c r="J29" s="40" t="str">
        <f ca="1">IFERROR(__xludf.DUMMYFUNCTION("IF(SUM(COUNTIF(artists!C:C, SPLIT(D29, "",""))) &gt; 0, ""RU"", 0)"),"RU")</f>
        <v>RU</v>
      </c>
      <c r="K29" s="39">
        <f ca="1">IFERROR(__xludf.DUMMYFUNCTION("IF(SUM(COUNTIF(artists!E:E, SPLIT(D29, "",""))) &gt; 0, ""OTHER"", 0)"),0)</f>
        <v>0</v>
      </c>
    </row>
    <row r="30" spans="1:11" ht="14.25" customHeight="1">
      <c r="A30" s="21">
        <v>29</v>
      </c>
      <c r="B30" s="21">
        <v>25</v>
      </c>
      <c r="C30" s="21" t="s">
        <v>286</v>
      </c>
      <c r="D30" s="21" t="s">
        <v>287</v>
      </c>
      <c r="E30" s="21">
        <v>10</v>
      </c>
      <c r="F30" s="21">
        <v>382792</v>
      </c>
      <c r="G30" s="42">
        <v>-3.2000000000000001E-2</v>
      </c>
      <c r="H30" s="21" t="s">
        <v>289</v>
      </c>
      <c r="I30" s="39">
        <f ca="1">IFERROR(__xludf.DUMMYFUNCTION("IF(SUM(COUNTIF(artists!A:A, SPLIT(D30, "",""))) &gt; 0, ""UA"", 0)"),0)</f>
        <v>0</v>
      </c>
      <c r="J30" s="40" t="str">
        <f ca="1">IFERROR(__xludf.DUMMYFUNCTION("IF(SUM(COUNTIF(artists!C:C, SPLIT(D30, "",""))) &gt; 0, ""RU"", 0)"),"RU")</f>
        <v>RU</v>
      </c>
      <c r="K30" s="39">
        <f ca="1">IFERROR(__xludf.DUMMYFUNCTION("IF(SUM(COUNTIF(artists!E:E, SPLIT(D30, "",""))) &gt; 0, ""OTHER"", 0)"),0)</f>
        <v>0</v>
      </c>
    </row>
    <row r="31" spans="1:11" ht="14.25" customHeight="1">
      <c r="A31" s="21">
        <v>30</v>
      </c>
      <c r="B31" s="21">
        <v>52</v>
      </c>
      <c r="C31" s="21" t="s">
        <v>277</v>
      </c>
      <c r="D31" s="21" t="s">
        <v>125</v>
      </c>
      <c r="E31" s="21">
        <v>2</v>
      </c>
      <c r="F31" s="21">
        <v>373955</v>
      </c>
      <c r="G31" s="42">
        <v>0.55900000000000005</v>
      </c>
      <c r="H31" s="21" t="s">
        <v>279</v>
      </c>
      <c r="I31" s="39">
        <f ca="1">IFERROR(__xludf.DUMMYFUNCTION("IF(SUM(COUNTIF(artists!A:A, SPLIT(D31, "",""))) &gt; 0, ""UA"", 0)"),0)</f>
        <v>0</v>
      </c>
      <c r="J31" s="40" t="str">
        <f ca="1">IFERROR(__xludf.DUMMYFUNCTION("IF(SUM(COUNTIF(artists!C:C, SPLIT(D31, "",""))) &gt; 0, ""RU"", 0)"),"RU")</f>
        <v>RU</v>
      </c>
      <c r="K31" s="39">
        <f ca="1">IFERROR(__xludf.DUMMYFUNCTION("IF(SUM(COUNTIF(artists!E:E, SPLIT(D31, "",""))) &gt; 0, ""OTHER"", 0)"),0)</f>
        <v>0</v>
      </c>
    </row>
    <row r="32" spans="1:11" ht="14.25" customHeight="1">
      <c r="A32" s="21">
        <v>31</v>
      </c>
      <c r="B32" s="21">
        <v>29</v>
      </c>
      <c r="C32" s="21" t="s">
        <v>876</v>
      </c>
      <c r="D32" s="21" t="s">
        <v>877</v>
      </c>
      <c r="E32" s="21">
        <v>25</v>
      </c>
      <c r="F32" s="21">
        <v>368365</v>
      </c>
      <c r="G32" s="42">
        <v>6.5000000000000002E-2</v>
      </c>
      <c r="H32" s="21" t="s">
        <v>878</v>
      </c>
      <c r="I32" s="39">
        <f ca="1">IFERROR(__xludf.DUMMYFUNCTION("IF(SUM(COUNTIF(artists!A:A, SPLIT(D32, "",""))) &gt; 0, ""UA"", 0)"),0)</f>
        <v>0</v>
      </c>
      <c r="J32" s="40">
        <f ca="1">IFERROR(__xludf.DUMMYFUNCTION("IF(SUM(COUNTIF(artists!C:C, SPLIT(D32, "",""))) &gt; 0, ""RU"", 0)"),0)</f>
        <v>0</v>
      </c>
      <c r="K32" s="39" t="str">
        <f ca="1">IFERROR(__xludf.DUMMYFUNCTION("IF(SUM(COUNTIF(artists!E:E, SPLIT(D32, "",""))) &gt; 0, ""OTHER"", 0)"),"OTHER")</f>
        <v>OTHER</v>
      </c>
    </row>
    <row r="33" spans="1:11" ht="14.25" customHeight="1">
      <c r="A33" s="21">
        <v>32</v>
      </c>
      <c r="B33" s="21">
        <v>34</v>
      </c>
      <c r="C33" s="21" t="s">
        <v>178</v>
      </c>
      <c r="D33" s="21" t="s">
        <v>179</v>
      </c>
      <c r="E33" s="21">
        <v>39</v>
      </c>
      <c r="F33" s="21">
        <v>366295</v>
      </c>
      <c r="G33" s="43">
        <v>0.2</v>
      </c>
      <c r="H33" s="21" t="s">
        <v>181</v>
      </c>
      <c r="I33" s="39" t="str">
        <f ca="1">IFERROR(__xludf.DUMMYFUNCTION("IF(SUM(COUNTIF(artists!A:A, SPLIT(D33, "",""))) &gt; 0, ""UA"", 0)"),"UA")</f>
        <v>UA</v>
      </c>
      <c r="J33" s="40">
        <f ca="1">IFERROR(__xludf.DUMMYFUNCTION("IF(SUM(COUNTIF(artists!C:C, SPLIT(D33, "",""))) &gt; 0, ""RU"", 0)"),0)</f>
        <v>0</v>
      </c>
      <c r="K33" s="39">
        <f ca="1">IFERROR(__xludf.DUMMYFUNCTION("IF(SUM(COUNTIF(artists!E:E, SPLIT(D33, "",""))) &gt; 0, ""OTHER"", 0)"),0)</f>
        <v>0</v>
      </c>
    </row>
    <row r="34" spans="1:11" ht="14.25" customHeight="1">
      <c r="A34" s="21">
        <v>33</v>
      </c>
      <c r="C34" s="21" t="s">
        <v>879</v>
      </c>
      <c r="D34" s="21" t="s">
        <v>880</v>
      </c>
      <c r="E34" s="21">
        <v>8</v>
      </c>
      <c r="F34" s="21">
        <v>350119</v>
      </c>
      <c r="H34" s="21" t="s">
        <v>881</v>
      </c>
      <c r="I34" s="39">
        <f ca="1">IFERROR(__xludf.DUMMYFUNCTION("IF(SUM(COUNTIF(artists!A:A, SPLIT(D34, "",""))) &gt; 0, ""UA"", 0)"),0)</f>
        <v>0</v>
      </c>
      <c r="J34" s="40" t="str">
        <f ca="1">IFERROR(__xludf.DUMMYFUNCTION("IF(SUM(COUNTIF(artists!C:C, SPLIT(D34, "",""))) &gt; 0, ""RU"", 0)"),"RU")</f>
        <v>RU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B35" s="21">
        <v>38</v>
      </c>
      <c r="C35" s="21" t="s">
        <v>198</v>
      </c>
      <c r="D35" s="21" t="s">
        <v>199</v>
      </c>
      <c r="E35" s="21">
        <v>16</v>
      </c>
      <c r="F35" s="21">
        <v>348374</v>
      </c>
      <c r="G35" s="42">
        <v>0.19900000000000001</v>
      </c>
      <c r="H35" s="21" t="s">
        <v>201</v>
      </c>
      <c r="I35" s="39" t="str">
        <f ca="1">IFERROR(__xludf.DUMMYFUNCTION("IF(SUM(COUNTIF(artists!A:A, SPLIT(D35, "",""))) &gt; 0, ""UA"", 0)"),"UA")</f>
        <v>UA</v>
      </c>
      <c r="J35" s="40">
        <f ca="1">IFERROR(__xludf.DUMMYFUNCTION("IF(SUM(COUNTIF(artists!C:C, SPLIT(D35, "",""))) &gt; 0, ""RU"", 0)"),0)</f>
        <v>0</v>
      </c>
      <c r="K35" s="39">
        <f ca="1">IFERROR(__xludf.DUMMYFUNCTION("IF(SUM(COUNTIF(artists!E:E, SPLIT(D35, "",""))) &gt; 0, ""OTHER"", 0)"),0)</f>
        <v>0</v>
      </c>
    </row>
    <row r="36" spans="1:11" ht="14.25" customHeight="1">
      <c r="A36" s="21">
        <v>35</v>
      </c>
      <c r="C36" s="21" t="s">
        <v>863</v>
      </c>
      <c r="D36" s="21" t="s">
        <v>864</v>
      </c>
      <c r="E36" s="21">
        <v>6</v>
      </c>
      <c r="F36" s="21">
        <v>325536</v>
      </c>
      <c r="H36" s="21" t="s">
        <v>865</v>
      </c>
      <c r="I36" s="39" t="str">
        <f ca="1">IFERROR(__xludf.DUMMYFUNCTION("IF(SUM(COUNTIF(artists!A:A, SPLIT(D36, "",""))) &gt; 0, ""UA"", 0)"),"UA")</f>
        <v>UA</v>
      </c>
      <c r="J36" s="40">
        <f ca="1">IFERROR(__xludf.DUMMYFUNCTION("IF(SUM(COUNTIF(artists!C:C, SPLIT(D36, "",""))) &gt; 0, ""RU"", 0)"),0)</f>
        <v>0</v>
      </c>
      <c r="K36" s="39">
        <f ca="1">IFERROR(__xludf.DUMMYFUNCTION("IF(SUM(COUNTIF(artists!E:E, SPLIT(D36, "",""))) &gt; 0, ""OTHER"", 0)"),0)</f>
        <v>0</v>
      </c>
    </row>
    <row r="37" spans="1:11" ht="14.25" customHeight="1">
      <c r="A37" s="21">
        <v>36</v>
      </c>
      <c r="B37" s="21">
        <v>35</v>
      </c>
      <c r="C37" s="21" t="s">
        <v>253</v>
      </c>
      <c r="D37" s="21" t="s">
        <v>89</v>
      </c>
      <c r="E37" s="21">
        <v>44</v>
      </c>
      <c r="F37" s="21">
        <v>323806</v>
      </c>
      <c r="G37" s="42">
        <v>0.10100000000000001</v>
      </c>
      <c r="H37" s="21" t="s">
        <v>254</v>
      </c>
      <c r="I37" s="39" t="str">
        <f ca="1">IFERROR(__xludf.DUMMYFUNCTION("IF(SUM(COUNTIF(artists!A:A, SPLIT(D37, "",""))) &gt; 0, ""UA"", 0)"),"UA")</f>
        <v>UA</v>
      </c>
      <c r="J37" s="40">
        <f ca="1">IFERROR(__xludf.DUMMYFUNCTION("IF(SUM(COUNTIF(artists!C:C, SPLIT(D37, "",""))) &gt; 0, ""RU"", 0)"),0)</f>
        <v>0</v>
      </c>
      <c r="K37" s="39">
        <f ca="1">IFERROR(__xludf.DUMMYFUNCTION("IF(SUM(COUNTIF(artists!E:E, SPLIT(D37, "",""))) &gt; 0, ""OTHER"", 0)"),0)</f>
        <v>0</v>
      </c>
    </row>
    <row r="38" spans="1:11" ht="14.25" customHeight="1">
      <c r="A38" s="21">
        <v>37</v>
      </c>
      <c r="B38" s="21">
        <v>33</v>
      </c>
      <c r="C38" s="21" t="s">
        <v>653</v>
      </c>
      <c r="D38" s="21" t="s">
        <v>85</v>
      </c>
      <c r="E38" s="21">
        <v>11</v>
      </c>
      <c r="F38" s="21">
        <v>323554</v>
      </c>
      <c r="G38" s="42">
        <v>4.2999999999999997E-2</v>
      </c>
      <c r="H38" s="21" t="s">
        <v>655</v>
      </c>
      <c r="I38" s="39" t="str">
        <f ca="1">IFERROR(__xludf.DUMMYFUNCTION("IF(SUM(COUNTIF(artists!A:A, SPLIT(D38, "",""))) &gt; 0, ""UA"", 0)"),"UA")</f>
        <v>UA</v>
      </c>
      <c r="J38" s="40">
        <f ca="1">IFERROR(__xludf.DUMMYFUNCTION("IF(SUM(COUNTIF(artists!C:C, SPLIT(D38, "",""))) &gt; 0, ""RU"", 0)"),0)</f>
        <v>0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B39" s="21">
        <v>36</v>
      </c>
      <c r="C39" s="21" t="s">
        <v>209</v>
      </c>
      <c r="D39" s="21" t="s">
        <v>210</v>
      </c>
      <c r="E39" s="21">
        <v>28</v>
      </c>
      <c r="F39" s="21">
        <v>322540</v>
      </c>
      <c r="G39" s="42">
        <v>9.9000000000000005E-2</v>
      </c>
      <c r="H39" s="21" t="s">
        <v>212</v>
      </c>
      <c r="I39" s="39" t="str">
        <f ca="1">IFERROR(__xludf.DUMMYFUNCTION("IF(SUM(COUNTIF(artists!A:A, SPLIT(D39, "",""))) &gt; 0, ""UA"", 0)"),"UA")</f>
        <v>UA</v>
      </c>
      <c r="J39" s="40">
        <f ca="1">IFERROR(__xludf.DUMMYFUNCTION("IF(SUM(COUNTIF(artists!C:C, SPLIT(D39, "",""))) &gt; 0, ""RU"", 0)"),0)</f>
        <v>0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B40" s="21">
        <v>32</v>
      </c>
      <c r="C40" s="21" t="s">
        <v>351</v>
      </c>
      <c r="D40" s="21" t="s">
        <v>352</v>
      </c>
      <c r="E40" s="21">
        <v>11</v>
      </c>
      <c r="F40" s="21">
        <v>320654</v>
      </c>
      <c r="G40" s="42">
        <v>2.4E-2</v>
      </c>
      <c r="H40" s="21" t="s">
        <v>354</v>
      </c>
      <c r="I40" s="39" t="str">
        <f ca="1">IFERROR(__xludf.DUMMYFUNCTION("IF(SUM(COUNTIF(artists!A:A, SPLIT(D40, "",""))) &gt; 0, ""UA"", 0)"),"UA")</f>
        <v>UA</v>
      </c>
      <c r="J40" s="40">
        <f ca="1">IFERROR(__xludf.DUMMYFUNCTION("IF(SUM(COUNTIF(artists!C:C, SPLIT(D40, "",""))) &gt; 0, ""RU"", 0)"),0)</f>
        <v>0</v>
      </c>
      <c r="K40" s="39">
        <f ca="1">IFERROR(__xludf.DUMMYFUNCTION("IF(SUM(COUNTIF(artists!E:E, SPLIT(D40, "",""))) &gt; 0, ""OTHER"", 0)"),0)</f>
        <v>0</v>
      </c>
    </row>
    <row r="41" spans="1:11" ht="14.25" customHeight="1">
      <c r="A41" s="21">
        <v>40</v>
      </c>
      <c r="B41" s="21">
        <v>48</v>
      </c>
      <c r="C41" s="21" t="s">
        <v>229</v>
      </c>
      <c r="D41" s="21" t="s">
        <v>230</v>
      </c>
      <c r="E41" s="21">
        <v>42</v>
      </c>
      <c r="F41" s="21">
        <v>307568</v>
      </c>
      <c r="G41" s="42">
        <v>0.184</v>
      </c>
      <c r="H41" s="21" t="s">
        <v>232</v>
      </c>
      <c r="I41" s="39" t="str">
        <f ca="1">IFERROR(__xludf.DUMMYFUNCTION("IF(SUM(COUNTIF(artists!A:A, SPLIT(D41, "",""))) &gt; 0, ""UA"", 0)"),"UA")</f>
        <v>UA</v>
      </c>
      <c r="J41" s="40">
        <f ca="1">IFERROR(__xludf.DUMMYFUNCTION("IF(SUM(COUNTIF(artists!C:C, SPLIT(D41, "",""))) &gt; 0, ""RU"", 0)"),0)</f>
        <v>0</v>
      </c>
      <c r="K41" s="39">
        <f ca="1">IFERROR(__xludf.DUMMYFUNCTION("IF(SUM(COUNTIF(artists!E:E, SPLIT(D41, "",""))) &gt; 0, ""OTHER"", 0)"),0)</f>
        <v>0</v>
      </c>
    </row>
    <row r="42" spans="1:11" ht="14.25" customHeight="1">
      <c r="A42" s="21">
        <v>41</v>
      </c>
      <c r="B42" s="21">
        <v>22</v>
      </c>
      <c r="C42" s="21" t="s">
        <v>760</v>
      </c>
      <c r="D42" s="21" t="s">
        <v>761</v>
      </c>
      <c r="E42" s="21">
        <v>4</v>
      </c>
      <c r="F42" s="21">
        <v>305976</v>
      </c>
      <c r="G42" s="42">
        <v>-0.26300000000000001</v>
      </c>
      <c r="H42" s="21" t="s">
        <v>763</v>
      </c>
      <c r="I42" s="39" t="str">
        <f ca="1">IFERROR(__xludf.DUMMYFUNCTION("IF(SUM(COUNTIF(artists!A:A, SPLIT(D42, "",""))) &gt; 0, ""UA"", 0)"),"UA")</f>
        <v>UA</v>
      </c>
      <c r="J42" s="40">
        <f ca="1">IFERROR(__xludf.DUMMYFUNCTION("IF(SUM(COUNTIF(artists!C:C, SPLIT(D42, "",""))) &gt; 0, ""RU"", 0)"),0)</f>
        <v>0</v>
      </c>
      <c r="K42" s="39">
        <f ca="1">IFERROR(__xludf.DUMMYFUNCTION("IF(SUM(COUNTIF(artists!E:E, SPLIT(D42, "",""))) &gt; 0, ""OTHER"", 0)"),0)</f>
        <v>0</v>
      </c>
    </row>
    <row r="43" spans="1:11" ht="14.25" customHeight="1">
      <c r="A43" s="21">
        <v>42</v>
      </c>
      <c r="B43" s="21">
        <v>41</v>
      </c>
      <c r="C43" s="21" t="s">
        <v>164</v>
      </c>
      <c r="D43" s="21" t="s">
        <v>165</v>
      </c>
      <c r="E43" s="21">
        <v>2</v>
      </c>
      <c r="F43" s="21">
        <v>302178</v>
      </c>
      <c r="G43" s="42">
        <v>4.3999999999999997E-2</v>
      </c>
      <c r="H43" s="21" t="s">
        <v>167</v>
      </c>
      <c r="I43" s="39" t="str">
        <f ca="1">IFERROR(__xludf.DUMMYFUNCTION("IF(SUM(COUNTIF(artists!A:A, SPLIT(D43, "",""))) &gt; 0, ""UA"", 0)"),"UA")</f>
        <v>UA</v>
      </c>
      <c r="J43" s="40">
        <f ca="1">IFERROR(__xludf.DUMMYFUNCTION("IF(SUM(COUNTIF(artists!C:C, SPLIT(D43, "",""))) &gt; 0, ""RU"", 0)"),0)</f>
        <v>0</v>
      </c>
      <c r="K43" s="39">
        <f ca="1">IFERROR(__xludf.DUMMYFUNCTION("IF(SUM(COUNTIF(artists!E:E, SPLIT(D43, "",""))) &gt; 0, ""OTHER"", 0)"),0)</f>
        <v>0</v>
      </c>
    </row>
    <row r="44" spans="1:11" ht="14.25" customHeight="1">
      <c r="A44" s="21">
        <v>43</v>
      </c>
      <c r="C44" s="21" t="s">
        <v>136</v>
      </c>
      <c r="D44" s="21" t="s">
        <v>137</v>
      </c>
      <c r="E44" s="21">
        <v>1</v>
      </c>
      <c r="F44" s="21">
        <v>300610</v>
      </c>
      <c r="H44" s="21" t="s">
        <v>138</v>
      </c>
      <c r="I44" s="39" t="str">
        <f ca="1">IFERROR(__xludf.DUMMYFUNCTION("IF(SUM(COUNTIF(artists!A:A, SPLIT(D44, "",""))) &gt; 0, ""UA"", 0)"),"UA")</f>
        <v>UA</v>
      </c>
      <c r="J44" s="40">
        <f ca="1">IFERROR(__xludf.DUMMYFUNCTION("IF(SUM(COUNTIF(artists!C:C, SPLIT(D44, "",""))) &gt; 0, ""RU"", 0)"),0)</f>
        <v>0</v>
      </c>
      <c r="K44" s="39">
        <f ca="1">IFERROR(__xludf.DUMMYFUNCTION("IF(SUM(COUNTIF(artists!E:E, SPLIT(D44, "",""))) &gt; 0, ""OTHER"", 0)"),0)</f>
        <v>0</v>
      </c>
    </row>
    <row r="45" spans="1:11" ht="14.25" customHeight="1">
      <c r="A45" s="21">
        <v>44</v>
      </c>
      <c r="B45" s="21">
        <v>43</v>
      </c>
      <c r="C45" s="21" t="s">
        <v>251</v>
      </c>
      <c r="D45" s="21" t="s">
        <v>133</v>
      </c>
      <c r="E45" s="21">
        <v>20</v>
      </c>
      <c r="F45" s="21">
        <v>300242</v>
      </c>
      <c r="G45" s="43">
        <v>0.06</v>
      </c>
      <c r="H45" s="21" t="s">
        <v>252</v>
      </c>
      <c r="I45" s="39" t="str">
        <f ca="1">IFERROR(__xludf.DUMMYFUNCTION("IF(SUM(COUNTIF(artists!A:A, SPLIT(D45, "",""))) &gt; 0, ""UA"", 0)"),"UA")</f>
        <v>UA</v>
      </c>
      <c r="J45" s="40">
        <f ca="1">IFERROR(__xludf.DUMMYFUNCTION("IF(SUM(COUNTIF(artists!C:C, SPLIT(D45, "",""))) &gt; 0, ""RU"", 0)"),0)</f>
        <v>0</v>
      </c>
      <c r="K45" s="39">
        <f ca="1">IFERROR(__xludf.DUMMYFUNCTION("IF(SUM(COUNTIF(artists!E:E, SPLIT(D45, "",""))) &gt; 0, ""OTHER"", 0)"),0)</f>
        <v>0</v>
      </c>
    </row>
    <row r="46" spans="1:11" ht="14.25" customHeight="1">
      <c r="A46" s="21">
        <v>45</v>
      </c>
      <c r="B46" s="21">
        <v>45</v>
      </c>
      <c r="C46" s="21" t="s">
        <v>247</v>
      </c>
      <c r="D46" s="21" t="s">
        <v>454</v>
      </c>
      <c r="E46" s="21">
        <v>12</v>
      </c>
      <c r="F46" s="21">
        <v>297635</v>
      </c>
      <c r="G46" s="42">
        <v>8.8999999999999996E-2</v>
      </c>
      <c r="H46" s="21" t="s">
        <v>250</v>
      </c>
      <c r="I46" s="39" t="str">
        <f ca="1">IFERROR(__xludf.DUMMYFUNCTION("IF(SUM(COUNTIF(artists!A:A, SPLIT(D46, "",""))) &gt; 0, ""UA"", 0)"),"UA")</f>
        <v>UA</v>
      </c>
      <c r="J46" s="40">
        <f ca="1">IFERROR(__xludf.DUMMYFUNCTION("IF(SUM(COUNTIF(artists!C:C, SPLIT(D46, "",""))) &gt; 0, ""RU"", 0)"),0)</f>
        <v>0</v>
      </c>
      <c r="K46" s="39">
        <f ca="1">IFERROR(__xludf.DUMMYFUNCTION("IF(SUM(COUNTIF(artists!E:E, SPLIT(D46, "",""))) &gt; 0, ""OTHER"", 0)"),0)</f>
        <v>0</v>
      </c>
    </row>
    <row r="47" spans="1:11" ht="14.25" customHeight="1">
      <c r="A47" s="21">
        <v>46</v>
      </c>
      <c r="B47" s="21">
        <v>42</v>
      </c>
      <c r="C47" s="21" t="s">
        <v>190</v>
      </c>
      <c r="D47" s="21" t="s">
        <v>191</v>
      </c>
      <c r="E47" s="21">
        <v>10</v>
      </c>
      <c r="F47" s="21">
        <v>282911</v>
      </c>
      <c r="G47" s="42">
        <v>-4.0000000000000001E-3</v>
      </c>
      <c r="H47" s="21" t="s">
        <v>193</v>
      </c>
      <c r="I47" s="39" t="str">
        <f ca="1">IFERROR(__xludf.DUMMYFUNCTION("IF(SUM(COUNTIF(artists!A:A, SPLIT(D47, "",""))) &gt; 0, ""UA"", 0)"),"UA")</f>
        <v>UA</v>
      </c>
      <c r="J47" s="40">
        <f ca="1">IFERROR(__xludf.DUMMYFUNCTION("IF(SUM(COUNTIF(artists!C:C, SPLIT(D47, "",""))) &gt; 0, ""RU"", 0)"),0)</f>
        <v>0</v>
      </c>
      <c r="K47" s="39">
        <f ca="1">IFERROR(__xludf.DUMMYFUNCTION("IF(SUM(COUNTIF(artists!E:E, SPLIT(D47, "",""))) &gt; 0, ""OTHER"", 0)"),0)</f>
        <v>0</v>
      </c>
    </row>
    <row r="48" spans="1:11" ht="14.25" customHeight="1">
      <c r="A48" s="21">
        <v>47</v>
      </c>
      <c r="B48" s="21">
        <v>37</v>
      </c>
      <c r="C48" s="21" t="s">
        <v>500</v>
      </c>
      <c r="D48" s="21" t="s">
        <v>501</v>
      </c>
      <c r="E48" s="21">
        <v>14</v>
      </c>
      <c r="F48" s="21">
        <v>282399</v>
      </c>
      <c r="G48" s="42">
        <v>-3.6999999999999998E-2</v>
      </c>
      <c r="H48" s="21" t="s">
        <v>503</v>
      </c>
      <c r="I48" s="39">
        <f ca="1">IFERROR(__xludf.DUMMYFUNCTION("IF(SUM(COUNTIF(artists!A:A, SPLIT(D48, "",""))) &gt; 0, ""UA"", 0)"),0)</f>
        <v>0</v>
      </c>
      <c r="J48" s="40" t="str">
        <f ca="1">IFERROR(__xludf.DUMMYFUNCTION("IF(SUM(COUNTIF(artists!C:C, SPLIT(D48, "",""))) &gt; 0, ""RU"", 0)"),"RU")</f>
        <v>RU</v>
      </c>
      <c r="K48" s="39">
        <f ca="1">IFERROR(__xludf.DUMMYFUNCTION("IF(SUM(COUNTIF(artists!E:E, SPLIT(D48, "",""))) &gt; 0, ""OTHER"", 0)"),0)</f>
        <v>0</v>
      </c>
    </row>
    <row r="49" spans="1:11" ht="14.25" customHeight="1">
      <c r="A49" s="21">
        <v>48</v>
      </c>
      <c r="B49" s="21">
        <v>44</v>
      </c>
      <c r="C49" s="21" t="s">
        <v>841</v>
      </c>
      <c r="D49" s="21" t="s">
        <v>842</v>
      </c>
      <c r="E49" s="21">
        <v>40</v>
      </c>
      <c r="F49" s="21">
        <v>280281</v>
      </c>
      <c r="G49" s="42">
        <v>-3.0000000000000001E-3</v>
      </c>
      <c r="H49" s="21" t="s">
        <v>843</v>
      </c>
      <c r="I49" s="39">
        <f ca="1">IFERROR(__xludf.DUMMYFUNCTION("IF(SUM(COUNTIF(artists!A:A, SPLIT(D49, "",""))) &gt; 0, ""UA"", 0)"),0)</f>
        <v>0</v>
      </c>
      <c r="J49" s="40">
        <f ca="1">IFERROR(__xludf.DUMMYFUNCTION("IF(SUM(COUNTIF(artists!C:C, SPLIT(D49, "",""))) &gt; 0, ""RU"", 0)"),0)</f>
        <v>0</v>
      </c>
      <c r="K49" s="39" t="str">
        <f ca="1">IFERROR(__xludf.DUMMYFUNCTION("IF(SUM(COUNTIF(artists!E:E, SPLIT(D49, "",""))) &gt; 0, ""OTHER"", 0)"),"OTHER")</f>
        <v>OTHER</v>
      </c>
    </row>
    <row r="50" spans="1:11" ht="14.25" customHeight="1">
      <c r="A50" s="21">
        <v>49</v>
      </c>
      <c r="B50" s="21">
        <v>61</v>
      </c>
      <c r="C50" s="21" t="s">
        <v>579</v>
      </c>
      <c r="D50" s="21" t="s">
        <v>183</v>
      </c>
      <c r="E50" s="21">
        <v>23</v>
      </c>
      <c r="F50" s="21">
        <v>275898</v>
      </c>
      <c r="G50" s="42">
        <v>0.25600000000000001</v>
      </c>
      <c r="H50" s="21" t="s">
        <v>580</v>
      </c>
      <c r="I50" s="39" t="str">
        <f ca="1">IFERROR(__xludf.DUMMYFUNCTION("IF(SUM(COUNTIF(artists!A:A, SPLIT(D50, "",""))) &gt; 0, ""UA"", 0)"),"UA")</f>
        <v>UA</v>
      </c>
      <c r="J50" s="40">
        <f ca="1">IFERROR(__xludf.DUMMYFUNCTION("IF(SUM(COUNTIF(artists!C:C, SPLIT(D50, "",""))) &gt; 0, ""RU"", 0)"),0)</f>
        <v>0</v>
      </c>
      <c r="K50" s="39">
        <f ca="1">IFERROR(__xludf.DUMMYFUNCTION("IF(SUM(COUNTIF(artists!E:E, SPLIT(D50, "",""))) &gt; 0, ""OTHER"", 0)"),0)</f>
        <v>0</v>
      </c>
    </row>
    <row r="51" spans="1:11" ht="14.25" customHeight="1">
      <c r="A51" s="21">
        <v>50</v>
      </c>
      <c r="C51" s="21" t="s">
        <v>882</v>
      </c>
      <c r="D51" s="21" t="s">
        <v>883</v>
      </c>
      <c r="E51" s="21">
        <v>32</v>
      </c>
      <c r="F51" s="21">
        <v>265647</v>
      </c>
      <c r="H51" s="21" t="s">
        <v>867</v>
      </c>
      <c r="I51" s="39">
        <f ca="1">IFERROR(__xludf.DUMMYFUNCTION("IF(SUM(COUNTIF(artists!A:A, SPLIT(D51, "",""))) &gt; 0, ""UA"", 0)"),0)</f>
        <v>0</v>
      </c>
      <c r="J51" s="40" t="str">
        <f ca="1">IFERROR(__xludf.DUMMYFUNCTION("IF(SUM(COUNTIF(artists!C:C, SPLIT(D51, "",""))) &gt; 0, ""RU"", 0)"),"RU")</f>
        <v>RU</v>
      </c>
      <c r="K51" s="39">
        <f ca="1">IFERROR(__xludf.DUMMYFUNCTION("IF(SUM(COUNTIF(artists!E:E, SPLIT(D51, "",""))) &gt; 0, ""OTHER"", 0)"),0)</f>
        <v>0</v>
      </c>
    </row>
    <row r="52" spans="1:11" ht="14.25" customHeight="1">
      <c r="A52" s="21">
        <v>51</v>
      </c>
      <c r="B52" s="21">
        <v>51</v>
      </c>
      <c r="C52" s="21" t="s">
        <v>508</v>
      </c>
      <c r="D52" s="21" t="s">
        <v>509</v>
      </c>
      <c r="E52" s="21">
        <v>16</v>
      </c>
      <c r="F52" s="21">
        <v>262113</v>
      </c>
      <c r="G52" s="42">
        <v>7.9000000000000001E-2</v>
      </c>
      <c r="H52" s="21" t="s">
        <v>510</v>
      </c>
      <c r="I52" s="39">
        <f ca="1">IFERROR(__xludf.DUMMYFUNCTION("IF(SUM(COUNTIF(artists!A:A, SPLIT(D52, "",""))) &gt; 0, ""UA"", 0)"),0)</f>
        <v>0</v>
      </c>
      <c r="J52" s="40" t="str">
        <f ca="1">IFERROR(__xludf.DUMMYFUNCTION("IF(SUM(COUNTIF(artists!C:C, SPLIT(D52, "",""))) &gt; 0, ""RU"", 0)"),"RU")</f>
        <v>RU</v>
      </c>
      <c r="K52" s="39">
        <f ca="1">IFERROR(__xludf.DUMMYFUNCTION("IF(SUM(COUNTIF(artists!E:E, SPLIT(D52, "",""))) &gt; 0, ""OTHER"", 0)"),0)</f>
        <v>0</v>
      </c>
    </row>
    <row r="53" spans="1:11" ht="14.25" customHeight="1">
      <c r="A53" s="21">
        <v>52</v>
      </c>
      <c r="B53" s="21">
        <v>65</v>
      </c>
      <c r="C53" s="21" t="s">
        <v>682</v>
      </c>
      <c r="D53" s="21" t="s">
        <v>125</v>
      </c>
      <c r="E53" s="21">
        <v>16</v>
      </c>
      <c r="F53" s="21">
        <v>261230</v>
      </c>
      <c r="G53" s="42">
        <v>0.21199999999999999</v>
      </c>
      <c r="H53" s="21" t="s">
        <v>684</v>
      </c>
      <c r="I53" s="39">
        <f ca="1">IFERROR(__xludf.DUMMYFUNCTION("IF(SUM(COUNTIF(artists!A:A, SPLIT(D53, "",""))) &gt; 0, ""UA"", 0)"),0)</f>
        <v>0</v>
      </c>
      <c r="J53" s="40" t="str">
        <f ca="1">IFERROR(__xludf.DUMMYFUNCTION("IF(SUM(COUNTIF(artists!C:C, SPLIT(D53, "",""))) &gt; 0, ""RU"", 0)"),"RU")</f>
        <v>RU</v>
      </c>
      <c r="K53" s="39">
        <f ca="1">IFERROR(__xludf.DUMMYFUNCTION("IF(SUM(COUNTIF(artists!E:E, SPLIT(D53, "",""))) &gt; 0, ""OTHER"", 0)"),0)</f>
        <v>0</v>
      </c>
    </row>
    <row r="54" spans="1:11" ht="14.25" customHeight="1">
      <c r="A54" s="21">
        <v>53</v>
      </c>
      <c r="B54" s="21">
        <v>64</v>
      </c>
      <c r="C54" s="21" t="s">
        <v>589</v>
      </c>
      <c r="D54" s="21" t="s">
        <v>590</v>
      </c>
      <c r="E54" s="21">
        <v>22</v>
      </c>
      <c r="F54" s="21">
        <v>258447</v>
      </c>
      <c r="G54" s="42">
        <v>0.19600000000000001</v>
      </c>
      <c r="H54" s="21" t="s">
        <v>591</v>
      </c>
      <c r="I54" s="39" t="str">
        <f ca="1">IFERROR(__xludf.DUMMYFUNCTION("IF(SUM(COUNTIF(artists!A:A, SPLIT(D54, "",""))) &gt; 0, ""UA"", 0)"),"UA")</f>
        <v>UA</v>
      </c>
      <c r="J54" s="40">
        <f ca="1">IFERROR(__xludf.DUMMYFUNCTION("IF(SUM(COUNTIF(artists!C:C, SPLIT(D54, "",""))) &gt; 0, ""RU"", 0)"),0)</f>
        <v>0</v>
      </c>
      <c r="K54" s="39">
        <f ca="1">IFERROR(__xludf.DUMMYFUNCTION("IF(SUM(COUNTIF(artists!E:E, SPLIT(D54, "",""))) &gt; 0, ""OTHER"", 0)"),0)</f>
        <v>0</v>
      </c>
    </row>
    <row r="55" spans="1:11" ht="14.25" customHeight="1">
      <c r="A55" s="21">
        <v>54</v>
      </c>
      <c r="B55" s="21">
        <v>100</v>
      </c>
      <c r="C55" s="21" t="s">
        <v>530</v>
      </c>
      <c r="D55" s="21" t="s">
        <v>531</v>
      </c>
      <c r="E55" s="21">
        <v>22</v>
      </c>
      <c r="F55" s="21">
        <v>257586</v>
      </c>
      <c r="G55" s="43">
        <v>0.56999999999999995</v>
      </c>
      <c r="H55" s="21" t="s">
        <v>532</v>
      </c>
      <c r="I55" s="39">
        <f ca="1">IFERROR(__xludf.DUMMYFUNCTION("IF(SUM(COUNTIF(artists!A:A, SPLIT(D55, "",""))) &gt; 0, ""UA"", 0)"),0)</f>
        <v>0</v>
      </c>
      <c r="J55" s="40" t="str">
        <f ca="1">IFERROR(__xludf.DUMMYFUNCTION("IF(SUM(COUNTIF(artists!C:C, SPLIT(D55, "",""))) &gt; 0, ""RU"", 0)"),"RU")</f>
        <v>RU</v>
      </c>
      <c r="K55" s="39">
        <f ca="1">IFERROR(__xludf.DUMMYFUNCTION("IF(SUM(COUNTIF(artists!E:E, SPLIT(D55, "",""))) &gt; 0, ""OTHER"", 0)"),0)</f>
        <v>0</v>
      </c>
    </row>
    <row r="56" spans="1:11" ht="14.25" customHeight="1">
      <c r="A56" s="21">
        <v>55</v>
      </c>
      <c r="B56" s="21">
        <v>46</v>
      </c>
      <c r="C56" s="21" t="s">
        <v>844</v>
      </c>
      <c r="D56" s="21" t="s">
        <v>457</v>
      </c>
      <c r="E56" s="21">
        <v>15</v>
      </c>
      <c r="F56" s="21">
        <v>251272</v>
      </c>
      <c r="G56" s="42">
        <v>-7.2999999999999995E-2</v>
      </c>
      <c r="H56" s="21" t="s">
        <v>459</v>
      </c>
      <c r="I56" s="39">
        <f ca="1">IFERROR(__xludf.DUMMYFUNCTION("IF(SUM(COUNTIF(artists!A:A, SPLIT(D56, "",""))) &gt; 0, ""UA"", 0)"),0)</f>
        <v>0</v>
      </c>
      <c r="J56" s="40">
        <f ca="1">IFERROR(__xludf.DUMMYFUNCTION("IF(SUM(COUNTIF(artists!C:C, SPLIT(D56, "",""))) &gt; 0, ""RU"", 0)"),0)</f>
        <v>0</v>
      </c>
      <c r="K56" s="39" t="str">
        <f ca="1">IFERROR(__xludf.DUMMYFUNCTION("IF(SUM(COUNTIF(artists!E:E, SPLIT(D56, "",""))) &gt; 0, ""OTHER"", 0)"),"OTHER")</f>
        <v>OTHER</v>
      </c>
    </row>
    <row r="57" spans="1:11" ht="14.25" customHeight="1">
      <c r="A57" s="21">
        <v>56</v>
      </c>
      <c r="C57" s="21" t="s">
        <v>884</v>
      </c>
      <c r="D57" s="21" t="s">
        <v>885</v>
      </c>
      <c r="E57" s="21">
        <v>43</v>
      </c>
      <c r="F57" s="21">
        <v>250702</v>
      </c>
      <c r="H57" s="21" t="s">
        <v>886</v>
      </c>
      <c r="I57" s="39">
        <f ca="1">IFERROR(__xludf.DUMMYFUNCTION("IF(SUM(COUNTIF(artists!A:A, SPLIT(D57, "",""))) &gt; 0, ""UA"", 0)"),0)</f>
        <v>0</v>
      </c>
      <c r="J57" s="40" t="str">
        <f ca="1">IFERROR(__xludf.DUMMYFUNCTION("IF(SUM(COUNTIF(artists!C:C, SPLIT(D57, "",""))) &gt; 0, ""RU"", 0)"),"RU")</f>
        <v>RU</v>
      </c>
      <c r="K57" s="39">
        <f ca="1">IFERROR(__xludf.DUMMYFUNCTION("IF(SUM(COUNTIF(artists!E:E, SPLIT(D57, "",""))) &gt; 0, ""OTHER"", 0)"),0)</f>
        <v>0</v>
      </c>
    </row>
    <row r="58" spans="1:11" ht="14.25" customHeight="1">
      <c r="A58" s="21">
        <v>57</v>
      </c>
      <c r="B58" s="21">
        <v>53</v>
      </c>
      <c r="C58" s="21" t="s">
        <v>339</v>
      </c>
      <c r="D58" s="21" t="s">
        <v>340</v>
      </c>
      <c r="E58" s="21">
        <v>11</v>
      </c>
      <c r="F58" s="21">
        <v>247634</v>
      </c>
      <c r="G58" s="42">
        <v>3.7999999999999999E-2</v>
      </c>
      <c r="H58" s="21" t="s">
        <v>342</v>
      </c>
      <c r="I58" s="39" t="str">
        <f ca="1">IFERROR(__xludf.DUMMYFUNCTION("IF(SUM(COUNTIF(artists!A:A, SPLIT(D58, "",""))) &gt; 0, ""UA"", 0)"),"UA")</f>
        <v>UA</v>
      </c>
      <c r="J58" s="40">
        <f ca="1">IFERROR(__xludf.DUMMYFUNCTION("IF(SUM(COUNTIF(artists!C:C, SPLIT(D58, "",""))) &gt; 0, ""RU"", 0)"),0)</f>
        <v>0</v>
      </c>
      <c r="K58" s="39">
        <f ca="1">IFERROR(__xludf.DUMMYFUNCTION("IF(SUM(COUNTIF(artists!E:E, SPLIT(D58, "",""))) &gt; 0, ""OTHER"", 0)"),0)</f>
        <v>0</v>
      </c>
    </row>
    <row r="59" spans="1:11" ht="14.25" customHeight="1">
      <c r="A59" s="21">
        <v>58</v>
      </c>
      <c r="B59" s="21">
        <v>58</v>
      </c>
      <c r="C59" s="21" t="s">
        <v>667</v>
      </c>
      <c r="D59" s="21" t="s">
        <v>668</v>
      </c>
      <c r="E59" s="21">
        <v>16</v>
      </c>
      <c r="F59" s="21">
        <v>246053</v>
      </c>
      <c r="G59" s="42">
        <v>0.104</v>
      </c>
      <c r="H59" s="21" t="s">
        <v>669</v>
      </c>
      <c r="I59" s="39">
        <f ca="1">IFERROR(__xludf.DUMMYFUNCTION("IF(SUM(COUNTIF(artists!A:A, SPLIT(D59, "",""))) &gt; 0, ""UA"", 0)"),0)</f>
        <v>0</v>
      </c>
      <c r="J59" s="40" t="str">
        <f ca="1">IFERROR(__xludf.DUMMYFUNCTION("IF(SUM(COUNTIF(artists!C:C, SPLIT(D59, "",""))) &gt; 0, ""RU"", 0)"),"RU")</f>
        <v>RU</v>
      </c>
      <c r="K59" s="39">
        <f ca="1">IFERROR(__xludf.DUMMYFUNCTION("IF(SUM(COUNTIF(artists!E:E, SPLIT(D59, "",""))) &gt; 0, ""OTHER"", 0)"),0)</f>
        <v>0</v>
      </c>
    </row>
    <row r="60" spans="1:11" ht="14.25" customHeight="1">
      <c r="A60" s="21">
        <v>59</v>
      </c>
      <c r="B60" s="21">
        <v>54</v>
      </c>
      <c r="C60" s="21" t="s">
        <v>298</v>
      </c>
      <c r="D60" s="21" t="s">
        <v>299</v>
      </c>
      <c r="E60" s="21">
        <v>12</v>
      </c>
      <c r="F60" s="21">
        <v>240206</v>
      </c>
      <c r="G60" s="43">
        <v>0.01</v>
      </c>
      <c r="H60" s="21" t="s">
        <v>300</v>
      </c>
      <c r="I60" s="39">
        <f ca="1">IFERROR(__xludf.DUMMYFUNCTION("IF(SUM(COUNTIF(artists!A:A, SPLIT(D60, "",""))) &gt; 0, ""UA"", 0)"),0)</f>
        <v>0</v>
      </c>
      <c r="J60" s="40">
        <f ca="1">IFERROR(__xludf.DUMMYFUNCTION("IF(SUM(COUNTIF(artists!C:C, SPLIT(D60, "",""))) &gt; 0, ""RU"", 0)"),0)</f>
        <v>0</v>
      </c>
      <c r="K60" s="39" t="str">
        <f ca="1">IFERROR(__xludf.DUMMYFUNCTION("IF(SUM(COUNTIF(artists!E:E, SPLIT(D60, "",""))) &gt; 0, ""OTHER"", 0)"),"OTHER")</f>
        <v>OTHER</v>
      </c>
    </row>
    <row r="61" spans="1:11" ht="14.25" customHeight="1">
      <c r="A61" s="21">
        <v>60</v>
      </c>
      <c r="B61" s="21">
        <v>68</v>
      </c>
      <c r="C61" s="21" t="s">
        <v>255</v>
      </c>
      <c r="D61" s="21" t="s">
        <v>256</v>
      </c>
      <c r="E61" s="21">
        <v>24</v>
      </c>
      <c r="F61" s="21">
        <v>238441</v>
      </c>
      <c r="G61" s="42">
        <v>0.121</v>
      </c>
      <c r="H61" s="21" t="s">
        <v>257</v>
      </c>
      <c r="I61" s="39" t="str">
        <f ca="1">IFERROR(__xludf.DUMMYFUNCTION("IF(SUM(COUNTIF(artists!A:A, SPLIT(D61, "",""))) &gt; 0, ""UA"", 0)"),"UA")</f>
        <v>UA</v>
      </c>
      <c r="J61" s="40">
        <f ca="1">IFERROR(__xludf.DUMMYFUNCTION("IF(SUM(COUNTIF(artists!C:C, SPLIT(D61, "",""))) &gt; 0, ""RU"", 0)"),0)</f>
        <v>0</v>
      </c>
      <c r="K61" s="39">
        <f ca="1">IFERROR(__xludf.DUMMYFUNCTION("IF(SUM(COUNTIF(artists!E:E, SPLIT(D61, "",""))) &gt; 0, ""OTHER"", 0)"),0)</f>
        <v>0</v>
      </c>
    </row>
    <row r="62" spans="1:11" ht="14.25" customHeight="1">
      <c r="A62" s="21">
        <v>61</v>
      </c>
      <c r="C62" s="21" t="s">
        <v>887</v>
      </c>
      <c r="D62" s="21" t="s">
        <v>89</v>
      </c>
      <c r="E62" s="21">
        <v>32</v>
      </c>
      <c r="F62" s="21">
        <v>230998</v>
      </c>
      <c r="H62" s="21" t="s">
        <v>888</v>
      </c>
      <c r="I62" s="39" t="str">
        <f ca="1">IFERROR(__xludf.DUMMYFUNCTION("IF(SUM(COUNTIF(artists!A:A, SPLIT(D62, "",""))) &gt; 0, ""UA"", 0)"),"UA")</f>
        <v>UA</v>
      </c>
      <c r="J62" s="40">
        <f ca="1">IFERROR(__xludf.DUMMYFUNCTION("IF(SUM(COUNTIF(artists!C:C, SPLIT(D62, "",""))) &gt; 0, ""RU"", 0)"),0)</f>
        <v>0</v>
      </c>
      <c r="K62" s="39">
        <f ca="1">IFERROR(__xludf.DUMMYFUNCTION("IF(SUM(COUNTIF(artists!E:E, SPLIT(D62, "",""))) &gt; 0, ""OTHER"", 0)"),0)</f>
        <v>0</v>
      </c>
    </row>
    <row r="63" spans="1:11" ht="14.25" customHeight="1">
      <c r="A63" s="21">
        <v>62</v>
      </c>
      <c r="B63" s="21">
        <v>55</v>
      </c>
      <c r="C63" s="21" t="s">
        <v>264</v>
      </c>
      <c r="D63" s="21" t="s">
        <v>265</v>
      </c>
      <c r="E63" s="21">
        <v>13</v>
      </c>
      <c r="F63" s="21">
        <v>230014</v>
      </c>
      <c r="G63" s="42">
        <v>-1.2E-2</v>
      </c>
      <c r="H63" s="21" t="s">
        <v>267</v>
      </c>
      <c r="I63" s="39">
        <f ca="1">IFERROR(__xludf.DUMMYFUNCTION("IF(SUM(COUNTIF(artists!A:A, SPLIT(D63, "",""))) &gt; 0, ""UA"", 0)"),0)</f>
        <v>0</v>
      </c>
      <c r="J63" s="40">
        <f ca="1">IFERROR(__xludf.DUMMYFUNCTION("IF(SUM(COUNTIF(artists!C:C, SPLIT(D63, "",""))) &gt; 0, ""RU"", 0)"),0)</f>
        <v>0</v>
      </c>
      <c r="K63" s="39" t="str">
        <f ca="1">IFERROR(__xludf.DUMMYFUNCTION("IF(SUM(COUNTIF(artists!E:E, SPLIT(D63, "",""))) &gt; 0, ""OTHER"", 0)"),"OTHER")</f>
        <v>OTHER</v>
      </c>
    </row>
    <row r="64" spans="1:11" ht="14.25" customHeight="1">
      <c r="A64" s="21">
        <v>63</v>
      </c>
      <c r="B64" s="21">
        <v>87</v>
      </c>
      <c r="C64" s="21" t="s">
        <v>757</v>
      </c>
      <c r="D64" s="21" t="s">
        <v>758</v>
      </c>
      <c r="E64" s="21">
        <v>2</v>
      </c>
      <c r="F64" s="21">
        <v>228309</v>
      </c>
      <c r="G64" s="42">
        <v>0.26600000000000001</v>
      </c>
      <c r="H64" s="21" t="s">
        <v>759</v>
      </c>
      <c r="I64" s="39" t="str">
        <f ca="1">IFERROR(__xludf.DUMMYFUNCTION("IF(SUM(COUNTIF(artists!A:A, SPLIT(D64, "",""))) &gt; 0, ""UA"", 0)"),"UA")</f>
        <v>UA</v>
      </c>
      <c r="J64" s="40">
        <f ca="1">IFERROR(__xludf.DUMMYFUNCTION("IF(SUM(COUNTIF(artists!C:C, SPLIT(D64, "",""))) &gt; 0, ""RU"", 0)"),0)</f>
        <v>0</v>
      </c>
      <c r="K64" s="39">
        <f ca="1">IFERROR(__xludf.DUMMYFUNCTION("IF(SUM(COUNTIF(artists!E:E, SPLIT(D64, "",""))) &gt; 0, ""OTHER"", 0)"),0)</f>
        <v>0</v>
      </c>
    </row>
    <row r="65" spans="1:11" ht="14.25" customHeight="1">
      <c r="A65" s="21">
        <v>64</v>
      </c>
      <c r="C65" s="21" t="s">
        <v>889</v>
      </c>
      <c r="D65" s="21" t="s">
        <v>890</v>
      </c>
      <c r="E65" s="21">
        <v>1</v>
      </c>
      <c r="F65" s="21">
        <v>226636</v>
      </c>
      <c r="H65" s="21" t="s">
        <v>891</v>
      </c>
      <c r="I65" s="39" t="str">
        <f ca="1">IFERROR(__xludf.DUMMYFUNCTION("IF(SUM(COUNTIF(artists!A:A, SPLIT(D65, "",""))) &gt; 0, ""UA"", 0)"),"UA")</f>
        <v>UA</v>
      </c>
      <c r="J65" s="40">
        <f ca="1">IFERROR(__xludf.DUMMYFUNCTION("IF(SUM(COUNTIF(artists!C:C, SPLIT(D65, "",""))) &gt; 0, ""RU"", 0)"),0)</f>
        <v>0</v>
      </c>
      <c r="K65" s="39">
        <f ca="1">IFERROR(__xludf.DUMMYFUNCTION("IF(SUM(COUNTIF(artists!E:E, SPLIT(D65, "",""))) &gt; 0, ""OTHER"", 0)"),0)</f>
        <v>0</v>
      </c>
    </row>
    <row r="66" spans="1:11" ht="14.25" customHeight="1">
      <c r="A66" s="21">
        <v>65</v>
      </c>
      <c r="B66" s="21">
        <v>62</v>
      </c>
      <c r="C66" s="21" t="s">
        <v>700</v>
      </c>
      <c r="D66" s="21" t="s">
        <v>701</v>
      </c>
      <c r="E66" s="21">
        <v>16</v>
      </c>
      <c r="F66" s="21">
        <v>224589</v>
      </c>
      <c r="G66" s="42">
        <v>2.4E-2</v>
      </c>
      <c r="H66" s="21" t="s">
        <v>702</v>
      </c>
      <c r="I66" s="39">
        <f ca="1">IFERROR(__xludf.DUMMYFUNCTION("IF(SUM(COUNTIF(artists!A:A, SPLIT(D66, "",""))) &gt; 0, ""UA"", 0)"),0)</f>
        <v>0</v>
      </c>
      <c r="J66" s="40" t="str">
        <f ca="1">IFERROR(__xludf.DUMMYFUNCTION("IF(SUM(COUNTIF(artists!C:C, SPLIT(D66, "",""))) &gt; 0, ""RU"", 0)"),"RU")</f>
        <v>RU</v>
      </c>
      <c r="K66" s="39">
        <f ca="1">IFERROR(__xludf.DUMMYFUNCTION("IF(SUM(COUNTIF(artists!E:E, SPLIT(D66, "",""))) &gt; 0, ""OTHER"", 0)"),0)</f>
        <v>0</v>
      </c>
    </row>
    <row r="67" spans="1:11" ht="14.25" customHeight="1">
      <c r="A67" s="21">
        <v>66</v>
      </c>
      <c r="B67" s="21">
        <v>57</v>
      </c>
      <c r="C67" s="21" t="s">
        <v>742</v>
      </c>
      <c r="D67" s="21" t="s">
        <v>743</v>
      </c>
      <c r="E67" s="21">
        <v>17</v>
      </c>
      <c r="F67" s="21">
        <v>223953</v>
      </c>
      <c r="G67" s="42">
        <v>-1.2E-2</v>
      </c>
      <c r="H67" s="21" t="s">
        <v>744</v>
      </c>
      <c r="I67" s="39">
        <f ca="1">IFERROR(__xludf.DUMMYFUNCTION("IF(SUM(COUNTIF(artists!A:A, SPLIT(D67, "",""))) &gt; 0, ""UA"", 0)"),0)</f>
        <v>0</v>
      </c>
      <c r="J67" s="40" t="str">
        <f ca="1">IFERROR(__xludf.DUMMYFUNCTION("IF(SUM(COUNTIF(artists!C:C, SPLIT(D67, "",""))) &gt; 0, ""RU"", 0)"),"RU")</f>
        <v>RU</v>
      </c>
      <c r="K67" s="39">
        <f ca="1">IFERROR(__xludf.DUMMYFUNCTION("IF(SUM(COUNTIF(artists!E:E, SPLIT(D67, "",""))) &gt; 0, ""OTHER"", 0)"),0)</f>
        <v>0</v>
      </c>
    </row>
    <row r="68" spans="1:11" ht="14.25" customHeight="1">
      <c r="A68" s="21">
        <v>67</v>
      </c>
      <c r="B68" s="21">
        <v>76</v>
      </c>
      <c r="C68" s="21" t="s">
        <v>284</v>
      </c>
      <c r="D68" s="21" t="s">
        <v>15</v>
      </c>
      <c r="E68" s="21">
        <v>22</v>
      </c>
      <c r="F68" s="21">
        <v>220743</v>
      </c>
      <c r="G68" s="43">
        <v>0.14000000000000001</v>
      </c>
      <c r="H68" s="21" t="s">
        <v>285</v>
      </c>
      <c r="I68" s="39">
        <f ca="1">IFERROR(__xludf.DUMMYFUNCTION("IF(SUM(COUNTIF(artists!A:A, SPLIT(D68, "",""))) &gt; 0, ""UA"", 0)"),0)</f>
        <v>0</v>
      </c>
      <c r="J68" s="40">
        <f ca="1">IFERROR(__xludf.DUMMYFUNCTION("IF(SUM(COUNTIF(artists!C:C, SPLIT(D68, "",""))) &gt; 0, ""RU"", 0)"),0)</f>
        <v>0</v>
      </c>
      <c r="K68" s="39" t="str">
        <f ca="1">IFERROR(__xludf.DUMMYFUNCTION("IF(SUM(COUNTIF(artists!E:E, SPLIT(D68, "",""))) &gt; 0, ""OTHER"", 0)"),"OTHER")</f>
        <v>OTHER</v>
      </c>
    </row>
    <row r="69" spans="1:11" ht="14.25" customHeight="1">
      <c r="A69" s="21">
        <v>68</v>
      </c>
      <c r="B69" s="21">
        <v>75</v>
      </c>
      <c r="C69" s="21" t="s">
        <v>244</v>
      </c>
      <c r="D69" s="21" t="s">
        <v>161</v>
      </c>
      <c r="E69" s="21">
        <v>4</v>
      </c>
      <c r="F69" s="21">
        <v>219727</v>
      </c>
      <c r="G69" s="42">
        <v>0.13400000000000001</v>
      </c>
      <c r="H69" s="21" t="s">
        <v>246</v>
      </c>
      <c r="I69" s="39" t="str">
        <f ca="1">IFERROR(__xludf.DUMMYFUNCTION("IF(SUM(COUNTIF(artists!A:A, SPLIT(D69, "",""))) &gt; 0, ""UA"", 0)"),"UA")</f>
        <v>UA</v>
      </c>
      <c r="J69" s="40">
        <f ca="1">IFERROR(__xludf.DUMMYFUNCTION("IF(SUM(COUNTIF(artists!C:C, SPLIT(D69, "",""))) &gt; 0, ""RU"", 0)"),0)</f>
        <v>0</v>
      </c>
      <c r="K69" s="39">
        <f ca="1">IFERROR(__xludf.DUMMYFUNCTION("IF(SUM(COUNTIF(artists!E:E, SPLIT(D69, "",""))) &gt; 0, ""OTHER"", 0)"),0)</f>
        <v>0</v>
      </c>
    </row>
    <row r="70" spans="1:11" ht="14.25" customHeight="1">
      <c r="A70" s="21">
        <v>69</v>
      </c>
      <c r="B70" s="21">
        <v>89</v>
      </c>
      <c r="C70" s="21" t="s">
        <v>118</v>
      </c>
      <c r="D70" s="21" t="s">
        <v>586</v>
      </c>
      <c r="E70" s="21">
        <v>27</v>
      </c>
      <c r="F70" s="21">
        <v>219570</v>
      </c>
      <c r="G70" s="42">
        <v>0.24099999999999999</v>
      </c>
      <c r="H70" s="21" t="s">
        <v>587</v>
      </c>
      <c r="I70" s="39" t="str">
        <f ca="1">IFERROR(__xludf.DUMMYFUNCTION("IF(SUM(COUNTIF(artists!A:A, SPLIT(D70, "",""))) &gt; 0, ""UA"", 0)"),"UA")</f>
        <v>UA</v>
      </c>
      <c r="J70" s="40">
        <f ca="1">IFERROR(__xludf.DUMMYFUNCTION("IF(SUM(COUNTIF(artists!C:C, SPLIT(D70, "",""))) &gt; 0, ""RU"", 0)"),0)</f>
        <v>0</v>
      </c>
      <c r="K70" s="39">
        <f ca="1">IFERROR(__xludf.DUMMYFUNCTION("IF(SUM(COUNTIF(artists!E:E, SPLIT(D70, "",""))) &gt; 0, ""OTHER"", 0)"),0)</f>
        <v>0</v>
      </c>
    </row>
    <row r="71" spans="1:11" ht="14.25" customHeight="1">
      <c r="A71" s="21">
        <v>70</v>
      </c>
      <c r="C71" s="21" t="s">
        <v>892</v>
      </c>
      <c r="D71" s="21" t="s">
        <v>893</v>
      </c>
      <c r="E71" s="21">
        <v>53</v>
      </c>
      <c r="F71" s="21">
        <v>219536</v>
      </c>
      <c r="H71" s="21" t="s">
        <v>894</v>
      </c>
      <c r="I71" s="39">
        <f ca="1">IFERROR(__xludf.DUMMYFUNCTION("IF(SUM(COUNTIF(artists!A:A, SPLIT(D71, "",""))) &gt; 0, ""UA"", 0)"),0)</f>
        <v>0</v>
      </c>
      <c r="J71" s="40" t="str">
        <f ca="1">IFERROR(__xludf.DUMMYFUNCTION("IF(SUM(COUNTIF(artists!C:C, SPLIT(D71, "",""))) &gt; 0, ""RU"", 0)"),"RU")</f>
        <v>RU</v>
      </c>
      <c r="K71" s="39">
        <f ca="1">IFERROR(__xludf.DUMMYFUNCTION("IF(SUM(COUNTIF(artists!E:E, SPLIT(D71, "",""))) &gt; 0, ""OTHER"", 0)"),0)</f>
        <v>0</v>
      </c>
    </row>
    <row r="72" spans="1:11" ht="14.25" customHeight="1">
      <c r="A72" s="21">
        <v>71</v>
      </c>
      <c r="B72" s="21">
        <v>74</v>
      </c>
      <c r="C72" s="21" t="s">
        <v>527</v>
      </c>
      <c r="D72" s="21" t="s">
        <v>528</v>
      </c>
      <c r="E72" s="21">
        <v>14</v>
      </c>
      <c r="F72" s="21">
        <v>216500</v>
      </c>
      <c r="G72" s="42">
        <v>9.6000000000000002E-2</v>
      </c>
      <c r="H72" s="21" t="s">
        <v>529</v>
      </c>
      <c r="I72" s="39" t="str">
        <f ca="1">IFERROR(__xludf.DUMMYFUNCTION("IF(SUM(COUNTIF(artists!A:A, SPLIT(D72, "",""))) &gt; 0, ""UA"", 0)"),"UA")</f>
        <v>UA</v>
      </c>
      <c r="J72" s="40">
        <f ca="1">IFERROR(__xludf.DUMMYFUNCTION("IF(SUM(COUNTIF(artists!C:C, SPLIT(D72, "",""))) &gt; 0, ""RU"", 0)"),0)</f>
        <v>0</v>
      </c>
      <c r="K72" s="39">
        <f ca="1">IFERROR(__xludf.DUMMYFUNCTION("IF(SUM(COUNTIF(artists!E:E, SPLIT(D72, "",""))) &gt; 0, ""OTHER"", 0)"),0)</f>
        <v>0</v>
      </c>
    </row>
    <row r="73" spans="1:11" ht="14.25" customHeight="1">
      <c r="A73" s="21">
        <v>72</v>
      </c>
      <c r="B73" s="21">
        <v>78</v>
      </c>
      <c r="C73" s="21" t="s">
        <v>895</v>
      </c>
      <c r="D73" s="21" t="s">
        <v>896</v>
      </c>
      <c r="E73" s="21">
        <v>41</v>
      </c>
      <c r="F73" s="21">
        <v>216409</v>
      </c>
      <c r="G73" s="42">
        <v>0.13400000000000001</v>
      </c>
      <c r="H73" s="21" t="s">
        <v>897</v>
      </c>
      <c r="I73" s="39" t="str">
        <f ca="1">IFERROR(__xludf.DUMMYFUNCTION("IF(SUM(COUNTIF(artists!A:A, SPLIT(D73, "",""))) &gt; 0, ""UA"", 0)"),"UA")</f>
        <v>UA</v>
      </c>
      <c r="J73" s="40">
        <f ca="1">IFERROR(__xludf.DUMMYFUNCTION("IF(SUM(COUNTIF(artists!C:C, SPLIT(D73, "",""))) &gt; 0, ""RU"", 0)"),0)</f>
        <v>0</v>
      </c>
      <c r="K73" s="39">
        <f ca="1">IFERROR(__xludf.DUMMYFUNCTION("IF(SUM(COUNTIF(artists!E:E, SPLIT(D73, "",""))) &gt; 0, ""OTHER"", 0)"),0)</f>
        <v>0</v>
      </c>
    </row>
    <row r="74" spans="1:11" ht="14.25" customHeight="1">
      <c r="A74" s="21">
        <v>73</v>
      </c>
      <c r="C74" s="21" t="s">
        <v>898</v>
      </c>
      <c r="D74" s="21" t="s">
        <v>864</v>
      </c>
      <c r="E74" s="21">
        <v>2</v>
      </c>
      <c r="F74" s="21">
        <v>216202</v>
      </c>
      <c r="H74" s="21" t="s">
        <v>899</v>
      </c>
      <c r="I74" s="39" t="str">
        <f ca="1">IFERROR(__xludf.DUMMYFUNCTION("IF(SUM(COUNTIF(artists!A:A, SPLIT(D74, "",""))) &gt; 0, ""UA"", 0)"),"UA")</f>
        <v>UA</v>
      </c>
      <c r="J74" s="40">
        <f ca="1">IFERROR(__xludf.DUMMYFUNCTION("IF(SUM(COUNTIF(artists!C:C, SPLIT(D74, "",""))) &gt; 0, ""RU"", 0)"),0)</f>
        <v>0</v>
      </c>
      <c r="K74" s="39">
        <f ca="1">IFERROR(__xludf.DUMMYFUNCTION("IF(SUM(COUNTIF(artists!E:E, SPLIT(D74, "",""))) &gt; 0, ""OTHER"", 0)"),0)</f>
        <v>0</v>
      </c>
    </row>
    <row r="75" spans="1:11" ht="14.25" customHeight="1">
      <c r="A75" s="21">
        <v>74</v>
      </c>
      <c r="B75" s="21">
        <v>73</v>
      </c>
      <c r="C75" s="21" t="s">
        <v>545</v>
      </c>
      <c r="D75" s="21" t="s">
        <v>546</v>
      </c>
      <c r="E75" s="21">
        <v>8</v>
      </c>
      <c r="F75" s="21">
        <v>214188</v>
      </c>
      <c r="G75" s="42">
        <v>6.7000000000000004E-2</v>
      </c>
      <c r="H75" s="21" t="s">
        <v>548</v>
      </c>
      <c r="I75" s="39">
        <f ca="1">IFERROR(__xludf.DUMMYFUNCTION("IF(SUM(COUNTIF(artists!A:A, SPLIT(D75, "",""))) &gt; 0, ""UA"", 0)"),0)</f>
        <v>0</v>
      </c>
      <c r="J75" s="40" t="str">
        <f ca="1">IFERROR(__xludf.DUMMYFUNCTION("IF(SUM(COUNTIF(artists!C:C, SPLIT(D75, "",""))) &gt; 0, ""RU"", 0)"),"RU")</f>
        <v>RU</v>
      </c>
      <c r="K75" s="39">
        <f ca="1">IFERROR(__xludf.DUMMYFUNCTION("IF(SUM(COUNTIF(artists!E:E, SPLIT(D75, "",""))) &gt; 0, ""OTHER"", 0)"),0)</f>
        <v>0</v>
      </c>
    </row>
    <row r="76" spans="1:11" ht="14.25" customHeight="1">
      <c r="A76" s="21">
        <v>75</v>
      </c>
      <c r="B76" s="21">
        <v>94</v>
      </c>
      <c r="C76" s="21" t="s">
        <v>524</v>
      </c>
      <c r="D76" s="21" t="s">
        <v>525</v>
      </c>
      <c r="E76" s="21">
        <v>19</v>
      </c>
      <c r="F76" s="21">
        <v>209893</v>
      </c>
      <c r="G76" s="42">
        <v>0.224</v>
      </c>
      <c r="H76" s="21" t="s">
        <v>526</v>
      </c>
      <c r="I76" s="39" t="str">
        <f ca="1">IFERROR(__xludf.DUMMYFUNCTION("IF(SUM(COUNTIF(artists!A:A, SPLIT(D76, "",""))) &gt; 0, ""UA"", 0)"),"UA")</f>
        <v>UA</v>
      </c>
      <c r="J76" s="40">
        <f ca="1">IFERROR(__xludf.DUMMYFUNCTION("IF(SUM(COUNTIF(artists!C:C, SPLIT(D76, "",""))) &gt; 0, ""RU"", 0)"),0)</f>
        <v>0</v>
      </c>
      <c r="K76" s="39">
        <f ca="1">IFERROR(__xludf.DUMMYFUNCTION("IF(SUM(COUNTIF(artists!E:E, SPLIT(D76, "",""))) &gt; 0, ""OTHER"", 0)"),0)</f>
        <v>0</v>
      </c>
    </row>
    <row r="77" spans="1:11" ht="14.25" customHeight="1">
      <c r="A77" s="21">
        <v>76</v>
      </c>
      <c r="B77" s="21">
        <v>56</v>
      </c>
      <c r="C77" s="21" t="s">
        <v>814</v>
      </c>
      <c r="D77" s="21" t="s">
        <v>815</v>
      </c>
      <c r="E77" s="21">
        <v>5</v>
      </c>
      <c r="F77" s="21">
        <v>208868</v>
      </c>
      <c r="G77" s="42">
        <v>-0.10299999999999999</v>
      </c>
      <c r="H77" s="21" t="s">
        <v>817</v>
      </c>
      <c r="I77" s="39">
        <f ca="1">IFERROR(__xludf.DUMMYFUNCTION("IF(SUM(COUNTIF(artists!A:A, SPLIT(D77, "",""))) &gt; 0, ""UA"", 0)"),0)</f>
        <v>0</v>
      </c>
      <c r="J77" s="40" t="str">
        <f ca="1">IFERROR(__xludf.DUMMYFUNCTION("IF(SUM(COUNTIF(artists!C:C, SPLIT(D77, "",""))) &gt; 0, ""RU"", 0)"),"RU")</f>
        <v>RU</v>
      </c>
      <c r="K77" s="39">
        <f ca="1">IFERROR(__xludf.DUMMYFUNCTION("IF(SUM(COUNTIF(artists!E:E, SPLIT(D77, "",""))) &gt; 0, ""OTHER"", 0)"),0)</f>
        <v>0</v>
      </c>
    </row>
    <row r="78" spans="1:11" ht="14.25" customHeight="1">
      <c r="A78" s="21">
        <v>77</v>
      </c>
      <c r="C78" s="21" t="s">
        <v>316</v>
      </c>
      <c r="D78" s="21" t="s">
        <v>317</v>
      </c>
      <c r="E78" s="21">
        <v>9</v>
      </c>
      <c r="F78" s="21">
        <v>207693</v>
      </c>
      <c r="H78" s="21" t="s">
        <v>319</v>
      </c>
      <c r="I78" s="39" t="str">
        <f ca="1">IFERROR(__xludf.DUMMYFUNCTION("IF(SUM(COUNTIF(artists!A:A, SPLIT(D78, "",""))) &gt; 0, ""UA"", 0)"),"UA")</f>
        <v>UA</v>
      </c>
      <c r="J78" s="40">
        <f ca="1">IFERROR(__xludf.DUMMYFUNCTION("IF(SUM(COUNTIF(artists!C:C, SPLIT(D78, "",""))) &gt; 0, ""RU"", 0)"),0)</f>
        <v>0</v>
      </c>
      <c r="K78" s="39">
        <f ca="1">IFERROR(__xludf.DUMMYFUNCTION("IF(SUM(COUNTIF(artists!E:E, SPLIT(D78, "",""))) &gt; 0, ""OTHER"", 0)"),0)</f>
        <v>0</v>
      </c>
    </row>
    <row r="79" spans="1:11" ht="14.25" customHeight="1">
      <c r="A79" s="21">
        <v>78</v>
      </c>
      <c r="B79" s="21">
        <v>63</v>
      </c>
      <c r="C79" s="21" t="s">
        <v>373</v>
      </c>
      <c r="D79" s="21" t="s">
        <v>172</v>
      </c>
      <c r="E79" s="21">
        <v>11</v>
      </c>
      <c r="F79" s="21">
        <v>205230</v>
      </c>
      <c r="G79" s="42">
        <v>-6.4000000000000001E-2</v>
      </c>
      <c r="H79" s="21" t="s">
        <v>375</v>
      </c>
      <c r="I79" s="39">
        <f ca="1">IFERROR(__xludf.DUMMYFUNCTION("IF(SUM(COUNTIF(artists!A:A, SPLIT(D79, "",""))) &gt; 0, ""UA"", 0)"),0)</f>
        <v>0</v>
      </c>
      <c r="J79" s="40" t="str">
        <f ca="1">IFERROR(__xludf.DUMMYFUNCTION("IF(SUM(COUNTIF(artists!C:C, SPLIT(D79, "",""))) &gt; 0, ""RU"", 0)"),"RU")</f>
        <v>RU</v>
      </c>
      <c r="K79" s="39">
        <f ca="1">IFERROR(__xludf.DUMMYFUNCTION("IF(SUM(COUNTIF(artists!E:E, SPLIT(D79, "",""))) &gt; 0, ""OTHER"", 0)"),0)</f>
        <v>0</v>
      </c>
    </row>
    <row r="80" spans="1:11" ht="14.25" customHeight="1">
      <c r="A80" s="21">
        <v>79</v>
      </c>
      <c r="B80" s="21">
        <v>67</v>
      </c>
      <c r="C80" s="21" t="s">
        <v>900</v>
      </c>
      <c r="D80" s="21" t="s">
        <v>901</v>
      </c>
      <c r="E80" s="21">
        <v>20</v>
      </c>
      <c r="F80" s="21">
        <v>203495</v>
      </c>
      <c r="G80" s="43">
        <v>-0.05</v>
      </c>
      <c r="H80" s="21" t="s">
        <v>902</v>
      </c>
      <c r="I80" s="39">
        <f ca="1">IFERROR(__xludf.DUMMYFUNCTION("IF(SUM(COUNTIF(artists!A:A, SPLIT(D80, "",""))) &gt; 0, ""UA"", 0)"),0)</f>
        <v>0</v>
      </c>
      <c r="J80" s="40">
        <f ca="1">IFERROR(__xludf.DUMMYFUNCTION("IF(SUM(COUNTIF(artists!C:C, SPLIT(D80, "",""))) &gt; 0, ""RU"", 0)"),0)</f>
        <v>0</v>
      </c>
      <c r="K80" s="39" t="str">
        <f ca="1">IFERROR(__xludf.DUMMYFUNCTION("IF(SUM(COUNTIF(artists!E:E, SPLIT(D80, "",""))) &gt; 0, ""OTHER"", 0)"),"OTHER")</f>
        <v>OTHER</v>
      </c>
    </row>
    <row r="81" spans="1:11" ht="14.25" customHeight="1">
      <c r="A81" s="21">
        <v>80</v>
      </c>
      <c r="B81" s="21">
        <v>85</v>
      </c>
      <c r="C81" s="21" t="s">
        <v>903</v>
      </c>
      <c r="D81" s="21" t="s">
        <v>904</v>
      </c>
      <c r="E81" s="21">
        <v>22</v>
      </c>
      <c r="F81" s="21">
        <v>203203</v>
      </c>
      <c r="G81" s="42">
        <v>0.11600000000000001</v>
      </c>
      <c r="H81" s="21" t="s">
        <v>905</v>
      </c>
      <c r="I81" s="39" t="str">
        <f ca="1">IFERROR(__xludf.DUMMYFUNCTION("IF(SUM(COUNTIF(artists!A:A, SPLIT(D81, "",""))) &gt; 0, ""UA"", 0)"),"UA")</f>
        <v>UA</v>
      </c>
      <c r="J81" s="40">
        <f ca="1">IFERROR(__xludf.DUMMYFUNCTION("IF(SUM(COUNTIF(artists!C:C, SPLIT(D81, "",""))) &gt; 0, ""RU"", 0)"),0)</f>
        <v>0</v>
      </c>
      <c r="K81" s="39">
        <f ca="1">IFERROR(__xludf.DUMMYFUNCTION("IF(SUM(COUNTIF(artists!E:E, SPLIT(D81, "",""))) &gt; 0, ""OTHER"", 0)"),0)</f>
        <v>0</v>
      </c>
    </row>
    <row r="82" spans="1:11" ht="14.25" customHeight="1">
      <c r="A82" s="21">
        <v>81</v>
      </c>
      <c r="B82" s="21">
        <v>95</v>
      </c>
      <c r="C82" s="21" t="s">
        <v>708</v>
      </c>
      <c r="D82" s="21" t="s">
        <v>709</v>
      </c>
      <c r="E82" s="21">
        <v>2</v>
      </c>
      <c r="F82" s="21">
        <v>197200</v>
      </c>
      <c r="G82" s="42">
        <v>0.155</v>
      </c>
      <c r="H82" s="21" t="s">
        <v>710</v>
      </c>
      <c r="I82" s="39">
        <f ca="1">IFERROR(__xludf.DUMMYFUNCTION("IF(SUM(COUNTIF(artists!A:A, SPLIT(D82, "",""))) &gt; 0, ""UA"", 0)"),0)</f>
        <v>0</v>
      </c>
      <c r="J82" s="40" t="str">
        <f ca="1">IFERROR(__xludf.DUMMYFUNCTION("IF(SUM(COUNTIF(artists!C:C, SPLIT(D82, "",""))) &gt; 0, ""RU"", 0)"),"RU")</f>
        <v>RU</v>
      </c>
      <c r="K82" s="39">
        <f ca="1">IFERROR(__xludf.DUMMYFUNCTION("IF(SUM(COUNTIF(artists!E:E, SPLIT(D82, "",""))) &gt; 0, ""OTHER"", 0)"),0)</f>
        <v>0</v>
      </c>
    </row>
    <row r="83" spans="1:11" ht="14.25" customHeight="1">
      <c r="A83" s="21">
        <v>82</v>
      </c>
      <c r="B83" s="21">
        <v>92</v>
      </c>
      <c r="C83" s="21" t="s">
        <v>497</v>
      </c>
      <c r="D83" s="21" t="s">
        <v>860</v>
      </c>
      <c r="E83" s="21">
        <v>15</v>
      </c>
      <c r="F83" s="21">
        <v>197041</v>
      </c>
      <c r="G83" s="42">
        <v>0.14099999999999999</v>
      </c>
      <c r="H83" s="21" t="s">
        <v>499</v>
      </c>
      <c r="I83" s="39" t="str">
        <f ca="1">IFERROR(__xludf.DUMMYFUNCTION("IF(SUM(COUNTIF(artists!A:A, SPLIT(D83, "",""))) &gt; 0, ""UA"", 0)"),"UA")</f>
        <v>UA</v>
      </c>
      <c r="J83" s="40">
        <f ca="1">IFERROR(__xludf.DUMMYFUNCTION("IF(SUM(COUNTIF(artists!C:C, SPLIT(D83, "",""))) &gt; 0, ""RU"", 0)"),0)</f>
        <v>0</v>
      </c>
      <c r="K83" s="39">
        <f ca="1">IFERROR(__xludf.DUMMYFUNCTION("IF(SUM(COUNTIF(artists!E:E, SPLIT(D83, "",""))) &gt; 0, ""OTHER"", 0)"),0)</f>
        <v>0</v>
      </c>
    </row>
    <row r="84" spans="1:11" ht="14.25" customHeight="1">
      <c r="A84" s="21">
        <v>83</v>
      </c>
      <c r="B84" s="21">
        <v>99</v>
      </c>
      <c r="C84" s="21" t="s">
        <v>402</v>
      </c>
      <c r="D84" s="21" t="s">
        <v>403</v>
      </c>
      <c r="E84" s="21">
        <v>7</v>
      </c>
      <c r="F84" s="21">
        <v>197022</v>
      </c>
      <c r="G84" s="42">
        <v>0.189</v>
      </c>
      <c r="H84" s="21" t="s">
        <v>404</v>
      </c>
      <c r="I84" s="39">
        <f ca="1">IFERROR(__xludf.DUMMYFUNCTION("IF(SUM(COUNTIF(artists!A:A, SPLIT(D84, "",""))) &gt; 0, ""UA"", 0)"),0)</f>
        <v>0</v>
      </c>
      <c r="J84" s="40">
        <f ca="1">IFERROR(__xludf.DUMMYFUNCTION("IF(SUM(COUNTIF(artists!C:C, SPLIT(D84, "",""))) &gt; 0, ""RU"", 0)"),0)</f>
        <v>0</v>
      </c>
      <c r="K84" s="39" t="str">
        <f ca="1">IFERROR(__xludf.DUMMYFUNCTION("IF(SUM(COUNTIF(artists!E:E, SPLIT(D84, "",""))) &gt; 0, ""OTHER"", 0)"),"OTHER")</f>
        <v>OTHER</v>
      </c>
    </row>
    <row r="85" spans="1:11" ht="14.25" customHeight="1">
      <c r="A85" s="21">
        <v>84</v>
      </c>
      <c r="B85" s="21">
        <v>83</v>
      </c>
      <c r="C85" s="21" t="s">
        <v>602</v>
      </c>
      <c r="D85" s="21" t="s">
        <v>299</v>
      </c>
      <c r="E85" s="21">
        <v>16</v>
      </c>
      <c r="F85" s="21">
        <v>196795</v>
      </c>
      <c r="G85" s="42">
        <v>5.3999999999999999E-2</v>
      </c>
      <c r="H85" s="21" t="s">
        <v>604</v>
      </c>
      <c r="I85" s="39">
        <f ca="1">IFERROR(__xludf.DUMMYFUNCTION("IF(SUM(COUNTIF(artists!A:A, SPLIT(D85, "",""))) &gt; 0, ""UA"", 0)"),0)</f>
        <v>0</v>
      </c>
      <c r="J85" s="40">
        <f ca="1">IFERROR(__xludf.DUMMYFUNCTION("IF(SUM(COUNTIF(artists!C:C, SPLIT(D85, "",""))) &gt; 0, ""RU"", 0)"),0)</f>
        <v>0</v>
      </c>
      <c r="K85" s="39" t="str">
        <f ca="1">IFERROR(__xludf.DUMMYFUNCTION("IF(SUM(COUNTIF(artists!E:E, SPLIT(D85, "",""))) &gt; 0, ""OTHER"", 0)"),"OTHER")</f>
        <v>OTHER</v>
      </c>
    </row>
    <row r="86" spans="1:11" ht="14.25" customHeight="1">
      <c r="A86" s="21">
        <v>85</v>
      </c>
      <c r="B86" s="21">
        <v>81</v>
      </c>
      <c r="C86" s="21" t="s">
        <v>482</v>
      </c>
      <c r="D86" s="21" t="s">
        <v>210</v>
      </c>
      <c r="E86" s="21">
        <v>14</v>
      </c>
      <c r="F86" s="21">
        <v>195848</v>
      </c>
      <c r="G86" s="42">
        <v>4.2000000000000003E-2</v>
      </c>
      <c r="H86" s="21" t="s">
        <v>484</v>
      </c>
      <c r="I86" s="39" t="str">
        <f ca="1">IFERROR(__xludf.DUMMYFUNCTION("IF(SUM(COUNTIF(artists!A:A, SPLIT(D86, "",""))) &gt; 0, ""UA"", 0)"),"UA")</f>
        <v>UA</v>
      </c>
      <c r="J86" s="40">
        <f ca="1">IFERROR(__xludf.DUMMYFUNCTION("IF(SUM(COUNTIF(artists!C:C, SPLIT(D86, "",""))) &gt; 0, ""RU"", 0)"),0)</f>
        <v>0</v>
      </c>
      <c r="K86" s="39">
        <f ca="1">IFERROR(__xludf.DUMMYFUNCTION("IF(SUM(COUNTIF(artists!E:E, SPLIT(D86, "",""))) &gt; 0, ""OTHER"", 0)"),0)</f>
        <v>0</v>
      </c>
    </row>
    <row r="87" spans="1:11" ht="14.25" customHeight="1">
      <c r="A87" s="21">
        <v>86</v>
      </c>
      <c r="B87" s="21">
        <v>80</v>
      </c>
      <c r="C87" s="21" t="s">
        <v>826</v>
      </c>
      <c r="D87" s="21" t="s">
        <v>827</v>
      </c>
      <c r="E87" s="21">
        <v>3</v>
      </c>
      <c r="F87" s="21">
        <v>195245</v>
      </c>
      <c r="G87" s="42">
        <v>3.2000000000000001E-2</v>
      </c>
      <c r="H87" s="21" t="s">
        <v>829</v>
      </c>
      <c r="I87" s="39" t="str">
        <f ca="1">IFERROR(__xludf.DUMMYFUNCTION("IF(SUM(COUNTIF(artists!A:A, SPLIT(D87, "",""))) &gt; 0, ""UA"", 0)"),"UA")</f>
        <v>UA</v>
      </c>
      <c r="J87" s="40">
        <f ca="1">IFERROR(__xludf.DUMMYFUNCTION("IF(SUM(COUNTIF(artists!C:C, SPLIT(D87, "",""))) &gt; 0, ""RU"", 0)"),0)</f>
        <v>0</v>
      </c>
      <c r="K87" s="39">
        <f ca="1">IFERROR(__xludf.DUMMYFUNCTION("IF(SUM(COUNTIF(artists!E:E, SPLIT(D87, "",""))) &gt; 0, ""OTHER"", 0)"),0)</f>
        <v>0</v>
      </c>
    </row>
    <row r="88" spans="1:11" ht="14.25" customHeight="1">
      <c r="A88" s="21">
        <v>87</v>
      </c>
      <c r="B88" s="21">
        <v>69</v>
      </c>
      <c r="C88" s="21" t="s">
        <v>830</v>
      </c>
      <c r="D88" s="21" t="s">
        <v>831</v>
      </c>
      <c r="E88" s="21">
        <v>3</v>
      </c>
      <c r="F88" s="21">
        <v>192299</v>
      </c>
      <c r="G88" s="42">
        <v>-8.4000000000000005E-2</v>
      </c>
      <c r="H88" s="21" t="s">
        <v>833</v>
      </c>
      <c r="I88" s="39" t="str">
        <f ca="1">IFERROR(__xludf.DUMMYFUNCTION("IF(SUM(COUNTIF(artists!A:A, SPLIT(D88, "",""))) &gt; 0, ""UA"", 0)"),"UA")</f>
        <v>UA</v>
      </c>
      <c r="J88" s="40">
        <f ca="1">IFERROR(__xludf.DUMMYFUNCTION("IF(SUM(COUNTIF(artists!C:C, SPLIT(D88, "",""))) &gt; 0, ""RU"", 0)"),0)</f>
        <v>0</v>
      </c>
      <c r="K88" s="39">
        <f ca="1">IFERROR(__xludf.DUMMYFUNCTION("IF(SUM(COUNTIF(artists!E:E, SPLIT(D88, "",""))) &gt; 0, ""OTHER"", 0)"),0)</f>
        <v>0</v>
      </c>
    </row>
    <row r="89" spans="1:11" ht="14.25" customHeight="1">
      <c r="A89" s="21">
        <v>88</v>
      </c>
      <c r="C89" s="21" t="s">
        <v>489</v>
      </c>
      <c r="D89" s="21" t="s">
        <v>490</v>
      </c>
      <c r="E89" s="21">
        <v>21</v>
      </c>
      <c r="F89" s="21">
        <v>191585</v>
      </c>
      <c r="H89" s="21" t="s">
        <v>491</v>
      </c>
      <c r="I89" s="39" t="str">
        <f ca="1">IFERROR(__xludf.DUMMYFUNCTION("IF(SUM(COUNTIF(artists!A:A, SPLIT(D89, "",""))) &gt; 0, ""UA"", 0)"),"UA")</f>
        <v>UA</v>
      </c>
      <c r="J89" s="40">
        <f ca="1">IFERROR(__xludf.DUMMYFUNCTION("IF(SUM(COUNTIF(artists!C:C, SPLIT(D89, "",""))) &gt; 0, ""RU"", 0)"),0)</f>
        <v>0</v>
      </c>
      <c r="K89" s="39">
        <f ca="1">IFERROR(__xludf.DUMMYFUNCTION("IF(SUM(COUNTIF(artists!E:E, SPLIT(D89, "",""))) &gt; 0, ""OTHER"", 0)"),0)</f>
        <v>0</v>
      </c>
    </row>
    <row r="90" spans="1:11" ht="14.25" customHeight="1">
      <c r="A90" s="21">
        <v>89</v>
      </c>
      <c r="C90" s="21" t="s">
        <v>906</v>
      </c>
      <c r="D90" s="21" t="s">
        <v>907</v>
      </c>
      <c r="E90" s="21">
        <v>18</v>
      </c>
      <c r="F90" s="21">
        <v>189271</v>
      </c>
      <c r="H90" s="21" t="s">
        <v>908</v>
      </c>
      <c r="I90" s="39">
        <f ca="1">IFERROR(__xludf.DUMMYFUNCTION("IF(SUM(COUNTIF(artists!A:A, SPLIT(D90, "",""))) &gt; 0, ""UA"", 0)"),0)</f>
        <v>0</v>
      </c>
      <c r="J90" s="40" t="str">
        <f ca="1">IFERROR(__xludf.DUMMYFUNCTION("IF(SUM(COUNTIF(artists!C:C, SPLIT(D90, "",""))) &gt; 0, ""RU"", 0)"),"RU")</f>
        <v>RU</v>
      </c>
      <c r="K90" s="39">
        <f ca="1">IFERROR(__xludf.DUMMYFUNCTION("IF(SUM(COUNTIF(artists!E:E, SPLIT(D90, "",""))) &gt; 0, ""OTHER"", 0)"),0)</f>
        <v>0</v>
      </c>
    </row>
    <row r="91" spans="1:11" ht="14.25" customHeight="1">
      <c r="A91" s="21">
        <v>90</v>
      </c>
      <c r="C91" s="21" t="s">
        <v>909</v>
      </c>
      <c r="D91" s="21" t="s">
        <v>910</v>
      </c>
      <c r="E91" s="21">
        <v>32</v>
      </c>
      <c r="F91" s="21">
        <v>189185</v>
      </c>
      <c r="H91" s="21" t="s">
        <v>911</v>
      </c>
      <c r="I91" s="39" t="str">
        <f ca="1">IFERROR(__xludf.DUMMYFUNCTION("IF(SUM(COUNTIF(artists!A:A, SPLIT(D91, "",""))) &gt; 0, ""UA"", 0)"),"UA")</f>
        <v>UA</v>
      </c>
      <c r="J91" s="40">
        <f ca="1">IFERROR(__xludf.DUMMYFUNCTION("IF(SUM(COUNTIF(artists!C:C, SPLIT(D91, "",""))) &gt; 0, ""RU"", 0)"),0)</f>
        <v>0</v>
      </c>
      <c r="K91" s="39">
        <f ca="1">IFERROR(__xludf.DUMMYFUNCTION("IF(SUM(COUNTIF(artists!E:E, SPLIT(D91, "",""))) &gt; 0, ""OTHER"", 0)"),0)</f>
        <v>0</v>
      </c>
    </row>
    <row r="92" spans="1:11" ht="14.25" customHeight="1">
      <c r="A92" s="21">
        <v>91</v>
      </c>
      <c r="B92" s="21">
        <v>88</v>
      </c>
      <c r="C92" s="21" t="s">
        <v>868</v>
      </c>
      <c r="D92" s="21" t="s">
        <v>869</v>
      </c>
      <c r="E92" s="21">
        <v>19</v>
      </c>
      <c r="F92" s="21">
        <v>189169</v>
      </c>
      <c r="G92" s="42">
        <v>6.0999999999999999E-2</v>
      </c>
      <c r="H92" s="21" t="s">
        <v>870</v>
      </c>
      <c r="I92" s="39">
        <f ca="1">IFERROR(__xludf.DUMMYFUNCTION("IF(SUM(COUNTIF(artists!A:A, SPLIT(D92, "",""))) &gt; 0, ""UA"", 0)"),0)</f>
        <v>0</v>
      </c>
      <c r="J92" s="40" t="str">
        <f ca="1">IFERROR(__xludf.DUMMYFUNCTION("IF(SUM(COUNTIF(artists!C:C, SPLIT(D92, "",""))) &gt; 0, ""RU"", 0)"),"RU")</f>
        <v>RU</v>
      </c>
      <c r="K92" s="39">
        <f ca="1">IFERROR(__xludf.DUMMYFUNCTION("IF(SUM(COUNTIF(artists!E:E, SPLIT(D92, "",""))) &gt; 0, ""OTHER"", 0)"),0)</f>
        <v>0</v>
      </c>
    </row>
    <row r="93" spans="1:11" ht="14.25" customHeight="1">
      <c r="A93" s="21">
        <v>92</v>
      </c>
      <c r="C93" s="21" t="s">
        <v>534</v>
      </c>
      <c r="D93" s="21" t="s">
        <v>535</v>
      </c>
      <c r="E93" s="21">
        <v>1</v>
      </c>
      <c r="F93" s="21">
        <v>188457</v>
      </c>
      <c r="H93" s="21" t="s">
        <v>536</v>
      </c>
      <c r="I93" s="39">
        <f ca="1">IFERROR(__xludf.DUMMYFUNCTION("IF(SUM(COUNTIF(artists!A:A, SPLIT(D93, "",""))) &gt; 0, ""UA"", 0)"),0)</f>
        <v>0</v>
      </c>
      <c r="J93" s="40" t="str">
        <f ca="1">IFERROR(__xludf.DUMMYFUNCTION("IF(SUM(COUNTIF(artists!C:C, SPLIT(D93, "",""))) &gt; 0, ""RU"", 0)"),"RU")</f>
        <v>RU</v>
      </c>
      <c r="K93" s="39">
        <f ca="1">IFERROR(__xludf.DUMMYFUNCTION("IF(SUM(COUNTIF(artists!E:E, SPLIT(D93, "",""))) &gt; 0, ""OTHER"", 0)"),0)</f>
        <v>0</v>
      </c>
    </row>
    <row r="94" spans="1:11" ht="14.25" customHeight="1">
      <c r="A94" s="21">
        <v>93</v>
      </c>
      <c r="B94" s="21">
        <v>86</v>
      </c>
      <c r="C94" s="21" t="s">
        <v>268</v>
      </c>
      <c r="D94" s="21" t="s">
        <v>466</v>
      </c>
      <c r="E94" s="21">
        <v>8</v>
      </c>
      <c r="F94" s="21">
        <v>185386</v>
      </c>
      <c r="G94" s="42">
        <v>1.7999999999999999E-2</v>
      </c>
      <c r="H94" s="21" t="s">
        <v>270</v>
      </c>
      <c r="I94" s="39" t="str">
        <f ca="1">IFERROR(__xludf.DUMMYFUNCTION("IF(SUM(COUNTIF(artists!A:A, SPLIT(D94, "",""))) &gt; 0, ""UA"", 0)"),"UA")</f>
        <v>UA</v>
      </c>
      <c r="J94" s="40">
        <f ca="1">IFERROR(__xludf.DUMMYFUNCTION("IF(SUM(COUNTIF(artists!C:C, SPLIT(D94, "",""))) &gt; 0, ""RU"", 0)"),0)</f>
        <v>0</v>
      </c>
      <c r="K94" s="39">
        <f ca="1">IFERROR(__xludf.DUMMYFUNCTION("IF(SUM(COUNTIF(artists!E:E, SPLIT(D94, "",""))) &gt; 0, ""OTHER"", 0)"),0)</f>
        <v>0</v>
      </c>
    </row>
    <row r="95" spans="1:11" ht="14.25" customHeight="1">
      <c r="A95" s="21">
        <v>94</v>
      </c>
      <c r="C95" s="21" t="s">
        <v>855</v>
      </c>
      <c r="D95" s="21" t="s">
        <v>856</v>
      </c>
      <c r="E95" s="21">
        <v>1</v>
      </c>
      <c r="F95" s="21">
        <v>185257</v>
      </c>
      <c r="H95" s="21" t="s">
        <v>857</v>
      </c>
      <c r="I95" s="39" t="str">
        <f ca="1">IFERROR(__xludf.DUMMYFUNCTION("IF(SUM(COUNTIF(artists!A:A, SPLIT(D95, "",""))) &gt; 0, ""UA"", 0)"),"UA")</f>
        <v>UA</v>
      </c>
      <c r="J95" s="40">
        <f ca="1">IFERROR(__xludf.DUMMYFUNCTION("IF(SUM(COUNTIF(artists!C:C, SPLIT(D95, "",""))) &gt; 0, ""RU"", 0)"),0)</f>
        <v>0</v>
      </c>
      <c r="K95" s="39">
        <f ca="1">IFERROR(__xludf.DUMMYFUNCTION("IF(SUM(COUNTIF(artists!E:E, SPLIT(D95, "",""))) &gt; 0, ""OTHER"", 0)"),0)</f>
        <v>0</v>
      </c>
    </row>
    <row r="96" spans="1:11" ht="14.25" customHeight="1">
      <c r="A96" s="21">
        <v>95</v>
      </c>
      <c r="C96" s="21" t="s">
        <v>690</v>
      </c>
      <c r="D96" s="21" t="s">
        <v>691</v>
      </c>
      <c r="E96" s="21">
        <v>8</v>
      </c>
      <c r="F96" s="21">
        <v>184761</v>
      </c>
      <c r="H96" s="21" t="s">
        <v>692</v>
      </c>
      <c r="I96" s="39">
        <f ca="1">IFERROR(__xludf.DUMMYFUNCTION("IF(SUM(COUNTIF(artists!A:A, SPLIT(D96, "",""))) &gt; 0, ""UA"", 0)"),0)</f>
        <v>0</v>
      </c>
      <c r="J96" s="40" t="str">
        <f ca="1">IFERROR(__xludf.DUMMYFUNCTION("IF(SUM(COUNTIF(artists!C:C, SPLIT(D96, "",""))) &gt; 0, ""RU"", 0)"),"RU")</f>
        <v>RU</v>
      </c>
      <c r="K96" s="39">
        <f ca="1">IFERROR(__xludf.DUMMYFUNCTION("IF(SUM(COUNTIF(artists!E:E, SPLIT(D96, "",""))) &gt; 0, ""OTHER"", 0)"),0)</f>
        <v>0</v>
      </c>
    </row>
    <row r="97" spans="1:11" ht="14.25" customHeight="1">
      <c r="A97" s="21">
        <v>96</v>
      </c>
      <c r="C97" s="21" t="s">
        <v>839</v>
      </c>
      <c r="D97" s="21" t="s">
        <v>837</v>
      </c>
      <c r="E97" s="21">
        <v>16</v>
      </c>
      <c r="F97" s="21">
        <v>184598</v>
      </c>
      <c r="H97" s="21" t="s">
        <v>840</v>
      </c>
      <c r="I97" s="39" t="str">
        <f ca="1">IFERROR(__xludf.DUMMYFUNCTION("IF(SUM(COUNTIF(artists!A:A, SPLIT(D97, "",""))) &gt; 0, ""UA"", 0)"),"UA")</f>
        <v>UA</v>
      </c>
      <c r="J97" s="40">
        <f ca="1">IFERROR(__xludf.DUMMYFUNCTION("IF(SUM(COUNTIF(artists!C:C, SPLIT(D97, "",""))) &gt; 0, ""RU"", 0)"),0)</f>
        <v>0</v>
      </c>
      <c r="K97" s="39">
        <f ca="1">IFERROR(__xludf.DUMMYFUNCTION("IF(SUM(COUNTIF(artists!E:E, SPLIT(D97, "",""))) &gt; 0, ""OTHER"", 0)"),0)</f>
        <v>0</v>
      </c>
    </row>
    <row r="98" spans="1:11" ht="14.25" customHeight="1">
      <c r="A98" s="21">
        <v>97</v>
      </c>
      <c r="C98" s="21" t="s">
        <v>912</v>
      </c>
      <c r="D98" s="21" t="s">
        <v>913</v>
      </c>
      <c r="E98" s="21">
        <v>8</v>
      </c>
      <c r="F98" s="21">
        <v>184204</v>
      </c>
      <c r="H98" s="21" t="s">
        <v>914</v>
      </c>
      <c r="I98" s="39">
        <f ca="1">IFERROR(__xludf.DUMMYFUNCTION("IF(SUM(COUNTIF(artists!A:A, SPLIT(D98, "",""))) &gt; 0, ""UA"", 0)"),0)</f>
        <v>0</v>
      </c>
      <c r="J98" s="40">
        <f ca="1">IFERROR(__xludf.DUMMYFUNCTION("IF(SUM(COUNTIF(artists!C:C, SPLIT(D98, "",""))) &gt; 0, ""RU"", 0)"),0)</f>
        <v>0</v>
      </c>
      <c r="K98" s="39" t="str">
        <f ca="1">IFERROR(__xludf.DUMMYFUNCTION("IF(SUM(COUNTIF(artists!E:E, SPLIT(D98, "",""))) &gt; 0, ""OTHER"", 0)"),"OTHER")</f>
        <v>OTHER</v>
      </c>
    </row>
    <row r="99" spans="1:11" ht="14.25" customHeight="1">
      <c r="A99" s="21">
        <v>98</v>
      </c>
      <c r="C99" s="21" t="s">
        <v>622</v>
      </c>
      <c r="D99" s="21" t="s">
        <v>108</v>
      </c>
      <c r="E99" s="21">
        <v>5</v>
      </c>
      <c r="F99" s="21">
        <v>183494</v>
      </c>
      <c r="H99" s="21" t="s">
        <v>623</v>
      </c>
      <c r="I99" s="39" t="str">
        <f ca="1">IFERROR(__xludf.DUMMYFUNCTION("IF(SUM(COUNTIF(artists!A:A, SPLIT(D99, "",""))) &gt; 0, ""UA"", 0)"),"UA")</f>
        <v>UA</v>
      </c>
      <c r="J99" s="40">
        <f ca="1">IFERROR(__xludf.DUMMYFUNCTION("IF(SUM(COUNTIF(artists!C:C, SPLIT(D99, "",""))) &gt; 0, ""RU"", 0)"),0)</f>
        <v>0</v>
      </c>
      <c r="K99" s="39">
        <f ca="1">IFERROR(__xludf.DUMMYFUNCTION("IF(SUM(COUNTIF(artists!E:E, SPLIT(D99, "",""))) &gt; 0, ""OTHER"", 0)"),0)</f>
        <v>0</v>
      </c>
    </row>
    <row r="100" spans="1:11" ht="14.25" customHeight="1">
      <c r="A100" s="21">
        <v>99</v>
      </c>
      <c r="B100" s="21">
        <v>60</v>
      </c>
      <c r="C100" s="21" t="s">
        <v>861</v>
      </c>
      <c r="D100" s="21" t="s">
        <v>862</v>
      </c>
      <c r="E100" s="21">
        <v>5</v>
      </c>
      <c r="F100" s="21">
        <v>182447</v>
      </c>
      <c r="G100" s="42">
        <v>-0.17499999999999999</v>
      </c>
      <c r="H100" s="21" t="s">
        <v>327</v>
      </c>
      <c r="I100" s="39" t="str">
        <f ca="1">IFERROR(__xludf.DUMMYFUNCTION("IF(SUM(COUNTIF(artists!A:A, SPLIT(D100, "",""))) &gt; 0, ""UA"", 0)"),"UA")</f>
        <v>UA</v>
      </c>
      <c r="J100" s="40">
        <f ca="1">IFERROR(__xludf.DUMMYFUNCTION("IF(SUM(COUNTIF(artists!C:C, SPLIT(D100, "",""))) &gt; 0, ""RU"", 0)"),0)</f>
        <v>0</v>
      </c>
      <c r="K100" s="39">
        <f ca="1">IFERROR(__xludf.DUMMYFUNCTION("IF(SUM(COUNTIF(artists!E:E, SPLIT(D100, "",""))) &gt; 0, ""OTHER"", 0)"),0)</f>
        <v>0</v>
      </c>
    </row>
    <row r="101" spans="1:11" ht="14.25" customHeight="1">
      <c r="A101" s="21">
        <v>100</v>
      </c>
      <c r="B101" s="21">
        <v>40</v>
      </c>
      <c r="C101" s="21" t="s">
        <v>915</v>
      </c>
      <c r="D101" s="21" t="s">
        <v>916</v>
      </c>
      <c r="E101" s="21">
        <v>4</v>
      </c>
      <c r="F101" s="21">
        <v>182032</v>
      </c>
      <c r="G101" s="42">
        <v>-0.372</v>
      </c>
      <c r="H101" s="21" t="s">
        <v>917</v>
      </c>
      <c r="I101" s="39">
        <f ca="1">IFERROR(__xludf.DUMMYFUNCTION("IF(SUM(COUNTIF(artists!A:A, SPLIT(D101, "",""))) &gt; 0, ""UA"", 0)"),0)</f>
        <v>0</v>
      </c>
      <c r="J101" s="40" t="str">
        <f ca="1">IFERROR(__xludf.DUMMYFUNCTION("IF(SUM(COUNTIF(artists!C:C, SPLIT(D101, "",""))) &gt; 0, ""RU"", 0)"),"RU")</f>
        <v>RU</v>
      </c>
      <c r="K101" s="39">
        <f ca="1">IFERROR(__xludf.DUMMYFUNCTION("IF(SUM(COUNTIF(artists!E:E, SPLIT(D101, "",""))) &gt; 0, ""OTHER"", 0)"),0)</f>
        <v>0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105" priority="1">
      <formula>AND($I2=0, $J2=0, $K2=0)</formula>
    </cfRule>
    <cfRule type="expression" dxfId="104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Аркуш11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3" width="8.6640625" customWidth="1"/>
    <col min="4" max="4" width="13.44140625" customWidth="1"/>
    <col min="5" max="5" width="8.6640625" hidden="1" customWidth="1"/>
    <col min="6" max="6" width="8.6640625" customWidth="1"/>
    <col min="7" max="7" width="13.10937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B2" s="21">
        <v>2</v>
      </c>
      <c r="C2" s="21" t="s">
        <v>111</v>
      </c>
      <c r="D2" s="21" t="s">
        <v>112</v>
      </c>
      <c r="E2" s="21">
        <v>3</v>
      </c>
      <c r="F2" s="21">
        <v>1134174</v>
      </c>
      <c r="G2" s="42">
        <v>0.20699999999999999</v>
      </c>
      <c r="H2" s="21" t="s">
        <v>114</v>
      </c>
      <c r="I2" s="39" t="str">
        <f ca="1">IFERROR(__xludf.DUMMYFUNCTION("IF(SUM(COUNTIF(artists!A:A, SPLIT(D2, "",""))) &gt; 0, ""UA"", 0)"),"UA")</f>
        <v>UA</v>
      </c>
      <c r="J2" s="40">
        <f ca="1">IFERROR(__xludf.DUMMYFUNCTION("IF(SUM(COUNTIF(artists!C:C, SPLIT(D2, "",""))) &gt; 0, ""RU"", 0)"),0)</f>
        <v>0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B3" s="21">
        <v>1</v>
      </c>
      <c r="C3" s="21" t="s">
        <v>121</v>
      </c>
      <c r="D3" s="21" t="s">
        <v>122</v>
      </c>
      <c r="E3" s="21">
        <v>2</v>
      </c>
      <c r="F3" s="21">
        <v>1131999</v>
      </c>
      <c r="G3" s="42">
        <v>-0.20300000000000001</v>
      </c>
      <c r="H3" s="21" t="s">
        <v>123</v>
      </c>
      <c r="I3" s="39" t="str">
        <f ca="1">IFERROR(__xludf.DUMMYFUNCTION("IF(SUM(COUNTIF(artists!A:A, SPLIT(D3, "",""))) &gt; 0, ""UA"", 0)"),"UA")</f>
        <v>UA</v>
      </c>
      <c r="J3" s="40">
        <f ca="1">IFERROR(__xludf.DUMMYFUNCTION("IF(SUM(COUNTIF(artists!C:C, SPLIT(D3, "",""))) &gt; 0, ""RU"", 0)"),0)</f>
        <v>0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B4" s="21">
        <v>5</v>
      </c>
      <c r="C4" s="21" t="s">
        <v>124</v>
      </c>
      <c r="D4" s="21" t="s">
        <v>125</v>
      </c>
      <c r="E4" s="21">
        <v>5</v>
      </c>
      <c r="F4" s="21">
        <v>1022448</v>
      </c>
      <c r="G4" s="42">
        <v>0.371</v>
      </c>
      <c r="H4" s="21" t="s">
        <v>127</v>
      </c>
      <c r="I4" s="39">
        <f ca="1">IFERROR(__xludf.DUMMYFUNCTION("IF(SUM(COUNTIF(artists!A:A, SPLIT(D4, "",""))) &gt; 0, ""UA"", 0)"),0)</f>
        <v>0</v>
      </c>
      <c r="J4" s="40" t="str">
        <f ca="1">IFERROR(__xludf.DUMMYFUNCTION("IF(SUM(COUNTIF(artists!C:C, SPLIT(D4, "",""))) &gt; 0, ""RU"", 0)"),"RU")</f>
        <v>RU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B5" s="21">
        <v>4</v>
      </c>
      <c r="C5" s="21" t="s">
        <v>88</v>
      </c>
      <c r="D5" s="21" t="s">
        <v>89</v>
      </c>
      <c r="E5" s="21">
        <v>22</v>
      </c>
      <c r="F5" s="21">
        <v>1003739</v>
      </c>
      <c r="G5" s="42">
        <v>0.21199999999999999</v>
      </c>
      <c r="H5" s="21" t="s">
        <v>90</v>
      </c>
      <c r="I5" s="39" t="str">
        <f ca="1">IFERROR(__xludf.DUMMYFUNCTION("IF(SUM(COUNTIF(artists!A:A, SPLIT(D5, "",""))) &gt; 0, ""UA"", 0)"),"UA")</f>
        <v>UA</v>
      </c>
      <c r="J5" s="40">
        <f ca="1">IFERROR(__xludf.DUMMYFUNCTION("IF(SUM(COUNTIF(artists!C:C, SPLIT(D5, "",""))) &gt; 0, ""RU"", 0)"),0)</f>
        <v>0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B6" s="21">
        <v>3</v>
      </c>
      <c r="C6" s="21" t="s">
        <v>103</v>
      </c>
      <c r="D6" s="21" t="s">
        <v>104</v>
      </c>
      <c r="E6" s="21">
        <v>3</v>
      </c>
      <c r="F6" s="21">
        <v>954565</v>
      </c>
      <c r="G6" s="42">
        <v>0.104</v>
      </c>
      <c r="H6" s="21" t="s">
        <v>106</v>
      </c>
      <c r="I6" s="39" t="str">
        <f ca="1">IFERROR(__xludf.DUMMYFUNCTION("IF(SUM(COUNTIF(artists!A:A, SPLIT(D6, "",""))) &gt; 0, ""UA"", 0)"),"UA")</f>
        <v>UA</v>
      </c>
      <c r="J6" s="40">
        <f ca="1">IFERROR(__xludf.DUMMYFUNCTION("IF(SUM(COUNTIF(artists!C:C, SPLIT(D6, "",""))) &gt; 0, ""RU"", 0)"),0)</f>
        <v>0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B7" s="21">
        <v>28</v>
      </c>
      <c r="C7" s="21" t="s">
        <v>153</v>
      </c>
      <c r="D7" s="21" t="s">
        <v>154</v>
      </c>
      <c r="E7" s="21">
        <v>2</v>
      </c>
      <c r="F7" s="21">
        <v>929590</v>
      </c>
      <c r="G7" s="42">
        <v>2.3279999999999998</v>
      </c>
      <c r="H7" s="21" t="s">
        <v>156</v>
      </c>
      <c r="I7" s="39">
        <f ca="1">IFERROR(__xludf.DUMMYFUNCTION("IF(SUM(COUNTIF(artists!A:A, SPLIT(D7, "",""))) &gt; 0, ""UA"", 0)"),0)</f>
        <v>0</v>
      </c>
      <c r="J7" s="40" t="str">
        <f ca="1">IFERROR(__xludf.DUMMYFUNCTION("IF(SUM(COUNTIF(artists!C:C, SPLIT(D7, "",""))) &gt; 0, ""RU"", 0)"),"RU")</f>
        <v>RU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B8" s="21">
        <v>7</v>
      </c>
      <c r="C8" s="21" t="s">
        <v>95</v>
      </c>
      <c r="D8" s="21" t="s">
        <v>96</v>
      </c>
      <c r="E8" s="21">
        <v>7</v>
      </c>
      <c r="F8" s="21">
        <v>769430</v>
      </c>
      <c r="G8" s="42">
        <v>0.28799999999999998</v>
      </c>
      <c r="H8" s="21" t="s">
        <v>98</v>
      </c>
      <c r="I8" s="39" t="str">
        <f ca="1">IFERROR(__xludf.DUMMYFUNCTION("IF(SUM(COUNTIF(artists!A:A, SPLIT(D8, "",""))) &gt; 0, ""UA"", 0)"),"UA")</f>
        <v>UA</v>
      </c>
      <c r="J8" s="40">
        <f ca="1">IFERROR(__xludf.DUMMYFUNCTION("IF(SUM(COUNTIF(artists!C:C, SPLIT(D8, "",""))) &gt; 0, ""RU"", 0)"),0)</f>
        <v>0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B9" s="21">
        <v>8</v>
      </c>
      <c r="C9" s="21" t="s">
        <v>645</v>
      </c>
      <c r="D9" s="21" t="s">
        <v>352</v>
      </c>
      <c r="E9" s="21">
        <v>47</v>
      </c>
      <c r="F9" s="21">
        <v>648439</v>
      </c>
      <c r="G9" s="42">
        <v>0.105</v>
      </c>
      <c r="H9" s="21" t="s">
        <v>647</v>
      </c>
      <c r="I9" s="39" t="str">
        <f ca="1">IFERROR(__xludf.DUMMYFUNCTION("IF(SUM(COUNTIF(artists!A:A, SPLIT(D9, "",""))) &gt; 0, ""UA"", 0)"),"UA")</f>
        <v>UA</v>
      </c>
      <c r="J9" s="40">
        <f ca="1">IFERROR(__xludf.DUMMYFUNCTION("IF(SUM(COUNTIF(artists!C:C, SPLIT(D9, "",""))) &gt; 0, ""RU"", 0)"),0)</f>
        <v>0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B10" s="21">
        <v>10</v>
      </c>
      <c r="C10" s="21" t="s">
        <v>132</v>
      </c>
      <c r="D10" s="21" t="s">
        <v>133</v>
      </c>
      <c r="E10" s="21">
        <v>34</v>
      </c>
      <c r="F10" s="21">
        <v>616580</v>
      </c>
      <c r="G10" s="42">
        <v>0.187</v>
      </c>
      <c r="H10" s="21" t="s">
        <v>135</v>
      </c>
      <c r="I10" s="39" t="str">
        <f ca="1">IFERROR(__xludf.DUMMYFUNCTION("IF(SUM(COUNTIF(artists!A:A, SPLIT(D10, "",""))) &gt; 0, ""UA"", 0)"),"UA")</f>
        <v>UA</v>
      </c>
      <c r="J10" s="40">
        <f ca="1">IFERROR(__xludf.DUMMYFUNCTION("IF(SUM(COUNTIF(artists!C:C, SPLIT(D10, "",""))) &gt; 0, ""RU"", 0)"),0)</f>
        <v>0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B11" s="21">
        <v>94</v>
      </c>
      <c r="C11" s="21" t="s">
        <v>99</v>
      </c>
      <c r="D11" s="21" t="s">
        <v>100</v>
      </c>
      <c r="E11" s="21">
        <v>4</v>
      </c>
      <c r="F11" s="21">
        <v>578496</v>
      </c>
      <c r="G11" s="42">
        <v>3.7759999999999998</v>
      </c>
      <c r="H11" s="21" t="s">
        <v>102</v>
      </c>
      <c r="I11" s="39" t="str">
        <f ca="1">IFERROR(__xludf.DUMMYFUNCTION("IF(SUM(COUNTIF(artists!A:A, SPLIT(D11, "",""))) &gt; 0, ""UA"", 0)"),"UA")</f>
        <v>UA</v>
      </c>
      <c r="J11" s="40">
        <f ca="1">IFERROR(__xludf.DUMMYFUNCTION("IF(SUM(COUNTIF(artists!C:C, SPLIT(D11, "",""))) &gt; 0, ""RU"", 0)"),0)</f>
        <v>0</v>
      </c>
      <c r="K11" s="39">
        <f ca="1">IFERROR(__xludf.DUMMYFUNCTION("IF(SUM(COUNTIF(artists!E:E, SPLIT(D11, "",""))) &gt; 0, ""OTHER"", 0)"),0)</f>
        <v>0</v>
      </c>
    </row>
    <row r="12" spans="1:11" ht="14.25" customHeight="1">
      <c r="A12" s="21">
        <v>11</v>
      </c>
      <c r="B12" s="21">
        <v>16</v>
      </c>
      <c r="C12" s="21" t="s">
        <v>237</v>
      </c>
      <c r="D12" s="21" t="s">
        <v>238</v>
      </c>
      <c r="E12" s="21">
        <v>3</v>
      </c>
      <c r="F12" s="21">
        <v>571421</v>
      </c>
      <c r="G12" s="42">
        <v>0.44500000000000001</v>
      </c>
      <c r="H12" s="21" t="s">
        <v>240</v>
      </c>
      <c r="I12" s="39" t="str">
        <f ca="1">IFERROR(__xludf.DUMMYFUNCTION("IF(SUM(COUNTIF(artists!A:A, SPLIT(D12, "",""))) &gt; 0, ""UA"", 0)"),"UA")</f>
        <v>UA</v>
      </c>
      <c r="J12" s="40">
        <f ca="1">IFERROR(__xludf.DUMMYFUNCTION("IF(SUM(COUNTIF(artists!C:C, SPLIT(D12, "",""))) &gt; 0, ""RU"", 0)"),0)</f>
        <v>0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B13" s="21">
        <v>11</v>
      </c>
      <c r="C13" s="21" t="s">
        <v>128</v>
      </c>
      <c r="D13" s="21" t="s">
        <v>129</v>
      </c>
      <c r="E13" s="21">
        <v>30</v>
      </c>
      <c r="F13" s="21">
        <v>566645</v>
      </c>
      <c r="G13" s="42">
        <v>0.13900000000000001</v>
      </c>
      <c r="H13" s="21" t="s">
        <v>131</v>
      </c>
      <c r="I13" s="39" t="str">
        <f ca="1">IFERROR(__xludf.DUMMYFUNCTION("IF(SUM(COUNTIF(artists!A:A, SPLIT(D13, "",""))) &gt; 0, ""UA"", 0)"),"UA")</f>
        <v>UA</v>
      </c>
      <c r="J13" s="40">
        <f ca="1">IFERROR(__xludf.DUMMYFUNCTION("IF(SUM(COUNTIF(artists!C:C, SPLIT(D13, "",""))) &gt; 0, ""RU"", 0)"),0)</f>
        <v>0</v>
      </c>
      <c r="K13" s="39">
        <f ca="1">IFERROR(__xludf.DUMMYFUNCTION("IF(SUM(COUNTIF(artists!E:E, SPLIT(D13, "",""))) &gt; 0, ""OTHER"", 0)"),0)</f>
        <v>0</v>
      </c>
    </row>
    <row r="14" spans="1:11" ht="14.25" customHeight="1">
      <c r="A14" s="21">
        <v>13</v>
      </c>
      <c r="B14" s="21">
        <v>13</v>
      </c>
      <c r="C14" s="21" t="s">
        <v>115</v>
      </c>
      <c r="D14" s="21" t="s">
        <v>116</v>
      </c>
      <c r="E14" s="21">
        <v>24</v>
      </c>
      <c r="F14" s="21">
        <v>557605</v>
      </c>
      <c r="G14" s="42">
        <v>0.24399999999999999</v>
      </c>
      <c r="H14" s="21" t="s">
        <v>117</v>
      </c>
      <c r="I14" s="39" t="str">
        <f ca="1">IFERROR(__xludf.DUMMYFUNCTION("IF(SUM(COUNTIF(artists!A:A, SPLIT(D14, "",""))) &gt; 0, ""UA"", 0)"),"UA")</f>
        <v>UA</v>
      </c>
      <c r="J14" s="40">
        <f ca="1">IFERROR(__xludf.DUMMYFUNCTION("IF(SUM(COUNTIF(artists!C:C, SPLIT(D14, "",""))) &gt; 0, ""RU"", 0)"),0)</f>
        <v>0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B15" s="21">
        <v>12</v>
      </c>
      <c r="C15" s="21" t="s">
        <v>145</v>
      </c>
      <c r="D15" s="21" t="s">
        <v>146</v>
      </c>
      <c r="E15" s="21">
        <v>28</v>
      </c>
      <c r="F15" s="21">
        <v>548722</v>
      </c>
      <c r="G15" s="43">
        <v>0.2</v>
      </c>
      <c r="H15" s="21" t="s">
        <v>148</v>
      </c>
      <c r="I15" s="39" t="str">
        <f ca="1">IFERROR(__xludf.DUMMYFUNCTION("IF(SUM(COUNTIF(artists!A:A, SPLIT(D15, "",""))) &gt; 0, ""UA"", 0)"),"UA")</f>
        <v>UA</v>
      </c>
      <c r="J15" s="40">
        <f ca="1">IFERROR(__xludf.DUMMYFUNCTION("IF(SUM(COUNTIF(artists!C:C, SPLIT(D15, "",""))) &gt; 0, ""RU"", 0)"),0)</f>
        <v>0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B16" s="21">
        <v>18</v>
      </c>
      <c r="C16" s="21" t="s">
        <v>168</v>
      </c>
      <c r="D16" s="21" t="s">
        <v>137</v>
      </c>
      <c r="E16" s="21">
        <v>25</v>
      </c>
      <c r="F16" s="21">
        <v>484543</v>
      </c>
      <c r="G16" s="42">
        <v>0.26900000000000002</v>
      </c>
      <c r="H16" s="21" t="s">
        <v>170</v>
      </c>
      <c r="I16" s="39" t="str">
        <f ca="1">IFERROR(__xludf.DUMMYFUNCTION("IF(SUM(COUNTIF(artists!A:A, SPLIT(D16, "",""))) &gt; 0, ""UA"", 0)"),"UA")</f>
        <v>UA</v>
      </c>
      <c r="J16" s="40">
        <f ca="1">IFERROR(__xludf.DUMMYFUNCTION("IF(SUM(COUNTIF(artists!C:C, SPLIT(D16, "",""))) &gt; 0, ""RU"", 0)"),0)</f>
        <v>0</v>
      </c>
      <c r="K16" s="39">
        <f ca="1">IFERROR(__xludf.DUMMYFUNCTION("IF(SUM(COUNTIF(artists!E:E, SPLIT(D16, "",""))) &gt; 0, ""OTHER"", 0)"),0)</f>
        <v>0</v>
      </c>
    </row>
    <row r="17" spans="1:11" ht="14.25" customHeight="1">
      <c r="A17" s="21">
        <v>16</v>
      </c>
      <c r="C17" s="21" t="s">
        <v>221</v>
      </c>
      <c r="D17" s="21" t="s">
        <v>222</v>
      </c>
      <c r="E17" s="21">
        <v>4</v>
      </c>
      <c r="F17" s="21">
        <v>484386</v>
      </c>
      <c r="H17" s="21" t="s">
        <v>224</v>
      </c>
      <c r="I17" s="39">
        <f ca="1">IFERROR(__xludf.DUMMYFUNCTION("IF(SUM(COUNTIF(artists!A:A, SPLIT(D17, "",""))) &gt; 0, ""UA"", 0)"),0)</f>
        <v>0</v>
      </c>
      <c r="J17" s="40">
        <f ca="1">IFERROR(__xludf.DUMMYFUNCTION("IF(SUM(COUNTIF(artists!C:C, SPLIT(D17, "",""))) &gt; 0, ""RU"", 0)"),0)</f>
        <v>0</v>
      </c>
      <c r="K17" s="39" t="str">
        <f ca="1">IFERROR(__xludf.DUMMYFUNCTION("IF(SUM(COUNTIF(artists!E:E, SPLIT(D17, "",""))) &gt; 0, ""OTHER"", 0)"),"OTHER")</f>
        <v>OTHER</v>
      </c>
    </row>
    <row r="18" spans="1:11" ht="14.25" customHeight="1">
      <c r="A18" s="21">
        <v>17</v>
      </c>
      <c r="B18" s="21">
        <v>14</v>
      </c>
      <c r="C18" s="21" t="s">
        <v>171</v>
      </c>
      <c r="D18" s="21" t="s">
        <v>172</v>
      </c>
      <c r="E18" s="21">
        <v>29</v>
      </c>
      <c r="F18" s="21">
        <v>471594</v>
      </c>
      <c r="G18" s="42">
        <v>0.154</v>
      </c>
      <c r="H18" s="21" t="s">
        <v>174</v>
      </c>
      <c r="I18" s="39">
        <f ca="1">IFERROR(__xludf.DUMMYFUNCTION("IF(SUM(COUNTIF(artists!A:A, SPLIT(D18, "",""))) &gt; 0, ""UA"", 0)"),0)</f>
        <v>0</v>
      </c>
      <c r="J18" s="40" t="str">
        <f ca="1">IFERROR(__xludf.DUMMYFUNCTION("IF(SUM(COUNTIF(artists!C:C, SPLIT(D18, "",""))) &gt; 0, ""RU"", 0)"),"RU")</f>
        <v>RU</v>
      </c>
      <c r="K18" s="39">
        <f ca="1">IFERROR(__xludf.DUMMYFUNCTION("IF(SUM(COUNTIF(artists!E:E, SPLIT(D18, "",""))) &gt; 0, ""OTHER"", 0)"),0)</f>
        <v>0</v>
      </c>
    </row>
    <row r="19" spans="1:11" ht="14.25" customHeight="1">
      <c r="A19" s="21">
        <v>18</v>
      </c>
      <c r="B19" s="21">
        <v>19</v>
      </c>
      <c r="C19" s="21" t="s">
        <v>149</v>
      </c>
      <c r="D19" s="21" t="s">
        <v>150</v>
      </c>
      <c r="E19" s="21">
        <v>27</v>
      </c>
      <c r="F19" s="21">
        <v>448682</v>
      </c>
      <c r="G19" s="42">
        <v>0.187</v>
      </c>
      <c r="H19" s="21" t="s">
        <v>152</v>
      </c>
      <c r="I19" s="39" t="str">
        <f ca="1">IFERROR(__xludf.DUMMYFUNCTION("IF(SUM(COUNTIF(artists!A:A, SPLIT(D19, "",""))) &gt; 0, ""UA"", 0)"),"UA")</f>
        <v>UA</v>
      </c>
      <c r="J19" s="40">
        <f ca="1">IFERROR(__xludf.DUMMYFUNCTION("IF(SUM(COUNTIF(artists!C:C, SPLIT(D19, "",""))) &gt; 0, ""RU"", 0)"),0)</f>
        <v>0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B20" s="21">
        <v>15</v>
      </c>
      <c r="C20" s="21" t="s">
        <v>175</v>
      </c>
      <c r="D20" s="21" t="s">
        <v>89</v>
      </c>
      <c r="E20" s="21">
        <v>34</v>
      </c>
      <c r="F20" s="21">
        <v>446050</v>
      </c>
      <c r="G20" s="42">
        <v>0.114</v>
      </c>
      <c r="H20" s="21" t="s">
        <v>177</v>
      </c>
      <c r="I20" s="39" t="str">
        <f ca="1">IFERROR(__xludf.DUMMYFUNCTION("IF(SUM(COUNTIF(artists!A:A, SPLIT(D20, "",""))) &gt; 0, ""UA"", 0)"),"UA")</f>
        <v>UA</v>
      </c>
      <c r="J20" s="40">
        <f ca="1">IFERROR(__xludf.DUMMYFUNCTION("IF(SUM(COUNTIF(artists!C:C, SPLIT(D20, "",""))) &gt; 0, ""RU"", 0)"),0)</f>
        <v>0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B21" s="21">
        <v>17</v>
      </c>
      <c r="C21" s="21" t="s">
        <v>202</v>
      </c>
      <c r="D21" s="21" t="s">
        <v>835</v>
      </c>
      <c r="E21" s="21">
        <v>24</v>
      </c>
      <c r="F21" s="21">
        <v>435784</v>
      </c>
      <c r="G21" s="42">
        <v>0.113</v>
      </c>
      <c r="H21" s="21" t="s">
        <v>204</v>
      </c>
      <c r="I21" s="39" t="str">
        <f ca="1">IFERROR(__xludf.DUMMYFUNCTION("IF(SUM(COUNTIF(artists!A:A, SPLIT(D21, "",""))) &gt; 0, ""UA"", 0)"),"UA")</f>
        <v>UA</v>
      </c>
      <c r="J21" s="40">
        <f ca="1">IFERROR(__xludf.DUMMYFUNCTION("IF(SUM(COUNTIF(artists!C:C, SPLIT(D21, "",""))) &gt; 0, ""RU"", 0)"),0)</f>
        <v>0</v>
      </c>
      <c r="K21" s="39">
        <f ca="1">IFERROR(__xludf.DUMMYFUNCTION("IF(SUM(COUNTIF(artists!E:E, SPLIT(D21, "",""))) &gt; 0, ""OTHER"", 0)"),0)</f>
        <v>0</v>
      </c>
    </row>
    <row r="22" spans="1:11" ht="14.25" customHeight="1">
      <c r="A22" s="21">
        <v>21</v>
      </c>
      <c r="B22" s="21">
        <v>21</v>
      </c>
      <c r="C22" s="21" t="s">
        <v>182</v>
      </c>
      <c r="D22" s="21" t="s">
        <v>183</v>
      </c>
      <c r="E22" s="21">
        <v>30</v>
      </c>
      <c r="F22" s="21">
        <v>430200</v>
      </c>
      <c r="G22" s="42">
        <v>0.16300000000000001</v>
      </c>
      <c r="H22" s="21" t="s">
        <v>185</v>
      </c>
      <c r="I22" s="39" t="str">
        <f ca="1">IFERROR(__xludf.DUMMYFUNCTION("IF(SUM(COUNTIF(artists!A:A, SPLIT(D22, "",""))) &gt; 0, ""UA"", 0)"),"UA")</f>
        <v>UA</v>
      </c>
      <c r="J22" s="40">
        <f ca="1">IFERROR(__xludf.DUMMYFUNCTION("IF(SUM(COUNTIF(artists!C:C, SPLIT(D22, "",""))) &gt; 0, ""RU"", 0)"),0)</f>
        <v>0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B23" s="21">
        <v>9</v>
      </c>
      <c r="C23" s="21" t="s">
        <v>760</v>
      </c>
      <c r="D23" s="21" t="s">
        <v>761</v>
      </c>
      <c r="E23" s="21">
        <v>3</v>
      </c>
      <c r="F23" s="21">
        <v>415210</v>
      </c>
      <c r="G23" s="42">
        <v>-0.24199999999999999</v>
      </c>
      <c r="H23" s="21" t="s">
        <v>763</v>
      </c>
      <c r="I23" s="39" t="str">
        <f ca="1">IFERROR(__xludf.DUMMYFUNCTION("IF(SUM(COUNTIF(artists!A:A, SPLIT(D23, "",""))) &gt; 0, ""UA"", 0)"),"UA")</f>
        <v>UA</v>
      </c>
      <c r="J23" s="40">
        <f ca="1">IFERROR(__xludf.DUMMYFUNCTION("IF(SUM(COUNTIF(artists!C:C, SPLIT(D23, "",""))) &gt; 0, ""RU"", 0)"),0)</f>
        <v>0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B24" s="21">
        <v>20</v>
      </c>
      <c r="C24" s="21" t="s">
        <v>294</v>
      </c>
      <c r="D24" s="21" t="s">
        <v>295</v>
      </c>
      <c r="E24" s="21">
        <v>6</v>
      </c>
      <c r="F24" s="21">
        <v>404172</v>
      </c>
      <c r="G24" s="42">
        <v>7.3999999999999996E-2</v>
      </c>
      <c r="H24" s="21" t="s">
        <v>297</v>
      </c>
      <c r="I24" s="39">
        <f ca="1">IFERROR(__xludf.DUMMYFUNCTION("IF(SUM(COUNTIF(artists!A:A, SPLIT(D24, "",""))) &gt; 0, ""UA"", 0)"),0)</f>
        <v>0</v>
      </c>
      <c r="J24" s="40" t="str">
        <f ca="1">IFERROR(__xludf.DUMMYFUNCTION("IF(SUM(COUNTIF(artists!C:C, SPLIT(D24, "",""))) &gt; 0, ""RU"", 0)"),"RU")</f>
        <v>RU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B25" s="21">
        <v>23</v>
      </c>
      <c r="C25" s="21" t="s">
        <v>186</v>
      </c>
      <c r="D25" s="21" t="s">
        <v>187</v>
      </c>
      <c r="E25" s="21">
        <v>38</v>
      </c>
      <c r="F25" s="21">
        <v>402264</v>
      </c>
      <c r="G25" s="42">
        <v>0.19900000000000001</v>
      </c>
      <c r="H25" s="21" t="s">
        <v>189</v>
      </c>
      <c r="I25" s="39" t="str">
        <f ca="1">IFERROR(__xludf.DUMMYFUNCTION("IF(SUM(COUNTIF(artists!A:A, SPLIT(D25, "",""))) &gt; 0, ""UA"", 0)"),"UA")</f>
        <v>UA</v>
      </c>
      <c r="J25" s="40">
        <f ca="1">IFERROR(__xludf.DUMMYFUNCTION("IF(SUM(COUNTIF(artists!C:C, SPLIT(D25, "",""))) &gt; 0, ""RU"", 0)"),0)</f>
        <v>0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B26" s="21">
        <v>22</v>
      </c>
      <c r="C26" s="21" t="s">
        <v>286</v>
      </c>
      <c r="D26" s="21" t="s">
        <v>287</v>
      </c>
      <c r="E26" s="21">
        <v>9</v>
      </c>
      <c r="F26" s="21">
        <v>395495</v>
      </c>
      <c r="G26" s="42">
        <v>0.122</v>
      </c>
      <c r="H26" s="21" t="s">
        <v>289</v>
      </c>
      <c r="I26" s="39">
        <f ca="1">IFERROR(__xludf.DUMMYFUNCTION("IF(SUM(COUNTIF(artists!A:A, SPLIT(D26, "",""))) &gt; 0, ""UA"", 0)"),0)</f>
        <v>0</v>
      </c>
      <c r="J26" s="40" t="str">
        <f ca="1">IFERROR(__xludf.DUMMYFUNCTION("IF(SUM(COUNTIF(artists!C:C, SPLIT(D26, "",""))) &gt; 0, ""RU"", 0)"),"RU")</f>
        <v>RU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B27" s="21">
        <v>24</v>
      </c>
      <c r="C27" s="21" t="s">
        <v>261</v>
      </c>
      <c r="D27" s="21" t="s">
        <v>262</v>
      </c>
      <c r="E27" s="21">
        <v>4</v>
      </c>
      <c r="F27" s="21">
        <v>385858</v>
      </c>
      <c r="G27" s="42">
        <v>0.187</v>
      </c>
      <c r="H27" s="21" t="s">
        <v>263</v>
      </c>
      <c r="I27" s="39" t="str">
        <f ca="1">IFERROR(__xludf.DUMMYFUNCTION("IF(SUM(COUNTIF(artists!A:A, SPLIT(D27, "",""))) &gt; 0, ""UA"", 0)"),"UA")</f>
        <v>UA</v>
      </c>
      <c r="J27" s="40">
        <f ca="1">IFERROR(__xludf.DUMMYFUNCTION("IF(SUM(COUNTIF(artists!C:C, SPLIT(D27, "",""))) &gt; 0, ""RU"", 0)"),0)</f>
        <v>0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B28" s="21">
        <v>25</v>
      </c>
      <c r="C28" s="21" t="s">
        <v>194</v>
      </c>
      <c r="D28" s="21" t="s">
        <v>195</v>
      </c>
      <c r="E28" s="21">
        <v>37</v>
      </c>
      <c r="F28" s="21">
        <v>367868</v>
      </c>
      <c r="G28" s="42">
        <v>0.19700000000000001</v>
      </c>
      <c r="H28" s="21" t="s">
        <v>197</v>
      </c>
      <c r="I28" s="39" t="str">
        <f ca="1">IFERROR(__xludf.DUMMYFUNCTION("IF(SUM(COUNTIF(artists!A:A, SPLIT(D28, "",""))) &gt; 0, ""UA"", 0)"),"UA")</f>
        <v>UA</v>
      </c>
      <c r="J28" s="40">
        <f ca="1">IFERROR(__xludf.DUMMYFUNCTION("IF(SUM(COUNTIF(artists!C:C, SPLIT(D28, "",""))) &gt; 0, ""RU"", 0)"),0)</f>
        <v>0</v>
      </c>
      <c r="K28" s="39">
        <f ca="1">IFERROR(__xludf.DUMMYFUNCTION("IF(SUM(COUNTIF(artists!E:E, SPLIT(D28, "",""))) &gt; 0, ""OTHER"", 0)"),0)</f>
        <v>0</v>
      </c>
    </row>
    <row r="29" spans="1:11" ht="14.25" customHeight="1">
      <c r="A29" s="21">
        <v>28</v>
      </c>
      <c r="B29" s="21">
        <v>30</v>
      </c>
      <c r="C29" s="21" t="s">
        <v>160</v>
      </c>
      <c r="D29" s="21" t="s">
        <v>161</v>
      </c>
      <c r="E29" s="21">
        <v>28</v>
      </c>
      <c r="F29" s="21">
        <v>353975</v>
      </c>
      <c r="G29" s="42">
        <v>0.33100000000000002</v>
      </c>
      <c r="H29" s="21" t="s">
        <v>163</v>
      </c>
      <c r="I29" s="39" t="str">
        <f ca="1">IFERROR(__xludf.DUMMYFUNCTION("IF(SUM(COUNTIF(artists!A:A, SPLIT(D29, "",""))) &gt; 0, ""UA"", 0)"),"UA")</f>
        <v>UA</v>
      </c>
      <c r="J29" s="40">
        <f ca="1">IFERROR(__xludf.DUMMYFUNCTION("IF(SUM(COUNTIF(artists!C:C, SPLIT(D29, "",""))) &gt; 0, ""RU"", 0)"),0)</f>
        <v>0</v>
      </c>
      <c r="K29" s="39">
        <f ca="1">IFERROR(__xludf.DUMMYFUNCTION("IF(SUM(COUNTIF(artists!E:E, SPLIT(D29, "",""))) &gt; 0, ""OTHER"", 0)"),0)</f>
        <v>0</v>
      </c>
    </row>
    <row r="30" spans="1:11" ht="14.25" customHeight="1">
      <c r="A30" s="21">
        <v>29</v>
      </c>
      <c r="B30" s="21">
        <v>43</v>
      </c>
      <c r="C30" s="21" t="s">
        <v>876</v>
      </c>
      <c r="D30" s="21" t="s">
        <v>877</v>
      </c>
      <c r="E30" s="21">
        <v>24</v>
      </c>
      <c r="F30" s="21">
        <v>345811</v>
      </c>
      <c r="G30" s="43">
        <v>0.5</v>
      </c>
      <c r="H30" s="21" t="s">
        <v>878</v>
      </c>
      <c r="I30" s="39">
        <f ca="1">IFERROR(__xludf.DUMMYFUNCTION("IF(SUM(COUNTIF(artists!A:A, SPLIT(D30, "",""))) &gt; 0, ""UA"", 0)"),0)</f>
        <v>0</v>
      </c>
      <c r="J30" s="40">
        <f ca="1">IFERROR(__xludf.DUMMYFUNCTION("IF(SUM(COUNTIF(artists!C:C, SPLIT(D30, "",""))) &gt; 0, ""RU"", 0)"),0)</f>
        <v>0</v>
      </c>
      <c r="K30" s="39" t="str">
        <f ca="1">IFERROR(__xludf.DUMMYFUNCTION("IF(SUM(COUNTIF(artists!E:E, SPLIT(D30, "",""))) &gt; 0, ""OTHER"", 0)"),"OTHER")</f>
        <v>OTHER</v>
      </c>
    </row>
    <row r="31" spans="1:11" ht="14.25" customHeight="1">
      <c r="A31" s="21">
        <v>30</v>
      </c>
      <c r="C31" s="21" t="s">
        <v>918</v>
      </c>
      <c r="D31" s="21" t="s">
        <v>108</v>
      </c>
      <c r="E31" s="21">
        <v>48</v>
      </c>
      <c r="F31" s="21">
        <v>325037</v>
      </c>
      <c r="H31" s="21" t="s">
        <v>919</v>
      </c>
      <c r="I31" s="39" t="str">
        <f ca="1">IFERROR(__xludf.DUMMYFUNCTION("IF(SUM(COUNTIF(artists!A:A, SPLIT(D31, "",""))) &gt; 0, ""UA"", 0)"),"UA")</f>
        <v>UA</v>
      </c>
      <c r="J31" s="40">
        <f ca="1">IFERROR(__xludf.DUMMYFUNCTION("IF(SUM(COUNTIF(artists!C:C, SPLIT(D31, "",""))) &gt; 0, ""RU"", 0)"),0)</f>
        <v>0</v>
      </c>
      <c r="K31" s="39">
        <f ca="1">IFERROR(__xludf.DUMMYFUNCTION("IF(SUM(COUNTIF(artists!E:E, SPLIT(D31, "",""))) &gt; 0, ""OTHER"", 0)"),0)</f>
        <v>0</v>
      </c>
    </row>
    <row r="32" spans="1:11" ht="14.25" customHeight="1">
      <c r="A32" s="21">
        <v>31</v>
      </c>
      <c r="B32" s="21">
        <v>46</v>
      </c>
      <c r="C32" s="21" t="s">
        <v>107</v>
      </c>
      <c r="D32" s="21" t="s">
        <v>108</v>
      </c>
      <c r="E32" s="21">
        <v>2</v>
      </c>
      <c r="F32" s="21">
        <v>320483</v>
      </c>
      <c r="G32" s="42">
        <v>0.49099999999999999</v>
      </c>
      <c r="H32" s="21" t="s">
        <v>110</v>
      </c>
      <c r="I32" s="39" t="str">
        <f ca="1">IFERROR(__xludf.DUMMYFUNCTION("IF(SUM(COUNTIF(artists!A:A, SPLIT(D32, "",""))) &gt; 0, ""UA"", 0)"),"UA")</f>
        <v>UA</v>
      </c>
      <c r="J32" s="40">
        <f ca="1">IFERROR(__xludf.DUMMYFUNCTION("IF(SUM(COUNTIF(artists!C:C, SPLIT(D32, "",""))) &gt; 0, ""RU"", 0)"),0)</f>
        <v>0</v>
      </c>
      <c r="K32" s="39">
        <f ca="1">IFERROR(__xludf.DUMMYFUNCTION("IF(SUM(COUNTIF(artists!E:E, SPLIT(D32, "",""))) &gt; 0, ""OTHER"", 0)"),0)</f>
        <v>0</v>
      </c>
    </row>
    <row r="33" spans="1:11" ht="14.25" customHeight="1">
      <c r="A33" s="21">
        <v>32</v>
      </c>
      <c r="B33" s="21">
        <v>26</v>
      </c>
      <c r="C33" s="21" t="s">
        <v>351</v>
      </c>
      <c r="D33" s="21" t="s">
        <v>352</v>
      </c>
      <c r="E33" s="21">
        <v>10</v>
      </c>
      <c r="F33" s="21">
        <v>313154</v>
      </c>
      <c r="G33" s="42">
        <v>3.2000000000000001E-2</v>
      </c>
      <c r="H33" s="21" t="s">
        <v>354</v>
      </c>
      <c r="I33" s="39" t="str">
        <f ca="1">IFERROR(__xludf.DUMMYFUNCTION("IF(SUM(COUNTIF(artists!A:A, SPLIT(D33, "",""))) &gt; 0, ""UA"", 0)"),"UA")</f>
        <v>UA</v>
      </c>
      <c r="J33" s="40">
        <f ca="1">IFERROR(__xludf.DUMMYFUNCTION("IF(SUM(COUNTIF(artists!C:C, SPLIT(D33, "",""))) &gt; 0, ""RU"", 0)"),0)</f>
        <v>0</v>
      </c>
      <c r="K33" s="39">
        <f ca="1">IFERROR(__xludf.DUMMYFUNCTION("IF(SUM(COUNTIF(artists!E:E, SPLIT(D33, "",""))) &gt; 0, ""OTHER"", 0)"),0)</f>
        <v>0</v>
      </c>
    </row>
    <row r="34" spans="1:11" ht="14.25" customHeight="1">
      <c r="A34" s="21">
        <v>33</v>
      </c>
      <c r="B34" s="21">
        <v>40</v>
      </c>
      <c r="C34" s="21" t="s">
        <v>653</v>
      </c>
      <c r="D34" s="21" t="s">
        <v>85</v>
      </c>
      <c r="E34" s="21">
        <v>10</v>
      </c>
      <c r="F34" s="21">
        <v>310291</v>
      </c>
      <c r="G34" s="42">
        <v>0.27100000000000002</v>
      </c>
      <c r="H34" s="21" t="s">
        <v>655</v>
      </c>
      <c r="I34" s="39" t="str">
        <f ca="1">IFERROR(__xludf.DUMMYFUNCTION("IF(SUM(COUNTIF(artists!A:A, SPLIT(D34, "",""))) &gt; 0, ""UA"", 0)"),"UA")</f>
        <v>UA</v>
      </c>
      <c r="J34" s="40">
        <f ca="1">IFERROR(__xludf.DUMMYFUNCTION("IF(SUM(COUNTIF(artists!C:C, SPLIT(D34, "",""))) &gt; 0, ""RU"", 0)"),0)</f>
        <v>0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B35" s="21">
        <v>29</v>
      </c>
      <c r="C35" s="21" t="s">
        <v>178</v>
      </c>
      <c r="D35" s="21" t="s">
        <v>179</v>
      </c>
      <c r="E35" s="21">
        <v>38</v>
      </c>
      <c r="F35" s="21">
        <v>305370</v>
      </c>
      <c r="G35" s="42">
        <v>0.11600000000000001</v>
      </c>
      <c r="H35" s="21" t="s">
        <v>181</v>
      </c>
      <c r="I35" s="39" t="str">
        <f ca="1">IFERROR(__xludf.DUMMYFUNCTION("IF(SUM(COUNTIF(artists!A:A, SPLIT(D35, "",""))) &gt; 0, ""UA"", 0)"),"UA")</f>
        <v>UA</v>
      </c>
      <c r="J35" s="40">
        <f ca="1">IFERROR(__xludf.DUMMYFUNCTION("IF(SUM(COUNTIF(artists!C:C, SPLIT(D35, "",""))) &gt; 0, ""RU"", 0)"),0)</f>
        <v>0</v>
      </c>
      <c r="K35" s="39">
        <f ca="1">IFERROR(__xludf.DUMMYFUNCTION("IF(SUM(COUNTIF(artists!E:E, SPLIT(D35, "",""))) &gt; 0, ""OTHER"", 0)"),0)</f>
        <v>0</v>
      </c>
    </row>
    <row r="36" spans="1:11" ht="14.25" customHeight="1">
      <c r="A36" s="21">
        <v>35</v>
      </c>
      <c r="B36" s="21">
        <v>37</v>
      </c>
      <c r="C36" s="21" t="s">
        <v>253</v>
      </c>
      <c r="D36" s="21" t="s">
        <v>89</v>
      </c>
      <c r="E36" s="21">
        <v>43</v>
      </c>
      <c r="F36" s="21">
        <v>294016</v>
      </c>
      <c r="G36" s="42">
        <v>0.17799999999999999</v>
      </c>
      <c r="H36" s="21" t="s">
        <v>254</v>
      </c>
      <c r="I36" s="39" t="str">
        <f ca="1">IFERROR(__xludf.DUMMYFUNCTION("IF(SUM(COUNTIF(artists!A:A, SPLIT(D36, "",""))) &gt; 0, ""UA"", 0)"),"UA")</f>
        <v>UA</v>
      </c>
      <c r="J36" s="40">
        <f ca="1">IFERROR(__xludf.DUMMYFUNCTION("IF(SUM(COUNTIF(artists!C:C, SPLIT(D36, "",""))) &gt; 0, ""RU"", 0)"),0)</f>
        <v>0</v>
      </c>
      <c r="K36" s="39">
        <f ca="1">IFERROR(__xludf.DUMMYFUNCTION("IF(SUM(COUNTIF(artists!E:E, SPLIT(D36, "",""))) &gt; 0, ""OTHER"", 0)"),0)</f>
        <v>0</v>
      </c>
    </row>
    <row r="37" spans="1:11" ht="14.25" customHeight="1">
      <c r="A37" s="21">
        <v>36</v>
      </c>
      <c r="B37" s="21">
        <v>31</v>
      </c>
      <c r="C37" s="21" t="s">
        <v>209</v>
      </c>
      <c r="D37" s="21" t="s">
        <v>210</v>
      </c>
      <c r="E37" s="21">
        <v>27</v>
      </c>
      <c r="F37" s="21">
        <v>293391</v>
      </c>
      <c r="G37" s="42">
        <v>0.111</v>
      </c>
      <c r="H37" s="21" t="s">
        <v>212</v>
      </c>
      <c r="I37" s="39" t="str">
        <f ca="1">IFERROR(__xludf.DUMMYFUNCTION("IF(SUM(COUNTIF(artists!A:A, SPLIT(D37, "",""))) &gt; 0, ""UA"", 0)"),"UA")</f>
        <v>UA</v>
      </c>
      <c r="J37" s="40">
        <f ca="1">IFERROR(__xludf.DUMMYFUNCTION("IF(SUM(COUNTIF(artists!C:C, SPLIT(D37, "",""))) &gt; 0, ""RU"", 0)"),0)</f>
        <v>0</v>
      </c>
      <c r="K37" s="39">
        <f ca="1">IFERROR(__xludf.DUMMYFUNCTION("IF(SUM(COUNTIF(artists!E:E, SPLIT(D37, "",""))) &gt; 0, ""OTHER"", 0)"),0)</f>
        <v>0</v>
      </c>
    </row>
    <row r="38" spans="1:11" ht="14.25" customHeight="1">
      <c r="A38" s="21">
        <v>37</v>
      </c>
      <c r="B38" s="21">
        <v>32</v>
      </c>
      <c r="C38" s="21" t="s">
        <v>500</v>
      </c>
      <c r="D38" s="21" t="s">
        <v>501</v>
      </c>
      <c r="E38" s="21">
        <v>13</v>
      </c>
      <c r="F38" s="21">
        <v>293351</v>
      </c>
      <c r="G38" s="42">
        <v>0.125</v>
      </c>
      <c r="H38" s="21" t="s">
        <v>503</v>
      </c>
      <c r="I38" s="39">
        <f ca="1">IFERROR(__xludf.DUMMYFUNCTION("IF(SUM(COUNTIF(artists!A:A, SPLIT(D38, "",""))) &gt; 0, ""UA"", 0)"),0)</f>
        <v>0</v>
      </c>
      <c r="J38" s="40" t="str">
        <f ca="1">IFERROR(__xludf.DUMMYFUNCTION("IF(SUM(COUNTIF(artists!C:C, SPLIT(D38, "",""))) &gt; 0, ""RU"", 0)"),"RU")</f>
        <v>RU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B39" s="21">
        <v>39</v>
      </c>
      <c r="C39" s="21" t="s">
        <v>198</v>
      </c>
      <c r="D39" s="21" t="s">
        <v>199</v>
      </c>
      <c r="E39" s="21">
        <v>15</v>
      </c>
      <c r="F39" s="21">
        <v>290587</v>
      </c>
      <c r="G39" s="42">
        <v>0.186</v>
      </c>
      <c r="H39" s="21" t="s">
        <v>201</v>
      </c>
      <c r="I39" s="39" t="str">
        <f ca="1">IFERROR(__xludf.DUMMYFUNCTION("IF(SUM(COUNTIF(artists!A:A, SPLIT(D39, "",""))) &gt; 0, ""UA"", 0)"),"UA")</f>
        <v>UA</v>
      </c>
      <c r="J39" s="40">
        <f ca="1">IFERROR(__xludf.DUMMYFUNCTION("IF(SUM(COUNTIF(artists!C:C, SPLIT(D39, "",""))) &gt; 0, ""RU"", 0)"),0)</f>
        <v>0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C40" s="21" t="s">
        <v>84</v>
      </c>
      <c r="D40" s="21" t="s">
        <v>85</v>
      </c>
      <c r="E40" s="21">
        <v>1</v>
      </c>
      <c r="F40" s="21">
        <v>290146</v>
      </c>
      <c r="H40" s="21" t="s">
        <v>87</v>
      </c>
      <c r="I40" s="39" t="str">
        <f ca="1">IFERROR(__xludf.DUMMYFUNCTION("IF(SUM(COUNTIF(artists!A:A, SPLIT(D40, "",""))) &gt; 0, ""UA"", 0)"),"UA")</f>
        <v>UA</v>
      </c>
      <c r="J40" s="40">
        <f ca="1">IFERROR(__xludf.DUMMYFUNCTION("IF(SUM(COUNTIF(artists!C:C, SPLIT(D40, "",""))) &gt; 0, ""RU"", 0)"),0)</f>
        <v>0</v>
      </c>
      <c r="K40" s="39">
        <f ca="1">IFERROR(__xludf.DUMMYFUNCTION("IF(SUM(COUNTIF(artists!E:E, SPLIT(D40, "",""))) &gt; 0, ""OTHER"", 0)"),0)</f>
        <v>0</v>
      </c>
    </row>
    <row r="41" spans="1:11" ht="14.25" customHeight="1">
      <c r="A41" s="21">
        <v>40</v>
      </c>
      <c r="B41" s="21">
        <v>6</v>
      </c>
      <c r="C41" s="21" t="s">
        <v>915</v>
      </c>
      <c r="D41" s="21" t="s">
        <v>916</v>
      </c>
      <c r="E41" s="21">
        <v>3</v>
      </c>
      <c r="F41" s="21">
        <v>289839</v>
      </c>
      <c r="G41" s="42">
        <v>-0.53200000000000003</v>
      </c>
      <c r="H41" s="21" t="s">
        <v>917</v>
      </c>
      <c r="I41" s="39">
        <f ca="1">IFERROR(__xludf.DUMMYFUNCTION("IF(SUM(COUNTIF(artists!A:A, SPLIT(D41, "",""))) &gt; 0, ""UA"", 0)"),0)</f>
        <v>0</v>
      </c>
      <c r="J41" s="40" t="str">
        <f ca="1">IFERROR(__xludf.DUMMYFUNCTION("IF(SUM(COUNTIF(artists!C:C, SPLIT(D41, "",""))) &gt; 0, ""RU"", 0)"),"RU")</f>
        <v>RU</v>
      </c>
      <c r="K41" s="39">
        <f ca="1">IFERROR(__xludf.DUMMYFUNCTION("IF(SUM(COUNTIF(artists!E:E, SPLIT(D41, "",""))) &gt; 0, ""OTHER"", 0)"),0)</f>
        <v>0</v>
      </c>
    </row>
    <row r="42" spans="1:11" ht="14.25" customHeight="1">
      <c r="A42" s="21">
        <v>41</v>
      </c>
      <c r="C42" s="21" t="s">
        <v>164</v>
      </c>
      <c r="D42" s="21" t="s">
        <v>165</v>
      </c>
      <c r="E42" s="21">
        <v>1</v>
      </c>
      <c r="F42" s="21">
        <v>289401</v>
      </c>
      <c r="H42" s="21" t="s">
        <v>167</v>
      </c>
      <c r="I42" s="39" t="str">
        <f ca="1">IFERROR(__xludf.DUMMYFUNCTION("IF(SUM(COUNTIF(artists!A:A, SPLIT(D42, "",""))) &gt; 0, ""UA"", 0)"),"UA")</f>
        <v>UA</v>
      </c>
      <c r="J42" s="40">
        <f ca="1">IFERROR(__xludf.DUMMYFUNCTION("IF(SUM(COUNTIF(artists!C:C, SPLIT(D42, "",""))) &gt; 0, ""RU"", 0)"),0)</f>
        <v>0</v>
      </c>
      <c r="K42" s="39">
        <f ca="1">IFERROR(__xludf.DUMMYFUNCTION("IF(SUM(COUNTIF(artists!E:E, SPLIT(D42, "",""))) &gt; 0, ""OTHER"", 0)"),0)</f>
        <v>0</v>
      </c>
    </row>
    <row r="43" spans="1:11" ht="14.25" customHeight="1">
      <c r="A43" s="21">
        <v>42</v>
      </c>
      <c r="B43" s="21">
        <v>33</v>
      </c>
      <c r="C43" s="21" t="s">
        <v>190</v>
      </c>
      <c r="D43" s="21" t="s">
        <v>191</v>
      </c>
      <c r="E43" s="21">
        <v>9</v>
      </c>
      <c r="F43" s="21">
        <v>284081</v>
      </c>
      <c r="G43" s="42">
        <v>9.8000000000000004E-2</v>
      </c>
      <c r="H43" s="21" t="s">
        <v>193</v>
      </c>
      <c r="I43" s="39" t="str">
        <f ca="1">IFERROR(__xludf.DUMMYFUNCTION("IF(SUM(COUNTIF(artists!A:A, SPLIT(D43, "",""))) &gt; 0, ""UA"", 0)"),"UA")</f>
        <v>UA</v>
      </c>
      <c r="J43" s="40">
        <f ca="1">IFERROR(__xludf.DUMMYFUNCTION("IF(SUM(COUNTIF(artists!C:C, SPLIT(D43, "",""))) &gt; 0, ""RU"", 0)"),0)</f>
        <v>0</v>
      </c>
      <c r="K43" s="39">
        <f ca="1">IFERROR(__xludf.DUMMYFUNCTION("IF(SUM(COUNTIF(artists!E:E, SPLIT(D43, "",""))) &gt; 0, ""OTHER"", 0)"),0)</f>
        <v>0</v>
      </c>
    </row>
    <row r="44" spans="1:11" ht="14.25" customHeight="1">
      <c r="A44" s="21">
        <v>43</v>
      </c>
      <c r="B44" s="21">
        <v>36</v>
      </c>
      <c r="C44" s="21" t="s">
        <v>251</v>
      </c>
      <c r="D44" s="21" t="s">
        <v>133</v>
      </c>
      <c r="E44" s="21">
        <v>19</v>
      </c>
      <c r="F44" s="21">
        <v>283226</v>
      </c>
      <c r="G44" s="42">
        <v>0.124</v>
      </c>
      <c r="H44" s="21" t="s">
        <v>252</v>
      </c>
      <c r="I44" s="39" t="str">
        <f ca="1">IFERROR(__xludf.DUMMYFUNCTION("IF(SUM(COUNTIF(artists!A:A, SPLIT(D44, "",""))) &gt; 0, ""UA"", 0)"),"UA")</f>
        <v>UA</v>
      </c>
      <c r="J44" s="40">
        <f ca="1">IFERROR(__xludf.DUMMYFUNCTION("IF(SUM(COUNTIF(artists!C:C, SPLIT(D44, "",""))) &gt; 0, ""RU"", 0)"),0)</f>
        <v>0</v>
      </c>
      <c r="K44" s="39">
        <f ca="1">IFERROR(__xludf.DUMMYFUNCTION("IF(SUM(COUNTIF(artists!E:E, SPLIT(D44, "",""))) &gt; 0, ""OTHER"", 0)"),0)</f>
        <v>0</v>
      </c>
    </row>
    <row r="45" spans="1:11" ht="14.25" customHeight="1">
      <c r="A45" s="21">
        <v>44</v>
      </c>
      <c r="B45" s="21">
        <v>34</v>
      </c>
      <c r="C45" s="21" t="s">
        <v>841</v>
      </c>
      <c r="D45" s="21" t="s">
        <v>842</v>
      </c>
      <c r="E45" s="21">
        <v>39</v>
      </c>
      <c r="F45" s="21">
        <v>281159</v>
      </c>
      <c r="G45" s="42">
        <v>9.8000000000000004E-2</v>
      </c>
      <c r="H45" s="21" t="s">
        <v>843</v>
      </c>
      <c r="I45" s="39">
        <f ca="1">IFERROR(__xludf.DUMMYFUNCTION("IF(SUM(COUNTIF(artists!A:A, SPLIT(D45, "",""))) &gt; 0, ""UA"", 0)"),0)</f>
        <v>0</v>
      </c>
      <c r="J45" s="40">
        <f ca="1">IFERROR(__xludf.DUMMYFUNCTION("IF(SUM(COUNTIF(artists!C:C, SPLIT(D45, "",""))) &gt; 0, ""RU"", 0)"),0)</f>
        <v>0</v>
      </c>
      <c r="K45" s="39" t="str">
        <f ca="1">IFERROR(__xludf.DUMMYFUNCTION("IF(SUM(COUNTIF(artists!E:E, SPLIT(D45, "",""))) &gt; 0, ""OTHER"", 0)"),"OTHER")</f>
        <v>OTHER</v>
      </c>
    </row>
    <row r="46" spans="1:11" ht="14.25" customHeight="1">
      <c r="A46" s="21">
        <v>45</v>
      </c>
      <c r="B46" s="21">
        <v>68</v>
      </c>
      <c r="C46" s="21" t="s">
        <v>247</v>
      </c>
      <c r="D46" s="21" t="s">
        <v>454</v>
      </c>
      <c r="E46" s="21">
        <v>11</v>
      </c>
      <c r="F46" s="21">
        <v>273366</v>
      </c>
      <c r="G46" s="42">
        <v>0.71699999999999997</v>
      </c>
      <c r="H46" s="21" t="s">
        <v>250</v>
      </c>
      <c r="I46" s="39" t="str">
        <f ca="1">IFERROR(__xludf.DUMMYFUNCTION("IF(SUM(COUNTIF(artists!A:A, SPLIT(D46, "",""))) &gt; 0, ""UA"", 0)"),"UA")</f>
        <v>UA</v>
      </c>
      <c r="J46" s="40">
        <f ca="1">IFERROR(__xludf.DUMMYFUNCTION("IF(SUM(COUNTIF(artists!C:C, SPLIT(D46, "",""))) &gt; 0, ""RU"", 0)"),0)</f>
        <v>0</v>
      </c>
      <c r="K46" s="39">
        <f ca="1">IFERROR(__xludf.DUMMYFUNCTION("IF(SUM(COUNTIF(artists!E:E, SPLIT(D46, "",""))) &gt; 0, ""OTHER"", 0)"),0)</f>
        <v>0</v>
      </c>
    </row>
    <row r="47" spans="1:11" ht="14.25" customHeight="1">
      <c r="A47" s="21">
        <v>46</v>
      </c>
      <c r="B47" s="21">
        <v>35</v>
      </c>
      <c r="C47" s="21" t="s">
        <v>844</v>
      </c>
      <c r="D47" s="21" t="s">
        <v>457</v>
      </c>
      <c r="E47" s="21">
        <v>14</v>
      </c>
      <c r="F47" s="21">
        <v>270986</v>
      </c>
      <c r="G47" s="42">
        <v>5.8000000000000003E-2</v>
      </c>
      <c r="H47" s="21" t="s">
        <v>459</v>
      </c>
      <c r="I47" s="39">
        <f ca="1">IFERROR(__xludf.DUMMYFUNCTION("IF(SUM(COUNTIF(artists!A:A, SPLIT(D47, "",""))) &gt; 0, ""UA"", 0)"),0)</f>
        <v>0</v>
      </c>
      <c r="J47" s="40">
        <f ca="1">IFERROR(__xludf.DUMMYFUNCTION("IF(SUM(COUNTIF(artists!C:C, SPLIT(D47, "",""))) &gt; 0, ""RU"", 0)"),0)</f>
        <v>0</v>
      </c>
      <c r="K47" s="39" t="str">
        <f ca="1">IFERROR(__xludf.DUMMYFUNCTION("IF(SUM(COUNTIF(artists!E:E, SPLIT(D47, "",""))) &gt; 0, ""OTHER"", 0)"),"OTHER")</f>
        <v>OTHER</v>
      </c>
    </row>
    <row r="48" spans="1:11" ht="14.25" customHeight="1">
      <c r="A48" s="21">
        <v>47</v>
      </c>
      <c r="C48" s="21" t="s">
        <v>221</v>
      </c>
      <c r="D48" s="21" t="s">
        <v>222</v>
      </c>
      <c r="E48" s="21">
        <v>4</v>
      </c>
      <c r="F48" s="21">
        <v>262098</v>
      </c>
      <c r="H48" s="21" t="s">
        <v>224</v>
      </c>
      <c r="I48" s="39">
        <f ca="1">IFERROR(__xludf.DUMMYFUNCTION("IF(SUM(COUNTIF(artists!A:A, SPLIT(D48, "",""))) &gt; 0, ""UA"", 0)"),0)</f>
        <v>0</v>
      </c>
      <c r="J48" s="40">
        <f ca="1">IFERROR(__xludf.DUMMYFUNCTION("IF(SUM(COUNTIF(artists!C:C, SPLIT(D48, "",""))) &gt; 0, ""RU"", 0)"),0)</f>
        <v>0</v>
      </c>
      <c r="K48" s="39" t="str">
        <f ca="1">IFERROR(__xludf.DUMMYFUNCTION("IF(SUM(COUNTIF(artists!E:E, SPLIT(D48, "",""))) &gt; 0, ""OTHER"", 0)"),"OTHER")</f>
        <v>OTHER</v>
      </c>
    </row>
    <row r="49" spans="1:11" ht="14.25" customHeight="1">
      <c r="A49" s="21">
        <v>48</v>
      </c>
      <c r="B49" s="21">
        <v>45</v>
      </c>
      <c r="C49" s="21" t="s">
        <v>229</v>
      </c>
      <c r="D49" s="21" t="s">
        <v>230</v>
      </c>
      <c r="E49" s="21">
        <v>41</v>
      </c>
      <c r="F49" s="21">
        <v>259778</v>
      </c>
      <c r="G49" s="42">
        <v>0.16600000000000001</v>
      </c>
      <c r="H49" s="21" t="s">
        <v>232</v>
      </c>
      <c r="I49" s="39" t="str">
        <f ca="1">IFERROR(__xludf.DUMMYFUNCTION("IF(SUM(COUNTIF(artists!A:A, SPLIT(D49, "",""))) &gt; 0, ""UA"", 0)"),"UA")</f>
        <v>UA</v>
      </c>
      <c r="J49" s="40">
        <f ca="1">IFERROR(__xludf.DUMMYFUNCTION("IF(SUM(COUNTIF(artists!C:C, SPLIT(D49, "",""))) &gt; 0, ""RU"", 0)"),0)</f>
        <v>0</v>
      </c>
      <c r="K49" s="39">
        <f ca="1">IFERROR(__xludf.DUMMYFUNCTION("IF(SUM(COUNTIF(artists!E:E, SPLIT(D49, "",""))) &gt; 0, ""OTHER"", 0)"),0)</f>
        <v>0</v>
      </c>
    </row>
    <row r="50" spans="1:11" ht="14.25" customHeight="1">
      <c r="A50" s="21">
        <v>49</v>
      </c>
      <c r="B50" s="21">
        <v>47</v>
      </c>
      <c r="C50" s="21" t="s">
        <v>594</v>
      </c>
      <c r="D50" s="21" t="s">
        <v>595</v>
      </c>
      <c r="E50" s="21">
        <v>22</v>
      </c>
      <c r="F50" s="21">
        <v>246205</v>
      </c>
      <c r="G50" s="42">
        <v>0.161</v>
      </c>
      <c r="H50" s="21" t="s">
        <v>596</v>
      </c>
      <c r="I50" s="39" t="str">
        <f ca="1">IFERROR(__xludf.DUMMYFUNCTION("IF(SUM(COUNTIF(artists!A:A, SPLIT(D50, "",""))) &gt; 0, ""UA"", 0)"),"UA")</f>
        <v>UA</v>
      </c>
      <c r="J50" s="40">
        <f ca="1">IFERROR(__xludf.DUMMYFUNCTION("IF(SUM(COUNTIF(artists!C:C, SPLIT(D50, "",""))) &gt; 0, ""RU"", 0)"),0)</f>
        <v>0</v>
      </c>
      <c r="K50" s="39">
        <f ca="1">IFERROR(__xludf.DUMMYFUNCTION("IF(SUM(COUNTIF(artists!E:E, SPLIT(D50, "",""))) &gt; 0, ""OTHER"", 0)"),0)</f>
        <v>0</v>
      </c>
    </row>
    <row r="51" spans="1:11" ht="14.25" customHeight="1">
      <c r="A51" s="21">
        <v>50</v>
      </c>
      <c r="C51" s="21" t="s">
        <v>462</v>
      </c>
      <c r="D51" s="21" t="s">
        <v>463</v>
      </c>
      <c r="E51" s="21">
        <v>21</v>
      </c>
      <c r="F51" s="21">
        <v>244135</v>
      </c>
      <c r="H51" s="21" t="s">
        <v>465</v>
      </c>
      <c r="I51" s="39" t="str">
        <f ca="1">IFERROR(__xludf.DUMMYFUNCTION("IF(SUM(COUNTIF(artists!A:A, SPLIT(D51, "",""))) &gt; 0, ""UA"", 0)"),"UA")</f>
        <v>UA</v>
      </c>
      <c r="J51" s="40">
        <f ca="1">IFERROR(__xludf.DUMMYFUNCTION("IF(SUM(COUNTIF(artists!C:C, SPLIT(D51, "",""))) &gt; 0, ""RU"", 0)"),0)</f>
        <v>0</v>
      </c>
      <c r="K51" s="39">
        <f ca="1">IFERROR(__xludf.DUMMYFUNCTION("IF(SUM(COUNTIF(artists!E:E, SPLIT(D51, "",""))) &gt; 0, ""OTHER"", 0)"),0)</f>
        <v>0</v>
      </c>
    </row>
    <row r="52" spans="1:11" ht="14.25" customHeight="1">
      <c r="A52" s="21">
        <v>51</v>
      </c>
      <c r="B52" s="21">
        <v>49</v>
      </c>
      <c r="C52" s="21" t="s">
        <v>508</v>
      </c>
      <c r="D52" s="21" t="s">
        <v>509</v>
      </c>
      <c r="E52" s="21">
        <v>15</v>
      </c>
      <c r="F52" s="21">
        <v>242818</v>
      </c>
      <c r="G52" s="42">
        <v>0.184</v>
      </c>
      <c r="H52" s="21" t="s">
        <v>510</v>
      </c>
      <c r="I52" s="39">
        <f ca="1">IFERROR(__xludf.DUMMYFUNCTION("IF(SUM(COUNTIF(artists!A:A, SPLIT(D52, "",""))) &gt; 0, ""UA"", 0)"),0)</f>
        <v>0</v>
      </c>
      <c r="J52" s="40" t="str">
        <f ca="1">IFERROR(__xludf.DUMMYFUNCTION("IF(SUM(COUNTIF(artists!C:C, SPLIT(D52, "",""))) &gt; 0, ""RU"", 0)"),"RU")</f>
        <v>RU</v>
      </c>
      <c r="K52" s="39">
        <f ca="1">IFERROR(__xludf.DUMMYFUNCTION("IF(SUM(COUNTIF(artists!E:E, SPLIT(D52, "",""))) &gt; 0, ""OTHER"", 0)"),0)</f>
        <v>0</v>
      </c>
    </row>
    <row r="53" spans="1:11" ht="14.25" customHeight="1">
      <c r="A53" s="21">
        <v>52</v>
      </c>
      <c r="C53" s="21" t="s">
        <v>277</v>
      </c>
      <c r="D53" s="21" t="s">
        <v>125</v>
      </c>
      <c r="E53" s="21">
        <v>1</v>
      </c>
      <c r="F53" s="21">
        <v>239816</v>
      </c>
      <c r="H53" s="21" t="s">
        <v>279</v>
      </c>
      <c r="I53" s="39">
        <f ca="1">IFERROR(__xludf.DUMMYFUNCTION("IF(SUM(COUNTIF(artists!A:A, SPLIT(D53, "",""))) &gt; 0, ""UA"", 0)"),0)</f>
        <v>0</v>
      </c>
      <c r="J53" s="40" t="str">
        <f ca="1">IFERROR(__xludf.DUMMYFUNCTION("IF(SUM(COUNTIF(artists!C:C, SPLIT(D53, "",""))) &gt; 0, ""RU"", 0)"),"RU")</f>
        <v>RU</v>
      </c>
      <c r="K53" s="39">
        <f ca="1">IFERROR(__xludf.DUMMYFUNCTION("IF(SUM(COUNTIF(artists!E:E, SPLIT(D53, "",""))) &gt; 0, ""OTHER"", 0)"),0)</f>
        <v>0</v>
      </c>
    </row>
    <row r="54" spans="1:11" ht="14.25" customHeight="1">
      <c r="A54" s="21">
        <v>53</v>
      </c>
      <c r="B54" s="21">
        <v>51</v>
      </c>
      <c r="C54" s="21" t="s">
        <v>339</v>
      </c>
      <c r="D54" s="21" t="s">
        <v>340</v>
      </c>
      <c r="E54" s="21">
        <v>10</v>
      </c>
      <c r="F54" s="21">
        <v>238549</v>
      </c>
      <c r="G54" s="42">
        <v>0.214</v>
      </c>
      <c r="H54" s="21" t="s">
        <v>342</v>
      </c>
      <c r="I54" s="39" t="str">
        <f ca="1">IFERROR(__xludf.DUMMYFUNCTION("IF(SUM(COUNTIF(artists!A:A, SPLIT(D54, "",""))) &gt; 0, ""UA"", 0)"),"UA")</f>
        <v>UA</v>
      </c>
      <c r="J54" s="40">
        <f ca="1">IFERROR(__xludf.DUMMYFUNCTION("IF(SUM(COUNTIF(artists!C:C, SPLIT(D54, "",""))) &gt; 0, ""RU"", 0)"),0)</f>
        <v>0</v>
      </c>
      <c r="K54" s="39">
        <f ca="1">IFERROR(__xludf.DUMMYFUNCTION("IF(SUM(COUNTIF(artists!E:E, SPLIT(D54, "",""))) &gt; 0, ""OTHER"", 0)"),0)</f>
        <v>0</v>
      </c>
    </row>
    <row r="55" spans="1:11" ht="14.25" customHeight="1">
      <c r="A55" s="21">
        <v>54</v>
      </c>
      <c r="B55" s="21">
        <v>53</v>
      </c>
      <c r="C55" s="21" t="s">
        <v>298</v>
      </c>
      <c r="D55" s="21" t="s">
        <v>299</v>
      </c>
      <c r="E55" s="21">
        <v>11</v>
      </c>
      <c r="F55" s="21">
        <v>237767</v>
      </c>
      <c r="G55" s="42">
        <v>0.218</v>
      </c>
      <c r="H55" s="21" t="s">
        <v>300</v>
      </c>
      <c r="I55" s="39">
        <f ca="1">IFERROR(__xludf.DUMMYFUNCTION("IF(SUM(COUNTIF(artists!A:A, SPLIT(D55, "",""))) &gt; 0, ""UA"", 0)"),0)</f>
        <v>0</v>
      </c>
      <c r="J55" s="40">
        <f ca="1">IFERROR(__xludf.DUMMYFUNCTION("IF(SUM(COUNTIF(artists!C:C, SPLIT(D55, "",""))) &gt; 0, ""RU"", 0)"),0)</f>
        <v>0</v>
      </c>
      <c r="K55" s="39" t="str">
        <f ca="1">IFERROR(__xludf.DUMMYFUNCTION("IF(SUM(COUNTIF(artists!E:E, SPLIT(D55, "",""))) &gt; 0, ""OTHER"", 0)"),"OTHER")</f>
        <v>OTHER</v>
      </c>
    </row>
    <row r="56" spans="1:11" ht="14.25" customHeight="1">
      <c r="A56" s="21">
        <v>55</v>
      </c>
      <c r="B56" s="21">
        <v>56</v>
      </c>
      <c r="C56" s="21" t="s">
        <v>264</v>
      </c>
      <c r="D56" s="21" t="s">
        <v>265</v>
      </c>
      <c r="E56" s="21">
        <v>12</v>
      </c>
      <c r="F56" s="21">
        <v>232916</v>
      </c>
      <c r="G56" s="42">
        <v>0.25900000000000001</v>
      </c>
      <c r="H56" s="21" t="s">
        <v>267</v>
      </c>
      <c r="I56" s="39">
        <f ca="1">IFERROR(__xludf.DUMMYFUNCTION("IF(SUM(COUNTIF(artists!A:A, SPLIT(D56, "",""))) &gt; 0, ""UA"", 0)"),0)</f>
        <v>0</v>
      </c>
      <c r="J56" s="40">
        <f ca="1">IFERROR(__xludf.DUMMYFUNCTION("IF(SUM(COUNTIF(artists!C:C, SPLIT(D56, "",""))) &gt; 0, ""RU"", 0)"),0)</f>
        <v>0</v>
      </c>
      <c r="K56" s="39" t="str">
        <f ca="1">IFERROR(__xludf.DUMMYFUNCTION("IF(SUM(COUNTIF(artists!E:E, SPLIT(D56, "",""))) &gt; 0, ""OTHER"", 0)"),"OTHER")</f>
        <v>OTHER</v>
      </c>
    </row>
    <row r="57" spans="1:11" ht="14.25" customHeight="1">
      <c r="A57" s="21">
        <v>56</v>
      </c>
      <c r="B57" s="21">
        <v>44</v>
      </c>
      <c r="C57" s="21" t="s">
        <v>814</v>
      </c>
      <c r="D57" s="21" t="s">
        <v>815</v>
      </c>
      <c r="E57" s="21">
        <v>4</v>
      </c>
      <c r="F57" s="21">
        <v>232875</v>
      </c>
      <c r="G57" s="42">
        <v>2.1000000000000001E-2</v>
      </c>
      <c r="H57" s="21" t="s">
        <v>817</v>
      </c>
      <c r="I57" s="39">
        <f ca="1">IFERROR(__xludf.DUMMYFUNCTION("IF(SUM(COUNTIF(artists!A:A, SPLIT(D57, "",""))) &gt; 0, ""UA"", 0)"),0)</f>
        <v>0</v>
      </c>
      <c r="J57" s="40" t="str">
        <f ca="1">IFERROR(__xludf.DUMMYFUNCTION("IF(SUM(COUNTIF(artists!C:C, SPLIT(D57, "",""))) &gt; 0, ""RU"", 0)"),"RU")</f>
        <v>RU</v>
      </c>
      <c r="K57" s="39">
        <f ca="1">IFERROR(__xludf.DUMMYFUNCTION("IF(SUM(COUNTIF(artists!E:E, SPLIT(D57, "",""))) &gt; 0, ""OTHER"", 0)"),0)</f>
        <v>0</v>
      </c>
    </row>
    <row r="58" spans="1:11" ht="14.25" customHeight="1">
      <c r="A58" s="21">
        <v>57</v>
      </c>
      <c r="B58" s="21">
        <v>52</v>
      </c>
      <c r="C58" s="21" t="s">
        <v>742</v>
      </c>
      <c r="D58" s="21" t="s">
        <v>743</v>
      </c>
      <c r="E58" s="21">
        <v>16</v>
      </c>
      <c r="F58" s="21">
        <v>226671</v>
      </c>
      <c r="G58" s="42">
        <v>0.154</v>
      </c>
      <c r="H58" s="21" t="s">
        <v>744</v>
      </c>
      <c r="I58" s="39">
        <f ca="1">IFERROR(__xludf.DUMMYFUNCTION("IF(SUM(COUNTIF(artists!A:A, SPLIT(D58, "",""))) &gt; 0, ""UA"", 0)"),0)</f>
        <v>0</v>
      </c>
      <c r="J58" s="40" t="str">
        <f ca="1">IFERROR(__xludf.DUMMYFUNCTION("IF(SUM(COUNTIF(artists!C:C, SPLIT(D58, "",""))) &gt; 0, ""RU"", 0)"),"RU")</f>
        <v>RU</v>
      </c>
      <c r="K58" s="39">
        <f ca="1">IFERROR(__xludf.DUMMYFUNCTION("IF(SUM(COUNTIF(artists!E:E, SPLIT(D58, "",""))) &gt; 0, ""OTHER"", 0)"),0)</f>
        <v>0</v>
      </c>
    </row>
    <row r="59" spans="1:11" ht="14.25" customHeight="1">
      <c r="A59" s="21">
        <v>58</v>
      </c>
      <c r="B59" s="21">
        <v>55</v>
      </c>
      <c r="C59" s="21" t="s">
        <v>667</v>
      </c>
      <c r="D59" s="21" t="s">
        <v>668</v>
      </c>
      <c r="E59" s="21">
        <v>15</v>
      </c>
      <c r="F59" s="21">
        <v>222952</v>
      </c>
      <c r="G59" s="42">
        <v>0.19400000000000001</v>
      </c>
      <c r="H59" s="21" t="s">
        <v>669</v>
      </c>
      <c r="I59" s="39">
        <f ca="1">IFERROR(__xludf.DUMMYFUNCTION("IF(SUM(COUNTIF(artists!A:A, SPLIT(D59, "",""))) &gt; 0, ""UA"", 0)"),0)</f>
        <v>0</v>
      </c>
      <c r="J59" s="40" t="str">
        <f ca="1">IFERROR(__xludf.DUMMYFUNCTION("IF(SUM(COUNTIF(artists!C:C, SPLIT(D59, "",""))) &gt; 0, ""RU"", 0)"),"RU")</f>
        <v>RU</v>
      </c>
      <c r="K59" s="39">
        <f ca="1">IFERROR(__xludf.DUMMYFUNCTION("IF(SUM(COUNTIF(artists!E:E, SPLIT(D59, "",""))) &gt; 0, ""OTHER"", 0)"),0)</f>
        <v>0</v>
      </c>
    </row>
    <row r="60" spans="1:11" ht="14.25" customHeight="1">
      <c r="A60" s="21">
        <v>59</v>
      </c>
      <c r="B60" s="21">
        <v>59</v>
      </c>
      <c r="C60" s="21" t="s">
        <v>686</v>
      </c>
      <c r="D60" s="21" t="s">
        <v>687</v>
      </c>
      <c r="E60" s="21">
        <v>7</v>
      </c>
      <c r="F60" s="21">
        <v>222390</v>
      </c>
      <c r="G60" s="42">
        <v>0.23200000000000001</v>
      </c>
      <c r="H60" s="21" t="s">
        <v>920</v>
      </c>
      <c r="I60" s="39">
        <f ca="1">IFERROR(__xludf.DUMMYFUNCTION("IF(SUM(COUNTIF(artists!A:A, SPLIT(D60, "",""))) &gt; 0, ""UA"", 0)"),0)</f>
        <v>0</v>
      </c>
      <c r="J60" s="40" t="str">
        <f ca="1">IFERROR(__xludf.DUMMYFUNCTION("IF(SUM(COUNTIF(artists!C:C, SPLIT(D60, "",""))) &gt; 0, ""RU"", 0)"),"RU")</f>
        <v>RU</v>
      </c>
      <c r="K60" s="39">
        <f ca="1">IFERROR(__xludf.DUMMYFUNCTION("IF(SUM(COUNTIF(artists!E:E, SPLIT(D60, "",""))) &gt; 0, ""OTHER"", 0)"),0)</f>
        <v>0</v>
      </c>
    </row>
    <row r="61" spans="1:11" ht="14.25" customHeight="1">
      <c r="A61" s="21">
        <v>60</v>
      </c>
      <c r="B61" s="21">
        <v>38</v>
      </c>
      <c r="C61" s="21" t="s">
        <v>861</v>
      </c>
      <c r="D61" s="21" t="s">
        <v>862</v>
      </c>
      <c r="E61" s="21">
        <v>4</v>
      </c>
      <c r="F61" s="21">
        <v>221219</v>
      </c>
      <c r="G61" s="43">
        <v>-0.1</v>
      </c>
      <c r="H61" s="21" t="s">
        <v>327</v>
      </c>
      <c r="I61" s="39" t="str">
        <f ca="1">IFERROR(__xludf.DUMMYFUNCTION("IF(SUM(COUNTIF(artists!A:A, SPLIT(D61, "",""))) &gt; 0, ""UA"", 0)"),"UA")</f>
        <v>UA</v>
      </c>
      <c r="J61" s="40">
        <f ca="1">IFERROR(__xludf.DUMMYFUNCTION("IF(SUM(COUNTIF(artists!C:C, SPLIT(D61, "",""))) &gt; 0, ""RU"", 0)"),0)</f>
        <v>0</v>
      </c>
      <c r="K61" s="39">
        <f ca="1">IFERROR(__xludf.DUMMYFUNCTION("IF(SUM(COUNTIF(artists!E:E, SPLIT(D61, "",""))) &gt; 0, ""OTHER"", 0)"),0)</f>
        <v>0</v>
      </c>
    </row>
    <row r="62" spans="1:11" ht="14.25" customHeight="1">
      <c r="A62" s="21">
        <v>61</v>
      </c>
      <c r="C62" s="21" t="s">
        <v>579</v>
      </c>
      <c r="D62" s="21" t="s">
        <v>183</v>
      </c>
      <c r="E62" s="21">
        <v>22</v>
      </c>
      <c r="F62" s="21">
        <v>219647</v>
      </c>
      <c r="H62" s="21" t="s">
        <v>580</v>
      </c>
      <c r="I62" s="39" t="str">
        <f ca="1">IFERROR(__xludf.DUMMYFUNCTION("IF(SUM(COUNTIF(artists!A:A, SPLIT(D62, "",""))) &gt; 0, ""UA"", 0)"),"UA")</f>
        <v>UA</v>
      </c>
      <c r="J62" s="40">
        <f ca="1">IFERROR(__xludf.DUMMYFUNCTION("IF(SUM(COUNTIF(artists!C:C, SPLIT(D62, "",""))) &gt; 0, ""RU"", 0)"),0)</f>
        <v>0</v>
      </c>
      <c r="K62" s="39">
        <f ca="1">IFERROR(__xludf.DUMMYFUNCTION("IF(SUM(COUNTIF(artists!E:E, SPLIT(D62, "",""))) &gt; 0, ""OTHER"", 0)"),0)</f>
        <v>0</v>
      </c>
    </row>
    <row r="63" spans="1:11" ht="14.25" customHeight="1">
      <c r="A63" s="21">
        <v>62</v>
      </c>
      <c r="B63" s="21">
        <v>50</v>
      </c>
      <c r="C63" s="21" t="s">
        <v>700</v>
      </c>
      <c r="D63" s="21" t="s">
        <v>701</v>
      </c>
      <c r="E63" s="21">
        <v>15</v>
      </c>
      <c r="F63" s="21">
        <v>219388</v>
      </c>
      <c r="G63" s="42">
        <v>0.111</v>
      </c>
      <c r="H63" s="21" t="s">
        <v>702</v>
      </c>
      <c r="I63" s="39">
        <f ca="1">IFERROR(__xludf.DUMMYFUNCTION("IF(SUM(COUNTIF(artists!A:A, SPLIT(D63, "",""))) &gt; 0, ""UA"", 0)"),0)</f>
        <v>0</v>
      </c>
      <c r="J63" s="40" t="str">
        <f ca="1">IFERROR(__xludf.DUMMYFUNCTION("IF(SUM(COUNTIF(artists!C:C, SPLIT(D63, "",""))) &gt; 0, ""RU"", 0)"),"RU")</f>
        <v>RU</v>
      </c>
      <c r="K63" s="39">
        <f ca="1">IFERROR(__xludf.DUMMYFUNCTION("IF(SUM(COUNTIF(artists!E:E, SPLIT(D63, "",""))) &gt; 0, ""OTHER"", 0)"),0)</f>
        <v>0</v>
      </c>
    </row>
    <row r="64" spans="1:11" ht="14.25" customHeight="1">
      <c r="A64" s="21">
        <v>63</v>
      </c>
      <c r="B64" s="21">
        <v>57</v>
      </c>
      <c r="C64" s="21" t="s">
        <v>373</v>
      </c>
      <c r="D64" s="21" t="s">
        <v>172</v>
      </c>
      <c r="E64" s="21">
        <v>10</v>
      </c>
      <c r="F64" s="21">
        <v>219367</v>
      </c>
      <c r="G64" s="43">
        <v>0.19</v>
      </c>
      <c r="H64" s="21" t="s">
        <v>375</v>
      </c>
      <c r="I64" s="39">
        <f ca="1">IFERROR(__xludf.DUMMYFUNCTION("IF(SUM(COUNTIF(artists!A:A, SPLIT(D64, "",""))) &gt; 0, ""UA"", 0)"),0)</f>
        <v>0</v>
      </c>
      <c r="J64" s="40" t="str">
        <f ca="1">IFERROR(__xludf.DUMMYFUNCTION("IF(SUM(COUNTIF(artists!C:C, SPLIT(D64, "",""))) &gt; 0, ""RU"", 0)"),"RU")</f>
        <v>RU</v>
      </c>
      <c r="K64" s="39">
        <f ca="1">IFERROR(__xludf.DUMMYFUNCTION("IF(SUM(COUNTIF(artists!E:E, SPLIT(D64, "",""))) &gt; 0, ""OTHER"", 0)"),0)</f>
        <v>0</v>
      </c>
    </row>
    <row r="65" spans="1:11" ht="14.25" customHeight="1">
      <c r="A65" s="21">
        <v>64</v>
      </c>
      <c r="C65" s="21" t="s">
        <v>589</v>
      </c>
      <c r="D65" s="21" t="s">
        <v>590</v>
      </c>
      <c r="E65" s="21">
        <v>21</v>
      </c>
      <c r="F65" s="21">
        <v>216131</v>
      </c>
      <c r="H65" s="21" t="s">
        <v>591</v>
      </c>
      <c r="I65" s="39" t="str">
        <f ca="1">IFERROR(__xludf.DUMMYFUNCTION("IF(SUM(COUNTIF(artists!A:A, SPLIT(D65, "",""))) &gt; 0, ""UA"", 0)"),"UA")</f>
        <v>UA</v>
      </c>
      <c r="J65" s="40">
        <f ca="1">IFERROR(__xludf.DUMMYFUNCTION("IF(SUM(COUNTIF(artists!C:C, SPLIT(D65, "",""))) &gt; 0, ""RU"", 0)"),0)</f>
        <v>0</v>
      </c>
      <c r="K65" s="39">
        <f ca="1">IFERROR(__xludf.DUMMYFUNCTION("IF(SUM(COUNTIF(artists!E:E, SPLIT(D65, "",""))) &gt; 0, ""OTHER"", 0)"),0)</f>
        <v>0</v>
      </c>
    </row>
    <row r="66" spans="1:11" ht="14.25" customHeight="1">
      <c r="A66" s="21">
        <v>65</v>
      </c>
      <c r="B66" s="21">
        <v>67</v>
      </c>
      <c r="C66" s="21" t="s">
        <v>682</v>
      </c>
      <c r="D66" s="21" t="s">
        <v>125</v>
      </c>
      <c r="E66" s="21">
        <v>15</v>
      </c>
      <c r="F66" s="21">
        <v>215537</v>
      </c>
      <c r="G66" s="42">
        <v>0.35099999999999998</v>
      </c>
      <c r="H66" s="21" t="s">
        <v>684</v>
      </c>
      <c r="I66" s="39">
        <f ca="1">IFERROR(__xludf.DUMMYFUNCTION("IF(SUM(COUNTIF(artists!A:A, SPLIT(D66, "",""))) &gt; 0, ""UA"", 0)"),0)</f>
        <v>0</v>
      </c>
      <c r="J66" s="40" t="str">
        <f ca="1">IFERROR(__xludf.DUMMYFUNCTION("IF(SUM(COUNTIF(artists!C:C, SPLIT(D66, "",""))) &gt; 0, ""RU"", 0)"),"RU")</f>
        <v>RU</v>
      </c>
      <c r="K66" s="39">
        <f ca="1">IFERROR(__xludf.DUMMYFUNCTION("IF(SUM(COUNTIF(artists!E:E, SPLIT(D66, "",""))) &gt; 0, ""OTHER"", 0)"),0)</f>
        <v>0</v>
      </c>
    </row>
    <row r="67" spans="1:11" ht="14.25" customHeight="1">
      <c r="A67" s="21">
        <v>66</v>
      </c>
      <c r="B67" s="21">
        <v>42</v>
      </c>
      <c r="C67" s="21" t="s">
        <v>720</v>
      </c>
      <c r="D67" s="21" t="s">
        <v>721</v>
      </c>
      <c r="E67" s="21">
        <v>2</v>
      </c>
      <c r="F67" s="21">
        <v>215170</v>
      </c>
      <c r="G67" s="42">
        <v>-0.107</v>
      </c>
      <c r="H67" s="21" t="s">
        <v>722</v>
      </c>
      <c r="I67" s="39" t="str">
        <f ca="1">IFERROR(__xludf.DUMMYFUNCTION("IF(SUM(COUNTIF(artists!A:A, SPLIT(D67, "",""))) &gt; 0, ""UA"", 0)"),"UA")</f>
        <v>UA</v>
      </c>
      <c r="J67" s="40">
        <f ca="1">IFERROR(__xludf.DUMMYFUNCTION("IF(SUM(COUNTIF(artists!C:C, SPLIT(D67, "",""))) &gt; 0, ""RU"", 0)"),0)</f>
        <v>0</v>
      </c>
      <c r="K67" s="39">
        <f ca="1">IFERROR(__xludf.DUMMYFUNCTION("IF(SUM(COUNTIF(artists!E:E, SPLIT(D67, "",""))) &gt; 0, ""OTHER"", 0)"),0)</f>
        <v>0</v>
      </c>
    </row>
    <row r="68" spans="1:11" ht="14.25" customHeight="1">
      <c r="A68" s="21">
        <v>67</v>
      </c>
      <c r="B68" s="21">
        <v>66</v>
      </c>
      <c r="C68" s="21" t="s">
        <v>900</v>
      </c>
      <c r="D68" s="21" t="s">
        <v>901</v>
      </c>
      <c r="E68" s="21">
        <v>19</v>
      </c>
      <c r="F68" s="21">
        <v>214306</v>
      </c>
      <c r="G68" s="42">
        <v>0.33800000000000002</v>
      </c>
      <c r="H68" s="21" t="s">
        <v>902</v>
      </c>
      <c r="I68" s="39">
        <f ca="1">IFERROR(__xludf.DUMMYFUNCTION("IF(SUM(COUNTIF(artists!A:A, SPLIT(D68, "",""))) &gt; 0, ""UA"", 0)"),0)</f>
        <v>0</v>
      </c>
      <c r="J68" s="40">
        <f ca="1">IFERROR(__xludf.DUMMYFUNCTION("IF(SUM(COUNTIF(artists!C:C, SPLIT(D68, "",""))) &gt; 0, ""RU"", 0)"),0)</f>
        <v>0</v>
      </c>
      <c r="K68" s="39" t="str">
        <f ca="1">IFERROR(__xludf.DUMMYFUNCTION("IF(SUM(COUNTIF(artists!E:E, SPLIT(D68, "",""))) &gt; 0, ""OTHER"", 0)"),"OTHER")</f>
        <v>OTHER</v>
      </c>
    </row>
    <row r="69" spans="1:11" ht="14.25" customHeight="1">
      <c r="A69" s="21">
        <v>68</v>
      </c>
      <c r="B69" s="21">
        <v>60</v>
      </c>
      <c r="C69" s="21" t="s">
        <v>255</v>
      </c>
      <c r="D69" s="21" t="s">
        <v>256</v>
      </c>
      <c r="E69" s="21">
        <v>23</v>
      </c>
      <c r="F69" s="21">
        <v>212663</v>
      </c>
      <c r="G69" s="42">
        <v>0.186</v>
      </c>
      <c r="H69" s="21" t="s">
        <v>257</v>
      </c>
      <c r="I69" s="39" t="str">
        <f ca="1">IFERROR(__xludf.DUMMYFUNCTION("IF(SUM(COUNTIF(artists!A:A, SPLIT(D69, "",""))) &gt; 0, ""UA"", 0)"),"UA")</f>
        <v>UA</v>
      </c>
      <c r="J69" s="40">
        <f ca="1">IFERROR(__xludf.DUMMYFUNCTION("IF(SUM(COUNTIF(artists!C:C, SPLIT(D69, "",""))) &gt; 0, ""RU"", 0)"),0)</f>
        <v>0</v>
      </c>
      <c r="K69" s="39">
        <f ca="1">IFERROR(__xludf.DUMMYFUNCTION("IF(SUM(COUNTIF(artists!E:E, SPLIT(D69, "",""))) &gt; 0, ""OTHER"", 0)"),0)</f>
        <v>0</v>
      </c>
    </row>
    <row r="70" spans="1:11" ht="14.25" customHeight="1">
      <c r="A70" s="21">
        <v>69</v>
      </c>
      <c r="B70" s="21">
        <v>41</v>
      </c>
      <c r="C70" s="21" t="s">
        <v>830</v>
      </c>
      <c r="D70" s="21" t="s">
        <v>831</v>
      </c>
      <c r="E70" s="21">
        <v>2</v>
      </c>
      <c r="F70" s="21">
        <v>209902</v>
      </c>
      <c r="G70" s="42">
        <v>-0.13700000000000001</v>
      </c>
      <c r="H70" s="21" t="s">
        <v>833</v>
      </c>
      <c r="I70" s="39" t="str">
        <f ca="1">IFERROR(__xludf.DUMMYFUNCTION("IF(SUM(COUNTIF(artists!A:A, SPLIT(D70, "",""))) &gt; 0, ""UA"", 0)"),"UA")</f>
        <v>UA</v>
      </c>
      <c r="J70" s="40">
        <f ca="1">IFERROR(__xludf.DUMMYFUNCTION("IF(SUM(COUNTIF(artists!C:C, SPLIT(D70, "",""))) &gt; 0, ""RU"", 0)"),0)</f>
        <v>0</v>
      </c>
      <c r="K70" s="39">
        <f ca="1">IFERROR(__xludf.DUMMYFUNCTION("IF(SUM(COUNTIF(artists!E:E, SPLIT(D70, "",""))) &gt; 0, ""OTHER"", 0)"),0)</f>
        <v>0</v>
      </c>
    </row>
    <row r="71" spans="1:11" ht="14.25" customHeight="1">
      <c r="A71" s="21">
        <v>70</v>
      </c>
      <c r="B71" s="21">
        <v>54</v>
      </c>
      <c r="C71" s="21" t="s">
        <v>775</v>
      </c>
      <c r="D71" s="21" t="s">
        <v>776</v>
      </c>
      <c r="E71" s="21">
        <v>6</v>
      </c>
      <c r="F71" s="21">
        <v>209743</v>
      </c>
      <c r="G71" s="42">
        <v>7.9000000000000001E-2</v>
      </c>
      <c r="H71" s="21" t="s">
        <v>777</v>
      </c>
      <c r="I71" s="39" t="str">
        <f ca="1">IFERROR(__xludf.DUMMYFUNCTION("IF(SUM(COUNTIF(artists!A:A, SPLIT(D71, "",""))) &gt; 0, ""UA"", 0)"),"UA")</f>
        <v>UA</v>
      </c>
      <c r="J71" s="40">
        <f ca="1">IFERROR(__xludf.DUMMYFUNCTION("IF(SUM(COUNTIF(artists!C:C, SPLIT(D71, "",""))) &gt; 0, ""RU"", 0)"),0)</f>
        <v>0</v>
      </c>
      <c r="K71" s="39">
        <f ca="1">IFERROR(__xludf.DUMMYFUNCTION("IF(SUM(COUNTIF(artists!E:E, SPLIT(D71, "",""))) &gt; 0, ""OTHER"", 0)"),0)</f>
        <v>0</v>
      </c>
    </row>
    <row r="72" spans="1:11" ht="14.25" customHeight="1">
      <c r="A72" s="21">
        <v>71</v>
      </c>
      <c r="C72" s="21" t="s">
        <v>799</v>
      </c>
      <c r="D72" s="21" t="s">
        <v>494</v>
      </c>
      <c r="E72" s="21">
        <v>41</v>
      </c>
      <c r="F72" s="21">
        <v>204011</v>
      </c>
      <c r="H72" s="21" t="s">
        <v>800</v>
      </c>
      <c r="I72" s="39" t="str">
        <f ca="1">IFERROR(__xludf.DUMMYFUNCTION("IF(SUM(COUNTIF(artists!A:A, SPLIT(D72, "",""))) &gt; 0, ""UA"", 0)"),"UA")</f>
        <v>UA</v>
      </c>
      <c r="J72" s="40">
        <f ca="1">IFERROR(__xludf.DUMMYFUNCTION("IF(SUM(COUNTIF(artists!C:C, SPLIT(D72, "",""))) &gt; 0, ""RU"", 0)"),0)</f>
        <v>0</v>
      </c>
      <c r="K72" s="39">
        <f ca="1">IFERROR(__xludf.DUMMYFUNCTION("IF(SUM(COUNTIF(artists!E:E, SPLIT(D72, "",""))) &gt; 0, ""OTHER"", 0)"),0)</f>
        <v>0</v>
      </c>
    </row>
    <row r="73" spans="1:11" ht="14.25" customHeight="1">
      <c r="A73" s="21">
        <v>72</v>
      </c>
      <c r="C73" s="21" t="s">
        <v>921</v>
      </c>
      <c r="D73" s="21" t="s">
        <v>922</v>
      </c>
      <c r="E73" s="21">
        <v>21</v>
      </c>
      <c r="F73" s="21">
        <v>201134</v>
      </c>
      <c r="H73" s="21" t="s">
        <v>923</v>
      </c>
      <c r="I73" s="39" t="str">
        <f ca="1">IFERROR(__xludf.DUMMYFUNCTION("IF(SUM(COUNTIF(artists!A:A, SPLIT(D73, "",""))) &gt; 0, ""UA"", 0)"),"UA")</f>
        <v>UA</v>
      </c>
      <c r="J73" s="40">
        <f ca="1">IFERROR(__xludf.DUMMYFUNCTION("IF(SUM(COUNTIF(artists!C:C, SPLIT(D73, "",""))) &gt; 0, ""RU"", 0)"),0)</f>
        <v>0</v>
      </c>
      <c r="K73" s="39">
        <f ca="1">IFERROR(__xludf.DUMMYFUNCTION("IF(SUM(COUNTIF(artists!E:E, SPLIT(D73, "",""))) &gt; 0, ""OTHER"", 0)"),0)</f>
        <v>0</v>
      </c>
    </row>
    <row r="74" spans="1:11" ht="14.25" customHeight="1">
      <c r="A74" s="21">
        <v>73</v>
      </c>
      <c r="B74" s="21">
        <v>77</v>
      </c>
      <c r="C74" s="21" t="s">
        <v>545</v>
      </c>
      <c r="D74" s="21" t="s">
        <v>546</v>
      </c>
      <c r="E74" s="21">
        <v>7</v>
      </c>
      <c r="F74" s="21">
        <v>200682</v>
      </c>
      <c r="G74" s="42">
        <v>0.39900000000000002</v>
      </c>
      <c r="H74" s="21" t="s">
        <v>548</v>
      </c>
      <c r="I74" s="39">
        <f ca="1">IFERROR(__xludf.DUMMYFUNCTION("IF(SUM(COUNTIF(artists!A:A, SPLIT(D74, "",""))) &gt; 0, ""UA"", 0)"),0)</f>
        <v>0</v>
      </c>
      <c r="J74" s="40" t="str">
        <f ca="1">IFERROR(__xludf.DUMMYFUNCTION("IF(SUM(COUNTIF(artists!C:C, SPLIT(D74, "",""))) &gt; 0, ""RU"", 0)"),"RU")</f>
        <v>RU</v>
      </c>
      <c r="K74" s="39">
        <f ca="1">IFERROR(__xludf.DUMMYFUNCTION("IF(SUM(COUNTIF(artists!E:E, SPLIT(D74, "",""))) &gt; 0, ""OTHER"", 0)"),0)</f>
        <v>0</v>
      </c>
    </row>
    <row r="75" spans="1:11" ht="14.25" customHeight="1">
      <c r="A75" s="21">
        <v>74</v>
      </c>
      <c r="B75" s="21">
        <v>62</v>
      </c>
      <c r="C75" s="21" t="s">
        <v>527</v>
      </c>
      <c r="D75" s="21" t="s">
        <v>528</v>
      </c>
      <c r="E75" s="21">
        <v>13</v>
      </c>
      <c r="F75" s="21">
        <v>197615</v>
      </c>
      <c r="G75" s="43">
        <v>0.18</v>
      </c>
      <c r="H75" s="21" t="s">
        <v>529</v>
      </c>
      <c r="I75" s="39" t="str">
        <f ca="1">IFERROR(__xludf.DUMMYFUNCTION("IF(SUM(COUNTIF(artists!A:A, SPLIT(D75, "",""))) &gt; 0, ""UA"", 0)"),"UA")</f>
        <v>UA</v>
      </c>
      <c r="J75" s="40">
        <f ca="1">IFERROR(__xludf.DUMMYFUNCTION("IF(SUM(COUNTIF(artists!C:C, SPLIT(D75, "",""))) &gt; 0, ""RU"", 0)"),0)</f>
        <v>0</v>
      </c>
      <c r="K75" s="39">
        <f ca="1">IFERROR(__xludf.DUMMYFUNCTION("IF(SUM(COUNTIF(artists!E:E, SPLIT(D75, "",""))) &gt; 0, ""OTHER"", 0)"),0)</f>
        <v>0</v>
      </c>
    </row>
    <row r="76" spans="1:11" ht="14.25" customHeight="1">
      <c r="A76" s="21">
        <v>75</v>
      </c>
      <c r="B76" s="21">
        <v>98</v>
      </c>
      <c r="C76" s="21" t="s">
        <v>244</v>
      </c>
      <c r="D76" s="21" t="s">
        <v>161</v>
      </c>
      <c r="E76" s="21">
        <v>3</v>
      </c>
      <c r="F76" s="21">
        <v>193780</v>
      </c>
      <c r="G76" s="42">
        <v>0.67600000000000005</v>
      </c>
      <c r="H76" s="21" t="s">
        <v>246</v>
      </c>
      <c r="I76" s="39" t="str">
        <f ca="1">IFERROR(__xludf.DUMMYFUNCTION("IF(SUM(COUNTIF(artists!A:A, SPLIT(D76, "",""))) &gt; 0, ""UA"", 0)"),"UA")</f>
        <v>UA</v>
      </c>
      <c r="J76" s="40">
        <f ca="1">IFERROR(__xludf.DUMMYFUNCTION("IF(SUM(COUNTIF(artists!C:C, SPLIT(D76, "",""))) &gt; 0, ""RU"", 0)"),0)</f>
        <v>0</v>
      </c>
      <c r="K76" s="39">
        <f ca="1">IFERROR(__xludf.DUMMYFUNCTION("IF(SUM(COUNTIF(artists!E:E, SPLIT(D76, "",""))) &gt; 0, ""OTHER"", 0)"),0)</f>
        <v>0</v>
      </c>
    </row>
    <row r="77" spans="1:11" ht="14.25" customHeight="1">
      <c r="A77" s="21">
        <v>76</v>
      </c>
      <c r="B77" s="21">
        <v>71</v>
      </c>
      <c r="C77" s="21" t="s">
        <v>284</v>
      </c>
      <c r="D77" s="21" t="s">
        <v>15</v>
      </c>
      <c r="E77" s="21">
        <v>21</v>
      </c>
      <c r="F77" s="21">
        <v>193609</v>
      </c>
      <c r="G77" s="42">
        <v>0.26300000000000001</v>
      </c>
      <c r="H77" s="21" t="s">
        <v>285</v>
      </c>
      <c r="I77" s="39">
        <f ca="1">IFERROR(__xludf.DUMMYFUNCTION("IF(SUM(COUNTIF(artists!A:A, SPLIT(D77, "",""))) &gt; 0, ""UA"", 0)"),0)</f>
        <v>0</v>
      </c>
      <c r="J77" s="40">
        <f ca="1">IFERROR(__xludf.DUMMYFUNCTION("IF(SUM(COUNTIF(artists!C:C, SPLIT(D77, "",""))) &gt; 0, ""RU"", 0)"),0)</f>
        <v>0</v>
      </c>
      <c r="K77" s="39" t="str">
        <f ca="1">IFERROR(__xludf.DUMMYFUNCTION("IF(SUM(COUNTIF(artists!E:E, SPLIT(D77, "",""))) &gt; 0, ""OTHER"", 0)"),"OTHER")</f>
        <v>OTHER</v>
      </c>
    </row>
    <row r="78" spans="1:11" ht="14.25" customHeight="1">
      <c r="A78" s="21">
        <v>77</v>
      </c>
      <c r="B78" s="21">
        <v>73</v>
      </c>
      <c r="C78" s="21" t="s">
        <v>765</v>
      </c>
      <c r="D78" s="21" t="s">
        <v>766</v>
      </c>
      <c r="E78" s="21">
        <v>8</v>
      </c>
      <c r="F78" s="21">
        <v>192844</v>
      </c>
      <c r="G78" s="42">
        <v>0.28899999999999998</v>
      </c>
      <c r="H78" s="21" t="s">
        <v>768</v>
      </c>
      <c r="I78" s="39" t="str">
        <f ca="1">IFERROR(__xludf.DUMMYFUNCTION("IF(SUM(COUNTIF(artists!A:A, SPLIT(D78, "",""))) &gt; 0, ""UA"", 0)"),"UA")</f>
        <v>UA</v>
      </c>
      <c r="J78" s="40">
        <f ca="1">IFERROR(__xludf.DUMMYFUNCTION("IF(SUM(COUNTIF(artists!C:C, SPLIT(D78, "",""))) &gt; 0, ""RU"", 0)"),0)</f>
        <v>0</v>
      </c>
      <c r="K78" s="39">
        <f ca="1">IFERROR(__xludf.DUMMYFUNCTION("IF(SUM(COUNTIF(artists!E:E, SPLIT(D78, "",""))) &gt; 0, ""OTHER"", 0)"),0)</f>
        <v>0</v>
      </c>
    </row>
    <row r="79" spans="1:11" ht="14.25" customHeight="1">
      <c r="A79" s="21">
        <v>78</v>
      </c>
      <c r="C79" s="21" t="s">
        <v>895</v>
      </c>
      <c r="D79" s="21" t="s">
        <v>896</v>
      </c>
      <c r="E79" s="21">
        <v>40</v>
      </c>
      <c r="F79" s="21">
        <v>190881</v>
      </c>
      <c r="H79" s="21" t="s">
        <v>897</v>
      </c>
      <c r="I79" s="39" t="str">
        <f ca="1">IFERROR(__xludf.DUMMYFUNCTION("IF(SUM(COUNTIF(artists!A:A, SPLIT(D79, "",""))) &gt; 0, ""UA"", 0)"),"UA")</f>
        <v>UA</v>
      </c>
      <c r="J79" s="40">
        <f ca="1">IFERROR(__xludf.DUMMYFUNCTION("IF(SUM(COUNTIF(artists!C:C, SPLIT(D79, "",""))) &gt; 0, ""RU"", 0)"),0)</f>
        <v>0</v>
      </c>
      <c r="K79" s="39">
        <f ca="1">IFERROR(__xludf.DUMMYFUNCTION("IF(SUM(COUNTIF(artists!E:E, SPLIT(D79, "",""))) &gt; 0, ""OTHER"", 0)"),0)</f>
        <v>0</v>
      </c>
    </row>
    <row r="80" spans="1:11" ht="14.25" customHeight="1">
      <c r="A80" s="21">
        <v>79</v>
      </c>
      <c r="B80" s="21">
        <v>58</v>
      </c>
      <c r="C80" s="21" t="s">
        <v>924</v>
      </c>
      <c r="D80" s="21" t="s">
        <v>466</v>
      </c>
      <c r="E80" s="21">
        <v>5</v>
      </c>
      <c r="F80" s="21">
        <v>190074</v>
      </c>
      <c r="G80" s="42">
        <v>4.3999999999999997E-2</v>
      </c>
      <c r="H80" s="21" t="s">
        <v>925</v>
      </c>
      <c r="I80" s="39" t="str">
        <f ca="1">IFERROR(__xludf.DUMMYFUNCTION("IF(SUM(COUNTIF(artists!A:A, SPLIT(D80, "",""))) &gt; 0, ""UA"", 0)"),"UA")</f>
        <v>UA</v>
      </c>
      <c r="J80" s="40">
        <f ca="1">IFERROR(__xludf.DUMMYFUNCTION("IF(SUM(COUNTIF(artists!C:C, SPLIT(D80, "",""))) &gt; 0, ""RU"", 0)"),0)</f>
        <v>0</v>
      </c>
      <c r="K80" s="39">
        <f ca="1">IFERROR(__xludf.DUMMYFUNCTION("IF(SUM(COUNTIF(artists!E:E, SPLIT(D80, "",""))) &gt; 0, ""OTHER"", 0)"),0)</f>
        <v>0</v>
      </c>
    </row>
    <row r="81" spans="1:11" ht="14.25" customHeight="1">
      <c r="A81" s="21">
        <v>80</v>
      </c>
      <c r="C81" s="21" t="s">
        <v>826</v>
      </c>
      <c r="D81" s="21" t="s">
        <v>827</v>
      </c>
      <c r="E81" s="21">
        <v>2</v>
      </c>
      <c r="F81" s="21">
        <v>189142</v>
      </c>
      <c r="H81" s="21" t="s">
        <v>829</v>
      </c>
      <c r="I81" s="39" t="str">
        <f ca="1">IFERROR(__xludf.DUMMYFUNCTION("IF(SUM(COUNTIF(artists!A:A, SPLIT(D81, "",""))) &gt; 0, ""UA"", 0)"),"UA")</f>
        <v>UA</v>
      </c>
      <c r="J81" s="40">
        <f ca="1">IFERROR(__xludf.DUMMYFUNCTION("IF(SUM(COUNTIF(artists!C:C, SPLIT(D81, "",""))) &gt; 0, ""RU"", 0)"),0)</f>
        <v>0</v>
      </c>
      <c r="K81" s="39">
        <f ca="1">IFERROR(__xludf.DUMMYFUNCTION("IF(SUM(COUNTIF(artists!E:E, SPLIT(D81, "",""))) &gt; 0, ""OTHER"", 0)"),0)</f>
        <v>0</v>
      </c>
    </row>
    <row r="82" spans="1:11" ht="14.25" customHeight="1">
      <c r="A82" s="21">
        <v>81</v>
      </c>
      <c r="B82" s="21">
        <v>65</v>
      </c>
      <c r="C82" s="21" t="s">
        <v>482</v>
      </c>
      <c r="D82" s="21" t="s">
        <v>210</v>
      </c>
      <c r="E82" s="21">
        <v>13</v>
      </c>
      <c r="F82" s="21">
        <v>187978</v>
      </c>
      <c r="G82" s="42">
        <v>0.16600000000000001</v>
      </c>
      <c r="H82" s="21" t="s">
        <v>484</v>
      </c>
      <c r="I82" s="39" t="str">
        <f ca="1">IFERROR(__xludf.DUMMYFUNCTION("IF(SUM(COUNTIF(artists!A:A, SPLIT(D82, "",""))) &gt; 0, ""UA"", 0)"),"UA")</f>
        <v>UA</v>
      </c>
      <c r="J82" s="40">
        <f ca="1">IFERROR(__xludf.DUMMYFUNCTION("IF(SUM(COUNTIF(artists!C:C, SPLIT(D82, "",""))) &gt; 0, ""RU"", 0)"),0)</f>
        <v>0</v>
      </c>
      <c r="K82" s="39">
        <f ca="1">IFERROR(__xludf.DUMMYFUNCTION("IF(SUM(COUNTIF(artists!E:E, SPLIT(D82, "",""))) &gt; 0, ""OTHER"", 0)"),0)</f>
        <v>0</v>
      </c>
    </row>
    <row r="83" spans="1:11" ht="14.25" customHeight="1">
      <c r="A83" s="21">
        <v>82</v>
      </c>
      <c r="B83" s="21">
        <v>72</v>
      </c>
      <c r="C83" s="21" t="s">
        <v>926</v>
      </c>
      <c r="D83" s="21" t="s">
        <v>927</v>
      </c>
      <c r="E83" s="21">
        <v>2</v>
      </c>
      <c r="F83" s="21">
        <v>187354</v>
      </c>
      <c r="G83" s="42">
        <v>0.23200000000000001</v>
      </c>
      <c r="H83" s="21" t="s">
        <v>928</v>
      </c>
      <c r="I83" s="39" t="str">
        <f ca="1">IFERROR(__xludf.DUMMYFUNCTION("IF(SUM(COUNTIF(artists!A:A, SPLIT(D83, "",""))) &gt; 0, ""UA"", 0)"),"UA")</f>
        <v>UA</v>
      </c>
      <c r="J83" s="40">
        <f ca="1">IFERROR(__xludf.DUMMYFUNCTION("IF(SUM(COUNTIF(artists!C:C, SPLIT(D83, "",""))) &gt; 0, ""RU"", 0)"),0)</f>
        <v>0</v>
      </c>
      <c r="K83" s="39">
        <f ca="1">IFERROR(__xludf.DUMMYFUNCTION("IF(SUM(COUNTIF(artists!E:E, SPLIT(D83, "",""))) &gt; 0, ""OTHER"", 0)"),0)</f>
        <v>0</v>
      </c>
    </row>
    <row r="84" spans="1:11" ht="14.25" customHeight="1">
      <c r="A84" s="21">
        <v>83</v>
      </c>
      <c r="B84" s="21">
        <v>61</v>
      </c>
      <c r="C84" s="21" t="s">
        <v>602</v>
      </c>
      <c r="D84" s="21" t="s">
        <v>299</v>
      </c>
      <c r="E84" s="21">
        <v>15</v>
      </c>
      <c r="F84" s="21">
        <v>186653</v>
      </c>
      <c r="G84" s="42">
        <v>0.106</v>
      </c>
      <c r="H84" s="21" t="s">
        <v>604</v>
      </c>
      <c r="I84" s="39">
        <f ca="1">IFERROR(__xludf.DUMMYFUNCTION("IF(SUM(COUNTIF(artists!A:A, SPLIT(D84, "",""))) &gt; 0, ""UA"", 0)"),0)</f>
        <v>0</v>
      </c>
      <c r="J84" s="40">
        <f ca="1">IFERROR(__xludf.DUMMYFUNCTION("IF(SUM(COUNTIF(artists!C:C, SPLIT(D84, "",""))) &gt; 0, ""RU"", 0)"),0)</f>
        <v>0</v>
      </c>
      <c r="K84" s="39" t="str">
        <f ca="1">IFERROR(__xludf.DUMMYFUNCTION("IF(SUM(COUNTIF(artists!E:E, SPLIT(D84, "",""))) &gt; 0, ""OTHER"", 0)"),"OTHER")</f>
        <v>OTHER</v>
      </c>
    </row>
    <row r="85" spans="1:11" ht="14.25" customHeight="1">
      <c r="A85" s="21">
        <v>84</v>
      </c>
      <c r="C85" s="21" t="s">
        <v>929</v>
      </c>
      <c r="D85" s="21" t="s">
        <v>930</v>
      </c>
      <c r="E85" s="21">
        <v>23</v>
      </c>
      <c r="F85" s="21">
        <v>184248</v>
      </c>
      <c r="H85" s="21" t="s">
        <v>931</v>
      </c>
      <c r="I85" s="39" t="str">
        <f ca="1">IFERROR(__xludf.DUMMYFUNCTION("IF(SUM(COUNTIF(artists!A:A, SPLIT(D85, "",""))) &gt; 0, ""UA"", 0)"),"UA")</f>
        <v>UA</v>
      </c>
      <c r="J85" s="40">
        <f ca="1">IFERROR(__xludf.DUMMYFUNCTION("IF(SUM(COUNTIF(artists!C:C, SPLIT(D85, "",""))) &gt; 0, ""RU"", 0)"),0)</f>
        <v>0</v>
      </c>
      <c r="K85" s="39">
        <f ca="1">IFERROR(__xludf.DUMMYFUNCTION("IF(SUM(COUNTIF(artists!E:E, SPLIT(D85, "",""))) &gt; 0, ""OTHER"", 0)"),0)</f>
        <v>0</v>
      </c>
    </row>
    <row r="86" spans="1:11" ht="14.25" customHeight="1">
      <c r="A86" s="21">
        <v>85</v>
      </c>
      <c r="C86" s="21" t="s">
        <v>903</v>
      </c>
      <c r="D86" s="21" t="s">
        <v>904</v>
      </c>
      <c r="E86" s="21">
        <v>21</v>
      </c>
      <c r="F86" s="21">
        <v>182108</v>
      </c>
      <c r="H86" s="21" t="s">
        <v>905</v>
      </c>
      <c r="I86" s="39" t="str">
        <f ca="1">IFERROR(__xludf.DUMMYFUNCTION("IF(SUM(COUNTIF(artists!A:A, SPLIT(D86, "",""))) &gt; 0, ""UA"", 0)"),"UA")</f>
        <v>UA</v>
      </c>
      <c r="J86" s="40">
        <f ca="1">IFERROR(__xludf.DUMMYFUNCTION("IF(SUM(COUNTIF(artists!C:C, SPLIT(D86, "",""))) &gt; 0, ""RU"", 0)"),0)</f>
        <v>0</v>
      </c>
      <c r="K86" s="39">
        <f ca="1">IFERROR(__xludf.DUMMYFUNCTION("IF(SUM(COUNTIF(artists!E:E, SPLIT(D86, "",""))) &gt; 0, ""OTHER"", 0)"),0)</f>
        <v>0</v>
      </c>
    </row>
    <row r="87" spans="1:11" ht="14.25" customHeight="1">
      <c r="A87" s="21">
        <v>86</v>
      </c>
      <c r="B87" s="21">
        <v>63</v>
      </c>
      <c r="C87" s="21" t="s">
        <v>268</v>
      </c>
      <c r="D87" s="21" t="s">
        <v>466</v>
      </c>
      <c r="E87" s="21">
        <v>7</v>
      </c>
      <c r="F87" s="21">
        <v>182107</v>
      </c>
      <c r="G87" s="42">
        <v>9.7000000000000003E-2</v>
      </c>
      <c r="H87" s="21" t="s">
        <v>270</v>
      </c>
      <c r="I87" s="39" t="str">
        <f ca="1">IFERROR(__xludf.DUMMYFUNCTION("IF(SUM(COUNTIF(artists!A:A, SPLIT(D87, "",""))) &gt; 0, ""UA"", 0)"),"UA")</f>
        <v>UA</v>
      </c>
      <c r="J87" s="40">
        <f ca="1">IFERROR(__xludf.DUMMYFUNCTION("IF(SUM(COUNTIF(artists!C:C, SPLIT(D87, "",""))) &gt; 0, ""RU"", 0)"),0)</f>
        <v>0</v>
      </c>
      <c r="K87" s="39">
        <f ca="1">IFERROR(__xludf.DUMMYFUNCTION("IF(SUM(COUNTIF(artists!E:E, SPLIT(D87, "",""))) &gt; 0, ""OTHER"", 0)"),0)</f>
        <v>0</v>
      </c>
    </row>
    <row r="88" spans="1:11" ht="14.25" customHeight="1">
      <c r="A88" s="21">
        <v>87</v>
      </c>
      <c r="C88" s="21" t="s">
        <v>757</v>
      </c>
      <c r="D88" s="21" t="s">
        <v>758</v>
      </c>
      <c r="E88" s="21">
        <v>1</v>
      </c>
      <c r="F88" s="21">
        <v>180355</v>
      </c>
      <c r="H88" s="21" t="s">
        <v>759</v>
      </c>
      <c r="I88" s="39" t="str">
        <f ca="1">IFERROR(__xludf.DUMMYFUNCTION("IF(SUM(COUNTIF(artists!A:A, SPLIT(D88, "",""))) &gt; 0, ""UA"", 0)"),"UA")</f>
        <v>UA</v>
      </c>
      <c r="J88" s="40">
        <f ca="1">IFERROR(__xludf.DUMMYFUNCTION("IF(SUM(COUNTIF(artists!C:C, SPLIT(D88, "",""))) &gt; 0, ""RU"", 0)"),0)</f>
        <v>0</v>
      </c>
      <c r="K88" s="39">
        <f ca="1">IFERROR(__xludf.DUMMYFUNCTION("IF(SUM(COUNTIF(artists!E:E, SPLIT(D88, "",""))) &gt; 0, ""OTHER"", 0)"),0)</f>
        <v>0</v>
      </c>
    </row>
    <row r="89" spans="1:11" ht="14.25" customHeight="1">
      <c r="A89" s="21">
        <v>88</v>
      </c>
      <c r="B89" s="21">
        <v>79</v>
      </c>
      <c r="C89" s="21" t="s">
        <v>868</v>
      </c>
      <c r="D89" s="21" t="s">
        <v>869</v>
      </c>
      <c r="E89" s="21">
        <v>18</v>
      </c>
      <c r="F89" s="21">
        <v>178287</v>
      </c>
      <c r="G89" s="42">
        <v>0.26500000000000001</v>
      </c>
      <c r="H89" s="21" t="s">
        <v>870</v>
      </c>
      <c r="I89" s="39">
        <f ca="1">IFERROR(__xludf.DUMMYFUNCTION("IF(SUM(COUNTIF(artists!A:A, SPLIT(D89, "",""))) &gt; 0, ""UA"", 0)"),0)</f>
        <v>0</v>
      </c>
      <c r="J89" s="40" t="str">
        <f ca="1">IFERROR(__xludf.DUMMYFUNCTION("IF(SUM(COUNTIF(artists!C:C, SPLIT(D89, "",""))) &gt; 0, ""RU"", 0)"),"RU")</f>
        <v>RU</v>
      </c>
      <c r="K89" s="39">
        <f ca="1">IFERROR(__xludf.DUMMYFUNCTION("IF(SUM(COUNTIF(artists!E:E, SPLIT(D89, "",""))) &gt; 0, ""OTHER"", 0)"),0)</f>
        <v>0</v>
      </c>
    </row>
    <row r="90" spans="1:11" ht="14.25" customHeight="1">
      <c r="A90" s="21">
        <v>89</v>
      </c>
      <c r="C90" s="21" t="s">
        <v>118</v>
      </c>
      <c r="D90" s="21" t="s">
        <v>586</v>
      </c>
      <c r="E90" s="21">
        <v>26</v>
      </c>
      <c r="F90" s="21">
        <v>176951</v>
      </c>
      <c r="H90" s="21" t="s">
        <v>587</v>
      </c>
      <c r="I90" s="39" t="str">
        <f ca="1">IFERROR(__xludf.DUMMYFUNCTION("IF(SUM(COUNTIF(artists!A:A, SPLIT(D90, "",""))) &gt; 0, ""UA"", 0)"),"UA")</f>
        <v>UA</v>
      </c>
      <c r="J90" s="40">
        <f ca="1">IFERROR(__xludf.DUMMYFUNCTION("IF(SUM(COUNTIF(artists!C:C, SPLIT(D90, "",""))) &gt; 0, ""RU"", 0)"),0)</f>
        <v>0</v>
      </c>
      <c r="K90" s="39">
        <f ca="1">IFERROR(__xludf.DUMMYFUNCTION("IF(SUM(COUNTIF(artists!E:E, SPLIT(D90, "",""))) &gt; 0, ""OTHER"", 0)"),0)</f>
        <v>0</v>
      </c>
    </row>
    <row r="91" spans="1:11" ht="14.25" customHeight="1">
      <c r="A91" s="21">
        <v>90</v>
      </c>
      <c r="B91" s="21">
        <v>74</v>
      </c>
      <c r="C91" s="21" t="s">
        <v>320</v>
      </c>
      <c r="D91" s="21" t="s">
        <v>321</v>
      </c>
      <c r="E91" s="21">
        <v>6</v>
      </c>
      <c r="F91" s="21">
        <v>175246</v>
      </c>
      <c r="G91" s="42">
        <v>0.17599999999999999</v>
      </c>
      <c r="H91" s="21" t="s">
        <v>323</v>
      </c>
      <c r="I91" s="39">
        <f ca="1">IFERROR(__xludf.DUMMYFUNCTION("IF(SUM(COUNTIF(artists!A:A, SPLIT(D91, "",""))) &gt; 0, ""UA"", 0)"),0)</f>
        <v>0</v>
      </c>
      <c r="J91" s="40">
        <f ca="1">IFERROR(__xludf.DUMMYFUNCTION("IF(SUM(COUNTIF(artists!C:C, SPLIT(D91, "",""))) &gt; 0, ""RU"", 0)"),0)</f>
        <v>0</v>
      </c>
      <c r="K91" s="39" t="str">
        <f ca="1">IFERROR(__xludf.DUMMYFUNCTION("IF(SUM(COUNTIF(artists!E:E, SPLIT(D91, "",""))) &gt; 0, ""OTHER"", 0)"),"OTHER")</f>
        <v>OTHER</v>
      </c>
    </row>
    <row r="92" spans="1:11" ht="14.25" customHeight="1">
      <c r="A92" s="21">
        <v>91</v>
      </c>
      <c r="B92" s="21">
        <v>69</v>
      </c>
      <c r="C92" s="21" t="s">
        <v>932</v>
      </c>
      <c r="D92" s="21" t="s">
        <v>933</v>
      </c>
      <c r="E92" s="21">
        <v>6</v>
      </c>
      <c r="F92" s="21">
        <v>172982</v>
      </c>
      <c r="G92" s="42">
        <v>0.10199999999999999</v>
      </c>
      <c r="H92" s="21" t="s">
        <v>934</v>
      </c>
      <c r="I92" s="39">
        <f ca="1">IFERROR(__xludf.DUMMYFUNCTION("IF(SUM(COUNTIF(artists!A:A, SPLIT(D92, "",""))) &gt; 0, ""UA"", 0)"),0)</f>
        <v>0</v>
      </c>
      <c r="J92" s="40" t="str">
        <f ca="1">IFERROR(__xludf.DUMMYFUNCTION("IF(SUM(COUNTIF(artists!C:C, SPLIT(D92, "",""))) &gt; 0, ""RU"", 0)"),"RU")</f>
        <v>RU</v>
      </c>
      <c r="K92" s="39">
        <f ca="1">IFERROR(__xludf.DUMMYFUNCTION("IF(SUM(COUNTIF(artists!E:E, SPLIT(D92, "",""))) &gt; 0, ""OTHER"", 0)"),0)</f>
        <v>0</v>
      </c>
    </row>
    <row r="93" spans="1:11" ht="14.25" customHeight="1">
      <c r="A93" s="21">
        <v>92</v>
      </c>
      <c r="B93" s="21">
        <v>88</v>
      </c>
      <c r="C93" s="21" t="s">
        <v>497</v>
      </c>
      <c r="D93" s="21" t="s">
        <v>860</v>
      </c>
      <c r="E93" s="21">
        <v>14</v>
      </c>
      <c r="F93" s="21">
        <v>172647</v>
      </c>
      <c r="G93" s="42">
        <v>0.33500000000000002</v>
      </c>
      <c r="H93" s="21" t="s">
        <v>499</v>
      </c>
      <c r="I93" s="39" t="str">
        <f ca="1">IFERROR(__xludf.DUMMYFUNCTION("IF(SUM(COUNTIF(artists!A:A, SPLIT(D93, "",""))) &gt; 0, ""UA"", 0)"),"UA")</f>
        <v>UA</v>
      </c>
      <c r="J93" s="40">
        <f ca="1">IFERROR(__xludf.DUMMYFUNCTION("IF(SUM(COUNTIF(artists!C:C, SPLIT(D93, "",""))) &gt; 0, ""RU"", 0)"),0)</f>
        <v>0</v>
      </c>
      <c r="K93" s="39">
        <f ca="1">IFERROR(__xludf.DUMMYFUNCTION("IF(SUM(COUNTIF(artists!E:E, SPLIT(D93, "",""))) &gt; 0, ""OTHER"", 0)"),0)</f>
        <v>0</v>
      </c>
    </row>
    <row r="94" spans="1:11" ht="14.25" customHeight="1">
      <c r="A94" s="21">
        <v>93</v>
      </c>
      <c r="C94" s="21" t="s">
        <v>935</v>
      </c>
      <c r="D94" s="21" t="s">
        <v>936</v>
      </c>
      <c r="E94" s="21">
        <v>41</v>
      </c>
      <c r="F94" s="21">
        <v>171758</v>
      </c>
      <c r="H94" s="21" t="s">
        <v>937</v>
      </c>
      <c r="I94" s="39">
        <f ca="1">IFERROR(__xludf.DUMMYFUNCTION("IF(SUM(COUNTIF(artists!A:A, SPLIT(D94, "",""))) &gt; 0, ""UA"", 0)"),0)</f>
        <v>0</v>
      </c>
      <c r="J94" s="40" t="str">
        <f ca="1">IFERROR(__xludf.DUMMYFUNCTION("IF(SUM(COUNTIF(artists!C:C, SPLIT(D94, "",""))) &gt; 0, ""RU"", 0)"),"RU")</f>
        <v>RU</v>
      </c>
      <c r="K94" s="39">
        <f ca="1">IFERROR(__xludf.DUMMYFUNCTION("IF(SUM(COUNTIF(artists!E:E, SPLIT(D94, "",""))) &gt; 0, ""OTHER"", 0)"),0)</f>
        <v>0</v>
      </c>
    </row>
    <row r="95" spans="1:11" ht="14.25" customHeight="1">
      <c r="A95" s="21">
        <v>94</v>
      </c>
      <c r="B95" s="21">
        <v>80</v>
      </c>
      <c r="C95" s="21" t="s">
        <v>524</v>
      </c>
      <c r="D95" s="21" t="s">
        <v>525</v>
      </c>
      <c r="E95" s="21">
        <v>18</v>
      </c>
      <c r="F95" s="21">
        <v>171421</v>
      </c>
      <c r="G95" s="42">
        <v>0.23200000000000001</v>
      </c>
      <c r="H95" s="21" t="s">
        <v>526</v>
      </c>
      <c r="I95" s="39" t="str">
        <f ca="1">IFERROR(__xludf.DUMMYFUNCTION("IF(SUM(COUNTIF(artists!A:A, SPLIT(D95, "",""))) &gt; 0, ""UA"", 0)"),"UA")</f>
        <v>UA</v>
      </c>
      <c r="J95" s="40">
        <f ca="1">IFERROR(__xludf.DUMMYFUNCTION("IF(SUM(COUNTIF(artists!C:C, SPLIT(D95, "",""))) &gt; 0, ""RU"", 0)"),0)</f>
        <v>0</v>
      </c>
      <c r="K95" s="39">
        <f ca="1">IFERROR(__xludf.DUMMYFUNCTION("IF(SUM(COUNTIF(artists!E:E, SPLIT(D95, "",""))) &gt; 0, ""OTHER"", 0)"),0)</f>
        <v>0</v>
      </c>
    </row>
    <row r="96" spans="1:11" ht="14.25" customHeight="1">
      <c r="A96" s="21">
        <v>95</v>
      </c>
      <c r="C96" s="21" t="s">
        <v>708</v>
      </c>
      <c r="D96" s="21" t="s">
        <v>709</v>
      </c>
      <c r="E96" s="21">
        <v>1</v>
      </c>
      <c r="F96" s="21">
        <v>170727</v>
      </c>
      <c r="H96" s="21" t="s">
        <v>710</v>
      </c>
      <c r="I96" s="39">
        <f ca="1">IFERROR(__xludf.DUMMYFUNCTION("IF(SUM(COUNTIF(artists!A:A, SPLIT(D96, "",""))) &gt; 0, ""UA"", 0)"),0)</f>
        <v>0</v>
      </c>
      <c r="J96" s="40" t="str">
        <f ca="1">IFERROR(__xludf.DUMMYFUNCTION("IF(SUM(COUNTIF(artists!C:C, SPLIT(D96, "",""))) &gt; 0, ""RU"", 0)"),"RU")</f>
        <v>RU</v>
      </c>
      <c r="K96" s="39">
        <f ca="1">IFERROR(__xludf.DUMMYFUNCTION("IF(SUM(COUNTIF(artists!E:E, SPLIT(D96, "",""))) &gt; 0, ""OTHER"", 0)"),0)</f>
        <v>0</v>
      </c>
    </row>
    <row r="97" spans="1:11" ht="14.25" customHeight="1">
      <c r="A97" s="21">
        <v>96</v>
      </c>
      <c r="C97" s="21" t="s">
        <v>938</v>
      </c>
      <c r="D97" s="21" t="s">
        <v>939</v>
      </c>
      <c r="E97" s="21">
        <v>1</v>
      </c>
      <c r="F97" s="21">
        <v>169697</v>
      </c>
      <c r="H97" s="21" t="s">
        <v>940</v>
      </c>
      <c r="I97" s="39" t="str">
        <f ca="1">IFERROR(__xludf.DUMMYFUNCTION("IF(SUM(COUNTIF(artists!A:A, SPLIT(D97, "",""))) &gt; 0, ""UA"", 0)"),"UA")</f>
        <v>UA</v>
      </c>
      <c r="J97" s="40">
        <f ca="1">IFERROR(__xludf.DUMMYFUNCTION("IF(SUM(COUNTIF(artists!C:C, SPLIT(D97, "",""))) &gt; 0, ""RU"", 0)"),0)</f>
        <v>0</v>
      </c>
      <c r="K97" s="39">
        <f ca="1">IFERROR(__xludf.DUMMYFUNCTION("IF(SUM(COUNTIF(artists!E:E, SPLIT(D97, "",""))) &gt; 0, ""OTHER"", 0)"),0)</f>
        <v>0</v>
      </c>
    </row>
    <row r="98" spans="1:11" ht="14.25" customHeight="1">
      <c r="A98" s="21">
        <v>97</v>
      </c>
      <c r="C98" s="21" t="s">
        <v>941</v>
      </c>
      <c r="D98" s="21" t="s">
        <v>942</v>
      </c>
      <c r="E98" s="21">
        <v>1</v>
      </c>
      <c r="F98" s="21">
        <v>167196</v>
      </c>
      <c r="H98" s="21" t="s">
        <v>943</v>
      </c>
      <c r="I98" s="39" t="str">
        <f ca="1">IFERROR(__xludf.DUMMYFUNCTION("IF(SUM(COUNTIF(artists!A:A, SPLIT(D98, "",""))) &gt; 0, ""UA"", 0)"),"UA")</f>
        <v>UA</v>
      </c>
      <c r="J98" s="40">
        <f ca="1">IFERROR(__xludf.DUMMYFUNCTION("IF(SUM(COUNTIF(artists!C:C, SPLIT(D98, "",""))) &gt; 0, ""RU"", 0)"),0)</f>
        <v>0</v>
      </c>
      <c r="K98" s="39">
        <f ca="1">IFERROR(__xludf.DUMMYFUNCTION("IF(SUM(COUNTIF(artists!E:E, SPLIT(D98, "",""))) &gt; 0, ""OTHER"", 0)"),0)</f>
        <v>0</v>
      </c>
    </row>
    <row r="99" spans="1:11" ht="14.25" customHeight="1">
      <c r="A99" s="21">
        <v>98</v>
      </c>
      <c r="B99" s="21">
        <v>76</v>
      </c>
      <c r="C99" s="21" t="s">
        <v>605</v>
      </c>
      <c r="D99" s="21" t="s">
        <v>299</v>
      </c>
      <c r="E99" s="21">
        <v>15</v>
      </c>
      <c r="F99" s="21">
        <v>165837</v>
      </c>
      <c r="G99" s="42">
        <v>0.154</v>
      </c>
      <c r="H99" s="21" t="s">
        <v>607</v>
      </c>
      <c r="I99" s="39">
        <f ca="1">IFERROR(__xludf.DUMMYFUNCTION("IF(SUM(COUNTIF(artists!A:A, SPLIT(D99, "",""))) &gt; 0, ""UA"", 0)"),0)</f>
        <v>0</v>
      </c>
      <c r="J99" s="40">
        <f ca="1">IFERROR(__xludf.DUMMYFUNCTION("IF(SUM(COUNTIF(artists!C:C, SPLIT(D99, "",""))) &gt; 0, ""RU"", 0)"),0)</f>
        <v>0</v>
      </c>
      <c r="K99" s="39" t="str">
        <f ca="1">IFERROR(__xludf.DUMMYFUNCTION("IF(SUM(COUNTIF(artists!E:E, SPLIT(D99, "",""))) &gt; 0, ""OTHER"", 0)"),"OTHER")</f>
        <v>OTHER</v>
      </c>
    </row>
    <row r="100" spans="1:11" ht="14.25" customHeight="1">
      <c r="A100" s="21">
        <v>99</v>
      </c>
      <c r="B100" s="21">
        <v>75</v>
      </c>
      <c r="C100" s="21" t="s">
        <v>402</v>
      </c>
      <c r="D100" s="21" t="s">
        <v>403</v>
      </c>
      <c r="E100" s="21">
        <v>6</v>
      </c>
      <c r="F100" s="21">
        <v>165640</v>
      </c>
      <c r="G100" s="42">
        <v>0.112</v>
      </c>
      <c r="H100" s="21" t="s">
        <v>404</v>
      </c>
      <c r="I100" s="39">
        <f ca="1">IFERROR(__xludf.DUMMYFUNCTION("IF(SUM(COUNTIF(artists!A:A, SPLIT(D100, "",""))) &gt; 0, ""UA"", 0)"),0)</f>
        <v>0</v>
      </c>
      <c r="J100" s="40">
        <f ca="1">IFERROR(__xludf.DUMMYFUNCTION("IF(SUM(COUNTIF(artists!C:C, SPLIT(D100, "",""))) &gt; 0, ""RU"", 0)"),0)</f>
        <v>0</v>
      </c>
      <c r="K100" s="39" t="str">
        <f ca="1">IFERROR(__xludf.DUMMYFUNCTION("IF(SUM(COUNTIF(artists!E:E, SPLIT(D100, "",""))) &gt; 0, ""OTHER"", 0)"),"OTHER")</f>
        <v>OTHER</v>
      </c>
    </row>
    <row r="101" spans="1:11" ht="14.25" customHeight="1">
      <c r="A101" s="21">
        <v>100</v>
      </c>
      <c r="C101" s="21" t="s">
        <v>530</v>
      </c>
      <c r="D101" s="21" t="s">
        <v>531</v>
      </c>
      <c r="E101" s="21">
        <v>21</v>
      </c>
      <c r="F101" s="21">
        <v>164111</v>
      </c>
      <c r="H101" s="21" t="s">
        <v>532</v>
      </c>
      <c r="I101" s="39">
        <f ca="1">IFERROR(__xludf.DUMMYFUNCTION("IF(SUM(COUNTIF(artists!A:A, SPLIT(D101, "",""))) &gt; 0, ""UA"", 0)"),0)</f>
        <v>0</v>
      </c>
      <c r="J101" s="40" t="str">
        <f ca="1">IFERROR(__xludf.DUMMYFUNCTION("IF(SUM(COUNTIF(artists!C:C, SPLIT(D101, "",""))) &gt; 0, ""RU"", 0)"),"RU")</f>
        <v>RU</v>
      </c>
      <c r="K101" s="39">
        <f ca="1">IFERROR(__xludf.DUMMYFUNCTION("IF(SUM(COUNTIF(artists!E:E, SPLIT(D101, "",""))) &gt; 0, ""OTHER"", 0)"),0)</f>
        <v>0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103" priority="1">
      <formula>AND($I2=0, $J2=0, $K2=0)</formula>
    </cfRule>
    <cfRule type="expression" dxfId="102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Аркуш12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3" width="8.6640625" customWidth="1"/>
    <col min="4" max="4" width="12.6640625" customWidth="1"/>
    <col min="5" max="5" width="8.6640625" hidden="1" customWidth="1"/>
    <col min="6" max="6" width="8.6640625" customWidth="1"/>
    <col min="7" max="7" width="13.10937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C2" s="21" t="s">
        <v>121</v>
      </c>
      <c r="D2" s="21" t="s">
        <v>122</v>
      </c>
      <c r="E2" s="21">
        <v>1</v>
      </c>
      <c r="F2" s="21">
        <v>1419746</v>
      </c>
      <c r="H2" s="21" t="s">
        <v>123</v>
      </c>
      <c r="I2" s="39" t="str">
        <f ca="1">IFERROR(__xludf.DUMMYFUNCTION("IF(SUM(COUNTIF(artists!A:A, SPLIT(D2, "",""))) &gt; 0, ""UA"", 0)"),"UA")</f>
        <v>UA</v>
      </c>
      <c r="J2" s="40">
        <f ca="1">IFERROR(__xludf.DUMMYFUNCTION("IF(SUM(COUNTIF(artists!C:C, SPLIT(D2, "",""))) &gt; 0, ""RU"", 0)"),0)</f>
        <v>0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B3" s="21">
        <v>7</v>
      </c>
      <c r="C3" s="21" t="s">
        <v>111</v>
      </c>
      <c r="D3" s="21" t="s">
        <v>112</v>
      </c>
      <c r="E3" s="21">
        <v>2</v>
      </c>
      <c r="F3" s="21">
        <v>939754</v>
      </c>
      <c r="G3" s="42">
        <v>0.73299999999999998</v>
      </c>
      <c r="H3" s="21" t="s">
        <v>114</v>
      </c>
      <c r="I3" s="39" t="str">
        <f ca="1">IFERROR(__xludf.DUMMYFUNCTION("IF(SUM(COUNTIF(artists!A:A, SPLIT(D3, "",""))) &gt; 0, ""UA"", 0)"),"UA")</f>
        <v>UA</v>
      </c>
      <c r="J3" s="40">
        <f ca="1">IFERROR(__xludf.DUMMYFUNCTION("IF(SUM(COUNTIF(artists!C:C, SPLIT(D3, "",""))) &gt; 0, ""RU"", 0)"),0)</f>
        <v>0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B4" s="21">
        <v>2</v>
      </c>
      <c r="C4" s="21" t="s">
        <v>103</v>
      </c>
      <c r="D4" s="21" t="s">
        <v>104</v>
      </c>
      <c r="E4" s="21">
        <v>2</v>
      </c>
      <c r="F4" s="21">
        <v>864368</v>
      </c>
      <c r="G4" s="42">
        <v>-0.18099999999999999</v>
      </c>
      <c r="H4" s="21" t="s">
        <v>106</v>
      </c>
      <c r="I4" s="39" t="str">
        <f ca="1">IFERROR(__xludf.DUMMYFUNCTION("IF(SUM(COUNTIF(artists!A:A, SPLIT(D4, "",""))) &gt; 0, ""UA"", 0)"),"UA")</f>
        <v>UA</v>
      </c>
      <c r="J4" s="40">
        <f ca="1">IFERROR(__xludf.DUMMYFUNCTION("IF(SUM(COUNTIF(artists!C:C, SPLIT(D4, "",""))) &gt; 0, ""RU"", 0)"),0)</f>
        <v>0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B5" s="21">
        <v>3</v>
      </c>
      <c r="C5" s="21" t="s">
        <v>88</v>
      </c>
      <c r="D5" s="21" t="s">
        <v>89</v>
      </c>
      <c r="E5" s="21">
        <v>21</v>
      </c>
      <c r="F5" s="21">
        <v>828184</v>
      </c>
      <c r="G5" s="42">
        <v>-5.6000000000000001E-2</v>
      </c>
      <c r="H5" s="21" t="s">
        <v>90</v>
      </c>
      <c r="I5" s="39" t="str">
        <f ca="1">IFERROR(__xludf.DUMMYFUNCTION("IF(SUM(COUNTIF(artists!A:A, SPLIT(D5, "",""))) &gt; 0, ""UA"", 0)"),"UA")</f>
        <v>UA</v>
      </c>
      <c r="J5" s="40">
        <f ca="1">IFERROR(__xludf.DUMMYFUNCTION("IF(SUM(COUNTIF(artists!C:C, SPLIT(D5, "",""))) &gt; 0, ""RU"", 0)"),0)</f>
        <v>0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B6" s="21">
        <v>6</v>
      </c>
      <c r="C6" s="21" t="s">
        <v>124</v>
      </c>
      <c r="D6" s="21" t="s">
        <v>125</v>
      </c>
      <c r="E6" s="21">
        <v>4</v>
      </c>
      <c r="F6" s="21">
        <v>745768</v>
      </c>
      <c r="G6" s="42">
        <v>0.25700000000000001</v>
      </c>
      <c r="H6" s="21" t="s">
        <v>127</v>
      </c>
      <c r="I6" s="39">
        <f ca="1">IFERROR(__xludf.DUMMYFUNCTION("IF(SUM(COUNTIF(artists!A:A, SPLIT(D6, "",""))) &gt; 0, ""UA"", 0)"),0)</f>
        <v>0</v>
      </c>
      <c r="J6" s="40" t="str">
        <f ca="1">IFERROR(__xludf.DUMMYFUNCTION("IF(SUM(COUNTIF(artists!C:C, SPLIT(D6, "",""))) &gt; 0, ""RU"", 0)"),"RU")</f>
        <v>RU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B7" s="21">
        <v>14</v>
      </c>
      <c r="C7" s="21" t="s">
        <v>915</v>
      </c>
      <c r="D7" s="21" t="s">
        <v>916</v>
      </c>
      <c r="E7" s="21">
        <v>2</v>
      </c>
      <c r="F7" s="21">
        <v>619798</v>
      </c>
      <c r="G7" s="42">
        <v>0.41399999999999998</v>
      </c>
      <c r="H7" s="21" t="s">
        <v>917</v>
      </c>
      <c r="I7" s="39">
        <f ca="1">IFERROR(__xludf.DUMMYFUNCTION("IF(SUM(COUNTIF(artists!A:A, SPLIT(D7, "",""))) &gt; 0, ""UA"", 0)"),0)</f>
        <v>0</v>
      </c>
      <c r="J7" s="40" t="str">
        <f ca="1">IFERROR(__xludf.DUMMYFUNCTION("IF(SUM(COUNTIF(artists!C:C, SPLIT(D7, "",""))) &gt; 0, ""RU"", 0)"),"RU")</f>
        <v>RU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B8" s="21">
        <v>4</v>
      </c>
      <c r="C8" s="21" t="s">
        <v>95</v>
      </c>
      <c r="D8" s="21" t="s">
        <v>96</v>
      </c>
      <c r="E8" s="21">
        <v>6</v>
      </c>
      <c r="F8" s="21">
        <v>597210</v>
      </c>
      <c r="G8" s="42">
        <v>-4.8000000000000001E-2</v>
      </c>
      <c r="H8" s="21" t="s">
        <v>98</v>
      </c>
      <c r="I8" s="39" t="str">
        <f ca="1">IFERROR(__xludf.DUMMYFUNCTION("IF(SUM(COUNTIF(artists!A:A, SPLIT(D8, "",""))) &gt; 0, ""UA"", 0)"),"UA")</f>
        <v>UA</v>
      </c>
      <c r="J8" s="40">
        <f ca="1">IFERROR(__xludf.DUMMYFUNCTION("IF(SUM(COUNTIF(artists!C:C, SPLIT(D8, "",""))) &gt; 0, ""RU"", 0)"),0)</f>
        <v>0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B9" s="21">
        <v>5</v>
      </c>
      <c r="C9" s="21" t="s">
        <v>645</v>
      </c>
      <c r="D9" s="21" t="s">
        <v>352</v>
      </c>
      <c r="E9" s="21">
        <v>46</v>
      </c>
      <c r="F9" s="21">
        <v>586986</v>
      </c>
      <c r="G9" s="42">
        <v>-1.4E-2</v>
      </c>
      <c r="H9" s="21" t="s">
        <v>647</v>
      </c>
      <c r="I9" s="39" t="str">
        <f ca="1">IFERROR(__xludf.DUMMYFUNCTION("IF(SUM(COUNTIF(artists!A:A, SPLIT(D9, "",""))) &gt; 0, ""UA"", 0)"),"UA")</f>
        <v>UA</v>
      </c>
      <c r="J9" s="40">
        <f ca="1">IFERROR(__xludf.DUMMYFUNCTION("IF(SUM(COUNTIF(artists!C:C, SPLIT(D9, "",""))) &gt; 0, ""RU"", 0)"),0)</f>
        <v>0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B10" s="21">
        <v>54</v>
      </c>
      <c r="C10" s="21" t="s">
        <v>760</v>
      </c>
      <c r="D10" s="21" t="s">
        <v>761</v>
      </c>
      <c r="E10" s="21">
        <v>2</v>
      </c>
      <c r="F10" s="21">
        <v>547753</v>
      </c>
      <c r="G10" s="42">
        <v>1.732</v>
      </c>
      <c r="H10" s="21" t="s">
        <v>763</v>
      </c>
      <c r="I10" s="39" t="str">
        <f ca="1">IFERROR(__xludf.DUMMYFUNCTION("IF(SUM(COUNTIF(artists!A:A, SPLIT(D10, "",""))) &gt; 0, ""UA"", 0)"),"UA")</f>
        <v>UA</v>
      </c>
      <c r="J10" s="40">
        <f ca="1">IFERROR(__xludf.DUMMYFUNCTION("IF(SUM(COUNTIF(artists!C:C, SPLIT(D10, "",""))) &gt; 0, ""RU"", 0)"),0)</f>
        <v>0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B11" s="21">
        <v>8</v>
      </c>
      <c r="C11" s="21" t="s">
        <v>132</v>
      </c>
      <c r="D11" s="21" t="s">
        <v>133</v>
      </c>
      <c r="E11" s="21">
        <v>33</v>
      </c>
      <c r="F11" s="21">
        <v>519227</v>
      </c>
      <c r="G11" s="42">
        <v>-3.6999999999999998E-2</v>
      </c>
      <c r="H11" s="21" t="s">
        <v>135</v>
      </c>
      <c r="I11" s="39" t="str">
        <f ca="1">IFERROR(__xludf.DUMMYFUNCTION("IF(SUM(COUNTIF(artists!A:A, SPLIT(D11, "",""))) &gt; 0, ""UA"", 0)"),"UA")</f>
        <v>UA</v>
      </c>
      <c r="J11" s="40">
        <f ca="1">IFERROR(__xludf.DUMMYFUNCTION("IF(SUM(COUNTIF(artists!C:C, SPLIT(D11, "",""))) &gt; 0, ""RU"", 0)"),0)</f>
        <v>0</v>
      </c>
      <c r="K11" s="39">
        <f ca="1">IFERROR(__xludf.DUMMYFUNCTION("IF(SUM(COUNTIF(artists!E:E, SPLIT(D11, "",""))) &gt; 0, ""OTHER"", 0)"),0)</f>
        <v>0</v>
      </c>
    </row>
    <row r="12" spans="1:11" ht="14.25" customHeight="1">
      <c r="A12" s="21">
        <v>11</v>
      </c>
      <c r="B12" s="21">
        <v>9</v>
      </c>
      <c r="C12" s="21" t="s">
        <v>128</v>
      </c>
      <c r="D12" s="21" t="s">
        <v>129</v>
      </c>
      <c r="E12" s="21">
        <v>29</v>
      </c>
      <c r="F12" s="21">
        <v>497610</v>
      </c>
      <c r="G12" s="42">
        <v>-3.1E-2</v>
      </c>
      <c r="H12" s="21" t="s">
        <v>131</v>
      </c>
      <c r="I12" s="39" t="str">
        <f ca="1">IFERROR(__xludf.DUMMYFUNCTION("IF(SUM(COUNTIF(artists!A:A, SPLIT(D12, "",""))) &gt; 0, ""UA"", 0)"),"UA")</f>
        <v>UA</v>
      </c>
      <c r="J12" s="40">
        <f ca="1">IFERROR(__xludf.DUMMYFUNCTION("IF(SUM(COUNTIF(artists!C:C, SPLIT(D12, "",""))) &gt; 0, ""RU"", 0)"),0)</f>
        <v>0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B13" s="21">
        <v>12</v>
      </c>
      <c r="C13" s="21" t="s">
        <v>145</v>
      </c>
      <c r="D13" s="21" t="s">
        <v>146</v>
      </c>
      <c r="E13" s="21">
        <v>27</v>
      </c>
      <c r="F13" s="21">
        <v>457314</v>
      </c>
      <c r="G13" s="42">
        <v>-7.0000000000000001E-3</v>
      </c>
      <c r="H13" s="21" t="s">
        <v>148</v>
      </c>
      <c r="I13" s="39" t="str">
        <f ca="1">IFERROR(__xludf.DUMMYFUNCTION("IF(SUM(COUNTIF(artists!A:A, SPLIT(D13, "",""))) &gt; 0, ""UA"", 0)"),"UA")</f>
        <v>UA</v>
      </c>
      <c r="J13" s="40">
        <f ca="1">IFERROR(__xludf.DUMMYFUNCTION("IF(SUM(COUNTIF(artists!C:C, SPLIT(D13, "",""))) &gt; 0, ""RU"", 0)"),0)</f>
        <v>0</v>
      </c>
      <c r="K13" s="39">
        <f ca="1">IFERROR(__xludf.DUMMYFUNCTION("IF(SUM(COUNTIF(artists!E:E, SPLIT(D13, "",""))) &gt; 0, ""OTHER"", 0)"),0)</f>
        <v>0</v>
      </c>
    </row>
    <row r="14" spans="1:11" ht="14.25" customHeight="1">
      <c r="A14" s="21">
        <v>13</v>
      </c>
      <c r="B14" s="21">
        <v>10</v>
      </c>
      <c r="C14" s="21" t="s">
        <v>115</v>
      </c>
      <c r="D14" s="21" t="s">
        <v>116</v>
      </c>
      <c r="E14" s="21">
        <v>23</v>
      </c>
      <c r="F14" s="21">
        <v>448284</v>
      </c>
      <c r="G14" s="42">
        <v>-9.2999999999999999E-2</v>
      </c>
      <c r="H14" s="21" t="s">
        <v>117</v>
      </c>
      <c r="I14" s="39" t="str">
        <f ca="1">IFERROR(__xludf.DUMMYFUNCTION("IF(SUM(COUNTIF(artists!A:A, SPLIT(D14, "",""))) &gt; 0, ""UA"", 0)"),"UA")</f>
        <v>UA</v>
      </c>
      <c r="J14" s="40">
        <f ca="1">IFERROR(__xludf.DUMMYFUNCTION("IF(SUM(COUNTIF(artists!C:C, SPLIT(D14, "",""))) &gt; 0, ""RU"", 0)"),0)</f>
        <v>0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B15" s="21">
        <v>13</v>
      </c>
      <c r="C15" s="21" t="s">
        <v>171</v>
      </c>
      <c r="D15" s="21" t="s">
        <v>172</v>
      </c>
      <c r="E15" s="21">
        <v>28</v>
      </c>
      <c r="F15" s="21">
        <v>408692</v>
      </c>
      <c r="G15" s="43">
        <v>-7.0000000000000007E-2</v>
      </c>
      <c r="H15" s="21" t="s">
        <v>174</v>
      </c>
      <c r="I15" s="39">
        <f ca="1">IFERROR(__xludf.DUMMYFUNCTION("IF(SUM(COUNTIF(artists!A:A, SPLIT(D15, "",""))) &gt; 0, ""UA"", 0)"),0)</f>
        <v>0</v>
      </c>
      <c r="J15" s="40" t="str">
        <f ca="1">IFERROR(__xludf.DUMMYFUNCTION("IF(SUM(COUNTIF(artists!C:C, SPLIT(D15, "",""))) &gt; 0, ""RU"", 0)"),"RU")</f>
        <v>RU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B16" s="21">
        <v>15</v>
      </c>
      <c r="C16" s="21" t="s">
        <v>175</v>
      </c>
      <c r="D16" s="21" t="s">
        <v>89</v>
      </c>
      <c r="E16" s="21">
        <v>33</v>
      </c>
      <c r="F16" s="21">
        <v>400458</v>
      </c>
      <c r="G16" s="42">
        <v>-5.8999999999999997E-2</v>
      </c>
      <c r="H16" s="21" t="s">
        <v>177</v>
      </c>
      <c r="I16" s="39" t="str">
        <f ca="1">IFERROR(__xludf.DUMMYFUNCTION("IF(SUM(COUNTIF(artists!A:A, SPLIT(D16, "",""))) &gt; 0, ""UA"", 0)"),"UA")</f>
        <v>UA</v>
      </c>
      <c r="J16" s="40">
        <f ca="1">IFERROR(__xludf.DUMMYFUNCTION("IF(SUM(COUNTIF(artists!C:C, SPLIT(D16, "",""))) &gt; 0, ""RU"", 0)"),0)</f>
        <v>0</v>
      </c>
      <c r="K16" s="39">
        <f ca="1">IFERROR(__xludf.DUMMYFUNCTION("IF(SUM(COUNTIF(artists!E:E, SPLIT(D16, "",""))) &gt; 0, ""OTHER"", 0)"),0)</f>
        <v>0</v>
      </c>
    </row>
    <row r="17" spans="1:11" ht="14.25" customHeight="1">
      <c r="A17" s="21">
        <v>16</v>
      </c>
      <c r="B17" s="21">
        <v>71</v>
      </c>
      <c r="C17" s="21" t="s">
        <v>237</v>
      </c>
      <c r="D17" s="21" t="s">
        <v>238</v>
      </c>
      <c r="E17" s="21">
        <v>2</v>
      </c>
      <c r="F17" s="21">
        <v>395507</v>
      </c>
      <c r="G17" s="42">
        <v>1.5740000000000001</v>
      </c>
      <c r="H17" s="21" t="s">
        <v>240</v>
      </c>
      <c r="I17" s="39" t="str">
        <f ca="1">IFERROR(__xludf.DUMMYFUNCTION("IF(SUM(COUNTIF(artists!A:A, SPLIT(D17, "",""))) &gt; 0, ""UA"", 0)"),"UA")</f>
        <v>UA</v>
      </c>
      <c r="J17" s="40">
        <f ca="1">IFERROR(__xludf.DUMMYFUNCTION("IF(SUM(COUNTIF(artists!C:C, SPLIT(D17, "",""))) &gt; 0, ""RU"", 0)"),0)</f>
        <v>0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B18" s="21">
        <v>16</v>
      </c>
      <c r="C18" s="21" t="s">
        <v>202</v>
      </c>
      <c r="D18" s="21" t="s">
        <v>835</v>
      </c>
      <c r="E18" s="21">
        <v>23</v>
      </c>
      <c r="F18" s="21">
        <v>391424</v>
      </c>
      <c r="G18" s="42">
        <v>-7.3999999999999996E-2</v>
      </c>
      <c r="H18" s="21" t="s">
        <v>204</v>
      </c>
      <c r="I18" s="39" t="str">
        <f ca="1">IFERROR(__xludf.DUMMYFUNCTION("IF(SUM(COUNTIF(artists!A:A, SPLIT(D18, "",""))) &gt; 0, ""UA"", 0)"),"UA")</f>
        <v>UA</v>
      </c>
      <c r="J18" s="40">
        <f ca="1">IFERROR(__xludf.DUMMYFUNCTION("IF(SUM(COUNTIF(artists!C:C, SPLIT(D18, "",""))) &gt; 0, ""RU"", 0)"),0)</f>
        <v>0</v>
      </c>
      <c r="K18" s="39">
        <f ca="1">IFERROR(__xludf.DUMMYFUNCTION("IF(SUM(COUNTIF(artists!E:E, SPLIT(D18, "",""))) &gt; 0, ""OTHER"", 0)"),0)</f>
        <v>0</v>
      </c>
    </row>
    <row r="19" spans="1:11" ht="14.25" customHeight="1">
      <c r="A19" s="21">
        <v>18</v>
      </c>
      <c r="B19" s="21">
        <v>19</v>
      </c>
      <c r="C19" s="21" t="s">
        <v>168</v>
      </c>
      <c r="D19" s="21" t="s">
        <v>137</v>
      </c>
      <c r="E19" s="21">
        <v>24</v>
      </c>
      <c r="F19" s="21">
        <v>381706</v>
      </c>
      <c r="G19" s="42">
        <v>-5.8999999999999997E-2</v>
      </c>
      <c r="H19" s="21" t="s">
        <v>170</v>
      </c>
      <c r="I19" s="39" t="str">
        <f ca="1">IFERROR(__xludf.DUMMYFUNCTION("IF(SUM(COUNTIF(artists!A:A, SPLIT(D19, "",""))) &gt; 0, ""UA"", 0)"),"UA")</f>
        <v>UA</v>
      </c>
      <c r="J19" s="40">
        <f ca="1">IFERROR(__xludf.DUMMYFUNCTION("IF(SUM(COUNTIF(artists!C:C, SPLIT(D19, "",""))) &gt; 0, ""RU"", 0)"),0)</f>
        <v>0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B20" s="21">
        <v>17</v>
      </c>
      <c r="C20" s="21" t="s">
        <v>149</v>
      </c>
      <c r="D20" s="21" t="s">
        <v>150</v>
      </c>
      <c r="E20" s="21">
        <v>26</v>
      </c>
      <c r="F20" s="21">
        <v>378136</v>
      </c>
      <c r="G20" s="42">
        <v>-8.5999999999999993E-2</v>
      </c>
      <c r="H20" s="21" t="s">
        <v>152</v>
      </c>
      <c r="I20" s="39" t="str">
        <f ca="1">IFERROR(__xludf.DUMMYFUNCTION("IF(SUM(COUNTIF(artists!A:A, SPLIT(D20, "",""))) &gt; 0, ""UA"", 0)"),"UA")</f>
        <v>UA</v>
      </c>
      <c r="J20" s="40">
        <f ca="1">IFERROR(__xludf.DUMMYFUNCTION("IF(SUM(COUNTIF(artists!C:C, SPLIT(D20, "",""))) &gt; 0, ""RU"", 0)"),0)</f>
        <v>0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B21" s="21">
        <v>11</v>
      </c>
      <c r="C21" s="21" t="s">
        <v>294</v>
      </c>
      <c r="D21" s="21" t="s">
        <v>295</v>
      </c>
      <c r="E21" s="21">
        <v>5</v>
      </c>
      <c r="F21" s="21">
        <v>376228</v>
      </c>
      <c r="G21" s="42">
        <v>-0.187</v>
      </c>
      <c r="H21" s="21" t="s">
        <v>297</v>
      </c>
      <c r="I21" s="39">
        <f ca="1">IFERROR(__xludf.DUMMYFUNCTION("IF(SUM(COUNTIF(artists!A:A, SPLIT(D21, "",""))) &gt; 0, ""UA"", 0)"),0)</f>
        <v>0</v>
      </c>
      <c r="J21" s="40" t="str">
        <f ca="1">IFERROR(__xludf.DUMMYFUNCTION("IF(SUM(COUNTIF(artists!C:C, SPLIT(D21, "",""))) &gt; 0, ""RU"", 0)"),"RU")</f>
        <v>RU</v>
      </c>
      <c r="K21" s="39">
        <f ca="1">IFERROR(__xludf.DUMMYFUNCTION("IF(SUM(COUNTIF(artists!E:E, SPLIT(D21, "",""))) &gt; 0, ""OTHER"", 0)"),0)</f>
        <v>0</v>
      </c>
    </row>
    <row r="22" spans="1:11" ht="14.25" customHeight="1">
      <c r="A22" s="21">
        <v>21</v>
      </c>
      <c r="B22" s="21">
        <v>18</v>
      </c>
      <c r="C22" s="21" t="s">
        <v>182</v>
      </c>
      <c r="D22" s="21" t="s">
        <v>183</v>
      </c>
      <c r="E22" s="21">
        <v>29</v>
      </c>
      <c r="F22" s="21">
        <v>369801</v>
      </c>
      <c r="G22" s="42">
        <v>-0.105</v>
      </c>
      <c r="H22" s="21" t="s">
        <v>185</v>
      </c>
      <c r="I22" s="39" t="str">
        <f ca="1">IFERROR(__xludf.DUMMYFUNCTION("IF(SUM(COUNTIF(artists!A:A, SPLIT(D22, "",""))) &gt; 0, ""UA"", 0)"),"UA")</f>
        <v>UA</v>
      </c>
      <c r="J22" s="40">
        <f ca="1">IFERROR(__xludf.DUMMYFUNCTION("IF(SUM(COUNTIF(artists!C:C, SPLIT(D22, "",""))) &gt; 0, ""RU"", 0)"),0)</f>
        <v>0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B23" s="21">
        <v>21</v>
      </c>
      <c r="C23" s="21" t="s">
        <v>286</v>
      </c>
      <c r="D23" s="21" t="s">
        <v>287</v>
      </c>
      <c r="E23" s="21">
        <v>8</v>
      </c>
      <c r="F23" s="21">
        <v>352398</v>
      </c>
      <c r="G23" s="42">
        <v>-5.0000000000000001E-3</v>
      </c>
      <c r="H23" s="21" t="s">
        <v>289</v>
      </c>
      <c r="I23" s="39">
        <f ca="1">IFERROR(__xludf.DUMMYFUNCTION("IF(SUM(COUNTIF(artists!A:A, SPLIT(D23, "",""))) &gt; 0, ""UA"", 0)"),0)</f>
        <v>0</v>
      </c>
      <c r="J23" s="40" t="str">
        <f ca="1">IFERROR(__xludf.DUMMYFUNCTION("IF(SUM(COUNTIF(artists!C:C, SPLIT(D23, "",""))) &gt; 0, ""RU"", 0)"),"RU")</f>
        <v>RU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B24" s="21">
        <v>22</v>
      </c>
      <c r="C24" s="21" t="s">
        <v>186</v>
      </c>
      <c r="D24" s="21" t="s">
        <v>187</v>
      </c>
      <c r="E24" s="21">
        <v>37</v>
      </c>
      <c r="F24" s="21">
        <v>335545</v>
      </c>
      <c r="G24" s="43">
        <v>-0.05</v>
      </c>
      <c r="H24" s="21" t="s">
        <v>189</v>
      </c>
      <c r="I24" s="39" t="str">
        <f ca="1">IFERROR(__xludf.DUMMYFUNCTION("IF(SUM(COUNTIF(artists!A:A, SPLIT(D24, "",""))) &gt; 0, ""UA"", 0)"),"UA")</f>
        <v>UA</v>
      </c>
      <c r="J24" s="40">
        <f ca="1">IFERROR(__xludf.DUMMYFUNCTION("IF(SUM(COUNTIF(artists!C:C, SPLIT(D24, "",""))) &gt; 0, ""RU"", 0)"),0)</f>
        <v>0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B25" s="21">
        <v>31</v>
      </c>
      <c r="C25" s="21" t="s">
        <v>261</v>
      </c>
      <c r="D25" s="21" t="s">
        <v>262</v>
      </c>
      <c r="E25" s="21">
        <v>3</v>
      </c>
      <c r="F25" s="21">
        <v>325023</v>
      </c>
      <c r="G25" s="42">
        <v>0.14199999999999999</v>
      </c>
      <c r="H25" s="21" t="s">
        <v>263</v>
      </c>
      <c r="I25" s="39" t="str">
        <f ca="1">IFERROR(__xludf.DUMMYFUNCTION("IF(SUM(COUNTIF(artists!A:A, SPLIT(D25, "",""))) &gt; 0, ""UA"", 0)"),"UA")</f>
        <v>UA</v>
      </c>
      <c r="J25" s="40">
        <f ca="1">IFERROR(__xludf.DUMMYFUNCTION("IF(SUM(COUNTIF(artists!C:C, SPLIT(D25, "",""))) &gt; 0, ""RU"", 0)"),0)</f>
        <v>0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B26" s="21">
        <v>20</v>
      </c>
      <c r="C26" s="21" t="s">
        <v>194</v>
      </c>
      <c r="D26" s="21" t="s">
        <v>195</v>
      </c>
      <c r="E26" s="21">
        <v>36</v>
      </c>
      <c r="F26" s="21">
        <v>307285</v>
      </c>
      <c r="G26" s="42">
        <v>-0.159</v>
      </c>
      <c r="H26" s="21" t="s">
        <v>197</v>
      </c>
      <c r="I26" s="39" t="str">
        <f ca="1">IFERROR(__xludf.DUMMYFUNCTION("IF(SUM(COUNTIF(artists!A:A, SPLIT(D26, "",""))) &gt; 0, ""UA"", 0)"),"UA")</f>
        <v>UA</v>
      </c>
      <c r="J26" s="40">
        <f ca="1">IFERROR(__xludf.DUMMYFUNCTION("IF(SUM(COUNTIF(artists!C:C, SPLIT(D26, "",""))) &gt; 0, ""RU"", 0)"),0)</f>
        <v>0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B27" s="21">
        <v>23</v>
      </c>
      <c r="C27" s="21" t="s">
        <v>351</v>
      </c>
      <c r="D27" s="21" t="s">
        <v>352</v>
      </c>
      <c r="E27" s="21">
        <v>9</v>
      </c>
      <c r="F27" s="21">
        <v>303495</v>
      </c>
      <c r="G27" s="42">
        <v>-0.114</v>
      </c>
      <c r="H27" s="21" t="s">
        <v>354</v>
      </c>
      <c r="I27" s="39" t="str">
        <f ca="1">IFERROR(__xludf.DUMMYFUNCTION("IF(SUM(COUNTIF(artists!A:A, SPLIT(D27, "",""))) &gt; 0, ""UA"", 0)"),"UA")</f>
        <v>UA</v>
      </c>
      <c r="J27" s="40">
        <f ca="1">IFERROR(__xludf.DUMMYFUNCTION("IF(SUM(COUNTIF(artists!C:C, SPLIT(D27, "",""))) &gt; 0, ""RU"", 0)"),0)</f>
        <v>0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C28" s="21" t="s">
        <v>944</v>
      </c>
      <c r="D28" s="21" t="s">
        <v>945</v>
      </c>
      <c r="E28" s="21">
        <v>1</v>
      </c>
      <c r="F28" s="21">
        <v>300106</v>
      </c>
      <c r="H28" s="21" t="s">
        <v>946</v>
      </c>
      <c r="I28" s="39" t="str">
        <f ca="1">IFERROR(__xludf.DUMMYFUNCTION("IF(SUM(COUNTIF(artists!A:A, SPLIT(D28, "",""))) &gt; 0, ""UA"", 0)"),"UA")</f>
        <v>UA</v>
      </c>
      <c r="J28" s="40">
        <f ca="1">IFERROR(__xludf.DUMMYFUNCTION("IF(SUM(COUNTIF(artists!C:C, SPLIT(D28, "",""))) &gt; 0, ""RU"", 0)"),0)</f>
        <v>0</v>
      </c>
      <c r="K28" s="39">
        <f ca="1">IFERROR(__xludf.DUMMYFUNCTION("IF(SUM(COUNTIF(artists!E:E, SPLIT(D28, "",""))) &gt; 0, ""OTHER"", 0)"),0)</f>
        <v>0</v>
      </c>
    </row>
    <row r="29" spans="1:11" ht="14.25" customHeight="1">
      <c r="A29" s="21">
        <v>28</v>
      </c>
      <c r="C29" s="21" t="s">
        <v>153</v>
      </c>
      <c r="D29" s="21" t="s">
        <v>154</v>
      </c>
      <c r="E29" s="21">
        <v>1</v>
      </c>
      <c r="F29" s="21">
        <v>279323</v>
      </c>
      <c r="H29" s="21" t="s">
        <v>156</v>
      </c>
      <c r="I29" s="39">
        <f ca="1">IFERROR(__xludf.DUMMYFUNCTION("IF(SUM(COUNTIF(artists!A:A, SPLIT(D29, "",""))) &gt; 0, ""UA"", 0)"),0)</f>
        <v>0</v>
      </c>
      <c r="J29" s="40" t="str">
        <f ca="1">IFERROR(__xludf.DUMMYFUNCTION("IF(SUM(COUNTIF(artists!C:C, SPLIT(D29, "",""))) &gt; 0, ""RU"", 0)"),"RU")</f>
        <v>RU</v>
      </c>
      <c r="K29" s="39">
        <f ca="1">IFERROR(__xludf.DUMMYFUNCTION("IF(SUM(COUNTIF(artists!E:E, SPLIT(D29, "",""))) &gt; 0, ""OTHER"", 0)"),0)</f>
        <v>0</v>
      </c>
    </row>
    <row r="30" spans="1:11" ht="14.25" customHeight="1">
      <c r="A30" s="21">
        <v>29</v>
      </c>
      <c r="B30" s="21">
        <v>29</v>
      </c>
      <c r="C30" s="21" t="s">
        <v>178</v>
      </c>
      <c r="D30" s="21" t="s">
        <v>179</v>
      </c>
      <c r="E30" s="21">
        <v>37</v>
      </c>
      <c r="F30" s="21">
        <v>273649</v>
      </c>
      <c r="G30" s="42">
        <v>-6.5000000000000002E-2</v>
      </c>
      <c r="H30" s="21" t="s">
        <v>181</v>
      </c>
      <c r="I30" s="39" t="str">
        <f ca="1">IFERROR(__xludf.DUMMYFUNCTION("IF(SUM(COUNTIF(artists!A:A, SPLIT(D30, "",""))) &gt; 0, ""UA"", 0)"),"UA")</f>
        <v>UA</v>
      </c>
      <c r="J30" s="40">
        <f ca="1">IFERROR(__xludf.DUMMYFUNCTION("IF(SUM(COUNTIF(artists!C:C, SPLIT(D30, "",""))) &gt; 0, ""RU"", 0)"),0)</f>
        <v>0</v>
      </c>
      <c r="K30" s="39">
        <f ca="1">IFERROR(__xludf.DUMMYFUNCTION("IF(SUM(COUNTIF(artists!E:E, SPLIT(D30, "",""))) &gt; 0, ""OTHER"", 0)"),0)</f>
        <v>0</v>
      </c>
    </row>
    <row r="31" spans="1:11" ht="14.25" customHeight="1">
      <c r="A31" s="21">
        <v>30</v>
      </c>
      <c r="B31" s="21">
        <v>30</v>
      </c>
      <c r="C31" s="21" t="s">
        <v>160</v>
      </c>
      <c r="D31" s="21" t="s">
        <v>161</v>
      </c>
      <c r="E31" s="21">
        <v>27</v>
      </c>
      <c r="F31" s="21">
        <v>265915</v>
      </c>
      <c r="G31" s="42">
        <v>-7.9000000000000001E-2</v>
      </c>
      <c r="H31" s="21" t="s">
        <v>163</v>
      </c>
      <c r="I31" s="39" t="str">
        <f ca="1">IFERROR(__xludf.DUMMYFUNCTION("IF(SUM(COUNTIF(artists!A:A, SPLIT(D31, "",""))) &gt; 0, ""UA"", 0)"),"UA")</f>
        <v>UA</v>
      </c>
      <c r="J31" s="40">
        <f ca="1">IFERROR(__xludf.DUMMYFUNCTION("IF(SUM(COUNTIF(artists!C:C, SPLIT(D31, "",""))) &gt; 0, ""RU"", 0)"),0)</f>
        <v>0</v>
      </c>
      <c r="K31" s="39">
        <f ca="1">IFERROR(__xludf.DUMMYFUNCTION("IF(SUM(COUNTIF(artists!E:E, SPLIT(D31, "",""))) &gt; 0, ""OTHER"", 0)"),0)</f>
        <v>0</v>
      </c>
    </row>
    <row r="32" spans="1:11" ht="14.25" customHeight="1">
      <c r="A32" s="21">
        <v>31</v>
      </c>
      <c r="B32" s="21">
        <v>25</v>
      </c>
      <c r="C32" s="21" t="s">
        <v>209</v>
      </c>
      <c r="D32" s="21" t="s">
        <v>210</v>
      </c>
      <c r="E32" s="21">
        <v>26</v>
      </c>
      <c r="F32" s="21">
        <v>263983</v>
      </c>
      <c r="G32" s="42">
        <v>-0.13200000000000001</v>
      </c>
      <c r="H32" s="21" t="s">
        <v>212</v>
      </c>
      <c r="I32" s="39" t="str">
        <f ca="1">IFERROR(__xludf.DUMMYFUNCTION("IF(SUM(COUNTIF(artists!A:A, SPLIT(D32, "",""))) &gt; 0, ""UA"", 0)"),"UA")</f>
        <v>UA</v>
      </c>
      <c r="J32" s="40">
        <f ca="1">IFERROR(__xludf.DUMMYFUNCTION("IF(SUM(COUNTIF(artists!C:C, SPLIT(D32, "",""))) &gt; 0, ""RU"", 0)"),0)</f>
        <v>0</v>
      </c>
      <c r="K32" s="39">
        <f ca="1">IFERROR(__xludf.DUMMYFUNCTION("IF(SUM(COUNTIF(artists!E:E, SPLIT(D32, "",""))) &gt; 0, ""OTHER"", 0)"),0)</f>
        <v>0</v>
      </c>
    </row>
    <row r="33" spans="1:11" ht="14.25" customHeight="1">
      <c r="A33" s="21">
        <v>32</v>
      </c>
      <c r="B33" s="21">
        <v>33</v>
      </c>
      <c r="C33" s="21" t="s">
        <v>500</v>
      </c>
      <c r="D33" s="21" t="s">
        <v>501</v>
      </c>
      <c r="E33" s="21">
        <v>12</v>
      </c>
      <c r="F33" s="21">
        <v>260730</v>
      </c>
      <c r="G33" s="43">
        <v>-7.0000000000000007E-2</v>
      </c>
      <c r="H33" s="21" t="s">
        <v>503</v>
      </c>
      <c r="I33" s="39">
        <f ca="1">IFERROR(__xludf.DUMMYFUNCTION("IF(SUM(COUNTIF(artists!A:A, SPLIT(D33, "",""))) &gt; 0, ""UA"", 0)"),0)</f>
        <v>0</v>
      </c>
      <c r="J33" s="40" t="str">
        <f ca="1">IFERROR(__xludf.DUMMYFUNCTION("IF(SUM(COUNTIF(artists!C:C, SPLIT(D33, "",""))) &gt; 0, ""RU"", 0)"),"RU")</f>
        <v>RU</v>
      </c>
      <c r="K33" s="39">
        <f ca="1">IFERROR(__xludf.DUMMYFUNCTION("IF(SUM(COUNTIF(artists!E:E, SPLIT(D33, "",""))) &gt; 0, ""OTHER"", 0)"),0)</f>
        <v>0</v>
      </c>
    </row>
    <row r="34" spans="1:11" ht="14.25" customHeight="1">
      <c r="A34" s="21">
        <v>33</v>
      </c>
      <c r="B34" s="21">
        <v>28</v>
      </c>
      <c r="C34" s="21" t="s">
        <v>190</v>
      </c>
      <c r="D34" s="21" t="s">
        <v>191</v>
      </c>
      <c r="E34" s="21">
        <v>8</v>
      </c>
      <c r="F34" s="21">
        <v>258821</v>
      </c>
      <c r="G34" s="42">
        <v>-0.123</v>
      </c>
      <c r="H34" s="21" t="s">
        <v>193</v>
      </c>
      <c r="I34" s="39" t="str">
        <f ca="1">IFERROR(__xludf.DUMMYFUNCTION("IF(SUM(COUNTIF(artists!A:A, SPLIT(D34, "",""))) &gt; 0, ""UA"", 0)"),"UA")</f>
        <v>UA</v>
      </c>
      <c r="J34" s="40">
        <f ca="1">IFERROR(__xludf.DUMMYFUNCTION("IF(SUM(COUNTIF(artists!C:C, SPLIT(D34, "",""))) &gt; 0, ""RU"", 0)"),0)</f>
        <v>0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B35" s="21">
        <v>32</v>
      </c>
      <c r="C35" s="21" t="s">
        <v>841</v>
      </c>
      <c r="D35" s="21" t="s">
        <v>842</v>
      </c>
      <c r="E35" s="21">
        <v>38</v>
      </c>
      <c r="F35" s="21">
        <v>256114</v>
      </c>
      <c r="G35" s="42">
        <v>-8.6999999999999994E-2</v>
      </c>
      <c r="H35" s="21" t="s">
        <v>843</v>
      </c>
      <c r="I35" s="39">
        <f ca="1">IFERROR(__xludf.DUMMYFUNCTION("IF(SUM(COUNTIF(artists!A:A, SPLIT(D35, "",""))) &gt; 0, ""UA"", 0)"),0)</f>
        <v>0</v>
      </c>
      <c r="J35" s="40">
        <f ca="1">IFERROR(__xludf.DUMMYFUNCTION("IF(SUM(COUNTIF(artists!C:C, SPLIT(D35, "",""))) &gt; 0, ""RU"", 0)"),0)</f>
        <v>0</v>
      </c>
      <c r="K35" s="39" t="str">
        <f ca="1">IFERROR(__xludf.DUMMYFUNCTION("IF(SUM(COUNTIF(artists!E:E, SPLIT(D35, "",""))) &gt; 0, ""OTHER"", 0)"),"OTHER")</f>
        <v>OTHER</v>
      </c>
    </row>
    <row r="36" spans="1:11" ht="14.25" customHeight="1">
      <c r="A36" s="21">
        <v>35</v>
      </c>
      <c r="B36" s="21">
        <v>34</v>
      </c>
      <c r="C36" s="21" t="s">
        <v>844</v>
      </c>
      <c r="D36" s="21" t="s">
        <v>457</v>
      </c>
      <c r="E36" s="21">
        <v>13</v>
      </c>
      <c r="F36" s="21">
        <v>256040</v>
      </c>
      <c r="G36" s="42">
        <v>-6.5000000000000002E-2</v>
      </c>
      <c r="H36" s="21" t="s">
        <v>459</v>
      </c>
      <c r="I36" s="39">
        <f ca="1">IFERROR(__xludf.DUMMYFUNCTION("IF(SUM(COUNTIF(artists!A:A, SPLIT(D36, "",""))) &gt; 0, ""UA"", 0)"),0)</f>
        <v>0</v>
      </c>
      <c r="J36" s="40">
        <f ca="1">IFERROR(__xludf.DUMMYFUNCTION("IF(SUM(COUNTIF(artists!C:C, SPLIT(D36, "",""))) &gt; 0, ""RU"", 0)"),0)</f>
        <v>0</v>
      </c>
      <c r="K36" s="39" t="str">
        <f ca="1">IFERROR(__xludf.DUMMYFUNCTION("IF(SUM(COUNTIF(artists!E:E, SPLIT(D36, "",""))) &gt; 0, ""OTHER"", 0)"),"OTHER")</f>
        <v>OTHER</v>
      </c>
    </row>
    <row r="37" spans="1:11" ht="14.25" customHeight="1">
      <c r="A37" s="21">
        <v>36</v>
      </c>
      <c r="B37" s="21">
        <v>37</v>
      </c>
      <c r="C37" s="21" t="s">
        <v>251</v>
      </c>
      <c r="D37" s="21" t="s">
        <v>133</v>
      </c>
      <c r="E37" s="21">
        <v>18</v>
      </c>
      <c r="F37" s="21">
        <v>251898</v>
      </c>
      <c r="G37" s="42">
        <v>-3.6999999999999998E-2</v>
      </c>
      <c r="H37" s="21" t="s">
        <v>252</v>
      </c>
      <c r="I37" s="39" t="str">
        <f ca="1">IFERROR(__xludf.DUMMYFUNCTION("IF(SUM(COUNTIF(artists!A:A, SPLIT(D37, "",""))) &gt; 0, ""UA"", 0)"),"UA")</f>
        <v>UA</v>
      </c>
      <c r="J37" s="40">
        <f ca="1">IFERROR(__xludf.DUMMYFUNCTION("IF(SUM(COUNTIF(artists!C:C, SPLIT(D37, "",""))) &gt; 0, ""RU"", 0)"),0)</f>
        <v>0</v>
      </c>
      <c r="K37" s="39">
        <f ca="1">IFERROR(__xludf.DUMMYFUNCTION("IF(SUM(COUNTIF(artists!E:E, SPLIT(D37, "",""))) &gt; 0, ""OTHER"", 0)"),0)</f>
        <v>0</v>
      </c>
    </row>
    <row r="38" spans="1:11" ht="14.25" customHeight="1">
      <c r="A38" s="21">
        <v>37</v>
      </c>
      <c r="B38" s="21">
        <v>44</v>
      </c>
      <c r="C38" s="21" t="s">
        <v>253</v>
      </c>
      <c r="D38" s="21" t="s">
        <v>89</v>
      </c>
      <c r="E38" s="21">
        <v>42</v>
      </c>
      <c r="F38" s="21">
        <v>249596</v>
      </c>
      <c r="G38" s="42">
        <v>0.109</v>
      </c>
      <c r="H38" s="21" t="s">
        <v>254</v>
      </c>
      <c r="I38" s="39" t="str">
        <f ca="1">IFERROR(__xludf.DUMMYFUNCTION("IF(SUM(COUNTIF(artists!A:A, SPLIT(D38, "",""))) &gt; 0, ""UA"", 0)"),"UA")</f>
        <v>UA</v>
      </c>
      <c r="J38" s="40">
        <f ca="1">IFERROR(__xludf.DUMMYFUNCTION("IF(SUM(COUNTIF(artists!C:C, SPLIT(D38, "",""))) &gt; 0, ""RU"", 0)"),0)</f>
        <v>0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B39" s="21">
        <v>35</v>
      </c>
      <c r="C39" s="21" t="s">
        <v>861</v>
      </c>
      <c r="D39" s="21" t="s">
        <v>862</v>
      </c>
      <c r="E39" s="21">
        <v>3</v>
      </c>
      <c r="F39" s="21">
        <v>245925</v>
      </c>
      <c r="G39" s="42">
        <v>-9.9000000000000005E-2</v>
      </c>
      <c r="H39" s="21" t="s">
        <v>327</v>
      </c>
      <c r="I39" s="39" t="str">
        <f ca="1">IFERROR(__xludf.DUMMYFUNCTION("IF(SUM(COUNTIF(artists!A:A, SPLIT(D39, "",""))) &gt; 0, ""UA"", 0)"),"UA")</f>
        <v>UA</v>
      </c>
      <c r="J39" s="40">
        <f ca="1">IFERROR(__xludf.DUMMYFUNCTION("IF(SUM(COUNTIF(artists!C:C, SPLIT(D39, "",""))) &gt; 0, ""RU"", 0)"),0)</f>
        <v>0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B40" s="21">
        <v>39</v>
      </c>
      <c r="C40" s="21" t="s">
        <v>198</v>
      </c>
      <c r="D40" s="21" t="s">
        <v>199</v>
      </c>
      <c r="E40" s="21">
        <v>14</v>
      </c>
      <c r="F40" s="21">
        <v>244971</v>
      </c>
      <c r="G40" s="42">
        <v>-2.5999999999999999E-2</v>
      </c>
      <c r="H40" s="21" t="s">
        <v>201</v>
      </c>
      <c r="I40" s="39" t="str">
        <f ca="1">IFERROR(__xludf.DUMMYFUNCTION("IF(SUM(COUNTIF(artists!A:A, SPLIT(D40, "",""))) &gt; 0, ""UA"", 0)"),"UA")</f>
        <v>UA</v>
      </c>
      <c r="J40" s="40">
        <f ca="1">IFERROR(__xludf.DUMMYFUNCTION("IF(SUM(COUNTIF(artists!C:C, SPLIT(D40, "",""))) &gt; 0, ""RU"", 0)"),0)</f>
        <v>0</v>
      </c>
      <c r="K40" s="39">
        <f ca="1">IFERROR(__xludf.DUMMYFUNCTION("IF(SUM(COUNTIF(artists!E:E, SPLIT(D40, "",""))) &gt; 0, ""OTHER"", 0)"),0)</f>
        <v>0</v>
      </c>
    </row>
    <row r="41" spans="1:11" ht="14.25" customHeight="1">
      <c r="A41" s="21">
        <v>40</v>
      </c>
      <c r="B41" s="21">
        <v>38</v>
      </c>
      <c r="C41" s="21" t="s">
        <v>653</v>
      </c>
      <c r="D41" s="21" t="s">
        <v>85</v>
      </c>
      <c r="E41" s="21">
        <v>9</v>
      </c>
      <c r="F41" s="21">
        <v>244191</v>
      </c>
      <c r="G41" s="43">
        <v>-0.05</v>
      </c>
      <c r="H41" s="21" t="s">
        <v>655</v>
      </c>
      <c r="I41" s="39" t="str">
        <f ca="1">IFERROR(__xludf.DUMMYFUNCTION("IF(SUM(COUNTIF(artists!A:A, SPLIT(D41, "",""))) &gt; 0, ""UA"", 0)"),"UA")</f>
        <v>UA</v>
      </c>
      <c r="J41" s="40">
        <f ca="1">IFERROR(__xludf.DUMMYFUNCTION("IF(SUM(COUNTIF(artists!C:C, SPLIT(D41, "",""))) &gt; 0, ""RU"", 0)"),0)</f>
        <v>0</v>
      </c>
      <c r="K41" s="39">
        <f ca="1">IFERROR(__xludf.DUMMYFUNCTION("IF(SUM(COUNTIF(artists!E:E, SPLIT(D41, "",""))) &gt; 0, ""OTHER"", 0)"),0)</f>
        <v>0</v>
      </c>
    </row>
    <row r="42" spans="1:11" ht="14.25" customHeight="1">
      <c r="A42" s="21">
        <v>41</v>
      </c>
      <c r="C42" s="21" t="s">
        <v>830</v>
      </c>
      <c r="D42" s="21" t="s">
        <v>831</v>
      </c>
      <c r="E42" s="21">
        <v>1</v>
      </c>
      <c r="F42" s="21">
        <v>243111</v>
      </c>
      <c r="H42" s="21" t="s">
        <v>833</v>
      </c>
      <c r="I42" s="39" t="str">
        <f ca="1">IFERROR(__xludf.DUMMYFUNCTION("IF(SUM(COUNTIF(artists!A:A, SPLIT(D42, "",""))) &gt; 0, ""UA"", 0)"),"UA")</f>
        <v>UA</v>
      </c>
      <c r="J42" s="40">
        <f ca="1">IFERROR(__xludf.DUMMYFUNCTION("IF(SUM(COUNTIF(artists!C:C, SPLIT(D42, "",""))) &gt; 0, ""RU"", 0)"),0)</f>
        <v>0</v>
      </c>
      <c r="K42" s="39">
        <f ca="1">IFERROR(__xludf.DUMMYFUNCTION("IF(SUM(COUNTIF(artists!E:E, SPLIT(D42, "",""))) &gt; 0, ""OTHER"", 0)"),0)</f>
        <v>0</v>
      </c>
    </row>
    <row r="43" spans="1:11" ht="14.25" customHeight="1">
      <c r="A43" s="21">
        <v>42</v>
      </c>
      <c r="C43" s="21" t="s">
        <v>720</v>
      </c>
      <c r="D43" s="21" t="s">
        <v>721</v>
      </c>
      <c r="E43" s="21">
        <v>1</v>
      </c>
      <c r="F43" s="21">
        <v>240915</v>
      </c>
      <c r="H43" s="21" t="s">
        <v>722</v>
      </c>
      <c r="I43" s="39" t="str">
        <f ca="1">IFERROR(__xludf.DUMMYFUNCTION("IF(SUM(COUNTIF(artists!A:A, SPLIT(D43, "",""))) &gt; 0, ""UA"", 0)"),"UA")</f>
        <v>UA</v>
      </c>
      <c r="J43" s="40">
        <f ca="1">IFERROR(__xludf.DUMMYFUNCTION("IF(SUM(COUNTIF(artists!C:C, SPLIT(D43, "",""))) &gt; 0, ""RU"", 0)"),0)</f>
        <v>0</v>
      </c>
      <c r="K43" s="39">
        <f ca="1">IFERROR(__xludf.DUMMYFUNCTION("IF(SUM(COUNTIF(artists!E:E, SPLIT(D43, "",""))) &gt; 0, ""OTHER"", 0)"),0)</f>
        <v>0</v>
      </c>
    </row>
    <row r="44" spans="1:11" ht="14.25" customHeight="1">
      <c r="A44" s="21">
        <v>43</v>
      </c>
      <c r="B44" s="21">
        <v>49</v>
      </c>
      <c r="C44" s="21" t="s">
        <v>876</v>
      </c>
      <c r="D44" s="21" t="s">
        <v>877</v>
      </c>
      <c r="E44" s="21">
        <v>23</v>
      </c>
      <c r="F44" s="21">
        <v>230501</v>
      </c>
      <c r="G44" s="42">
        <v>9.0999999999999998E-2</v>
      </c>
      <c r="H44" s="21" t="s">
        <v>878</v>
      </c>
      <c r="I44" s="39">
        <f ca="1">IFERROR(__xludf.DUMMYFUNCTION("IF(SUM(COUNTIF(artists!A:A, SPLIT(D44, "",""))) &gt; 0, ""UA"", 0)"),0)</f>
        <v>0</v>
      </c>
      <c r="J44" s="40">
        <f ca="1">IFERROR(__xludf.DUMMYFUNCTION("IF(SUM(COUNTIF(artists!C:C, SPLIT(D44, "",""))) &gt; 0, ""RU"", 0)"),0)</f>
        <v>0</v>
      </c>
      <c r="K44" s="39" t="str">
        <f ca="1">IFERROR(__xludf.DUMMYFUNCTION("IF(SUM(COUNTIF(artists!E:E, SPLIT(D44, "",""))) &gt; 0, ""OTHER"", 0)"),"OTHER")</f>
        <v>OTHER</v>
      </c>
    </row>
    <row r="45" spans="1:11" ht="14.25" customHeight="1">
      <c r="A45" s="21">
        <v>44</v>
      </c>
      <c r="B45" s="21">
        <v>36</v>
      </c>
      <c r="C45" s="21" t="s">
        <v>814</v>
      </c>
      <c r="D45" s="21" t="s">
        <v>815</v>
      </c>
      <c r="E45" s="21">
        <v>3</v>
      </c>
      <c r="F45" s="21">
        <v>228116</v>
      </c>
      <c r="G45" s="42">
        <v>-0.153</v>
      </c>
      <c r="H45" s="21" t="s">
        <v>817</v>
      </c>
      <c r="I45" s="39">
        <f ca="1">IFERROR(__xludf.DUMMYFUNCTION("IF(SUM(COUNTIF(artists!A:A, SPLIT(D45, "",""))) &gt; 0, ""UA"", 0)"),0)</f>
        <v>0</v>
      </c>
      <c r="J45" s="40" t="str">
        <f ca="1">IFERROR(__xludf.DUMMYFUNCTION("IF(SUM(COUNTIF(artists!C:C, SPLIT(D45, "",""))) &gt; 0, ""RU"", 0)"),"RU")</f>
        <v>RU</v>
      </c>
      <c r="K45" s="39">
        <f ca="1">IFERROR(__xludf.DUMMYFUNCTION("IF(SUM(COUNTIF(artists!E:E, SPLIT(D45, "",""))) &gt; 0, ""OTHER"", 0)"),0)</f>
        <v>0</v>
      </c>
    </row>
    <row r="46" spans="1:11" ht="14.25" customHeight="1">
      <c r="A46" s="21">
        <v>45</v>
      </c>
      <c r="B46" s="21">
        <v>45</v>
      </c>
      <c r="C46" s="21" t="s">
        <v>229</v>
      </c>
      <c r="D46" s="21" t="s">
        <v>230</v>
      </c>
      <c r="E46" s="21">
        <v>40</v>
      </c>
      <c r="F46" s="21">
        <v>222809</v>
      </c>
      <c r="G46" s="42">
        <v>3.0000000000000001E-3</v>
      </c>
      <c r="H46" s="21" t="s">
        <v>232</v>
      </c>
      <c r="I46" s="39" t="str">
        <f ca="1">IFERROR(__xludf.DUMMYFUNCTION("IF(SUM(COUNTIF(artists!A:A, SPLIT(D46, "",""))) &gt; 0, ""UA"", 0)"),"UA")</f>
        <v>UA</v>
      </c>
      <c r="J46" s="40">
        <f ca="1">IFERROR(__xludf.DUMMYFUNCTION("IF(SUM(COUNTIF(artists!C:C, SPLIT(D46, "",""))) &gt; 0, ""RU"", 0)"),0)</f>
        <v>0</v>
      </c>
      <c r="K46" s="39">
        <f ca="1">IFERROR(__xludf.DUMMYFUNCTION("IF(SUM(COUNTIF(artists!E:E, SPLIT(D46, "",""))) &gt; 0, ""OTHER"", 0)"),0)</f>
        <v>0</v>
      </c>
    </row>
    <row r="47" spans="1:11" ht="14.25" customHeight="1">
      <c r="A47" s="21">
        <v>46</v>
      </c>
      <c r="C47" s="21" t="s">
        <v>107</v>
      </c>
      <c r="D47" s="21" t="s">
        <v>108</v>
      </c>
      <c r="E47" s="21">
        <v>1</v>
      </c>
      <c r="F47" s="21">
        <v>214986</v>
      </c>
      <c r="H47" s="21" t="s">
        <v>110</v>
      </c>
      <c r="I47" s="39" t="str">
        <f ca="1">IFERROR(__xludf.DUMMYFUNCTION("IF(SUM(COUNTIF(artists!A:A, SPLIT(D47, "",""))) &gt; 0, ""UA"", 0)"),"UA")</f>
        <v>UA</v>
      </c>
      <c r="J47" s="40">
        <f ca="1">IFERROR(__xludf.DUMMYFUNCTION("IF(SUM(COUNTIF(artists!C:C, SPLIT(D47, "",""))) &gt; 0, ""RU"", 0)"),0)</f>
        <v>0</v>
      </c>
      <c r="K47" s="39">
        <f ca="1">IFERROR(__xludf.DUMMYFUNCTION("IF(SUM(COUNTIF(artists!E:E, SPLIT(D47, "",""))) &gt; 0, ""OTHER"", 0)"),0)</f>
        <v>0</v>
      </c>
    </row>
    <row r="48" spans="1:11" ht="14.25" customHeight="1">
      <c r="A48" s="21">
        <v>47</v>
      </c>
      <c r="B48" s="21">
        <v>47</v>
      </c>
      <c r="C48" s="21" t="s">
        <v>594</v>
      </c>
      <c r="D48" s="21" t="s">
        <v>595</v>
      </c>
      <c r="E48" s="21">
        <v>21</v>
      </c>
      <c r="F48" s="21">
        <v>212064</v>
      </c>
      <c r="G48" s="42">
        <v>-3.5000000000000003E-2</v>
      </c>
      <c r="H48" s="21" t="s">
        <v>596</v>
      </c>
      <c r="I48" s="39" t="str">
        <f ca="1">IFERROR(__xludf.DUMMYFUNCTION("IF(SUM(COUNTIF(artists!A:A, SPLIT(D48, "",""))) &gt; 0, ""UA"", 0)"),"UA")</f>
        <v>UA</v>
      </c>
      <c r="J48" s="40">
        <f ca="1">IFERROR(__xludf.DUMMYFUNCTION("IF(SUM(COUNTIF(artists!C:C, SPLIT(D48, "",""))) &gt; 0, ""RU"", 0)"),0)</f>
        <v>0</v>
      </c>
      <c r="K48" s="39">
        <f ca="1">IFERROR(__xludf.DUMMYFUNCTION("IF(SUM(COUNTIF(artists!E:E, SPLIT(D48, "",""))) &gt; 0, ""OTHER"", 0)"),0)</f>
        <v>0</v>
      </c>
    </row>
    <row r="49" spans="1:11" ht="14.25" customHeight="1">
      <c r="A49" s="21">
        <v>48</v>
      </c>
      <c r="B49" s="21">
        <v>27</v>
      </c>
      <c r="C49" s="21" t="s">
        <v>947</v>
      </c>
      <c r="D49" s="21" t="s">
        <v>776</v>
      </c>
      <c r="E49" s="21">
        <v>3</v>
      </c>
      <c r="F49" s="21">
        <v>210378</v>
      </c>
      <c r="G49" s="42">
        <v>-0.29399999999999998</v>
      </c>
      <c r="H49" s="21" t="s">
        <v>948</v>
      </c>
      <c r="I49" s="39" t="str">
        <f ca="1">IFERROR(__xludf.DUMMYFUNCTION("IF(SUM(COUNTIF(artists!A:A, SPLIT(D49, "",""))) &gt; 0, ""UA"", 0)"),"UA")</f>
        <v>UA</v>
      </c>
      <c r="J49" s="40">
        <f ca="1">IFERROR(__xludf.DUMMYFUNCTION("IF(SUM(COUNTIF(artists!C:C, SPLIT(D49, "",""))) &gt; 0, ""RU"", 0)"),0)</f>
        <v>0</v>
      </c>
      <c r="K49" s="39">
        <f ca="1">IFERROR(__xludf.DUMMYFUNCTION("IF(SUM(COUNTIF(artists!E:E, SPLIT(D49, "",""))) &gt; 0, ""OTHER"", 0)"),0)</f>
        <v>0</v>
      </c>
    </row>
    <row r="50" spans="1:11" ht="14.25" customHeight="1">
      <c r="A50" s="21">
        <v>49</v>
      </c>
      <c r="B50" s="21">
        <v>46</v>
      </c>
      <c r="C50" s="21" t="s">
        <v>508</v>
      </c>
      <c r="D50" s="21" t="s">
        <v>509</v>
      </c>
      <c r="E50" s="21">
        <v>14</v>
      </c>
      <c r="F50" s="21">
        <v>205032</v>
      </c>
      <c r="G50" s="42">
        <v>-7.2999999999999995E-2</v>
      </c>
      <c r="H50" s="21" t="s">
        <v>510</v>
      </c>
      <c r="I50" s="39">
        <f ca="1">IFERROR(__xludf.DUMMYFUNCTION("IF(SUM(COUNTIF(artists!A:A, SPLIT(D50, "",""))) &gt; 0, ""UA"", 0)"),0)</f>
        <v>0</v>
      </c>
      <c r="J50" s="40" t="str">
        <f ca="1">IFERROR(__xludf.DUMMYFUNCTION("IF(SUM(COUNTIF(artists!C:C, SPLIT(D50, "",""))) &gt; 0, ""RU"", 0)"),"RU")</f>
        <v>RU</v>
      </c>
      <c r="K50" s="39">
        <f ca="1">IFERROR(__xludf.DUMMYFUNCTION("IF(SUM(COUNTIF(artists!E:E, SPLIT(D50, "",""))) &gt; 0, ""OTHER"", 0)"),0)</f>
        <v>0</v>
      </c>
    </row>
    <row r="51" spans="1:11" ht="14.25" customHeight="1">
      <c r="A51" s="21">
        <v>50</v>
      </c>
      <c r="B51" s="21">
        <v>53</v>
      </c>
      <c r="C51" s="21" t="s">
        <v>700</v>
      </c>
      <c r="D51" s="21" t="s">
        <v>701</v>
      </c>
      <c r="E51" s="21">
        <v>14</v>
      </c>
      <c r="F51" s="21">
        <v>197437</v>
      </c>
      <c r="G51" s="42">
        <v>-4.2999999999999997E-2</v>
      </c>
      <c r="H51" s="21" t="s">
        <v>702</v>
      </c>
      <c r="I51" s="39">
        <f ca="1">IFERROR(__xludf.DUMMYFUNCTION("IF(SUM(COUNTIF(artists!A:A, SPLIT(D51, "",""))) &gt; 0, ""UA"", 0)"),0)</f>
        <v>0</v>
      </c>
      <c r="J51" s="40" t="str">
        <f ca="1">IFERROR(__xludf.DUMMYFUNCTION("IF(SUM(COUNTIF(artists!C:C, SPLIT(D51, "",""))) &gt; 0, ""RU"", 0)"),"RU")</f>
        <v>RU</v>
      </c>
      <c r="K51" s="39">
        <f ca="1">IFERROR(__xludf.DUMMYFUNCTION("IF(SUM(COUNTIF(artists!E:E, SPLIT(D51, "",""))) &gt; 0, ""OTHER"", 0)"),0)</f>
        <v>0</v>
      </c>
    </row>
    <row r="52" spans="1:11" ht="14.25" customHeight="1">
      <c r="A52" s="21">
        <v>51</v>
      </c>
      <c r="B52" s="21">
        <v>40</v>
      </c>
      <c r="C52" s="21" t="s">
        <v>339</v>
      </c>
      <c r="D52" s="21" t="s">
        <v>340</v>
      </c>
      <c r="E52" s="21">
        <v>9</v>
      </c>
      <c r="F52" s="21">
        <v>196538</v>
      </c>
      <c r="G52" s="42">
        <v>-0.16800000000000001</v>
      </c>
      <c r="H52" s="21" t="s">
        <v>342</v>
      </c>
      <c r="I52" s="39" t="str">
        <f ca="1">IFERROR(__xludf.DUMMYFUNCTION("IF(SUM(COUNTIF(artists!A:A, SPLIT(D52, "",""))) &gt; 0, ""UA"", 0)"),"UA")</f>
        <v>UA</v>
      </c>
      <c r="J52" s="40">
        <f ca="1">IFERROR(__xludf.DUMMYFUNCTION("IF(SUM(COUNTIF(artists!C:C, SPLIT(D52, "",""))) &gt; 0, ""RU"", 0)"),0)</f>
        <v>0</v>
      </c>
      <c r="K52" s="39">
        <f ca="1">IFERROR(__xludf.DUMMYFUNCTION("IF(SUM(COUNTIF(artists!E:E, SPLIT(D52, "",""))) &gt; 0, ""OTHER"", 0)"),0)</f>
        <v>0</v>
      </c>
    </row>
    <row r="53" spans="1:11" ht="14.25" customHeight="1">
      <c r="A53" s="21">
        <v>52</v>
      </c>
      <c r="B53" s="21">
        <v>51</v>
      </c>
      <c r="C53" s="21" t="s">
        <v>742</v>
      </c>
      <c r="D53" s="21" t="s">
        <v>743</v>
      </c>
      <c r="E53" s="21">
        <v>15</v>
      </c>
      <c r="F53" s="21">
        <v>196443</v>
      </c>
      <c r="G53" s="42">
        <v>-6.5000000000000002E-2</v>
      </c>
      <c r="H53" s="21" t="s">
        <v>744</v>
      </c>
      <c r="I53" s="39">
        <f ca="1">IFERROR(__xludf.DUMMYFUNCTION("IF(SUM(COUNTIF(artists!A:A, SPLIT(D53, "",""))) &gt; 0, ""UA"", 0)"),0)</f>
        <v>0</v>
      </c>
      <c r="J53" s="40" t="str">
        <f ca="1">IFERROR(__xludf.DUMMYFUNCTION("IF(SUM(COUNTIF(artists!C:C, SPLIT(D53, "",""))) &gt; 0, ""RU"", 0)"),"RU")</f>
        <v>RU</v>
      </c>
      <c r="K53" s="39">
        <f ca="1">IFERROR(__xludf.DUMMYFUNCTION("IF(SUM(COUNTIF(artists!E:E, SPLIT(D53, "",""))) &gt; 0, ""OTHER"", 0)"),0)</f>
        <v>0</v>
      </c>
    </row>
    <row r="54" spans="1:11" ht="14.25" customHeight="1">
      <c r="A54" s="21">
        <v>53</v>
      </c>
      <c r="B54" s="21">
        <v>50</v>
      </c>
      <c r="C54" s="21" t="s">
        <v>298</v>
      </c>
      <c r="D54" s="21" t="s">
        <v>299</v>
      </c>
      <c r="E54" s="21">
        <v>10</v>
      </c>
      <c r="F54" s="21">
        <v>195138</v>
      </c>
      <c r="G54" s="42">
        <v>-7.3999999999999996E-2</v>
      </c>
      <c r="H54" s="21" t="s">
        <v>300</v>
      </c>
      <c r="I54" s="39">
        <f ca="1">IFERROR(__xludf.DUMMYFUNCTION("IF(SUM(COUNTIF(artists!A:A, SPLIT(D54, "",""))) &gt; 0, ""UA"", 0)"),0)</f>
        <v>0</v>
      </c>
      <c r="J54" s="40">
        <f ca="1">IFERROR(__xludf.DUMMYFUNCTION("IF(SUM(COUNTIF(artists!C:C, SPLIT(D54, "",""))) &gt; 0, ""RU"", 0)"),0)</f>
        <v>0</v>
      </c>
      <c r="K54" s="39" t="str">
        <f ca="1">IFERROR(__xludf.DUMMYFUNCTION("IF(SUM(COUNTIF(artists!E:E, SPLIT(D54, "",""))) &gt; 0, ""OTHER"", 0)"),"OTHER")</f>
        <v>OTHER</v>
      </c>
    </row>
    <row r="55" spans="1:11" ht="14.25" customHeight="1">
      <c r="A55" s="21">
        <v>54</v>
      </c>
      <c r="B55" s="21">
        <v>43</v>
      </c>
      <c r="C55" s="21" t="s">
        <v>775</v>
      </c>
      <c r="D55" s="21" t="s">
        <v>776</v>
      </c>
      <c r="E55" s="21">
        <v>5</v>
      </c>
      <c r="F55" s="21">
        <v>194450</v>
      </c>
      <c r="G55" s="42">
        <v>-0.13800000000000001</v>
      </c>
      <c r="H55" s="21" t="s">
        <v>777</v>
      </c>
      <c r="I55" s="39" t="str">
        <f ca="1">IFERROR(__xludf.DUMMYFUNCTION("IF(SUM(COUNTIF(artists!A:A, SPLIT(D55, "",""))) &gt; 0, ""UA"", 0)"),"UA")</f>
        <v>UA</v>
      </c>
      <c r="J55" s="40">
        <f ca="1">IFERROR(__xludf.DUMMYFUNCTION("IF(SUM(COUNTIF(artists!C:C, SPLIT(D55, "",""))) &gt; 0, ""RU"", 0)"),0)</f>
        <v>0</v>
      </c>
      <c r="K55" s="39">
        <f ca="1">IFERROR(__xludf.DUMMYFUNCTION("IF(SUM(COUNTIF(artists!E:E, SPLIT(D55, "",""))) &gt; 0, ""OTHER"", 0)"),0)</f>
        <v>0</v>
      </c>
    </row>
    <row r="56" spans="1:11" ht="14.25" customHeight="1">
      <c r="A56" s="21">
        <v>55</v>
      </c>
      <c r="B56" s="21">
        <v>56</v>
      </c>
      <c r="C56" s="21" t="s">
        <v>667</v>
      </c>
      <c r="D56" s="21" t="s">
        <v>668</v>
      </c>
      <c r="E56" s="21">
        <v>14</v>
      </c>
      <c r="F56" s="21">
        <v>186789</v>
      </c>
      <c r="G56" s="42">
        <v>-3.9E-2</v>
      </c>
      <c r="H56" s="21" t="s">
        <v>669</v>
      </c>
      <c r="I56" s="39">
        <f ca="1">IFERROR(__xludf.DUMMYFUNCTION("IF(SUM(COUNTIF(artists!A:A, SPLIT(D56, "",""))) &gt; 0, ""UA"", 0)"),0)</f>
        <v>0</v>
      </c>
      <c r="J56" s="40" t="str">
        <f ca="1">IFERROR(__xludf.DUMMYFUNCTION("IF(SUM(COUNTIF(artists!C:C, SPLIT(D56, "",""))) &gt; 0, ""RU"", 0)"),"RU")</f>
        <v>RU</v>
      </c>
      <c r="K56" s="39">
        <f ca="1">IFERROR(__xludf.DUMMYFUNCTION("IF(SUM(COUNTIF(artists!E:E, SPLIT(D56, "",""))) &gt; 0, ""OTHER"", 0)"),0)</f>
        <v>0</v>
      </c>
    </row>
    <row r="57" spans="1:11" ht="14.25" customHeight="1">
      <c r="A57" s="21">
        <v>56</v>
      </c>
      <c r="B57" s="21">
        <v>66</v>
      </c>
      <c r="C57" s="21" t="s">
        <v>264</v>
      </c>
      <c r="D57" s="21" t="s">
        <v>265</v>
      </c>
      <c r="E57" s="21">
        <v>11</v>
      </c>
      <c r="F57" s="21">
        <v>184968</v>
      </c>
      <c r="G57" s="42">
        <v>0.13300000000000001</v>
      </c>
      <c r="H57" s="21" t="s">
        <v>267</v>
      </c>
      <c r="I57" s="39">
        <f ca="1">IFERROR(__xludf.DUMMYFUNCTION("IF(SUM(COUNTIF(artists!A:A, SPLIT(D57, "",""))) &gt; 0, ""UA"", 0)"),0)</f>
        <v>0</v>
      </c>
      <c r="J57" s="40">
        <f ca="1">IFERROR(__xludf.DUMMYFUNCTION("IF(SUM(COUNTIF(artists!C:C, SPLIT(D57, "",""))) &gt; 0, ""RU"", 0)"),0)</f>
        <v>0</v>
      </c>
      <c r="K57" s="39" t="str">
        <f ca="1">IFERROR(__xludf.DUMMYFUNCTION("IF(SUM(COUNTIF(artists!E:E, SPLIT(D57, "",""))) &gt; 0, ""OTHER"", 0)"),"OTHER")</f>
        <v>OTHER</v>
      </c>
    </row>
    <row r="58" spans="1:11" ht="14.25" customHeight="1">
      <c r="A58" s="21">
        <v>57</v>
      </c>
      <c r="B58" s="21">
        <v>42</v>
      </c>
      <c r="C58" s="21" t="s">
        <v>373</v>
      </c>
      <c r="D58" s="21" t="s">
        <v>172</v>
      </c>
      <c r="E58" s="21">
        <v>9</v>
      </c>
      <c r="F58" s="21">
        <v>184297</v>
      </c>
      <c r="G58" s="42">
        <v>-0.184</v>
      </c>
      <c r="H58" s="21" t="s">
        <v>375</v>
      </c>
      <c r="I58" s="39">
        <f ca="1">IFERROR(__xludf.DUMMYFUNCTION("IF(SUM(COUNTIF(artists!A:A, SPLIT(D58, "",""))) &gt; 0, ""UA"", 0)"),0)</f>
        <v>0</v>
      </c>
      <c r="J58" s="40" t="str">
        <f ca="1">IFERROR(__xludf.DUMMYFUNCTION("IF(SUM(COUNTIF(artists!C:C, SPLIT(D58, "",""))) &gt; 0, ""RU"", 0)"),"RU")</f>
        <v>RU</v>
      </c>
      <c r="K58" s="39">
        <f ca="1">IFERROR(__xludf.DUMMYFUNCTION("IF(SUM(COUNTIF(artists!E:E, SPLIT(D58, "",""))) &gt; 0, ""OTHER"", 0)"),0)</f>
        <v>0</v>
      </c>
    </row>
    <row r="59" spans="1:11" ht="14.25" customHeight="1">
      <c r="A59" s="21">
        <v>58</v>
      </c>
      <c r="B59" s="21">
        <v>41</v>
      </c>
      <c r="C59" s="21" t="s">
        <v>924</v>
      </c>
      <c r="D59" s="21" t="s">
        <v>466</v>
      </c>
      <c r="E59" s="21">
        <v>4</v>
      </c>
      <c r="F59" s="21">
        <v>182067</v>
      </c>
      <c r="G59" s="42">
        <v>-0.19800000000000001</v>
      </c>
      <c r="H59" s="21" t="s">
        <v>925</v>
      </c>
      <c r="I59" s="39" t="str">
        <f ca="1">IFERROR(__xludf.DUMMYFUNCTION("IF(SUM(COUNTIF(artists!A:A, SPLIT(D59, "",""))) &gt; 0, ""UA"", 0)"),"UA")</f>
        <v>UA</v>
      </c>
      <c r="J59" s="40">
        <f ca="1">IFERROR(__xludf.DUMMYFUNCTION("IF(SUM(COUNTIF(artists!C:C, SPLIT(D59, "",""))) &gt; 0, ""RU"", 0)"),0)</f>
        <v>0</v>
      </c>
      <c r="K59" s="39">
        <f ca="1">IFERROR(__xludf.DUMMYFUNCTION("IF(SUM(COUNTIF(artists!E:E, SPLIT(D59, "",""))) &gt; 0, ""OTHER"", 0)"),0)</f>
        <v>0</v>
      </c>
    </row>
    <row r="60" spans="1:11" ht="14.25" customHeight="1">
      <c r="A60" s="21">
        <v>59</v>
      </c>
      <c r="B60" s="21">
        <v>62</v>
      </c>
      <c r="C60" s="21" t="s">
        <v>686</v>
      </c>
      <c r="D60" s="21" t="s">
        <v>687</v>
      </c>
      <c r="E60" s="21">
        <v>6</v>
      </c>
      <c r="F60" s="21">
        <v>180477</v>
      </c>
      <c r="G60" s="42">
        <v>2.4E-2</v>
      </c>
      <c r="H60" s="21" t="s">
        <v>920</v>
      </c>
      <c r="I60" s="39">
        <f ca="1">IFERROR(__xludf.DUMMYFUNCTION("IF(SUM(COUNTIF(artists!A:A, SPLIT(D60, "",""))) &gt; 0, ""UA"", 0)"),0)</f>
        <v>0</v>
      </c>
      <c r="J60" s="40" t="str">
        <f ca="1">IFERROR(__xludf.DUMMYFUNCTION("IF(SUM(COUNTIF(artists!C:C, SPLIT(D60, "",""))) &gt; 0, ""RU"", 0)"),"RU")</f>
        <v>RU</v>
      </c>
      <c r="K60" s="39">
        <f ca="1">IFERROR(__xludf.DUMMYFUNCTION("IF(SUM(COUNTIF(artists!E:E, SPLIT(D60, "",""))) &gt; 0, ""OTHER"", 0)"),0)</f>
        <v>0</v>
      </c>
    </row>
    <row r="61" spans="1:11" ht="14.25" customHeight="1">
      <c r="A61" s="21">
        <v>60</v>
      </c>
      <c r="B61" s="21">
        <v>72</v>
      </c>
      <c r="C61" s="21" t="s">
        <v>255</v>
      </c>
      <c r="D61" s="21" t="s">
        <v>256</v>
      </c>
      <c r="E61" s="21">
        <v>22</v>
      </c>
      <c r="F61" s="21">
        <v>179319</v>
      </c>
      <c r="G61" s="42">
        <v>0.17799999999999999</v>
      </c>
      <c r="H61" s="21" t="s">
        <v>257</v>
      </c>
      <c r="I61" s="39" t="str">
        <f ca="1">IFERROR(__xludf.DUMMYFUNCTION("IF(SUM(COUNTIF(artists!A:A, SPLIT(D61, "",""))) &gt; 0, ""UA"", 0)"),"UA")</f>
        <v>UA</v>
      </c>
      <c r="J61" s="40">
        <f ca="1">IFERROR(__xludf.DUMMYFUNCTION("IF(SUM(COUNTIF(artists!C:C, SPLIT(D61, "",""))) &gt; 0, ""RU"", 0)"),0)</f>
        <v>0</v>
      </c>
      <c r="K61" s="39">
        <f ca="1">IFERROR(__xludf.DUMMYFUNCTION("IF(SUM(COUNTIF(artists!E:E, SPLIT(D61, "",""))) &gt; 0, ""OTHER"", 0)"),0)</f>
        <v>0</v>
      </c>
    </row>
    <row r="62" spans="1:11" ht="14.25" customHeight="1">
      <c r="A62" s="21">
        <v>61</v>
      </c>
      <c r="B62" s="21">
        <v>55</v>
      </c>
      <c r="C62" s="21" t="s">
        <v>602</v>
      </c>
      <c r="D62" s="21" t="s">
        <v>299</v>
      </c>
      <c r="E62" s="21">
        <v>14</v>
      </c>
      <c r="F62" s="21">
        <v>168805</v>
      </c>
      <c r="G62" s="42">
        <v>-0.13300000000000001</v>
      </c>
      <c r="H62" s="21" t="s">
        <v>604</v>
      </c>
      <c r="I62" s="39">
        <f ca="1">IFERROR(__xludf.DUMMYFUNCTION("IF(SUM(COUNTIF(artists!A:A, SPLIT(D62, "",""))) &gt; 0, ""UA"", 0)"),0)</f>
        <v>0</v>
      </c>
      <c r="J62" s="40">
        <f ca="1">IFERROR(__xludf.DUMMYFUNCTION("IF(SUM(COUNTIF(artists!C:C, SPLIT(D62, "",""))) &gt; 0, ""RU"", 0)"),0)</f>
        <v>0</v>
      </c>
      <c r="K62" s="39" t="str">
        <f ca="1">IFERROR(__xludf.DUMMYFUNCTION("IF(SUM(COUNTIF(artists!E:E, SPLIT(D62, "",""))) &gt; 0, ""OTHER"", 0)"),"OTHER")</f>
        <v>OTHER</v>
      </c>
    </row>
    <row r="63" spans="1:11" ht="14.25" customHeight="1">
      <c r="A63" s="21">
        <v>62</v>
      </c>
      <c r="B63" s="21">
        <v>63</v>
      </c>
      <c r="C63" s="21" t="s">
        <v>527</v>
      </c>
      <c r="D63" s="21" t="s">
        <v>528</v>
      </c>
      <c r="E63" s="21">
        <v>12</v>
      </c>
      <c r="F63" s="21">
        <v>167497</v>
      </c>
      <c r="G63" s="42">
        <v>-2.1999999999999999E-2</v>
      </c>
      <c r="H63" s="21" t="s">
        <v>529</v>
      </c>
      <c r="I63" s="39" t="str">
        <f ca="1">IFERROR(__xludf.DUMMYFUNCTION("IF(SUM(COUNTIF(artists!A:A, SPLIT(D63, "",""))) &gt; 0, ""UA"", 0)"),"UA")</f>
        <v>UA</v>
      </c>
      <c r="J63" s="40">
        <f ca="1">IFERROR(__xludf.DUMMYFUNCTION("IF(SUM(COUNTIF(artists!C:C, SPLIT(D63, "",""))) &gt; 0, ""RU"", 0)"),0)</f>
        <v>0</v>
      </c>
      <c r="K63" s="39">
        <f ca="1">IFERROR(__xludf.DUMMYFUNCTION("IF(SUM(COUNTIF(artists!E:E, SPLIT(D63, "",""))) &gt; 0, ""OTHER"", 0)"),0)</f>
        <v>0</v>
      </c>
    </row>
    <row r="64" spans="1:11" ht="14.25" customHeight="1">
      <c r="A64" s="21">
        <v>63</v>
      </c>
      <c r="B64" s="21">
        <v>57</v>
      </c>
      <c r="C64" s="21" t="s">
        <v>268</v>
      </c>
      <c r="D64" s="21" t="s">
        <v>466</v>
      </c>
      <c r="E64" s="21">
        <v>6</v>
      </c>
      <c r="F64" s="21">
        <v>166015</v>
      </c>
      <c r="G64" s="42">
        <v>-0.14199999999999999</v>
      </c>
      <c r="H64" s="21" t="s">
        <v>270</v>
      </c>
      <c r="I64" s="39" t="str">
        <f ca="1">IFERROR(__xludf.DUMMYFUNCTION("IF(SUM(COUNTIF(artists!A:A, SPLIT(D64, "",""))) &gt; 0, ""UA"", 0)"),"UA")</f>
        <v>UA</v>
      </c>
      <c r="J64" s="40">
        <f ca="1">IFERROR(__xludf.DUMMYFUNCTION("IF(SUM(COUNTIF(artists!C:C, SPLIT(D64, "",""))) &gt; 0, ""RU"", 0)"),0)</f>
        <v>0</v>
      </c>
      <c r="K64" s="39">
        <f ca="1">IFERROR(__xludf.DUMMYFUNCTION("IF(SUM(COUNTIF(artists!E:E, SPLIT(D64, "",""))) &gt; 0, ""OTHER"", 0)"),0)</f>
        <v>0</v>
      </c>
    </row>
    <row r="65" spans="1:11" ht="14.25" customHeight="1">
      <c r="A65" s="21">
        <v>64</v>
      </c>
      <c r="C65" s="21" t="s">
        <v>678</v>
      </c>
      <c r="D65" s="21" t="s">
        <v>89</v>
      </c>
      <c r="E65" s="21">
        <v>21</v>
      </c>
      <c r="F65" s="21">
        <v>163555</v>
      </c>
      <c r="H65" s="21" t="s">
        <v>679</v>
      </c>
      <c r="I65" s="39" t="str">
        <f ca="1">IFERROR(__xludf.DUMMYFUNCTION("IF(SUM(COUNTIF(artists!A:A, SPLIT(D65, "",""))) &gt; 0, ""UA"", 0)"),"UA")</f>
        <v>UA</v>
      </c>
      <c r="J65" s="40">
        <f ca="1">IFERROR(__xludf.DUMMYFUNCTION("IF(SUM(COUNTIF(artists!C:C, SPLIT(D65, "",""))) &gt; 0, ""RU"", 0)"),0)</f>
        <v>0</v>
      </c>
      <c r="K65" s="39">
        <f ca="1">IFERROR(__xludf.DUMMYFUNCTION("IF(SUM(COUNTIF(artists!E:E, SPLIT(D65, "",""))) &gt; 0, ""OTHER"", 0)"),0)</f>
        <v>0</v>
      </c>
    </row>
    <row r="66" spans="1:11" ht="14.25" customHeight="1">
      <c r="A66" s="21">
        <v>65</v>
      </c>
      <c r="B66" s="21">
        <v>64</v>
      </c>
      <c r="C66" s="21" t="s">
        <v>482</v>
      </c>
      <c r="D66" s="21" t="s">
        <v>210</v>
      </c>
      <c r="E66" s="21">
        <v>12</v>
      </c>
      <c r="F66" s="21">
        <v>161224</v>
      </c>
      <c r="G66" s="42">
        <v>-1.7000000000000001E-2</v>
      </c>
      <c r="H66" s="21" t="s">
        <v>484</v>
      </c>
      <c r="I66" s="39" t="str">
        <f ca="1">IFERROR(__xludf.DUMMYFUNCTION("IF(SUM(COUNTIF(artists!A:A, SPLIT(D66, "",""))) &gt; 0, ""UA"", 0)"),"UA")</f>
        <v>UA</v>
      </c>
      <c r="J66" s="40">
        <f ca="1">IFERROR(__xludf.DUMMYFUNCTION("IF(SUM(COUNTIF(artists!C:C, SPLIT(D66, "",""))) &gt; 0, ""RU"", 0)"),0)</f>
        <v>0</v>
      </c>
      <c r="K66" s="39">
        <f ca="1">IFERROR(__xludf.DUMMYFUNCTION("IF(SUM(COUNTIF(artists!E:E, SPLIT(D66, "",""))) &gt; 0, ""OTHER"", 0)"),0)</f>
        <v>0</v>
      </c>
    </row>
    <row r="67" spans="1:11" ht="14.25" customHeight="1">
      <c r="A67" s="21">
        <v>66</v>
      </c>
      <c r="B67" s="21">
        <v>75</v>
      </c>
      <c r="C67" s="21" t="s">
        <v>900</v>
      </c>
      <c r="D67" s="21" t="s">
        <v>901</v>
      </c>
      <c r="E67" s="21">
        <v>18</v>
      </c>
      <c r="F67" s="21">
        <v>160151</v>
      </c>
      <c r="G67" s="42">
        <v>9.0999999999999998E-2</v>
      </c>
      <c r="H67" s="21" t="s">
        <v>902</v>
      </c>
      <c r="I67" s="39">
        <f ca="1">IFERROR(__xludf.DUMMYFUNCTION("IF(SUM(COUNTIF(artists!A:A, SPLIT(D67, "",""))) &gt; 0, ""UA"", 0)"),0)</f>
        <v>0</v>
      </c>
      <c r="J67" s="40">
        <f ca="1">IFERROR(__xludf.DUMMYFUNCTION("IF(SUM(COUNTIF(artists!C:C, SPLIT(D67, "",""))) &gt; 0, ""RU"", 0)"),0)</f>
        <v>0</v>
      </c>
      <c r="K67" s="39" t="str">
        <f ca="1">IFERROR(__xludf.DUMMYFUNCTION("IF(SUM(COUNTIF(artists!E:E, SPLIT(D67, "",""))) &gt; 0, ""OTHER"", 0)"),"OTHER")</f>
        <v>OTHER</v>
      </c>
    </row>
    <row r="68" spans="1:11" ht="14.25" customHeight="1">
      <c r="A68" s="21">
        <v>67</v>
      </c>
      <c r="B68" s="21">
        <v>97</v>
      </c>
      <c r="C68" s="21" t="s">
        <v>682</v>
      </c>
      <c r="D68" s="21" t="s">
        <v>125</v>
      </c>
      <c r="E68" s="21">
        <v>14</v>
      </c>
      <c r="F68" s="21">
        <v>159562</v>
      </c>
      <c r="G68" s="43">
        <v>0.26</v>
      </c>
      <c r="H68" s="21" t="s">
        <v>684</v>
      </c>
      <c r="I68" s="39">
        <f ca="1">IFERROR(__xludf.DUMMYFUNCTION("IF(SUM(COUNTIF(artists!A:A, SPLIT(D68, "",""))) &gt; 0, ""UA"", 0)"),0)</f>
        <v>0</v>
      </c>
      <c r="J68" s="40" t="str">
        <f ca="1">IFERROR(__xludf.DUMMYFUNCTION("IF(SUM(COUNTIF(artists!C:C, SPLIT(D68, "",""))) &gt; 0, ""RU"", 0)"),"RU")</f>
        <v>RU</v>
      </c>
      <c r="K68" s="39">
        <f ca="1">IFERROR(__xludf.DUMMYFUNCTION("IF(SUM(COUNTIF(artists!E:E, SPLIT(D68, "",""))) &gt; 0, ""OTHER"", 0)"),0)</f>
        <v>0</v>
      </c>
    </row>
    <row r="69" spans="1:11" ht="14.25" customHeight="1">
      <c r="A69" s="21">
        <v>68</v>
      </c>
      <c r="B69" s="21">
        <v>58</v>
      </c>
      <c r="C69" s="21" t="s">
        <v>247</v>
      </c>
      <c r="D69" s="21" t="s">
        <v>454</v>
      </c>
      <c r="E69" s="21">
        <v>10</v>
      </c>
      <c r="F69" s="21">
        <v>159239</v>
      </c>
      <c r="G69" s="42">
        <v>-0.161</v>
      </c>
      <c r="H69" s="21" t="s">
        <v>250</v>
      </c>
      <c r="I69" s="39" t="str">
        <f ca="1">IFERROR(__xludf.DUMMYFUNCTION("IF(SUM(COUNTIF(artists!A:A, SPLIT(D69, "",""))) &gt; 0, ""UA"", 0)"),"UA")</f>
        <v>UA</v>
      </c>
      <c r="J69" s="40">
        <f ca="1">IFERROR(__xludf.DUMMYFUNCTION("IF(SUM(COUNTIF(artists!C:C, SPLIT(D69, "",""))) &gt; 0, ""RU"", 0)"),0)</f>
        <v>0</v>
      </c>
      <c r="K69" s="39">
        <f ca="1">IFERROR(__xludf.DUMMYFUNCTION("IF(SUM(COUNTIF(artists!E:E, SPLIT(D69, "",""))) &gt; 0, ""OTHER"", 0)"),0)</f>
        <v>0</v>
      </c>
    </row>
    <row r="70" spans="1:11" ht="14.25" customHeight="1">
      <c r="A70" s="21">
        <v>69</v>
      </c>
      <c r="B70" s="21">
        <v>65</v>
      </c>
      <c r="C70" s="21" t="s">
        <v>932</v>
      </c>
      <c r="D70" s="21" t="s">
        <v>933</v>
      </c>
      <c r="E70" s="21">
        <v>5</v>
      </c>
      <c r="F70" s="21">
        <v>156911</v>
      </c>
      <c r="G70" s="43">
        <v>-0.04</v>
      </c>
      <c r="H70" s="21" t="s">
        <v>934</v>
      </c>
      <c r="I70" s="39">
        <f ca="1">IFERROR(__xludf.DUMMYFUNCTION("IF(SUM(COUNTIF(artists!A:A, SPLIT(D70, "",""))) &gt; 0, ""UA"", 0)"),0)</f>
        <v>0</v>
      </c>
      <c r="J70" s="40" t="str">
        <f ca="1">IFERROR(__xludf.DUMMYFUNCTION("IF(SUM(COUNTIF(artists!C:C, SPLIT(D70, "",""))) &gt; 0, ""RU"", 0)"),"RU")</f>
        <v>RU</v>
      </c>
      <c r="K70" s="39">
        <f ca="1">IFERROR(__xludf.DUMMYFUNCTION("IF(SUM(COUNTIF(artists!E:E, SPLIT(D70, "",""))) &gt; 0, ""OTHER"", 0)"),0)</f>
        <v>0</v>
      </c>
    </row>
    <row r="71" spans="1:11" ht="14.25" customHeight="1">
      <c r="A71" s="21">
        <v>70</v>
      </c>
      <c r="C71" s="21" t="s">
        <v>949</v>
      </c>
      <c r="D71" s="21" t="s">
        <v>950</v>
      </c>
      <c r="E71" s="21">
        <v>1</v>
      </c>
      <c r="F71" s="21">
        <v>154480</v>
      </c>
      <c r="H71" s="21" t="s">
        <v>951</v>
      </c>
      <c r="I71" s="39" t="str">
        <f ca="1">IFERROR(__xludf.DUMMYFUNCTION("IF(SUM(COUNTIF(artists!A:A, SPLIT(D71, "",""))) &gt; 0, ""UA"", 0)"),"UA")</f>
        <v>UA</v>
      </c>
      <c r="J71" s="40">
        <f ca="1">IFERROR(__xludf.DUMMYFUNCTION("IF(SUM(COUNTIF(artists!C:C, SPLIT(D71, "",""))) &gt; 0, ""RU"", 0)"),0)</f>
        <v>0</v>
      </c>
      <c r="K71" s="39">
        <f ca="1">IFERROR(__xludf.DUMMYFUNCTION("IF(SUM(COUNTIF(artists!E:E, SPLIT(D71, "",""))) &gt; 0, ""OTHER"", 0)"),0)</f>
        <v>0</v>
      </c>
    </row>
    <row r="72" spans="1:11" ht="14.25" customHeight="1">
      <c r="A72" s="21">
        <v>71</v>
      </c>
      <c r="B72" s="21">
        <v>70</v>
      </c>
      <c r="C72" s="21" t="s">
        <v>284</v>
      </c>
      <c r="D72" s="21" t="s">
        <v>15</v>
      </c>
      <c r="E72" s="21">
        <v>20</v>
      </c>
      <c r="F72" s="21">
        <v>153286</v>
      </c>
      <c r="G72" s="42">
        <v>-1.4E-2</v>
      </c>
      <c r="H72" s="21" t="s">
        <v>285</v>
      </c>
      <c r="I72" s="39">
        <f ca="1">IFERROR(__xludf.DUMMYFUNCTION("IF(SUM(COUNTIF(artists!A:A, SPLIT(D72, "",""))) &gt; 0, ""UA"", 0)"),0)</f>
        <v>0</v>
      </c>
      <c r="J72" s="40">
        <f ca="1">IFERROR(__xludf.DUMMYFUNCTION("IF(SUM(COUNTIF(artists!C:C, SPLIT(D72, "",""))) &gt; 0, ""RU"", 0)"),0)</f>
        <v>0</v>
      </c>
      <c r="K72" s="39" t="str">
        <f ca="1">IFERROR(__xludf.DUMMYFUNCTION("IF(SUM(COUNTIF(artists!E:E, SPLIT(D72, "",""))) &gt; 0, ""OTHER"", 0)"),"OTHER")</f>
        <v>OTHER</v>
      </c>
    </row>
    <row r="73" spans="1:11" ht="14.25" customHeight="1">
      <c r="A73" s="21">
        <v>72</v>
      </c>
      <c r="C73" s="21" t="s">
        <v>926</v>
      </c>
      <c r="D73" s="21" t="s">
        <v>927</v>
      </c>
      <c r="E73" s="21">
        <v>1</v>
      </c>
      <c r="F73" s="21">
        <v>152090</v>
      </c>
      <c r="H73" s="21" t="s">
        <v>928</v>
      </c>
      <c r="I73" s="39" t="str">
        <f ca="1">IFERROR(__xludf.DUMMYFUNCTION("IF(SUM(COUNTIF(artists!A:A, SPLIT(D73, "",""))) &gt; 0, ""UA"", 0)"),"UA")</f>
        <v>UA</v>
      </c>
      <c r="J73" s="40">
        <f ca="1">IFERROR(__xludf.DUMMYFUNCTION("IF(SUM(COUNTIF(artists!C:C, SPLIT(D73, "",""))) &gt; 0, ""RU"", 0)"),0)</f>
        <v>0</v>
      </c>
      <c r="K73" s="39">
        <f ca="1">IFERROR(__xludf.DUMMYFUNCTION("IF(SUM(COUNTIF(artists!E:E, SPLIT(D73, "",""))) &gt; 0, ""OTHER"", 0)"),0)</f>
        <v>0</v>
      </c>
    </row>
    <row r="74" spans="1:11" ht="14.25" customHeight="1">
      <c r="A74" s="21">
        <v>73</v>
      </c>
      <c r="B74" s="21">
        <v>79</v>
      </c>
      <c r="C74" s="21" t="s">
        <v>765</v>
      </c>
      <c r="D74" s="21" t="s">
        <v>766</v>
      </c>
      <c r="E74" s="21">
        <v>7</v>
      </c>
      <c r="F74" s="21">
        <v>149649</v>
      </c>
      <c r="G74" s="42">
        <v>5.0999999999999997E-2</v>
      </c>
      <c r="H74" s="21" t="s">
        <v>768</v>
      </c>
      <c r="I74" s="39" t="str">
        <f ca="1">IFERROR(__xludf.DUMMYFUNCTION("IF(SUM(COUNTIF(artists!A:A, SPLIT(D74, "",""))) &gt; 0, ""UA"", 0)"),"UA")</f>
        <v>UA</v>
      </c>
      <c r="J74" s="40">
        <f ca="1">IFERROR(__xludf.DUMMYFUNCTION("IF(SUM(COUNTIF(artists!C:C, SPLIT(D74, "",""))) &gt; 0, ""RU"", 0)"),0)</f>
        <v>0</v>
      </c>
      <c r="K74" s="39">
        <f ca="1">IFERROR(__xludf.DUMMYFUNCTION("IF(SUM(COUNTIF(artists!E:E, SPLIT(D74, "",""))) &gt; 0, ""OTHER"", 0)"),0)</f>
        <v>0</v>
      </c>
    </row>
    <row r="75" spans="1:11" ht="14.25" customHeight="1">
      <c r="A75" s="21">
        <v>74</v>
      </c>
      <c r="B75" s="21">
        <v>61</v>
      </c>
      <c r="C75" s="21" t="s">
        <v>320</v>
      </c>
      <c r="D75" s="21" t="s">
        <v>321</v>
      </c>
      <c r="E75" s="21">
        <v>5</v>
      </c>
      <c r="F75" s="21">
        <v>149025</v>
      </c>
      <c r="G75" s="42">
        <v>-0.16400000000000001</v>
      </c>
      <c r="H75" s="21" t="s">
        <v>323</v>
      </c>
      <c r="I75" s="39">
        <f ca="1">IFERROR(__xludf.DUMMYFUNCTION("IF(SUM(COUNTIF(artists!A:A, SPLIT(D75, "",""))) &gt; 0, ""UA"", 0)"),0)</f>
        <v>0</v>
      </c>
      <c r="J75" s="40">
        <f ca="1">IFERROR(__xludf.DUMMYFUNCTION("IF(SUM(COUNTIF(artists!C:C, SPLIT(D75, "",""))) &gt; 0, ""RU"", 0)"),0)</f>
        <v>0</v>
      </c>
      <c r="K75" s="39" t="str">
        <f ca="1">IFERROR(__xludf.DUMMYFUNCTION("IF(SUM(COUNTIF(artists!E:E, SPLIT(D75, "",""))) &gt; 0, ""OTHER"", 0)"),"OTHER")</f>
        <v>OTHER</v>
      </c>
    </row>
    <row r="76" spans="1:11" ht="14.25" customHeight="1">
      <c r="A76" s="21">
        <v>75</v>
      </c>
      <c r="C76" s="21" t="s">
        <v>402</v>
      </c>
      <c r="D76" s="21" t="s">
        <v>403</v>
      </c>
      <c r="E76" s="21">
        <v>5</v>
      </c>
      <c r="F76" s="21">
        <v>149020</v>
      </c>
      <c r="H76" s="21" t="s">
        <v>404</v>
      </c>
      <c r="I76" s="39">
        <f ca="1">IFERROR(__xludf.DUMMYFUNCTION("IF(SUM(COUNTIF(artists!A:A, SPLIT(D76, "",""))) &gt; 0, ""UA"", 0)"),0)</f>
        <v>0</v>
      </c>
      <c r="J76" s="40">
        <f ca="1">IFERROR(__xludf.DUMMYFUNCTION("IF(SUM(COUNTIF(artists!C:C, SPLIT(D76, "",""))) &gt; 0, ""RU"", 0)"),0)</f>
        <v>0</v>
      </c>
      <c r="K76" s="39" t="str">
        <f ca="1">IFERROR(__xludf.DUMMYFUNCTION("IF(SUM(COUNTIF(artists!E:E, SPLIT(D76, "",""))) &gt; 0, ""OTHER"", 0)"),"OTHER")</f>
        <v>OTHER</v>
      </c>
    </row>
    <row r="77" spans="1:11" ht="14.25" customHeight="1">
      <c r="A77" s="21">
        <v>76</v>
      </c>
      <c r="B77" s="21">
        <v>88</v>
      </c>
      <c r="C77" s="21" t="s">
        <v>605</v>
      </c>
      <c r="D77" s="21" t="s">
        <v>299</v>
      </c>
      <c r="E77" s="21">
        <v>14</v>
      </c>
      <c r="F77" s="21">
        <v>143737</v>
      </c>
      <c r="G77" s="42">
        <v>7.4999999999999997E-2</v>
      </c>
      <c r="H77" s="21" t="s">
        <v>607</v>
      </c>
      <c r="I77" s="39">
        <f ca="1">IFERROR(__xludf.DUMMYFUNCTION("IF(SUM(COUNTIF(artists!A:A, SPLIT(D77, "",""))) &gt; 0, ""UA"", 0)"),0)</f>
        <v>0</v>
      </c>
      <c r="J77" s="40">
        <f ca="1">IFERROR(__xludf.DUMMYFUNCTION("IF(SUM(COUNTIF(artists!C:C, SPLIT(D77, "",""))) &gt; 0, ""RU"", 0)"),0)</f>
        <v>0</v>
      </c>
      <c r="K77" s="39" t="str">
        <f ca="1">IFERROR(__xludf.DUMMYFUNCTION("IF(SUM(COUNTIF(artists!E:E, SPLIT(D77, "",""))) &gt; 0, ""OTHER"", 0)"),"OTHER")</f>
        <v>OTHER</v>
      </c>
    </row>
    <row r="78" spans="1:11" ht="14.25" customHeight="1">
      <c r="A78" s="21">
        <v>77</v>
      </c>
      <c r="B78" s="21">
        <v>94</v>
      </c>
      <c r="C78" s="21" t="s">
        <v>545</v>
      </c>
      <c r="D78" s="21" t="s">
        <v>546</v>
      </c>
      <c r="E78" s="21">
        <v>6</v>
      </c>
      <c r="F78" s="21">
        <v>143451</v>
      </c>
      <c r="G78" s="42">
        <v>0.113</v>
      </c>
      <c r="H78" s="21" t="s">
        <v>548</v>
      </c>
      <c r="I78" s="39">
        <f ca="1">IFERROR(__xludf.DUMMYFUNCTION("IF(SUM(COUNTIF(artists!A:A, SPLIT(D78, "",""))) &gt; 0, ""UA"", 0)"),0)</f>
        <v>0</v>
      </c>
      <c r="J78" s="40" t="str">
        <f ca="1">IFERROR(__xludf.DUMMYFUNCTION("IF(SUM(COUNTIF(artists!C:C, SPLIT(D78, "",""))) &gt; 0, ""RU"", 0)"),"RU")</f>
        <v>RU</v>
      </c>
      <c r="K78" s="39">
        <f ca="1">IFERROR(__xludf.DUMMYFUNCTION("IF(SUM(COUNTIF(artists!E:E, SPLIT(D78, "",""))) &gt; 0, ""OTHER"", 0)"),0)</f>
        <v>0</v>
      </c>
    </row>
    <row r="79" spans="1:11" ht="14.25" customHeight="1">
      <c r="A79" s="21">
        <v>78</v>
      </c>
      <c r="B79" s="21">
        <v>78</v>
      </c>
      <c r="C79" s="21" t="s">
        <v>418</v>
      </c>
      <c r="D79" s="21" t="s">
        <v>419</v>
      </c>
      <c r="E79" s="21">
        <v>8</v>
      </c>
      <c r="F79" s="21">
        <v>142300</v>
      </c>
      <c r="G79" s="42">
        <v>-2.8000000000000001E-2</v>
      </c>
      <c r="H79" s="21" t="s">
        <v>420</v>
      </c>
      <c r="I79" s="39">
        <f ca="1">IFERROR(__xludf.DUMMYFUNCTION("IF(SUM(COUNTIF(artists!A:A, SPLIT(D79, "",""))) &gt; 0, ""UA"", 0)"),0)</f>
        <v>0</v>
      </c>
      <c r="J79" s="40">
        <f ca="1">IFERROR(__xludf.DUMMYFUNCTION("IF(SUM(COUNTIF(artists!C:C, SPLIT(D79, "",""))) &gt; 0, ""RU"", 0)"),0)</f>
        <v>0</v>
      </c>
      <c r="K79" s="39" t="str">
        <f ca="1">IFERROR(__xludf.DUMMYFUNCTION("IF(SUM(COUNTIF(artists!E:E, SPLIT(D79, "",""))) &gt; 0, ""OTHER"", 0)"),"OTHER")</f>
        <v>OTHER</v>
      </c>
    </row>
    <row r="80" spans="1:11" ht="14.25" customHeight="1">
      <c r="A80" s="21">
        <v>79</v>
      </c>
      <c r="B80" s="21">
        <v>92</v>
      </c>
      <c r="C80" s="21" t="s">
        <v>868</v>
      </c>
      <c r="D80" s="21" t="s">
        <v>869</v>
      </c>
      <c r="E80" s="21">
        <v>17</v>
      </c>
      <c r="F80" s="21">
        <v>140969</v>
      </c>
      <c r="G80" s="42">
        <v>7.1999999999999995E-2</v>
      </c>
      <c r="H80" s="21" t="s">
        <v>870</v>
      </c>
      <c r="I80" s="39">
        <f ca="1">IFERROR(__xludf.DUMMYFUNCTION("IF(SUM(COUNTIF(artists!A:A, SPLIT(D80, "",""))) &gt; 0, ""UA"", 0)"),0)</f>
        <v>0</v>
      </c>
      <c r="J80" s="40" t="str">
        <f ca="1">IFERROR(__xludf.DUMMYFUNCTION("IF(SUM(COUNTIF(artists!C:C, SPLIT(D80, "",""))) &gt; 0, ""RU"", 0)"),"RU")</f>
        <v>RU</v>
      </c>
      <c r="K80" s="39">
        <f ca="1">IFERROR(__xludf.DUMMYFUNCTION("IF(SUM(COUNTIF(artists!E:E, SPLIT(D80, "",""))) &gt; 0, ""OTHER"", 0)"),0)</f>
        <v>0</v>
      </c>
    </row>
    <row r="81" spans="1:11" ht="14.25" customHeight="1">
      <c r="A81" s="21">
        <v>80</v>
      </c>
      <c r="B81" s="21">
        <v>77</v>
      </c>
      <c r="C81" s="21" t="s">
        <v>524</v>
      </c>
      <c r="D81" s="21" t="s">
        <v>525</v>
      </c>
      <c r="E81" s="21">
        <v>17</v>
      </c>
      <c r="F81" s="21">
        <v>139194</v>
      </c>
      <c r="G81" s="42">
        <v>-5.0999999999999997E-2</v>
      </c>
      <c r="H81" s="21" t="s">
        <v>526</v>
      </c>
      <c r="I81" s="39" t="str">
        <f ca="1">IFERROR(__xludf.DUMMYFUNCTION("IF(SUM(COUNTIF(artists!A:A, SPLIT(D81, "",""))) &gt; 0, ""UA"", 0)"),"UA")</f>
        <v>UA</v>
      </c>
      <c r="J81" s="40">
        <f ca="1">IFERROR(__xludf.DUMMYFUNCTION("IF(SUM(COUNTIF(artists!C:C, SPLIT(D81, "",""))) &gt; 0, ""RU"", 0)"),0)</f>
        <v>0</v>
      </c>
      <c r="K81" s="39">
        <f ca="1">IFERROR(__xludf.DUMMYFUNCTION("IF(SUM(COUNTIF(artists!E:E, SPLIT(D81, "",""))) &gt; 0, ""OTHER"", 0)"),0)</f>
        <v>0</v>
      </c>
    </row>
    <row r="82" spans="1:11" ht="14.25" customHeight="1">
      <c r="A82" s="21">
        <v>81</v>
      </c>
      <c r="B82" s="21">
        <v>74</v>
      </c>
      <c r="C82" s="21" t="s">
        <v>282</v>
      </c>
      <c r="D82" s="21" t="s">
        <v>85</v>
      </c>
      <c r="E82" s="21">
        <v>5</v>
      </c>
      <c r="F82" s="21">
        <v>138248</v>
      </c>
      <c r="G82" s="42">
        <v>-5.8999999999999997E-2</v>
      </c>
      <c r="H82" s="21" t="s">
        <v>283</v>
      </c>
      <c r="I82" s="39" t="str">
        <f ca="1">IFERROR(__xludf.DUMMYFUNCTION("IF(SUM(COUNTIF(artists!A:A, SPLIT(D82, "",""))) &gt; 0, ""UA"", 0)"),"UA")</f>
        <v>UA</v>
      </c>
      <c r="J82" s="40">
        <f ca="1">IFERROR(__xludf.DUMMYFUNCTION("IF(SUM(COUNTIF(artists!C:C, SPLIT(D82, "",""))) &gt; 0, ""RU"", 0)"),0)</f>
        <v>0</v>
      </c>
      <c r="K82" s="39">
        <f ca="1">IFERROR(__xludf.DUMMYFUNCTION("IF(SUM(COUNTIF(artists!E:E, SPLIT(D82, "",""))) &gt; 0, ""OTHER"", 0)"),0)</f>
        <v>0</v>
      </c>
    </row>
    <row r="83" spans="1:11" ht="14.25" customHeight="1">
      <c r="A83" s="21">
        <v>82</v>
      </c>
      <c r="B83" s="21">
        <v>60</v>
      </c>
      <c r="C83" s="21" t="s">
        <v>818</v>
      </c>
      <c r="D83" s="21" t="s">
        <v>952</v>
      </c>
      <c r="E83" s="21">
        <v>2</v>
      </c>
      <c r="F83" s="21">
        <v>137286</v>
      </c>
      <c r="G83" s="42">
        <v>-0.24099999999999999</v>
      </c>
      <c r="H83" s="21" t="s">
        <v>820</v>
      </c>
      <c r="I83" s="39">
        <f ca="1">IFERROR(__xludf.DUMMYFUNCTION("IF(SUM(COUNTIF(artists!A:A, SPLIT(D83, "",""))) &gt; 0, ""UA"", 0)"),0)</f>
        <v>0</v>
      </c>
      <c r="J83" s="40" t="str">
        <f ca="1">IFERROR(__xludf.DUMMYFUNCTION("IF(SUM(COUNTIF(artists!C:C, SPLIT(D83, "",""))) &gt; 0, ""RU"", 0)"),"RU")</f>
        <v>RU</v>
      </c>
      <c r="K83" s="39">
        <f ca="1">IFERROR(__xludf.DUMMYFUNCTION("IF(SUM(COUNTIF(artists!E:E, SPLIT(D83, "",""))) &gt; 0, ""OTHER"", 0)"),0)</f>
        <v>0</v>
      </c>
    </row>
    <row r="84" spans="1:11" ht="14.25" customHeight="1">
      <c r="A84" s="21">
        <v>83</v>
      </c>
      <c r="B84" s="21">
        <v>69</v>
      </c>
      <c r="C84" s="21" t="s">
        <v>953</v>
      </c>
      <c r="D84" s="21" t="s">
        <v>954</v>
      </c>
      <c r="E84" s="21">
        <v>11</v>
      </c>
      <c r="F84" s="21">
        <v>135850</v>
      </c>
      <c r="G84" s="42">
        <v>-0.13100000000000001</v>
      </c>
      <c r="H84" s="21" t="s">
        <v>955</v>
      </c>
      <c r="I84" s="39">
        <f ca="1">IFERROR(__xludf.DUMMYFUNCTION("IF(SUM(COUNTIF(artists!A:A, SPLIT(D84, "",""))) &gt; 0, ""UA"", 0)"),0)</f>
        <v>0</v>
      </c>
      <c r="J84" s="40" t="str">
        <f ca="1">IFERROR(__xludf.DUMMYFUNCTION("IF(SUM(COUNTIF(artists!C:C, SPLIT(D84, "",""))) &gt; 0, ""RU"", 0)"),"RU")</f>
        <v>RU</v>
      </c>
      <c r="K84" s="39">
        <f ca="1">IFERROR(__xludf.DUMMYFUNCTION("IF(SUM(COUNTIF(artists!E:E, SPLIT(D84, "",""))) &gt; 0, ""OTHER"", 0)"),0)</f>
        <v>0</v>
      </c>
    </row>
    <row r="85" spans="1:11" ht="14.25" customHeight="1">
      <c r="A85" s="21">
        <v>84</v>
      </c>
      <c r="C85" s="21" t="s">
        <v>622</v>
      </c>
      <c r="D85" s="21" t="s">
        <v>108</v>
      </c>
      <c r="E85" s="21">
        <v>4</v>
      </c>
      <c r="F85" s="21">
        <v>135382</v>
      </c>
      <c r="H85" s="21" t="s">
        <v>623</v>
      </c>
      <c r="I85" s="39" t="str">
        <f ca="1">IFERROR(__xludf.DUMMYFUNCTION("IF(SUM(COUNTIF(artists!A:A, SPLIT(D85, "",""))) &gt; 0, ""UA"", 0)"),"UA")</f>
        <v>UA</v>
      </c>
      <c r="J85" s="40">
        <f ca="1">IFERROR(__xludf.DUMMYFUNCTION("IF(SUM(COUNTIF(artists!C:C, SPLIT(D85, "",""))) &gt; 0, ""RU"", 0)"),0)</f>
        <v>0</v>
      </c>
      <c r="K85" s="39">
        <f ca="1">IFERROR(__xludf.DUMMYFUNCTION("IF(SUM(COUNTIF(artists!E:E, SPLIT(D85, "",""))) &gt; 0, ""OTHER"", 0)"),0)</f>
        <v>0</v>
      </c>
    </row>
    <row r="86" spans="1:11" ht="14.25" customHeight="1">
      <c r="A86" s="21">
        <v>85</v>
      </c>
      <c r="B86" s="21">
        <v>81</v>
      </c>
      <c r="C86" s="21" t="s">
        <v>690</v>
      </c>
      <c r="D86" s="21" t="s">
        <v>691</v>
      </c>
      <c r="E86" s="21">
        <v>7</v>
      </c>
      <c r="F86" s="21">
        <v>130761</v>
      </c>
      <c r="G86" s="42">
        <v>-5.5E-2</v>
      </c>
      <c r="H86" s="21" t="s">
        <v>692</v>
      </c>
      <c r="I86" s="39">
        <f ca="1">IFERROR(__xludf.DUMMYFUNCTION("IF(SUM(COUNTIF(artists!A:A, SPLIT(D86, "",""))) &gt; 0, ""UA"", 0)"),0)</f>
        <v>0</v>
      </c>
      <c r="J86" s="40" t="str">
        <f ca="1">IFERROR(__xludf.DUMMYFUNCTION("IF(SUM(COUNTIF(artists!C:C, SPLIT(D86, "",""))) &gt; 0, ""RU"", 0)"),"RU")</f>
        <v>RU</v>
      </c>
      <c r="K86" s="39">
        <f ca="1">IFERROR(__xludf.DUMMYFUNCTION("IF(SUM(COUNTIF(artists!E:E, SPLIT(D86, "",""))) &gt; 0, ""OTHER"", 0)"),0)</f>
        <v>0</v>
      </c>
    </row>
    <row r="87" spans="1:11" ht="14.25" customHeight="1">
      <c r="A87" s="21">
        <v>86</v>
      </c>
      <c r="B87" s="21">
        <v>93</v>
      </c>
      <c r="C87" s="21" t="s">
        <v>370</v>
      </c>
      <c r="D87" s="21" t="s">
        <v>222</v>
      </c>
      <c r="E87" s="21">
        <v>3</v>
      </c>
      <c r="F87" s="21">
        <v>130208</v>
      </c>
      <c r="G87" s="42">
        <v>5.0000000000000001E-3</v>
      </c>
      <c r="H87" s="21" t="s">
        <v>372</v>
      </c>
      <c r="I87" s="39">
        <f ca="1">IFERROR(__xludf.DUMMYFUNCTION("IF(SUM(COUNTIF(artists!A:A, SPLIT(D87, "",""))) &gt; 0, ""UA"", 0)"),0)</f>
        <v>0</v>
      </c>
      <c r="J87" s="40">
        <f ca="1">IFERROR(__xludf.DUMMYFUNCTION("IF(SUM(COUNTIF(artists!C:C, SPLIT(D87, "",""))) &gt; 0, ""RU"", 0)"),0)</f>
        <v>0</v>
      </c>
      <c r="K87" s="39" t="str">
        <f ca="1">IFERROR(__xludf.DUMMYFUNCTION("IF(SUM(COUNTIF(artists!E:E, SPLIT(D87, "",""))) &gt; 0, ""OTHER"", 0)"),"OTHER")</f>
        <v>OTHER</v>
      </c>
    </row>
    <row r="88" spans="1:11" ht="14.25" customHeight="1">
      <c r="A88" s="21">
        <v>87</v>
      </c>
      <c r="B88" s="21">
        <v>67</v>
      </c>
      <c r="C88" s="21" t="s">
        <v>772</v>
      </c>
      <c r="D88" s="21" t="s">
        <v>773</v>
      </c>
      <c r="E88" s="21">
        <v>11</v>
      </c>
      <c r="F88" s="21">
        <v>129710</v>
      </c>
      <c r="G88" s="42">
        <v>-0.19500000000000001</v>
      </c>
      <c r="H88" s="21" t="s">
        <v>774</v>
      </c>
      <c r="I88" s="39" t="str">
        <f ca="1">IFERROR(__xludf.DUMMYFUNCTION("IF(SUM(COUNTIF(artists!A:A, SPLIT(D88, "",""))) &gt; 0, ""UA"", 0)"),"UA")</f>
        <v>UA</v>
      </c>
      <c r="J88" s="40">
        <f ca="1">IFERROR(__xludf.DUMMYFUNCTION("IF(SUM(COUNTIF(artists!C:C, SPLIT(D88, "",""))) &gt; 0, ""RU"", 0)"),0)</f>
        <v>0</v>
      </c>
      <c r="K88" s="39">
        <f ca="1">IFERROR(__xludf.DUMMYFUNCTION("IF(SUM(COUNTIF(artists!E:E, SPLIT(D88, "",""))) &gt; 0, ""OTHER"", 0)"),0)</f>
        <v>0</v>
      </c>
    </row>
    <row r="89" spans="1:11" ht="14.25" customHeight="1">
      <c r="A89" s="21">
        <v>88</v>
      </c>
      <c r="B89" s="21">
        <v>98</v>
      </c>
      <c r="C89" s="21" t="s">
        <v>497</v>
      </c>
      <c r="D89" s="21" t="s">
        <v>860</v>
      </c>
      <c r="E89" s="21">
        <v>13</v>
      </c>
      <c r="F89" s="21">
        <v>129291</v>
      </c>
      <c r="G89" s="42">
        <v>4.5999999999999999E-2</v>
      </c>
      <c r="H89" s="21" t="s">
        <v>499</v>
      </c>
      <c r="I89" s="39" t="str">
        <f ca="1">IFERROR(__xludf.DUMMYFUNCTION("IF(SUM(COUNTIF(artists!A:A, SPLIT(D89, "",""))) &gt; 0, ""UA"", 0)"),"UA")</f>
        <v>UA</v>
      </c>
      <c r="J89" s="40">
        <f ca="1">IFERROR(__xludf.DUMMYFUNCTION("IF(SUM(COUNTIF(artists!C:C, SPLIT(D89, "",""))) &gt; 0, ""RU"", 0)"),0)</f>
        <v>0</v>
      </c>
      <c r="K89" s="39">
        <f ca="1">IFERROR(__xludf.DUMMYFUNCTION("IF(SUM(COUNTIF(artists!E:E, SPLIT(D89, "",""))) &gt; 0, ""OTHER"", 0)"),0)</f>
        <v>0</v>
      </c>
    </row>
    <row r="90" spans="1:11" ht="14.25" customHeight="1">
      <c r="A90" s="21">
        <v>89</v>
      </c>
      <c r="B90" s="21">
        <v>83</v>
      </c>
      <c r="C90" s="21" t="s">
        <v>956</v>
      </c>
      <c r="D90" s="21" t="s">
        <v>743</v>
      </c>
      <c r="E90" s="21">
        <v>3</v>
      </c>
      <c r="F90" s="21">
        <v>127821</v>
      </c>
      <c r="G90" s="43">
        <v>-7.0000000000000007E-2</v>
      </c>
      <c r="H90" s="21" t="s">
        <v>957</v>
      </c>
      <c r="I90" s="39">
        <f ca="1">IFERROR(__xludf.DUMMYFUNCTION("IF(SUM(COUNTIF(artists!A:A, SPLIT(D90, "",""))) &gt; 0, ""UA"", 0)"),0)</f>
        <v>0</v>
      </c>
      <c r="J90" s="40" t="str">
        <f ca="1">IFERROR(__xludf.DUMMYFUNCTION("IF(SUM(COUNTIF(artists!C:C, SPLIT(D90, "",""))) &gt; 0, ""RU"", 0)"),"RU")</f>
        <v>RU</v>
      </c>
      <c r="K90" s="39">
        <f ca="1">IFERROR(__xludf.DUMMYFUNCTION("IF(SUM(COUNTIF(artists!E:E, SPLIT(D90, "",""))) &gt; 0, ""OTHER"", 0)"),0)</f>
        <v>0</v>
      </c>
    </row>
    <row r="91" spans="1:11" ht="14.25" customHeight="1">
      <c r="A91" s="21">
        <v>90</v>
      </c>
      <c r="B91" s="21">
        <v>91</v>
      </c>
      <c r="C91" s="21" t="s">
        <v>958</v>
      </c>
      <c r="D91" s="21" t="s">
        <v>959</v>
      </c>
      <c r="E91" s="21">
        <v>4</v>
      </c>
      <c r="F91" s="21">
        <v>126307</v>
      </c>
      <c r="G91" s="42">
        <v>-4.2999999999999997E-2</v>
      </c>
      <c r="H91" s="21" t="s">
        <v>960</v>
      </c>
      <c r="I91" s="39">
        <f ca="1">IFERROR(__xludf.DUMMYFUNCTION("IF(SUM(COUNTIF(artists!A:A, SPLIT(D91, "",""))) &gt; 0, ""UA"", 0)"),0)</f>
        <v>0</v>
      </c>
      <c r="J91" s="40" t="str">
        <f ca="1">IFERROR(__xludf.DUMMYFUNCTION("IF(SUM(COUNTIF(artists!C:C, SPLIT(D91, "",""))) &gt; 0, ""RU"", 0)"),"RU")</f>
        <v>RU</v>
      </c>
      <c r="K91" s="39">
        <f ca="1">IFERROR(__xludf.DUMMYFUNCTION("IF(SUM(COUNTIF(artists!E:E, SPLIT(D91, "",""))) &gt; 0, ""OTHER"", 0)"),0)</f>
        <v>0</v>
      </c>
    </row>
    <row r="92" spans="1:11" ht="14.25" customHeight="1">
      <c r="A92" s="21">
        <v>91</v>
      </c>
      <c r="B92" s="21">
        <v>86</v>
      </c>
      <c r="C92" s="21" t="s">
        <v>309</v>
      </c>
      <c r="D92" s="21" t="s">
        <v>310</v>
      </c>
      <c r="E92" s="21">
        <v>11</v>
      </c>
      <c r="F92" s="21">
        <v>124997</v>
      </c>
      <c r="G92" s="42">
        <v>-6.7000000000000004E-2</v>
      </c>
      <c r="H92" s="21" t="s">
        <v>312</v>
      </c>
      <c r="I92" s="39">
        <f ca="1">IFERROR(__xludf.DUMMYFUNCTION("IF(SUM(COUNTIF(artists!A:A, SPLIT(D92, "",""))) &gt; 0, ""UA"", 0)"),0)</f>
        <v>0</v>
      </c>
      <c r="J92" s="40">
        <f ca="1">IFERROR(__xludf.DUMMYFUNCTION("IF(SUM(COUNTIF(artists!C:C, SPLIT(D92, "",""))) &gt; 0, ""RU"", 0)"),0)</f>
        <v>0</v>
      </c>
      <c r="K92" s="39" t="str">
        <f ca="1">IFERROR(__xludf.DUMMYFUNCTION("IF(SUM(COUNTIF(artists!E:E, SPLIT(D92, "",""))) &gt; 0, ""OTHER"", 0)"),"OTHER")</f>
        <v>OTHER</v>
      </c>
    </row>
    <row r="93" spans="1:11" ht="14.25" customHeight="1">
      <c r="A93" s="21">
        <v>92</v>
      </c>
      <c r="B93" s="21">
        <v>96</v>
      </c>
      <c r="C93" s="21" t="s">
        <v>358</v>
      </c>
      <c r="D93" s="21" t="s">
        <v>359</v>
      </c>
      <c r="E93" s="21">
        <v>11</v>
      </c>
      <c r="F93" s="21">
        <v>122559</v>
      </c>
      <c r="G93" s="42">
        <v>-3.9E-2</v>
      </c>
      <c r="H93" s="21" t="s">
        <v>361</v>
      </c>
      <c r="I93" s="39">
        <f ca="1">IFERROR(__xludf.DUMMYFUNCTION("IF(SUM(COUNTIF(artists!A:A, SPLIT(D93, "",""))) &gt; 0, ""UA"", 0)"),0)</f>
        <v>0</v>
      </c>
      <c r="J93" s="40">
        <f ca="1">IFERROR(__xludf.DUMMYFUNCTION("IF(SUM(COUNTIF(artists!C:C, SPLIT(D93, "",""))) &gt; 0, ""RU"", 0)"),0)</f>
        <v>0</v>
      </c>
      <c r="K93" s="39" t="str">
        <f ca="1">IFERROR(__xludf.DUMMYFUNCTION("IF(SUM(COUNTIF(artists!E:E, SPLIT(D93, "",""))) &gt; 0, ""OTHER"", 0)"),"OTHER")</f>
        <v>OTHER</v>
      </c>
    </row>
    <row r="94" spans="1:11" ht="14.25" customHeight="1">
      <c r="A94" s="21">
        <v>93</v>
      </c>
      <c r="B94" s="21">
        <v>80</v>
      </c>
      <c r="C94" s="21" t="s">
        <v>961</v>
      </c>
      <c r="D94" s="21" t="s">
        <v>137</v>
      </c>
      <c r="E94" s="21">
        <v>6</v>
      </c>
      <c r="F94" s="21">
        <v>121255</v>
      </c>
      <c r="G94" s="42">
        <v>-0.125</v>
      </c>
      <c r="H94" s="21" t="s">
        <v>962</v>
      </c>
      <c r="I94" s="39" t="str">
        <f ca="1">IFERROR(__xludf.DUMMYFUNCTION("IF(SUM(COUNTIF(artists!A:A, SPLIT(D94, "",""))) &gt; 0, ""UA"", 0)"),"UA")</f>
        <v>UA</v>
      </c>
      <c r="J94" s="40">
        <f ca="1">IFERROR(__xludf.DUMMYFUNCTION("IF(SUM(COUNTIF(artists!C:C, SPLIT(D94, "",""))) &gt; 0, ""RU"", 0)"),0)</f>
        <v>0</v>
      </c>
      <c r="K94" s="39">
        <f ca="1">IFERROR(__xludf.DUMMYFUNCTION("IF(SUM(COUNTIF(artists!E:E, SPLIT(D94, "",""))) &gt; 0, ""OTHER"", 0)"),0)</f>
        <v>0</v>
      </c>
    </row>
    <row r="95" spans="1:11" ht="14.25" customHeight="1">
      <c r="A95" s="21">
        <v>94</v>
      </c>
      <c r="B95" s="21">
        <v>26</v>
      </c>
      <c r="C95" s="21" t="s">
        <v>99</v>
      </c>
      <c r="D95" s="21" t="s">
        <v>100</v>
      </c>
      <c r="E95" s="21">
        <v>3</v>
      </c>
      <c r="F95" s="21">
        <v>121138</v>
      </c>
      <c r="G95" s="42">
        <v>-0.59799999999999998</v>
      </c>
      <c r="H95" s="21" t="s">
        <v>102</v>
      </c>
      <c r="I95" s="39" t="str">
        <f ca="1">IFERROR(__xludf.DUMMYFUNCTION("IF(SUM(COUNTIF(artists!A:A, SPLIT(D95, "",""))) &gt; 0, ""UA"", 0)"),"UA")</f>
        <v>UA</v>
      </c>
      <c r="J95" s="40">
        <f ca="1">IFERROR(__xludf.DUMMYFUNCTION("IF(SUM(COUNTIF(artists!C:C, SPLIT(D95, "",""))) &gt; 0, ""RU"", 0)"),0)</f>
        <v>0</v>
      </c>
      <c r="K95" s="39">
        <f ca="1">IFERROR(__xludf.DUMMYFUNCTION("IF(SUM(COUNTIF(artists!E:E, SPLIT(D95, "",""))) &gt; 0, ""OTHER"", 0)"),0)</f>
        <v>0</v>
      </c>
    </row>
    <row r="96" spans="1:11" ht="14.25" customHeight="1">
      <c r="A96" s="21">
        <v>95</v>
      </c>
      <c r="B96" s="21">
        <v>89</v>
      </c>
      <c r="C96" s="21" t="s">
        <v>963</v>
      </c>
      <c r="D96" s="21" t="s">
        <v>964</v>
      </c>
      <c r="E96" s="21">
        <v>12</v>
      </c>
      <c r="F96" s="21">
        <v>120868</v>
      </c>
      <c r="G96" s="42">
        <v>-9.6000000000000002E-2</v>
      </c>
      <c r="H96" s="21" t="s">
        <v>965</v>
      </c>
      <c r="I96" s="39" t="str">
        <f ca="1">IFERROR(__xludf.DUMMYFUNCTION("IF(SUM(COUNTIF(artists!A:A, SPLIT(D96, "",""))) &gt; 0, ""UA"", 0)"),"UA")</f>
        <v>UA</v>
      </c>
      <c r="J96" s="40">
        <f ca="1">IFERROR(__xludf.DUMMYFUNCTION("IF(SUM(COUNTIF(artists!C:C, SPLIT(D96, "",""))) &gt; 0, ""RU"", 0)"),0)</f>
        <v>0</v>
      </c>
      <c r="K96" s="39">
        <f ca="1">IFERROR(__xludf.DUMMYFUNCTION("IF(SUM(COUNTIF(artists!E:E, SPLIT(D96, "",""))) &gt; 0, ""OTHER"", 0)"),0)</f>
        <v>0</v>
      </c>
    </row>
    <row r="97" spans="1:11" ht="14.25" customHeight="1">
      <c r="A97" s="21">
        <v>96</v>
      </c>
      <c r="C97" s="21" t="s">
        <v>306</v>
      </c>
      <c r="D97" s="21" t="s">
        <v>307</v>
      </c>
      <c r="E97" s="21">
        <v>1</v>
      </c>
      <c r="F97" s="21">
        <v>116877</v>
      </c>
      <c r="H97" s="21" t="s">
        <v>308</v>
      </c>
      <c r="I97" s="39">
        <f ca="1">IFERROR(__xludf.DUMMYFUNCTION("IF(SUM(COUNTIF(artists!A:A, SPLIT(D97, "",""))) &gt; 0, ""UA"", 0)"),0)</f>
        <v>0</v>
      </c>
      <c r="J97" s="40">
        <f ca="1">IFERROR(__xludf.DUMMYFUNCTION("IF(SUM(COUNTIF(artists!C:C, SPLIT(D97, "",""))) &gt; 0, ""RU"", 0)"),0)</f>
        <v>0</v>
      </c>
      <c r="K97" s="39" t="str">
        <f ca="1">IFERROR(__xludf.DUMMYFUNCTION("IF(SUM(COUNTIF(artists!E:E, SPLIT(D97, "",""))) &gt; 0, ""OTHER"", 0)"),"OTHER")</f>
        <v>OTHER</v>
      </c>
    </row>
    <row r="98" spans="1:11" ht="14.25" customHeight="1">
      <c r="A98" s="21">
        <v>97</v>
      </c>
      <c r="C98" s="21" t="s">
        <v>383</v>
      </c>
      <c r="D98" s="21" t="s">
        <v>384</v>
      </c>
      <c r="E98" s="21">
        <v>6</v>
      </c>
      <c r="F98" s="21">
        <v>116581</v>
      </c>
      <c r="H98" s="21" t="s">
        <v>386</v>
      </c>
      <c r="I98" s="39">
        <f ca="1">IFERROR(__xludf.DUMMYFUNCTION("IF(SUM(COUNTIF(artists!A:A, SPLIT(D98, "",""))) &gt; 0, ""UA"", 0)"),0)</f>
        <v>0</v>
      </c>
      <c r="J98" s="40">
        <f ca="1">IFERROR(__xludf.DUMMYFUNCTION("IF(SUM(COUNTIF(artists!C:C, SPLIT(D98, "",""))) &gt; 0, ""RU"", 0)"),0)</f>
        <v>0</v>
      </c>
      <c r="K98" s="39" t="str">
        <f ca="1">IFERROR(__xludf.DUMMYFUNCTION("IF(SUM(COUNTIF(artists!E:E, SPLIT(D98, "",""))) &gt; 0, ""OTHER"", 0)"),"OTHER")</f>
        <v>OTHER</v>
      </c>
    </row>
    <row r="99" spans="1:11" ht="14.25" customHeight="1">
      <c r="A99" s="21">
        <v>98</v>
      </c>
      <c r="B99" s="21">
        <v>52</v>
      </c>
      <c r="C99" s="21" t="s">
        <v>244</v>
      </c>
      <c r="D99" s="21" t="s">
        <v>161</v>
      </c>
      <c r="E99" s="21">
        <v>2</v>
      </c>
      <c r="F99" s="21">
        <v>115616</v>
      </c>
      <c r="G99" s="42">
        <v>-0.442</v>
      </c>
      <c r="H99" s="21" t="s">
        <v>246</v>
      </c>
      <c r="I99" s="39" t="str">
        <f ca="1">IFERROR(__xludf.DUMMYFUNCTION("IF(SUM(COUNTIF(artists!A:A, SPLIT(D99, "",""))) &gt; 0, ""UA"", 0)"),"UA")</f>
        <v>UA</v>
      </c>
      <c r="J99" s="40">
        <f ca="1">IFERROR(__xludf.DUMMYFUNCTION("IF(SUM(COUNTIF(artists!C:C, SPLIT(D99, "",""))) &gt; 0, ""RU"", 0)"),0)</f>
        <v>0</v>
      </c>
      <c r="K99" s="39">
        <f ca="1">IFERROR(__xludf.DUMMYFUNCTION("IF(SUM(COUNTIF(artists!E:E, SPLIT(D99, "",""))) &gt; 0, ""OTHER"", 0)"),0)</f>
        <v>0</v>
      </c>
    </row>
    <row r="100" spans="1:11" ht="14.25" customHeight="1">
      <c r="A100" s="21">
        <v>99</v>
      </c>
      <c r="C100" s="21" t="s">
        <v>882</v>
      </c>
      <c r="D100" s="21" t="s">
        <v>883</v>
      </c>
      <c r="E100" s="21">
        <v>31</v>
      </c>
      <c r="F100" s="21">
        <v>115497</v>
      </c>
      <c r="H100" s="21" t="s">
        <v>867</v>
      </c>
      <c r="I100" s="39">
        <f ca="1">IFERROR(__xludf.DUMMYFUNCTION("IF(SUM(COUNTIF(artists!A:A, SPLIT(D100, "",""))) &gt; 0, ""UA"", 0)"),0)</f>
        <v>0</v>
      </c>
      <c r="J100" s="40" t="str">
        <f ca="1">IFERROR(__xludf.DUMMYFUNCTION("IF(SUM(COUNTIF(artists!C:C, SPLIT(D100, "",""))) &gt; 0, ""RU"", 0)"),"RU")</f>
        <v>RU</v>
      </c>
      <c r="K100" s="39">
        <f ca="1">IFERROR(__xludf.DUMMYFUNCTION("IF(SUM(COUNTIF(artists!E:E, SPLIT(D100, "",""))) &gt; 0, ""OTHER"", 0)"),0)</f>
        <v>0</v>
      </c>
    </row>
    <row r="101" spans="1:11" ht="14.25" customHeight="1">
      <c r="A101" s="21">
        <v>100</v>
      </c>
      <c r="B101" s="21">
        <v>73</v>
      </c>
      <c r="C101" s="21" t="s">
        <v>966</v>
      </c>
      <c r="D101" s="21" t="s">
        <v>584</v>
      </c>
      <c r="E101" s="21">
        <v>5</v>
      </c>
      <c r="F101" s="21">
        <v>115213</v>
      </c>
      <c r="G101" s="42">
        <v>-0.23899999999999999</v>
      </c>
      <c r="H101" s="21" t="s">
        <v>967</v>
      </c>
      <c r="I101" s="39">
        <f ca="1">IFERROR(__xludf.DUMMYFUNCTION("IF(SUM(COUNTIF(artists!A:A, SPLIT(D101, "",""))) &gt; 0, ""UA"", 0)"),0)</f>
        <v>0</v>
      </c>
      <c r="J101" s="40" t="str">
        <f ca="1">IFERROR(__xludf.DUMMYFUNCTION("IF(SUM(COUNTIF(artists!C:C, SPLIT(D101, "",""))) &gt; 0, ""RU"", 0)"),"RU")</f>
        <v>RU</v>
      </c>
      <c r="K101" s="39">
        <f ca="1">IFERROR(__xludf.DUMMYFUNCTION("IF(SUM(COUNTIF(artists!E:E, SPLIT(D101, "",""))) &gt; 0, ""OTHER"", 0)"),0)</f>
        <v>0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101" priority="1">
      <formula>AND($I2=0, $J2=0, $K2=0)</formula>
    </cfRule>
    <cfRule type="expression" dxfId="100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Аркуш13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3" width="8.6640625" customWidth="1"/>
    <col min="4" max="4" width="13.109375" customWidth="1"/>
    <col min="5" max="5" width="8.6640625" hidden="1" customWidth="1"/>
    <col min="6" max="6" width="8.6640625" customWidth="1"/>
    <col min="7" max="7" width="13.10937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B2" s="21">
        <v>1</v>
      </c>
      <c r="C2" s="21" t="s">
        <v>221</v>
      </c>
      <c r="D2" s="21" t="s">
        <v>222</v>
      </c>
      <c r="E2" s="21">
        <v>3</v>
      </c>
      <c r="F2" s="21">
        <v>1375091</v>
      </c>
      <c r="G2" s="42">
        <v>6.9000000000000006E-2</v>
      </c>
      <c r="H2" s="21" t="s">
        <v>224</v>
      </c>
      <c r="I2" s="39">
        <f ca="1">IFERROR(__xludf.DUMMYFUNCTION("IF(SUM(COUNTIF(artists!A:A, SPLIT(D2, "",""))) &gt; 0, ""UA"", 0)"),0)</f>
        <v>0</v>
      </c>
      <c r="J2" s="40">
        <f ca="1">IFERROR(__xludf.DUMMYFUNCTION("IF(SUM(COUNTIF(artists!C:C, SPLIT(D2, "",""))) &gt; 0, ""RU"", 0)"),0)</f>
        <v>0</v>
      </c>
      <c r="K2" s="39" t="str">
        <f ca="1">IFERROR(__xludf.DUMMYFUNCTION("IF(SUM(COUNTIF(artists!E:E, SPLIT(D2, "",""))) &gt; 0, ""OTHER"", 0)"),"OTHER")</f>
        <v>OTHER</v>
      </c>
    </row>
    <row r="3" spans="1:11" ht="14.25" customHeight="1">
      <c r="A3" s="21">
        <v>2</v>
      </c>
      <c r="C3" s="21" t="s">
        <v>103</v>
      </c>
      <c r="D3" s="21" t="s">
        <v>104</v>
      </c>
      <c r="E3" s="21">
        <v>1</v>
      </c>
      <c r="F3" s="21">
        <v>1055833</v>
      </c>
      <c r="H3" s="21" t="s">
        <v>106</v>
      </c>
      <c r="I3" s="39" t="str">
        <f ca="1">IFERROR(__xludf.DUMMYFUNCTION("IF(SUM(COUNTIF(artists!A:A, SPLIT(D3, "",""))) &gt; 0, ""UA"", 0)"),"UA")</f>
        <v>UA</v>
      </c>
      <c r="J3" s="40">
        <f ca="1">IFERROR(__xludf.DUMMYFUNCTION("IF(SUM(COUNTIF(artists!C:C, SPLIT(D3, "",""))) &gt; 0, ""RU"", 0)"),0)</f>
        <v>0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B4" s="21">
        <v>2</v>
      </c>
      <c r="C4" s="21" t="s">
        <v>88</v>
      </c>
      <c r="D4" s="21" t="s">
        <v>89</v>
      </c>
      <c r="E4" s="21">
        <v>20</v>
      </c>
      <c r="F4" s="21">
        <v>876922</v>
      </c>
      <c r="G4" s="42">
        <v>-3.7999999999999999E-2</v>
      </c>
      <c r="H4" s="21" t="s">
        <v>90</v>
      </c>
      <c r="I4" s="39" t="str">
        <f ca="1">IFERROR(__xludf.DUMMYFUNCTION("IF(SUM(COUNTIF(artists!A:A, SPLIT(D4, "",""))) &gt; 0, ""UA"", 0)"),"UA")</f>
        <v>UA</v>
      </c>
      <c r="J4" s="40">
        <f ca="1">IFERROR(__xludf.DUMMYFUNCTION("IF(SUM(COUNTIF(artists!C:C, SPLIT(D4, "",""))) &gt; 0, ""RU"", 0)"),0)</f>
        <v>0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B5" s="21">
        <v>3</v>
      </c>
      <c r="C5" s="21" t="s">
        <v>95</v>
      </c>
      <c r="D5" s="21" t="s">
        <v>96</v>
      </c>
      <c r="E5" s="21">
        <v>5</v>
      </c>
      <c r="F5" s="21">
        <v>627047</v>
      </c>
      <c r="G5" s="42">
        <v>5.3999999999999999E-2</v>
      </c>
      <c r="H5" s="21" t="s">
        <v>98</v>
      </c>
      <c r="I5" s="39" t="str">
        <f ca="1">IFERROR(__xludf.DUMMYFUNCTION("IF(SUM(COUNTIF(artists!A:A, SPLIT(D5, "",""))) &gt; 0, ""UA"", 0)"),"UA")</f>
        <v>UA</v>
      </c>
      <c r="J5" s="40">
        <f ca="1">IFERROR(__xludf.DUMMYFUNCTION("IF(SUM(COUNTIF(artists!C:C, SPLIT(D5, "",""))) &gt; 0, ""RU"", 0)"),0)</f>
        <v>0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B6" s="21">
        <v>6</v>
      </c>
      <c r="C6" s="21" t="s">
        <v>645</v>
      </c>
      <c r="D6" s="21" t="s">
        <v>352</v>
      </c>
      <c r="E6" s="21">
        <v>45</v>
      </c>
      <c r="F6" s="21">
        <v>595333</v>
      </c>
      <c r="G6" s="42">
        <v>0.157</v>
      </c>
      <c r="H6" s="21" t="s">
        <v>647</v>
      </c>
      <c r="I6" s="39" t="str">
        <f ca="1">IFERROR(__xludf.DUMMYFUNCTION("IF(SUM(COUNTIF(artists!A:A, SPLIT(D6, "",""))) &gt; 0, ""UA"", 0)"),"UA")</f>
        <v>UA</v>
      </c>
      <c r="J6" s="40">
        <f ca="1">IFERROR(__xludf.DUMMYFUNCTION("IF(SUM(COUNTIF(artists!C:C, SPLIT(D6, "",""))) &gt; 0, ""RU"", 0)"),0)</f>
        <v>0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B7" s="21">
        <v>21</v>
      </c>
      <c r="C7" s="21" t="s">
        <v>124</v>
      </c>
      <c r="D7" s="21" t="s">
        <v>125</v>
      </c>
      <c r="E7" s="21">
        <v>3</v>
      </c>
      <c r="F7" s="21">
        <v>593211</v>
      </c>
      <c r="G7" s="43">
        <v>0.68</v>
      </c>
      <c r="H7" s="21" t="s">
        <v>127</v>
      </c>
      <c r="I7" s="39">
        <f ca="1">IFERROR(__xludf.DUMMYFUNCTION("IF(SUM(COUNTIF(artists!A:A, SPLIT(D7, "",""))) &gt; 0, ""UA"", 0)"),0)</f>
        <v>0</v>
      </c>
      <c r="J7" s="40" t="str">
        <f ca="1">IFERROR(__xludf.DUMMYFUNCTION("IF(SUM(COUNTIF(artists!C:C, SPLIT(D7, "",""))) &gt; 0, ""RU"", 0)"),"RU")</f>
        <v>RU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C8" s="21" t="s">
        <v>111</v>
      </c>
      <c r="D8" s="21" t="s">
        <v>112</v>
      </c>
      <c r="E8" s="21">
        <v>1</v>
      </c>
      <c r="F8" s="21">
        <v>542148</v>
      </c>
      <c r="H8" s="21" t="s">
        <v>114</v>
      </c>
      <c r="I8" s="39" t="str">
        <f ca="1">IFERROR(__xludf.DUMMYFUNCTION("IF(SUM(COUNTIF(artists!A:A, SPLIT(D8, "",""))) &gt; 0, ""UA"", 0)"),"UA")</f>
        <v>UA</v>
      </c>
      <c r="J8" s="40">
        <f ca="1">IFERROR(__xludf.DUMMYFUNCTION("IF(SUM(COUNTIF(artists!C:C, SPLIT(D8, "",""))) &gt; 0, ""RU"", 0)"),0)</f>
        <v>0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B9" s="21">
        <v>4</v>
      </c>
      <c r="C9" s="21" t="s">
        <v>132</v>
      </c>
      <c r="D9" s="21" t="s">
        <v>133</v>
      </c>
      <c r="E9" s="21">
        <v>32</v>
      </c>
      <c r="F9" s="21">
        <v>539191</v>
      </c>
      <c r="G9" s="42">
        <v>2.8000000000000001E-2</v>
      </c>
      <c r="H9" s="21" t="s">
        <v>135</v>
      </c>
      <c r="I9" s="39" t="str">
        <f ca="1">IFERROR(__xludf.DUMMYFUNCTION("IF(SUM(COUNTIF(artists!A:A, SPLIT(D9, "",""))) &gt; 0, ""UA"", 0)"),"UA")</f>
        <v>UA</v>
      </c>
      <c r="J9" s="40">
        <f ca="1">IFERROR(__xludf.DUMMYFUNCTION("IF(SUM(COUNTIF(artists!C:C, SPLIT(D9, "",""))) &gt; 0, ""RU"", 0)"),0)</f>
        <v>0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B10" s="21">
        <v>7</v>
      </c>
      <c r="C10" s="21" t="s">
        <v>128</v>
      </c>
      <c r="D10" s="21" t="s">
        <v>129</v>
      </c>
      <c r="E10" s="21">
        <v>28</v>
      </c>
      <c r="F10" s="21">
        <v>513625</v>
      </c>
      <c r="G10" s="42">
        <v>8.0000000000000002E-3</v>
      </c>
      <c r="H10" s="21" t="s">
        <v>131</v>
      </c>
      <c r="I10" s="39" t="str">
        <f ca="1">IFERROR(__xludf.DUMMYFUNCTION("IF(SUM(COUNTIF(artists!A:A, SPLIT(D10, "",""))) &gt; 0, ""UA"", 0)"),"UA")</f>
        <v>UA</v>
      </c>
      <c r="J10" s="40">
        <f ca="1">IFERROR(__xludf.DUMMYFUNCTION("IF(SUM(COUNTIF(artists!C:C, SPLIT(D10, "",""))) &gt; 0, ""RU"", 0)"),0)</f>
        <v>0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B11" s="21">
        <v>5</v>
      </c>
      <c r="C11" s="21" t="s">
        <v>115</v>
      </c>
      <c r="D11" s="21" t="s">
        <v>116</v>
      </c>
      <c r="E11" s="21">
        <v>22</v>
      </c>
      <c r="F11" s="21">
        <v>494341</v>
      </c>
      <c r="G11" s="42">
        <v>-5.0999999999999997E-2</v>
      </c>
      <c r="H11" s="21" t="s">
        <v>117</v>
      </c>
      <c r="I11" s="39" t="str">
        <f ca="1">IFERROR(__xludf.DUMMYFUNCTION("IF(SUM(COUNTIF(artists!A:A, SPLIT(D11, "",""))) &gt; 0, ""UA"", 0)"),"UA")</f>
        <v>UA</v>
      </c>
      <c r="J11" s="40">
        <f ca="1">IFERROR(__xludf.DUMMYFUNCTION("IF(SUM(COUNTIF(artists!C:C, SPLIT(D11, "",""))) &gt; 0, ""RU"", 0)"),0)</f>
        <v>0</v>
      </c>
      <c r="K11" s="39">
        <f ca="1">IFERROR(__xludf.DUMMYFUNCTION("IF(SUM(COUNTIF(artists!E:E, SPLIT(D11, "",""))) &gt; 0, ""OTHER"", 0)"),0)</f>
        <v>0</v>
      </c>
    </row>
    <row r="12" spans="1:11" ht="14.25" customHeight="1">
      <c r="A12" s="21">
        <v>11</v>
      </c>
      <c r="B12" s="21">
        <v>8</v>
      </c>
      <c r="C12" s="21" t="s">
        <v>294</v>
      </c>
      <c r="D12" s="21" t="s">
        <v>295</v>
      </c>
      <c r="E12" s="21">
        <v>4</v>
      </c>
      <c r="F12" s="21">
        <v>462516</v>
      </c>
      <c r="G12" s="42">
        <v>-6.7000000000000004E-2</v>
      </c>
      <c r="H12" s="21" t="s">
        <v>297</v>
      </c>
      <c r="I12" s="39">
        <f ca="1">IFERROR(__xludf.DUMMYFUNCTION("IF(SUM(COUNTIF(artists!A:A, SPLIT(D12, "",""))) &gt; 0, ""UA"", 0)"),0)</f>
        <v>0</v>
      </c>
      <c r="J12" s="40" t="str">
        <f ca="1">IFERROR(__xludf.DUMMYFUNCTION("IF(SUM(COUNTIF(artists!C:C, SPLIT(D12, "",""))) &gt; 0, ""RU"", 0)"),"RU")</f>
        <v>RU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B13" s="21">
        <v>9</v>
      </c>
      <c r="C13" s="21" t="s">
        <v>145</v>
      </c>
      <c r="D13" s="21" t="s">
        <v>146</v>
      </c>
      <c r="E13" s="21">
        <v>26</v>
      </c>
      <c r="F13" s="21">
        <v>460366</v>
      </c>
      <c r="G13" s="42">
        <v>1E-3</v>
      </c>
      <c r="H13" s="21" t="s">
        <v>148</v>
      </c>
      <c r="I13" s="39" t="str">
        <f ca="1">IFERROR(__xludf.DUMMYFUNCTION("IF(SUM(COUNTIF(artists!A:A, SPLIT(D13, "",""))) &gt; 0, ""UA"", 0)"),"UA")</f>
        <v>UA</v>
      </c>
      <c r="J13" s="40">
        <f ca="1">IFERROR(__xludf.DUMMYFUNCTION("IF(SUM(COUNTIF(artists!C:C, SPLIT(D13, "",""))) &gt; 0, ""RU"", 0)"),0)</f>
        <v>0</v>
      </c>
      <c r="K13" s="39">
        <f ca="1">IFERROR(__xludf.DUMMYFUNCTION("IF(SUM(COUNTIF(artists!E:E, SPLIT(D13, "",""))) &gt; 0, ""OTHER"", 0)"),0)</f>
        <v>0</v>
      </c>
    </row>
    <row r="14" spans="1:11" ht="14.25" customHeight="1">
      <c r="A14" s="21">
        <v>13</v>
      </c>
      <c r="B14" s="21">
        <v>16</v>
      </c>
      <c r="C14" s="21" t="s">
        <v>171</v>
      </c>
      <c r="D14" s="21" t="s">
        <v>172</v>
      </c>
      <c r="E14" s="21">
        <v>27</v>
      </c>
      <c r="F14" s="21">
        <v>439410</v>
      </c>
      <c r="G14" s="42">
        <v>0.16300000000000001</v>
      </c>
      <c r="H14" s="21" t="s">
        <v>174</v>
      </c>
      <c r="I14" s="39">
        <f ca="1">IFERROR(__xludf.DUMMYFUNCTION("IF(SUM(COUNTIF(artists!A:A, SPLIT(D14, "",""))) &gt; 0, ""UA"", 0)"),0)</f>
        <v>0</v>
      </c>
      <c r="J14" s="40" t="str">
        <f ca="1">IFERROR(__xludf.DUMMYFUNCTION("IF(SUM(COUNTIF(artists!C:C, SPLIT(D14, "",""))) &gt; 0, ""RU"", 0)"),"RU")</f>
        <v>RU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C15" s="21" t="s">
        <v>915</v>
      </c>
      <c r="D15" s="21" t="s">
        <v>916</v>
      </c>
      <c r="E15" s="21">
        <v>1</v>
      </c>
      <c r="F15" s="21">
        <v>438220</v>
      </c>
      <c r="H15" s="21" t="s">
        <v>917</v>
      </c>
      <c r="I15" s="39">
        <f ca="1">IFERROR(__xludf.DUMMYFUNCTION("IF(SUM(COUNTIF(artists!A:A, SPLIT(D15, "",""))) &gt; 0, ""UA"", 0)"),0)</f>
        <v>0</v>
      </c>
      <c r="J15" s="40" t="str">
        <f ca="1">IFERROR(__xludf.DUMMYFUNCTION("IF(SUM(COUNTIF(artists!C:C, SPLIT(D15, "",""))) &gt; 0, ""RU"", 0)"),"RU")</f>
        <v>RU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B16" s="21">
        <v>11</v>
      </c>
      <c r="C16" s="21" t="s">
        <v>175</v>
      </c>
      <c r="D16" s="21" t="s">
        <v>89</v>
      </c>
      <c r="E16" s="21">
        <v>32</v>
      </c>
      <c r="F16" s="21">
        <v>425703</v>
      </c>
      <c r="G16" s="42">
        <v>-1.9E-2</v>
      </c>
      <c r="H16" s="21" t="s">
        <v>177</v>
      </c>
      <c r="I16" s="39" t="str">
        <f ca="1">IFERROR(__xludf.DUMMYFUNCTION("IF(SUM(COUNTIF(artists!A:A, SPLIT(D16, "",""))) &gt; 0, ""UA"", 0)"),"UA")</f>
        <v>UA</v>
      </c>
      <c r="J16" s="40">
        <f ca="1">IFERROR(__xludf.DUMMYFUNCTION("IF(SUM(COUNTIF(artists!C:C, SPLIT(D16, "",""))) &gt; 0, ""RU"", 0)"),0)</f>
        <v>0</v>
      </c>
      <c r="K16" s="39">
        <f ca="1">IFERROR(__xludf.DUMMYFUNCTION("IF(SUM(COUNTIF(artists!E:E, SPLIT(D16, "",""))) &gt; 0, ""OTHER"", 0)"),0)</f>
        <v>0</v>
      </c>
    </row>
    <row r="17" spans="1:11" ht="14.25" customHeight="1">
      <c r="A17" s="21">
        <v>16</v>
      </c>
      <c r="B17" s="21">
        <v>10</v>
      </c>
      <c r="C17" s="21" t="s">
        <v>202</v>
      </c>
      <c r="D17" s="21" t="s">
        <v>835</v>
      </c>
      <c r="E17" s="21">
        <v>22</v>
      </c>
      <c r="F17" s="21">
        <v>422743</v>
      </c>
      <c r="G17" s="42">
        <v>-4.5999999999999999E-2</v>
      </c>
      <c r="H17" s="21" t="s">
        <v>204</v>
      </c>
      <c r="I17" s="39" t="str">
        <f ca="1">IFERROR(__xludf.DUMMYFUNCTION("IF(SUM(COUNTIF(artists!A:A, SPLIT(D17, "",""))) &gt; 0, ""UA"", 0)"),"UA")</f>
        <v>UA</v>
      </c>
      <c r="J17" s="40">
        <f ca="1">IFERROR(__xludf.DUMMYFUNCTION("IF(SUM(COUNTIF(artists!C:C, SPLIT(D17, "",""))) &gt; 0, ""RU"", 0)"),0)</f>
        <v>0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B18" s="21">
        <v>13</v>
      </c>
      <c r="C18" s="21" t="s">
        <v>149</v>
      </c>
      <c r="D18" s="21" t="s">
        <v>150</v>
      </c>
      <c r="E18" s="21">
        <v>25</v>
      </c>
      <c r="F18" s="21">
        <v>413521</v>
      </c>
      <c r="G18" s="42">
        <v>-7.0000000000000001E-3</v>
      </c>
      <c r="H18" s="21" t="s">
        <v>152</v>
      </c>
      <c r="I18" s="39" t="str">
        <f ca="1">IFERROR(__xludf.DUMMYFUNCTION("IF(SUM(COUNTIF(artists!A:A, SPLIT(D18, "",""))) &gt; 0, ""UA"", 0)"),"UA")</f>
        <v>UA</v>
      </c>
      <c r="J18" s="40">
        <f ca="1">IFERROR(__xludf.DUMMYFUNCTION("IF(SUM(COUNTIF(artists!C:C, SPLIT(D18, "",""))) &gt; 0, ""RU"", 0)"),0)</f>
        <v>0</v>
      </c>
      <c r="K18" s="39">
        <f ca="1">IFERROR(__xludf.DUMMYFUNCTION("IF(SUM(COUNTIF(artists!E:E, SPLIT(D18, "",""))) &gt; 0, ""OTHER"", 0)"),0)</f>
        <v>0</v>
      </c>
    </row>
    <row r="19" spans="1:11" ht="14.25" customHeight="1">
      <c r="A19" s="21">
        <v>18</v>
      </c>
      <c r="B19" s="21">
        <v>14</v>
      </c>
      <c r="C19" s="21" t="s">
        <v>182</v>
      </c>
      <c r="D19" s="21" t="s">
        <v>183</v>
      </c>
      <c r="E19" s="21">
        <v>28</v>
      </c>
      <c r="F19" s="21">
        <v>413079</v>
      </c>
      <c r="G19" s="43">
        <v>0.02</v>
      </c>
      <c r="H19" s="21" t="s">
        <v>185</v>
      </c>
      <c r="I19" s="39" t="str">
        <f ca="1">IFERROR(__xludf.DUMMYFUNCTION("IF(SUM(COUNTIF(artists!A:A, SPLIT(D19, "",""))) &gt; 0, ""UA"", 0)"),"UA")</f>
        <v>UA</v>
      </c>
      <c r="J19" s="40">
        <f ca="1">IFERROR(__xludf.DUMMYFUNCTION("IF(SUM(COUNTIF(artists!C:C, SPLIT(D19, "",""))) &gt; 0, ""RU"", 0)"),0)</f>
        <v>0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B20" s="21">
        <v>17</v>
      </c>
      <c r="C20" s="21" t="s">
        <v>168</v>
      </c>
      <c r="D20" s="21" t="s">
        <v>137</v>
      </c>
      <c r="E20" s="21">
        <v>23</v>
      </c>
      <c r="F20" s="21">
        <v>405773</v>
      </c>
      <c r="G20" s="42">
        <v>7.8E-2</v>
      </c>
      <c r="H20" s="21" t="s">
        <v>170</v>
      </c>
      <c r="I20" s="39" t="str">
        <f ca="1">IFERROR(__xludf.DUMMYFUNCTION("IF(SUM(COUNTIF(artists!A:A, SPLIT(D20, "",""))) &gt; 0, ""UA"", 0)"),"UA")</f>
        <v>UA</v>
      </c>
      <c r="J20" s="40">
        <f ca="1">IFERROR(__xludf.DUMMYFUNCTION("IF(SUM(COUNTIF(artists!C:C, SPLIT(D20, "",""))) &gt; 0, ""RU"", 0)"),0)</f>
        <v>0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B21" s="21">
        <v>18</v>
      </c>
      <c r="C21" s="21" t="s">
        <v>194</v>
      </c>
      <c r="D21" s="21" t="s">
        <v>195</v>
      </c>
      <c r="E21" s="21">
        <v>35</v>
      </c>
      <c r="F21" s="21">
        <v>365391</v>
      </c>
      <c r="G21" s="42">
        <v>2E-3</v>
      </c>
      <c r="H21" s="21" t="s">
        <v>197</v>
      </c>
      <c r="I21" s="39" t="str">
        <f ca="1">IFERROR(__xludf.DUMMYFUNCTION("IF(SUM(COUNTIF(artists!A:A, SPLIT(D21, "",""))) &gt; 0, ""UA"", 0)"),"UA")</f>
        <v>UA</v>
      </c>
      <c r="J21" s="40">
        <f ca="1">IFERROR(__xludf.DUMMYFUNCTION("IF(SUM(COUNTIF(artists!C:C, SPLIT(D21, "",""))) &gt; 0, ""RU"", 0)"),0)</f>
        <v>0</v>
      </c>
      <c r="K21" s="39">
        <f ca="1">IFERROR(__xludf.DUMMYFUNCTION("IF(SUM(COUNTIF(artists!E:E, SPLIT(D21, "",""))) &gt; 0, ""OTHER"", 0)"),0)</f>
        <v>0</v>
      </c>
    </row>
    <row r="22" spans="1:11" ht="14.25" customHeight="1">
      <c r="A22" s="21">
        <v>21</v>
      </c>
      <c r="B22" s="21">
        <v>19</v>
      </c>
      <c r="C22" s="21" t="s">
        <v>286</v>
      </c>
      <c r="D22" s="21" t="s">
        <v>287</v>
      </c>
      <c r="E22" s="21">
        <v>7</v>
      </c>
      <c r="F22" s="21">
        <v>354255</v>
      </c>
      <c r="G22" s="42">
        <v>-8.9999999999999993E-3</v>
      </c>
      <c r="H22" s="21" t="s">
        <v>289</v>
      </c>
      <c r="I22" s="39">
        <f ca="1">IFERROR(__xludf.DUMMYFUNCTION("IF(SUM(COUNTIF(artists!A:A, SPLIT(D22, "",""))) &gt; 0, ""UA"", 0)"),0)</f>
        <v>0</v>
      </c>
      <c r="J22" s="40" t="str">
        <f ca="1">IFERROR(__xludf.DUMMYFUNCTION("IF(SUM(COUNTIF(artists!C:C, SPLIT(D22, "",""))) &gt; 0, ""RU"", 0)"),"RU")</f>
        <v>RU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B23" s="21">
        <v>20</v>
      </c>
      <c r="C23" s="21" t="s">
        <v>186</v>
      </c>
      <c r="D23" s="21" t="s">
        <v>187</v>
      </c>
      <c r="E23" s="21">
        <v>36</v>
      </c>
      <c r="F23" s="21">
        <v>353151</v>
      </c>
      <c r="G23" s="42">
        <v>-1.0999999999999999E-2</v>
      </c>
      <c r="H23" s="21" t="s">
        <v>189</v>
      </c>
      <c r="I23" s="39" t="str">
        <f ca="1">IFERROR(__xludf.DUMMYFUNCTION("IF(SUM(COUNTIF(artists!A:A, SPLIT(D23, "",""))) &gt; 0, ""UA"", 0)"),"UA")</f>
        <v>UA</v>
      </c>
      <c r="J23" s="40">
        <f ca="1">IFERROR(__xludf.DUMMYFUNCTION("IF(SUM(COUNTIF(artists!C:C, SPLIT(D23, "",""))) &gt; 0, ""RU"", 0)"),0)</f>
        <v>0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B24" s="21">
        <v>15</v>
      </c>
      <c r="C24" s="21" t="s">
        <v>351</v>
      </c>
      <c r="D24" s="21" t="s">
        <v>352</v>
      </c>
      <c r="E24" s="21">
        <v>8</v>
      </c>
      <c r="F24" s="21">
        <v>342455</v>
      </c>
      <c r="G24" s="42">
        <v>-0.121</v>
      </c>
      <c r="H24" s="21" t="s">
        <v>354</v>
      </c>
      <c r="I24" s="39" t="str">
        <f ca="1">IFERROR(__xludf.DUMMYFUNCTION("IF(SUM(COUNTIF(artists!A:A, SPLIT(D24, "",""))) &gt; 0, ""UA"", 0)"),"UA")</f>
        <v>UA</v>
      </c>
      <c r="J24" s="40">
        <f ca="1">IFERROR(__xludf.DUMMYFUNCTION("IF(SUM(COUNTIF(artists!C:C, SPLIT(D24, "",""))) &gt; 0, ""RU"", 0)"),0)</f>
        <v>0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B25" s="21">
        <v>22</v>
      </c>
      <c r="C25" s="21" t="s">
        <v>968</v>
      </c>
      <c r="D25" s="21" t="s">
        <v>969</v>
      </c>
      <c r="E25" s="21">
        <v>52</v>
      </c>
      <c r="F25" s="21">
        <v>309413</v>
      </c>
      <c r="G25" s="42">
        <v>-5.8000000000000003E-2</v>
      </c>
      <c r="H25" s="21" t="s">
        <v>970</v>
      </c>
      <c r="I25" s="39" t="str">
        <f ca="1">IFERROR(__xludf.DUMMYFUNCTION("IF(SUM(COUNTIF(artists!A:A, SPLIT(D25, "",""))) &gt; 0, ""UA"", 0)"),"UA")</f>
        <v>UA</v>
      </c>
      <c r="J25" s="40">
        <f ca="1">IFERROR(__xludf.DUMMYFUNCTION("IF(SUM(COUNTIF(artists!C:C, SPLIT(D25, "",""))) &gt; 0, ""RU"", 0)"),0)</f>
        <v>0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B26" s="21">
        <v>23</v>
      </c>
      <c r="C26" s="21" t="s">
        <v>209</v>
      </c>
      <c r="D26" s="21" t="s">
        <v>210</v>
      </c>
      <c r="E26" s="21">
        <v>25</v>
      </c>
      <c r="F26" s="21">
        <v>304068</v>
      </c>
      <c r="G26" s="42">
        <v>-3.5999999999999997E-2</v>
      </c>
      <c r="H26" s="21" t="s">
        <v>212</v>
      </c>
      <c r="I26" s="39" t="str">
        <f ca="1">IFERROR(__xludf.DUMMYFUNCTION("IF(SUM(COUNTIF(artists!A:A, SPLIT(D26, "",""))) &gt; 0, ""UA"", 0)"),"UA")</f>
        <v>UA</v>
      </c>
      <c r="J26" s="40">
        <f ca="1">IFERROR(__xludf.DUMMYFUNCTION("IF(SUM(COUNTIF(artists!C:C, SPLIT(D26, "",""))) &gt; 0, ""RU"", 0)"),0)</f>
        <v>0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B27" s="21">
        <v>79</v>
      </c>
      <c r="C27" s="21" t="s">
        <v>99</v>
      </c>
      <c r="D27" s="21" t="s">
        <v>100</v>
      </c>
      <c r="E27" s="21">
        <v>2</v>
      </c>
      <c r="F27" s="21">
        <v>301451</v>
      </c>
      <c r="G27" s="42">
        <v>1.2470000000000001</v>
      </c>
      <c r="H27" s="21" t="s">
        <v>102</v>
      </c>
      <c r="I27" s="39" t="str">
        <f ca="1">IFERROR(__xludf.DUMMYFUNCTION("IF(SUM(COUNTIF(artists!A:A, SPLIT(D27, "",""))) &gt; 0, ""UA"", 0)"),"UA")</f>
        <v>UA</v>
      </c>
      <c r="J27" s="40">
        <f ca="1">IFERROR(__xludf.DUMMYFUNCTION("IF(SUM(COUNTIF(artists!C:C, SPLIT(D27, "",""))) &gt; 0, ""RU"", 0)"),0)</f>
        <v>0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B28" s="21">
        <v>25</v>
      </c>
      <c r="C28" s="21" t="s">
        <v>947</v>
      </c>
      <c r="D28" s="21" t="s">
        <v>776</v>
      </c>
      <c r="E28" s="21">
        <v>2</v>
      </c>
      <c r="F28" s="21">
        <v>298130</v>
      </c>
      <c r="G28" s="42">
        <v>-2.1999999999999999E-2</v>
      </c>
      <c r="H28" s="21" t="s">
        <v>948</v>
      </c>
      <c r="I28" s="39" t="str">
        <f ca="1">IFERROR(__xludf.DUMMYFUNCTION("IF(SUM(COUNTIF(artists!A:A, SPLIT(D28, "",""))) &gt; 0, ""UA"", 0)"),"UA")</f>
        <v>UA</v>
      </c>
      <c r="J28" s="40">
        <f ca="1">IFERROR(__xludf.DUMMYFUNCTION("IF(SUM(COUNTIF(artists!C:C, SPLIT(D28, "",""))) &gt; 0, ""RU"", 0)"),0)</f>
        <v>0</v>
      </c>
      <c r="K28" s="39">
        <f ca="1">IFERROR(__xludf.DUMMYFUNCTION("IF(SUM(COUNTIF(artists!E:E, SPLIT(D28, "",""))) &gt; 0, ""OTHER"", 0)"),0)</f>
        <v>0</v>
      </c>
    </row>
    <row r="29" spans="1:11" ht="14.25" customHeight="1">
      <c r="A29" s="21">
        <v>28</v>
      </c>
      <c r="B29" s="21">
        <v>28</v>
      </c>
      <c r="C29" s="21" t="s">
        <v>190</v>
      </c>
      <c r="D29" s="21" t="s">
        <v>191</v>
      </c>
      <c r="E29" s="21">
        <v>7</v>
      </c>
      <c r="F29" s="21">
        <v>295096</v>
      </c>
      <c r="G29" s="42">
        <v>3.0000000000000001E-3</v>
      </c>
      <c r="H29" s="21" t="s">
        <v>193</v>
      </c>
      <c r="I29" s="39" t="str">
        <f ca="1">IFERROR(__xludf.DUMMYFUNCTION("IF(SUM(COUNTIF(artists!A:A, SPLIT(D29, "",""))) &gt; 0, ""UA"", 0)"),"UA")</f>
        <v>UA</v>
      </c>
      <c r="J29" s="40">
        <f ca="1">IFERROR(__xludf.DUMMYFUNCTION("IF(SUM(COUNTIF(artists!C:C, SPLIT(D29, "",""))) &gt; 0, ""RU"", 0)"),0)</f>
        <v>0</v>
      </c>
      <c r="K29" s="39">
        <f ca="1">IFERROR(__xludf.DUMMYFUNCTION("IF(SUM(COUNTIF(artists!E:E, SPLIT(D29, "",""))) &gt; 0, ""OTHER"", 0)"),0)</f>
        <v>0</v>
      </c>
    </row>
    <row r="30" spans="1:11" ht="14.25" customHeight="1">
      <c r="A30" s="21">
        <v>29</v>
      </c>
      <c r="B30" s="21">
        <v>24</v>
      </c>
      <c r="C30" s="21" t="s">
        <v>178</v>
      </c>
      <c r="D30" s="21" t="s">
        <v>179</v>
      </c>
      <c r="E30" s="21">
        <v>36</v>
      </c>
      <c r="F30" s="21">
        <v>292785</v>
      </c>
      <c r="G30" s="42">
        <v>-4.3999999999999997E-2</v>
      </c>
      <c r="H30" s="21" t="s">
        <v>181</v>
      </c>
      <c r="I30" s="39" t="str">
        <f ca="1">IFERROR(__xludf.DUMMYFUNCTION("IF(SUM(COUNTIF(artists!A:A, SPLIT(D30, "",""))) &gt; 0, ""UA"", 0)"),"UA")</f>
        <v>UA</v>
      </c>
      <c r="J30" s="40">
        <f ca="1">IFERROR(__xludf.DUMMYFUNCTION("IF(SUM(COUNTIF(artists!C:C, SPLIT(D30, "",""))) &gt; 0, ""RU"", 0)"),0)</f>
        <v>0</v>
      </c>
      <c r="K30" s="39">
        <f ca="1">IFERROR(__xludf.DUMMYFUNCTION("IF(SUM(COUNTIF(artists!E:E, SPLIT(D30, "",""))) &gt; 0, ""OTHER"", 0)"),0)</f>
        <v>0</v>
      </c>
    </row>
    <row r="31" spans="1:11" ht="14.25" customHeight="1">
      <c r="A31" s="21">
        <v>30</v>
      </c>
      <c r="B31" s="21">
        <v>30</v>
      </c>
      <c r="C31" s="21" t="s">
        <v>160</v>
      </c>
      <c r="D31" s="21" t="s">
        <v>161</v>
      </c>
      <c r="E31" s="21">
        <v>26</v>
      </c>
      <c r="F31" s="21">
        <v>288700</v>
      </c>
      <c r="G31" s="42">
        <v>2.5000000000000001E-2</v>
      </c>
      <c r="H31" s="21" t="s">
        <v>163</v>
      </c>
      <c r="I31" s="39" t="str">
        <f ca="1">IFERROR(__xludf.DUMMYFUNCTION("IF(SUM(COUNTIF(artists!A:A, SPLIT(D31, "",""))) &gt; 0, ""UA"", 0)"),"UA")</f>
        <v>UA</v>
      </c>
      <c r="J31" s="40">
        <f ca="1">IFERROR(__xludf.DUMMYFUNCTION("IF(SUM(COUNTIF(artists!C:C, SPLIT(D31, "",""))) &gt; 0, ""RU"", 0)"),0)</f>
        <v>0</v>
      </c>
      <c r="K31" s="39">
        <f ca="1">IFERROR(__xludf.DUMMYFUNCTION("IF(SUM(COUNTIF(artists!E:E, SPLIT(D31, "",""))) &gt; 0, ""OTHER"", 0)"),0)</f>
        <v>0</v>
      </c>
    </row>
    <row r="32" spans="1:11" ht="14.25" customHeight="1">
      <c r="A32" s="21">
        <v>31</v>
      </c>
      <c r="B32" s="21">
        <v>37</v>
      </c>
      <c r="C32" s="21" t="s">
        <v>261</v>
      </c>
      <c r="D32" s="21" t="s">
        <v>262</v>
      </c>
      <c r="E32" s="21">
        <v>2</v>
      </c>
      <c r="F32" s="21">
        <v>284640</v>
      </c>
      <c r="G32" s="43">
        <v>0.2</v>
      </c>
      <c r="H32" s="21" t="s">
        <v>263</v>
      </c>
      <c r="I32" s="39" t="str">
        <f ca="1">IFERROR(__xludf.DUMMYFUNCTION("IF(SUM(COUNTIF(artists!A:A, SPLIT(D32, "",""))) &gt; 0, ""UA"", 0)"),"UA")</f>
        <v>UA</v>
      </c>
      <c r="J32" s="40">
        <f ca="1">IFERROR(__xludf.DUMMYFUNCTION("IF(SUM(COUNTIF(artists!C:C, SPLIT(D32, "",""))) &gt; 0, ""RU"", 0)"),0)</f>
        <v>0</v>
      </c>
      <c r="K32" s="39">
        <f ca="1">IFERROR(__xludf.DUMMYFUNCTION("IF(SUM(COUNTIF(artists!E:E, SPLIT(D32, "",""))) &gt; 0, ""OTHER"", 0)"),0)</f>
        <v>0</v>
      </c>
    </row>
    <row r="33" spans="1:11" ht="14.25" customHeight="1">
      <c r="A33" s="21">
        <v>32</v>
      </c>
      <c r="B33" s="21">
        <v>29</v>
      </c>
      <c r="C33" s="21" t="s">
        <v>841</v>
      </c>
      <c r="D33" s="21" t="s">
        <v>842</v>
      </c>
      <c r="E33" s="21">
        <v>37</v>
      </c>
      <c r="F33" s="21">
        <v>280653</v>
      </c>
      <c r="G33" s="42">
        <v>-1.4E-2</v>
      </c>
      <c r="H33" s="21" t="s">
        <v>843</v>
      </c>
      <c r="I33" s="39">
        <f ca="1">IFERROR(__xludf.DUMMYFUNCTION("IF(SUM(COUNTIF(artists!A:A, SPLIT(D33, "",""))) &gt; 0, ""UA"", 0)"),0)</f>
        <v>0</v>
      </c>
      <c r="J33" s="40">
        <f ca="1">IFERROR(__xludf.DUMMYFUNCTION("IF(SUM(COUNTIF(artists!C:C, SPLIT(D33, "",""))) &gt; 0, ""RU"", 0)"),0)</f>
        <v>0</v>
      </c>
      <c r="K33" s="39" t="str">
        <f ca="1">IFERROR(__xludf.DUMMYFUNCTION("IF(SUM(COUNTIF(artists!E:E, SPLIT(D33, "",""))) &gt; 0, ""OTHER"", 0)"),"OTHER")</f>
        <v>OTHER</v>
      </c>
    </row>
    <row r="34" spans="1:11" ht="14.25" customHeight="1">
      <c r="A34" s="21">
        <v>33</v>
      </c>
      <c r="B34" s="21">
        <v>27</v>
      </c>
      <c r="C34" s="21" t="s">
        <v>500</v>
      </c>
      <c r="D34" s="21" t="s">
        <v>501</v>
      </c>
      <c r="E34" s="21">
        <v>11</v>
      </c>
      <c r="F34" s="21">
        <v>280419</v>
      </c>
      <c r="G34" s="42">
        <v>-5.8999999999999997E-2</v>
      </c>
      <c r="H34" s="21" t="s">
        <v>503</v>
      </c>
      <c r="I34" s="39">
        <f ca="1">IFERROR(__xludf.DUMMYFUNCTION("IF(SUM(COUNTIF(artists!A:A, SPLIT(D34, "",""))) &gt; 0, ""UA"", 0)"),0)</f>
        <v>0</v>
      </c>
      <c r="J34" s="40" t="str">
        <f ca="1">IFERROR(__xludf.DUMMYFUNCTION("IF(SUM(COUNTIF(artists!C:C, SPLIT(D34, "",""))) &gt; 0, ""RU"", 0)"),"RU")</f>
        <v>RU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B35" s="21">
        <v>26</v>
      </c>
      <c r="C35" s="21" t="s">
        <v>844</v>
      </c>
      <c r="D35" s="21" t="s">
        <v>457</v>
      </c>
      <c r="E35" s="21">
        <v>12</v>
      </c>
      <c r="F35" s="21">
        <v>273909</v>
      </c>
      <c r="G35" s="42">
        <v>-9.8000000000000004E-2</v>
      </c>
      <c r="H35" s="21" t="s">
        <v>459</v>
      </c>
      <c r="I35" s="39">
        <f ca="1">IFERROR(__xludf.DUMMYFUNCTION("IF(SUM(COUNTIF(artists!A:A, SPLIT(D35, "",""))) &gt; 0, ""UA"", 0)"),0)</f>
        <v>0</v>
      </c>
      <c r="J35" s="40">
        <f ca="1">IFERROR(__xludf.DUMMYFUNCTION("IF(SUM(COUNTIF(artists!C:C, SPLIT(D35, "",""))) &gt; 0, ""RU"", 0)"),0)</f>
        <v>0</v>
      </c>
      <c r="K35" s="39" t="str">
        <f ca="1">IFERROR(__xludf.DUMMYFUNCTION("IF(SUM(COUNTIF(artists!E:E, SPLIT(D35, "",""))) &gt; 0, ""OTHER"", 0)"),"OTHER")</f>
        <v>OTHER</v>
      </c>
    </row>
    <row r="36" spans="1:11" ht="14.25" customHeight="1">
      <c r="A36" s="21">
        <v>35</v>
      </c>
      <c r="B36" s="21">
        <v>12</v>
      </c>
      <c r="C36" s="21" t="s">
        <v>861</v>
      </c>
      <c r="D36" s="21" t="s">
        <v>862</v>
      </c>
      <c r="E36" s="21">
        <v>2</v>
      </c>
      <c r="F36" s="21">
        <v>272811</v>
      </c>
      <c r="G36" s="42">
        <v>-0.36399999999999999</v>
      </c>
      <c r="H36" s="21" t="s">
        <v>327</v>
      </c>
      <c r="I36" s="39" t="str">
        <f ca="1">IFERROR(__xludf.DUMMYFUNCTION("IF(SUM(COUNTIF(artists!A:A, SPLIT(D36, "",""))) &gt; 0, ""UA"", 0)"),"UA")</f>
        <v>UA</v>
      </c>
      <c r="J36" s="40">
        <f ca="1">IFERROR(__xludf.DUMMYFUNCTION("IF(SUM(COUNTIF(artists!C:C, SPLIT(D36, "",""))) &gt; 0, ""RU"", 0)"),0)</f>
        <v>0</v>
      </c>
      <c r="K36" s="39">
        <f ca="1">IFERROR(__xludf.DUMMYFUNCTION("IF(SUM(COUNTIF(artists!E:E, SPLIT(D36, "",""))) &gt; 0, ""OTHER"", 0)"),0)</f>
        <v>0</v>
      </c>
    </row>
    <row r="37" spans="1:11" ht="14.25" customHeight="1">
      <c r="A37" s="21">
        <v>36</v>
      </c>
      <c r="B37" s="21">
        <v>31</v>
      </c>
      <c r="C37" s="21" t="s">
        <v>814</v>
      </c>
      <c r="D37" s="21" t="s">
        <v>815</v>
      </c>
      <c r="E37" s="21">
        <v>2</v>
      </c>
      <c r="F37" s="21">
        <v>269325</v>
      </c>
      <c r="G37" s="42">
        <v>-1.4E-2</v>
      </c>
      <c r="H37" s="21" t="s">
        <v>817</v>
      </c>
      <c r="I37" s="39">
        <f ca="1">IFERROR(__xludf.DUMMYFUNCTION("IF(SUM(COUNTIF(artists!A:A, SPLIT(D37, "",""))) &gt; 0, ""UA"", 0)"),0)</f>
        <v>0</v>
      </c>
      <c r="J37" s="40" t="str">
        <f ca="1">IFERROR(__xludf.DUMMYFUNCTION("IF(SUM(COUNTIF(artists!C:C, SPLIT(D37, "",""))) &gt; 0, ""RU"", 0)"),"RU")</f>
        <v>RU</v>
      </c>
      <c r="K37" s="39">
        <f ca="1">IFERROR(__xludf.DUMMYFUNCTION("IF(SUM(COUNTIF(artists!E:E, SPLIT(D37, "",""))) &gt; 0, ""OTHER"", 0)"),0)</f>
        <v>0</v>
      </c>
    </row>
    <row r="38" spans="1:11" ht="14.25" customHeight="1">
      <c r="A38" s="21">
        <v>37</v>
      </c>
      <c r="B38" s="21">
        <v>35</v>
      </c>
      <c r="C38" s="21" t="s">
        <v>251</v>
      </c>
      <c r="D38" s="21" t="s">
        <v>133</v>
      </c>
      <c r="E38" s="21">
        <v>17</v>
      </c>
      <c r="F38" s="21">
        <v>261482</v>
      </c>
      <c r="G38" s="42">
        <v>8.7999999999999995E-2</v>
      </c>
      <c r="H38" s="21" t="s">
        <v>252</v>
      </c>
      <c r="I38" s="39" t="str">
        <f ca="1">IFERROR(__xludf.DUMMYFUNCTION("IF(SUM(COUNTIF(artists!A:A, SPLIT(D38, "",""))) &gt; 0, ""UA"", 0)"),"UA")</f>
        <v>UA</v>
      </c>
      <c r="J38" s="40">
        <f ca="1">IFERROR(__xludf.DUMMYFUNCTION("IF(SUM(COUNTIF(artists!C:C, SPLIT(D38, "",""))) &gt; 0, ""RU"", 0)"),0)</f>
        <v>0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B39" s="21">
        <v>32</v>
      </c>
      <c r="C39" s="21" t="s">
        <v>653</v>
      </c>
      <c r="D39" s="21" t="s">
        <v>85</v>
      </c>
      <c r="E39" s="21">
        <v>8</v>
      </c>
      <c r="F39" s="21">
        <v>257156</v>
      </c>
      <c r="G39" s="42">
        <v>-5.0000000000000001E-3</v>
      </c>
      <c r="H39" s="21" t="s">
        <v>655</v>
      </c>
      <c r="I39" s="39" t="str">
        <f ca="1">IFERROR(__xludf.DUMMYFUNCTION("IF(SUM(COUNTIF(artists!A:A, SPLIT(D39, "",""))) &gt; 0, ""UA"", 0)"),"UA")</f>
        <v>UA</v>
      </c>
      <c r="J39" s="40">
        <f ca="1">IFERROR(__xludf.DUMMYFUNCTION("IF(SUM(COUNTIF(artists!C:C, SPLIT(D39, "",""))) &gt; 0, ""RU"", 0)"),0)</f>
        <v>0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B40" s="21">
        <v>34</v>
      </c>
      <c r="C40" s="21" t="s">
        <v>198</v>
      </c>
      <c r="D40" s="21" t="s">
        <v>199</v>
      </c>
      <c r="E40" s="21">
        <v>13</v>
      </c>
      <c r="F40" s="21">
        <v>251484</v>
      </c>
      <c r="G40" s="42">
        <v>2.7E-2</v>
      </c>
      <c r="H40" s="21" t="s">
        <v>201</v>
      </c>
      <c r="I40" s="39" t="str">
        <f ca="1">IFERROR(__xludf.DUMMYFUNCTION("IF(SUM(COUNTIF(artists!A:A, SPLIT(D40, "",""))) &gt; 0, ""UA"", 0)"),"UA")</f>
        <v>UA</v>
      </c>
      <c r="J40" s="40">
        <f ca="1">IFERROR(__xludf.DUMMYFUNCTION("IF(SUM(COUNTIF(artists!C:C, SPLIT(D40, "",""))) &gt; 0, ""RU"", 0)"),0)</f>
        <v>0</v>
      </c>
      <c r="K40" s="39">
        <f ca="1">IFERROR(__xludf.DUMMYFUNCTION("IF(SUM(COUNTIF(artists!E:E, SPLIT(D40, "",""))) &gt; 0, ""OTHER"", 0)"),0)</f>
        <v>0</v>
      </c>
    </row>
    <row r="41" spans="1:11" ht="14.25" customHeight="1">
      <c r="A41" s="21">
        <v>40</v>
      </c>
      <c r="B41" s="21">
        <v>39</v>
      </c>
      <c r="C41" s="21" t="s">
        <v>339</v>
      </c>
      <c r="D41" s="21" t="s">
        <v>340</v>
      </c>
      <c r="E41" s="21">
        <v>8</v>
      </c>
      <c r="F41" s="21">
        <v>236267</v>
      </c>
      <c r="G41" s="43">
        <v>0.02</v>
      </c>
      <c r="H41" s="21" t="s">
        <v>342</v>
      </c>
      <c r="I41" s="39" t="str">
        <f ca="1">IFERROR(__xludf.DUMMYFUNCTION("IF(SUM(COUNTIF(artists!A:A, SPLIT(D41, "",""))) &gt; 0, ""UA"", 0)"),"UA")</f>
        <v>UA</v>
      </c>
      <c r="J41" s="40">
        <f ca="1">IFERROR(__xludf.DUMMYFUNCTION("IF(SUM(COUNTIF(artists!C:C, SPLIT(D41, "",""))) &gt; 0, ""RU"", 0)"),0)</f>
        <v>0</v>
      </c>
      <c r="K41" s="39">
        <f ca="1">IFERROR(__xludf.DUMMYFUNCTION("IF(SUM(COUNTIF(artists!E:E, SPLIT(D41, "",""))) &gt; 0, ""OTHER"", 0)"),0)</f>
        <v>0</v>
      </c>
    </row>
    <row r="42" spans="1:11" ht="14.25" customHeight="1">
      <c r="A42" s="21">
        <v>41</v>
      </c>
      <c r="B42" s="21">
        <v>33</v>
      </c>
      <c r="C42" s="21" t="s">
        <v>924</v>
      </c>
      <c r="D42" s="21" t="s">
        <v>466</v>
      </c>
      <c r="E42" s="21">
        <v>3</v>
      </c>
      <c r="F42" s="21">
        <v>227075</v>
      </c>
      <c r="G42" s="42">
        <v>-9.7000000000000003E-2</v>
      </c>
      <c r="H42" s="21" t="s">
        <v>925</v>
      </c>
      <c r="I42" s="39" t="str">
        <f ca="1">IFERROR(__xludf.DUMMYFUNCTION("IF(SUM(COUNTIF(artists!A:A, SPLIT(D42, "",""))) &gt; 0, ""UA"", 0)"),"UA")</f>
        <v>UA</v>
      </c>
      <c r="J42" s="40">
        <f ca="1">IFERROR(__xludf.DUMMYFUNCTION("IF(SUM(COUNTIF(artists!C:C, SPLIT(D42, "",""))) &gt; 0, ""RU"", 0)"),0)</f>
        <v>0</v>
      </c>
      <c r="K42" s="39">
        <f ca="1">IFERROR(__xludf.DUMMYFUNCTION("IF(SUM(COUNTIF(artists!E:E, SPLIT(D42, "",""))) &gt; 0, ""OTHER"", 0)"),0)</f>
        <v>0</v>
      </c>
    </row>
    <row r="43" spans="1:11" ht="14.25" customHeight="1">
      <c r="A43" s="21">
        <v>42</v>
      </c>
      <c r="B43" s="21">
        <v>48</v>
      </c>
      <c r="C43" s="21" t="s">
        <v>373</v>
      </c>
      <c r="D43" s="21" t="s">
        <v>172</v>
      </c>
      <c r="E43" s="21">
        <v>8</v>
      </c>
      <c r="F43" s="21">
        <v>225905</v>
      </c>
      <c r="G43" s="42">
        <v>5.5E-2</v>
      </c>
      <c r="H43" s="21" t="s">
        <v>375</v>
      </c>
      <c r="I43" s="39">
        <f ca="1">IFERROR(__xludf.DUMMYFUNCTION("IF(SUM(COUNTIF(artists!A:A, SPLIT(D43, "",""))) &gt; 0, ""UA"", 0)"),0)</f>
        <v>0</v>
      </c>
      <c r="J43" s="40" t="str">
        <f ca="1">IFERROR(__xludf.DUMMYFUNCTION("IF(SUM(COUNTIF(artists!C:C, SPLIT(D43, "",""))) &gt; 0, ""RU"", 0)"),"RU")</f>
        <v>RU</v>
      </c>
      <c r="K43" s="39">
        <f ca="1">IFERROR(__xludf.DUMMYFUNCTION("IF(SUM(COUNTIF(artists!E:E, SPLIT(D43, "",""))) &gt; 0, ""OTHER"", 0)"),0)</f>
        <v>0</v>
      </c>
    </row>
    <row r="44" spans="1:11" ht="14.25" customHeight="1">
      <c r="A44" s="21">
        <v>43</v>
      </c>
      <c r="B44" s="21">
        <v>36</v>
      </c>
      <c r="C44" s="21" t="s">
        <v>775</v>
      </c>
      <c r="D44" s="21" t="s">
        <v>776</v>
      </c>
      <c r="E44" s="21">
        <v>4</v>
      </c>
      <c r="F44" s="21">
        <v>225578</v>
      </c>
      <c r="G44" s="42">
        <v>-5.5E-2</v>
      </c>
      <c r="H44" s="21" t="s">
        <v>777</v>
      </c>
      <c r="I44" s="39" t="str">
        <f ca="1">IFERROR(__xludf.DUMMYFUNCTION("IF(SUM(COUNTIF(artists!A:A, SPLIT(D44, "",""))) &gt; 0, ""UA"", 0)"),"UA")</f>
        <v>UA</v>
      </c>
      <c r="J44" s="40">
        <f ca="1">IFERROR(__xludf.DUMMYFUNCTION("IF(SUM(COUNTIF(artists!C:C, SPLIT(D44, "",""))) &gt; 0, ""RU"", 0)"),0)</f>
        <v>0</v>
      </c>
      <c r="K44" s="39">
        <f ca="1">IFERROR(__xludf.DUMMYFUNCTION("IF(SUM(COUNTIF(artists!E:E, SPLIT(D44, "",""))) &gt; 0, ""OTHER"", 0)"),0)</f>
        <v>0</v>
      </c>
    </row>
    <row r="45" spans="1:11" ht="14.25" customHeight="1">
      <c r="A45" s="21">
        <v>44</v>
      </c>
      <c r="B45" s="21">
        <v>38</v>
      </c>
      <c r="C45" s="21" t="s">
        <v>253</v>
      </c>
      <c r="D45" s="21" t="s">
        <v>89</v>
      </c>
      <c r="E45" s="21">
        <v>41</v>
      </c>
      <c r="F45" s="21">
        <v>225023</v>
      </c>
      <c r="G45" s="42">
        <v>-4.8000000000000001E-2</v>
      </c>
      <c r="H45" s="21" t="s">
        <v>254</v>
      </c>
      <c r="I45" s="39" t="str">
        <f ca="1">IFERROR(__xludf.DUMMYFUNCTION("IF(SUM(COUNTIF(artists!A:A, SPLIT(D45, "",""))) &gt; 0, ""UA"", 0)"),"UA")</f>
        <v>UA</v>
      </c>
      <c r="J45" s="40">
        <f ca="1">IFERROR(__xludf.DUMMYFUNCTION("IF(SUM(COUNTIF(artists!C:C, SPLIT(D45, "",""))) &gt; 0, ""RU"", 0)"),0)</f>
        <v>0</v>
      </c>
      <c r="K45" s="39">
        <f ca="1">IFERROR(__xludf.DUMMYFUNCTION("IF(SUM(COUNTIF(artists!E:E, SPLIT(D45, "",""))) &gt; 0, ""OTHER"", 0)"),0)</f>
        <v>0</v>
      </c>
    </row>
    <row r="46" spans="1:11" ht="14.25" customHeight="1">
      <c r="A46" s="21">
        <v>45</v>
      </c>
      <c r="B46" s="21">
        <v>40</v>
      </c>
      <c r="C46" s="21" t="s">
        <v>229</v>
      </c>
      <c r="D46" s="21" t="s">
        <v>230</v>
      </c>
      <c r="E46" s="21">
        <v>39</v>
      </c>
      <c r="F46" s="21">
        <v>222157</v>
      </c>
      <c r="G46" s="42">
        <v>-2.5000000000000001E-2</v>
      </c>
      <c r="H46" s="21" t="s">
        <v>232</v>
      </c>
      <c r="I46" s="39" t="str">
        <f ca="1">IFERROR(__xludf.DUMMYFUNCTION("IF(SUM(COUNTIF(artists!A:A, SPLIT(D46, "",""))) &gt; 0, ""UA"", 0)"),"UA")</f>
        <v>UA</v>
      </c>
      <c r="J46" s="40">
        <f ca="1">IFERROR(__xludf.DUMMYFUNCTION("IF(SUM(COUNTIF(artists!C:C, SPLIT(D46, "",""))) &gt; 0, ""RU"", 0)"),0)</f>
        <v>0</v>
      </c>
      <c r="K46" s="39">
        <f ca="1">IFERROR(__xludf.DUMMYFUNCTION("IF(SUM(COUNTIF(artists!E:E, SPLIT(D46, "",""))) &gt; 0, ""OTHER"", 0)"),0)</f>
        <v>0</v>
      </c>
    </row>
    <row r="47" spans="1:11" ht="14.25" customHeight="1">
      <c r="A47" s="21">
        <v>46</v>
      </c>
      <c r="B47" s="21">
        <v>44</v>
      </c>
      <c r="C47" s="21" t="s">
        <v>508</v>
      </c>
      <c r="D47" s="21" t="s">
        <v>509</v>
      </c>
      <c r="E47" s="21">
        <v>13</v>
      </c>
      <c r="F47" s="21">
        <v>221277</v>
      </c>
      <c r="G47" s="42">
        <v>2.1999999999999999E-2</v>
      </c>
      <c r="H47" s="21" t="s">
        <v>510</v>
      </c>
      <c r="I47" s="39">
        <f ca="1">IFERROR(__xludf.DUMMYFUNCTION("IF(SUM(COUNTIF(artists!A:A, SPLIT(D47, "",""))) &gt; 0, ""UA"", 0)"),0)</f>
        <v>0</v>
      </c>
      <c r="J47" s="40" t="str">
        <f ca="1">IFERROR(__xludf.DUMMYFUNCTION("IF(SUM(COUNTIF(artists!C:C, SPLIT(D47, "",""))) &gt; 0, ""RU"", 0)"),"RU")</f>
        <v>RU</v>
      </c>
      <c r="K47" s="39">
        <f ca="1">IFERROR(__xludf.DUMMYFUNCTION("IF(SUM(COUNTIF(artists!E:E, SPLIT(D47, "",""))) &gt; 0, ""OTHER"", 0)"),0)</f>
        <v>0</v>
      </c>
    </row>
    <row r="48" spans="1:11" ht="14.25" customHeight="1">
      <c r="A48" s="21">
        <v>47</v>
      </c>
      <c r="B48" s="21">
        <v>43</v>
      </c>
      <c r="C48" s="21" t="s">
        <v>594</v>
      </c>
      <c r="D48" s="21" t="s">
        <v>595</v>
      </c>
      <c r="E48" s="21">
        <v>20</v>
      </c>
      <c r="F48" s="21">
        <v>219808</v>
      </c>
      <c r="G48" s="42">
        <v>-1.7000000000000001E-2</v>
      </c>
      <c r="H48" s="21" t="s">
        <v>596</v>
      </c>
      <c r="I48" s="39" t="str">
        <f ca="1">IFERROR(__xludf.DUMMYFUNCTION("IF(SUM(COUNTIF(artists!A:A, SPLIT(D48, "",""))) &gt; 0, ""UA"", 0)"),"UA")</f>
        <v>UA</v>
      </c>
      <c r="J48" s="40">
        <f ca="1">IFERROR(__xludf.DUMMYFUNCTION("IF(SUM(COUNTIF(artists!C:C, SPLIT(D48, "",""))) &gt; 0, ""RU"", 0)"),0)</f>
        <v>0</v>
      </c>
      <c r="K48" s="39">
        <f ca="1">IFERROR(__xludf.DUMMYFUNCTION("IF(SUM(COUNTIF(artists!E:E, SPLIT(D48, "",""))) &gt; 0, ""OTHER"", 0)"),0)</f>
        <v>0</v>
      </c>
    </row>
    <row r="49" spans="1:11" ht="14.25" customHeight="1">
      <c r="A49" s="21">
        <v>48</v>
      </c>
      <c r="C49" s="21" t="s">
        <v>579</v>
      </c>
      <c r="D49" s="21" t="s">
        <v>183</v>
      </c>
      <c r="E49" s="21">
        <v>21</v>
      </c>
      <c r="F49" s="21">
        <v>213145</v>
      </c>
      <c r="H49" s="21" t="s">
        <v>580</v>
      </c>
      <c r="I49" s="39" t="str">
        <f ca="1">IFERROR(__xludf.DUMMYFUNCTION("IF(SUM(COUNTIF(artists!A:A, SPLIT(D49, "",""))) &gt; 0, ""UA"", 0)"),"UA")</f>
        <v>UA</v>
      </c>
      <c r="J49" s="40">
        <f ca="1">IFERROR(__xludf.DUMMYFUNCTION("IF(SUM(COUNTIF(artists!C:C, SPLIT(D49, "",""))) &gt; 0, ""RU"", 0)"),0)</f>
        <v>0</v>
      </c>
      <c r="K49" s="39">
        <f ca="1">IFERROR(__xludf.DUMMYFUNCTION("IF(SUM(COUNTIF(artists!E:E, SPLIT(D49, "",""))) &gt; 0, ""OTHER"", 0)"),0)</f>
        <v>0</v>
      </c>
    </row>
    <row r="50" spans="1:11" ht="14.25" customHeight="1">
      <c r="A50" s="21">
        <v>49</v>
      </c>
      <c r="B50" s="21">
        <v>54</v>
      </c>
      <c r="C50" s="21" t="s">
        <v>876</v>
      </c>
      <c r="D50" s="21" t="s">
        <v>877</v>
      </c>
      <c r="E50" s="21">
        <v>22</v>
      </c>
      <c r="F50" s="21">
        <v>211205</v>
      </c>
      <c r="G50" s="42">
        <v>0.13700000000000001</v>
      </c>
      <c r="H50" s="21" t="s">
        <v>878</v>
      </c>
      <c r="I50" s="39">
        <f ca="1">IFERROR(__xludf.DUMMYFUNCTION("IF(SUM(COUNTIF(artists!A:A, SPLIT(D50, "",""))) &gt; 0, ""UA"", 0)"),0)</f>
        <v>0</v>
      </c>
      <c r="J50" s="40">
        <f ca="1">IFERROR(__xludf.DUMMYFUNCTION("IF(SUM(COUNTIF(artists!C:C, SPLIT(D50, "",""))) &gt; 0, ""RU"", 0)"),0)</f>
        <v>0</v>
      </c>
      <c r="K50" s="39" t="str">
        <f ca="1">IFERROR(__xludf.DUMMYFUNCTION("IF(SUM(COUNTIF(artists!E:E, SPLIT(D50, "",""))) &gt; 0, ""OTHER"", 0)"),"OTHER")</f>
        <v>OTHER</v>
      </c>
    </row>
    <row r="51" spans="1:11" ht="14.25" customHeight="1">
      <c r="A51" s="21">
        <v>50</v>
      </c>
      <c r="B51" s="21">
        <v>50</v>
      </c>
      <c r="C51" s="21" t="s">
        <v>298</v>
      </c>
      <c r="D51" s="21" t="s">
        <v>299</v>
      </c>
      <c r="E51" s="21">
        <v>9</v>
      </c>
      <c r="F51" s="21">
        <v>210774</v>
      </c>
      <c r="G51" s="42">
        <v>-8.9999999999999993E-3</v>
      </c>
      <c r="H51" s="21" t="s">
        <v>300</v>
      </c>
      <c r="I51" s="39">
        <f ca="1">IFERROR(__xludf.DUMMYFUNCTION("IF(SUM(COUNTIF(artists!A:A, SPLIT(D51, "",""))) &gt; 0, ""UA"", 0)"),0)</f>
        <v>0</v>
      </c>
      <c r="J51" s="40">
        <f ca="1">IFERROR(__xludf.DUMMYFUNCTION("IF(SUM(COUNTIF(artists!C:C, SPLIT(D51, "",""))) &gt; 0, ""RU"", 0)"),0)</f>
        <v>0</v>
      </c>
      <c r="K51" s="39" t="str">
        <f ca="1">IFERROR(__xludf.DUMMYFUNCTION("IF(SUM(COUNTIF(artists!E:E, SPLIT(D51, "",""))) &gt; 0, ""OTHER"", 0)"),"OTHER")</f>
        <v>OTHER</v>
      </c>
    </row>
    <row r="52" spans="1:11" ht="14.25" customHeight="1">
      <c r="A52" s="21">
        <v>51</v>
      </c>
      <c r="B52" s="21">
        <v>49</v>
      </c>
      <c r="C52" s="21" t="s">
        <v>742</v>
      </c>
      <c r="D52" s="21" t="s">
        <v>743</v>
      </c>
      <c r="E52" s="21">
        <v>14</v>
      </c>
      <c r="F52" s="21">
        <v>209989</v>
      </c>
      <c r="G52" s="42">
        <v>-1.7999999999999999E-2</v>
      </c>
      <c r="H52" s="21" t="s">
        <v>744</v>
      </c>
      <c r="I52" s="39">
        <f ca="1">IFERROR(__xludf.DUMMYFUNCTION("IF(SUM(COUNTIF(artists!A:A, SPLIT(D52, "",""))) &gt; 0, ""UA"", 0)"),0)</f>
        <v>0</v>
      </c>
      <c r="J52" s="40" t="str">
        <f ca="1">IFERROR(__xludf.DUMMYFUNCTION("IF(SUM(COUNTIF(artists!C:C, SPLIT(D52, "",""))) &gt; 0, ""RU"", 0)"),"RU")</f>
        <v>RU</v>
      </c>
      <c r="K52" s="39">
        <f ca="1">IFERROR(__xludf.DUMMYFUNCTION("IF(SUM(COUNTIF(artists!E:E, SPLIT(D52, "",""))) &gt; 0, ""OTHER"", 0)"),0)</f>
        <v>0</v>
      </c>
    </row>
    <row r="53" spans="1:11" ht="14.25" customHeight="1">
      <c r="A53" s="21">
        <v>52</v>
      </c>
      <c r="C53" s="21" t="s">
        <v>244</v>
      </c>
      <c r="D53" s="21" t="s">
        <v>161</v>
      </c>
      <c r="E53" s="21">
        <v>1</v>
      </c>
      <c r="F53" s="21">
        <v>207191</v>
      </c>
      <c r="H53" s="21" t="s">
        <v>246</v>
      </c>
      <c r="I53" s="39" t="str">
        <f ca="1">IFERROR(__xludf.DUMMYFUNCTION("IF(SUM(COUNTIF(artists!A:A, SPLIT(D53, "",""))) &gt; 0, ""UA"", 0)"),"UA")</f>
        <v>UA</v>
      </c>
      <c r="J53" s="40">
        <f ca="1">IFERROR(__xludf.DUMMYFUNCTION("IF(SUM(COUNTIF(artists!C:C, SPLIT(D53, "",""))) &gt; 0, ""RU"", 0)"),0)</f>
        <v>0</v>
      </c>
      <c r="K53" s="39">
        <f ca="1">IFERROR(__xludf.DUMMYFUNCTION("IF(SUM(COUNTIF(artists!E:E, SPLIT(D53, "",""))) &gt; 0, ""OTHER"", 0)"),0)</f>
        <v>0</v>
      </c>
    </row>
    <row r="54" spans="1:11" ht="14.25" customHeight="1">
      <c r="A54" s="21">
        <v>53</v>
      </c>
      <c r="B54" s="21">
        <v>41</v>
      </c>
      <c r="C54" s="21" t="s">
        <v>700</v>
      </c>
      <c r="D54" s="21" t="s">
        <v>701</v>
      </c>
      <c r="E54" s="21">
        <v>13</v>
      </c>
      <c r="F54" s="21">
        <v>206405</v>
      </c>
      <c r="G54" s="42">
        <v>-9.0999999999999998E-2</v>
      </c>
      <c r="H54" s="21" t="s">
        <v>702</v>
      </c>
      <c r="I54" s="39">
        <f ca="1">IFERROR(__xludf.DUMMYFUNCTION("IF(SUM(COUNTIF(artists!A:A, SPLIT(D54, "",""))) &gt; 0, ""UA"", 0)"),0)</f>
        <v>0</v>
      </c>
      <c r="J54" s="40" t="str">
        <f ca="1">IFERROR(__xludf.DUMMYFUNCTION("IF(SUM(COUNTIF(artists!C:C, SPLIT(D54, "",""))) &gt; 0, ""RU"", 0)"),"RU")</f>
        <v>RU</v>
      </c>
      <c r="K54" s="39">
        <f ca="1">IFERROR(__xludf.DUMMYFUNCTION("IF(SUM(COUNTIF(artists!E:E, SPLIT(D54, "",""))) &gt; 0, ""OTHER"", 0)"),0)</f>
        <v>0</v>
      </c>
    </row>
    <row r="55" spans="1:11" ht="14.25" customHeight="1">
      <c r="A55" s="21">
        <v>54</v>
      </c>
      <c r="C55" s="21" t="s">
        <v>760</v>
      </c>
      <c r="D55" s="21" t="s">
        <v>761</v>
      </c>
      <c r="E55" s="21">
        <v>1</v>
      </c>
      <c r="F55" s="21">
        <v>200490</v>
      </c>
      <c r="H55" s="21" t="s">
        <v>763</v>
      </c>
      <c r="I55" s="39" t="str">
        <f ca="1">IFERROR(__xludf.DUMMYFUNCTION("IF(SUM(COUNTIF(artists!A:A, SPLIT(D55, "",""))) &gt; 0, ""UA"", 0)"),"UA")</f>
        <v>UA</v>
      </c>
      <c r="J55" s="40">
        <f ca="1">IFERROR(__xludf.DUMMYFUNCTION("IF(SUM(COUNTIF(artists!C:C, SPLIT(D55, "",""))) &gt; 0, ""RU"", 0)"),0)</f>
        <v>0</v>
      </c>
      <c r="K55" s="39">
        <f ca="1">IFERROR(__xludf.DUMMYFUNCTION("IF(SUM(COUNTIF(artists!E:E, SPLIT(D55, "",""))) &gt; 0, ""OTHER"", 0)"),0)</f>
        <v>0</v>
      </c>
    </row>
    <row r="56" spans="1:11" ht="14.25" customHeight="1">
      <c r="A56" s="21">
        <v>55</v>
      </c>
      <c r="B56" s="21">
        <v>52</v>
      </c>
      <c r="C56" s="21" t="s">
        <v>602</v>
      </c>
      <c r="D56" s="21" t="s">
        <v>299</v>
      </c>
      <c r="E56" s="21">
        <v>13</v>
      </c>
      <c r="F56" s="21">
        <v>194740</v>
      </c>
      <c r="G56" s="42">
        <v>-1.6E-2</v>
      </c>
      <c r="H56" s="21" t="s">
        <v>604</v>
      </c>
      <c r="I56" s="39">
        <f ca="1">IFERROR(__xludf.DUMMYFUNCTION("IF(SUM(COUNTIF(artists!A:A, SPLIT(D56, "",""))) &gt; 0, ""UA"", 0)"),0)</f>
        <v>0</v>
      </c>
      <c r="J56" s="40">
        <f ca="1">IFERROR(__xludf.DUMMYFUNCTION("IF(SUM(COUNTIF(artists!C:C, SPLIT(D56, "",""))) &gt; 0, ""RU"", 0)"),0)</f>
        <v>0</v>
      </c>
      <c r="K56" s="39" t="str">
        <f ca="1">IFERROR(__xludf.DUMMYFUNCTION("IF(SUM(COUNTIF(artists!E:E, SPLIT(D56, "",""))) &gt; 0, ""OTHER"", 0)"),"OTHER")</f>
        <v>OTHER</v>
      </c>
    </row>
    <row r="57" spans="1:11" ht="14.25" customHeight="1">
      <c r="A57" s="21">
        <v>56</v>
      </c>
      <c r="B57" s="21">
        <v>53</v>
      </c>
      <c r="C57" s="21" t="s">
        <v>667</v>
      </c>
      <c r="D57" s="21" t="s">
        <v>668</v>
      </c>
      <c r="E57" s="21">
        <v>13</v>
      </c>
      <c r="F57" s="21">
        <v>194321</v>
      </c>
      <c r="G57" s="42">
        <v>-1.7000000000000001E-2</v>
      </c>
      <c r="H57" s="21" t="s">
        <v>669</v>
      </c>
      <c r="I57" s="39">
        <f ca="1">IFERROR(__xludf.DUMMYFUNCTION("IF(SUM(COUNTIF(artists!A:A, SPLIT(D57, "",""))) &gt; 0, ""UA"", 0)"),0)</f>
        <v>0</v>
      </c>
      <c r="J57" s="40" t="str">
        <f ca="1">IFERROR(__xludf.DUMMYFUNCTION("IF(SUM(COUNTIF(artists!C:C, SPLIT(D57, "",""))) &gt; 0, ""RU"", 0)"),"RU")</f>
        <v>RU</v>
      </c>
      <c r="K57" s="39">
        <f ca="1">IFERROR(__xludf.DUMMYFUNCTION("IF(SUM(COUNTIF(artists!E:E, SPLIT(D57, "",""))) &gt; 0, ""OTHER"", 0)"),0)</f>
        <v>0</v>
      </c>
    </row>
    <row r="58" spans="1:11" ht="14.25" customHeight="1">
      <c r="A58" s="21">
        <v>57</v>
      </c>
      <c r="B58" s="21">
        <v>47</v>
      </c>
      <c r="C58" s="21" t="s">
        <v>268</v>
      </c>
      <c r="D58" s="21" t="s">
        <v>466</v>
      </c>
      <c r="E58" s="21">
        <v>5</v>
      </c>
      <c r="F58" s="21">
        <v>193384</v>
      </c>
      <c r="G58" s="43">
        <v>-0.1</v>
      </c>
      <c r="H58" s="21" t="s">
        <v>270</v>
      </c>
      <c r="I58" s="39" t="str">
        <f ca="1">IFERROR(__xludf.DUMMYFUNCTION("IF(SUM(COUNTIF(artists!A:A, SPLIT(D58, "",""))) &gt; 0, ""UA"", 0)"),"UA")</f>
        <v>UA</v>
      </c>
      <c r="J58" s="40">
        <f ca="1">IFERROR(__xludf.DUMMYFUNCTION("IF(SUM(COUNTIF(artists!C:C, SPLIT(D58, "",""))) &gt; 0, ""RU"", 0)"),0)</f>
        <v>0</v>
      </c>
      <c r="K58" s="39">
        <f ca="1">IFERROR(__xludf.DUMMYFUNCTION("IF(SUM(COUNTIF(artists!E:E, SPLIT(D58, "",""))) &gt; 0, ""OTHER"", 0)"),0)</f>
        <v>0</v>
      </c>
    </row>
    <row r="59" spans="1:11" ht="14.25" customHeight="1">
      <c r="A59" s="21">
        <v>58</v>
      </c>
      <c r="B59" s="21">
        <v>51</v>
      </c>
      <c r="C59" s="21" t="s">
        <v>247</v>
      </c>
      <c r="D59" s="21" t="s">
        <v>454</v>
      </c>
      <c r="E59" s="21">
        <v>9</v>
      </c>
      <c r="F59" s="21">
        <v>189889</v>
      </c>
      <c r="G59" s="42">
        <v>-9.5000000000000001E-2</v>
      </c>
      <c r="H59" s="21" t="s">
        <v>250</v>
      </c>
      <c r="I59" s="39" t="str">
        <f ca="1">IFERROR(__xludf.DUMMYFUNCTION("IF(SUM(COUNTIF(artists!A:A, SPLIT(D59, "",""))) &gt; 0, ""UA"", 0)"),"UA")</f>
        <v>UA</v>
      </c>
      <c r="J59" s="40">
        <f ca="1">IFERROR(__xludf.DUMMYFUNCTION("IF(SUM(COUNTIF(artists!C:C, SPLIT(D59, "",""))) &gt; 0, ""RU"", 0)"),0)</f>
        <v>0</v>
      </c>
      <c r="K59" s="39">
        <f ca="1">IFERROR(__xludf.DUMMYFUNCTION("IF(SUM(COUNTIF(artists!E:E, SPLIT(D59, "",""))) &gt; 0, ""OTHER"", 0)"),0)</f>
        <v>0</v>
      </c>
    </row>
    <row r="60" spans="1:11" ht="14.25" customHeight="1">
      <c r="A60" s="21">
        <v>59</v>
      </c>
      <c r="B60" s="21">
        <v>59</v>
      </c>
      <c r="C60" s="21" t="s">
        <v>589</v>
      </c>
      <c r="D60" s="21" t="s">
        <v>590</v>
      </c>
      <c r="E60" s="21">
        <v>20</v>
      </c>
      <c r="F60" s="21">
        <v>182287</v>
      </c>
      <c r="G60" s="42">
        <v>3.5999999999999997E-2</v>
      </c>
      <c r="H60" s="21" t="s">
        <v>591</v>
      </c>
      <c r="I60" s="39" t="str">
        <f ca="1">IFERROR(__xludf.DUMMYFUNCTION("IF(SUM(COUNTIF(artists!A:A, SPLIT(D60, "",""))) &gt; 0, ""UA"", 0)"),"UA")</f>
        <v>UA</v>
      </c>
      <c r="J60" s="40">
        <f ca="1">IFERROR(__xludf.DUMMYFUNCTION("IF(SUM(COUNTIF(artists!C:C, SPLIT(D60, "",""))) &gt; 0, ""RU"", 0)"),0)</f>
        <v>0</v>
      </c>
      <c r="K60" s="39">
        <f ca="1">IFERROR(__xludf.DUMMYFUNCTION("IF(SUM(COUNTIF(artists!E:E, SPLIT(D60, "",""))) &gt; 0, ""OTHER"", 0)"),0)</f>
        <v>0</v>
      </c>
    </row>
    <row r="61" spans="1:11" ht="14.25" customHeight="1">
      <c r="A61" s="21">
        <v>60</v>
      </c>
      <c r="C61" s="21" t="s">
        <v>818</v>
      </c>
      <c r="D61" s="21" t="s">
        <v>952</v>
      </c>
      <c r="E61" s="21">
        <v>1</v>
      </c>
      <c r="F61" s="21">
        <v>180896</v>
      </c>
      <c r="H61" s="21" t="s">
        <v>820</v>
      </c>
      <c r="I61" s="39">
        <f ca="1">IFERROR(__xludf.DUMMYFUNCTION("IF(SUM(COUNTIF(artists!A:A, SPLIT(D61, "",""))) &gt; 0, ""UA"", 0)"),0)</f>
        <v>0</v>
      </c>
      <c r="J61" s="40" t="str">
        <f ca="1">IFERROR(__xludf.DUMMYFUNCTION("IF(SUM(COUNTIF(artists!C:C, SPLIT(D61, "",""))) &gt; 0, ""RU"", 0)"),"RU")</f>
        <v>RU</v>
      </c>
      <c r="K61" s="39">
        <f ca="1">IFERROR(__xludf.DUMMYFUNCTION("IF(SUM(COUNTIF(artists!E:E, SPLIT(D61, "",""))) &gt; 0, ""OTHER"", 0)"),0)</f>
        <v>0</v>
      </c>
    </row>
    <row r="62" spans="1:11" ht="14.25" customHeight="1">
      <c r="A62" s="21">
        <v>61</v>
      </c>
      <c r="B62" s="21">
        <v>69</v>
      </c>
      <c r="C62" s="21" t="s">
        <v>320</v>
      </c>
      <c r="D62" s="21" t="s">
        <v>321</v>
      </c>
      <c r="E62" s="21">
        <v>4</v>
      </c>
      <c r="F62" s="21">
        <v>178228</v>
      </c>
      <c r="G62" s="42">
        <v>0.16400000000000001</v>
      </c>
      <c r="H62" s="21" t="s">
        <v>323</v>
      </c>
      <c r="I62" s="39">
        <f ca="1">IFERROR(__xludf.DUMMYFUNCTION("IF(SUM(COUNTIF(artists!A:A, SPLIT(D62, "",""))) &gt; 0, ""UA"", 0)"),0)</f>
        <v>0</v>
      </c>
      <c r="J62" s="40">
        <f ca="1">IFERROR(__xludf.DUMMYFUNCTION("IF(SUM(COUNTIF(artists!C:C, SPLIT(D62, "",""))) &gt; 0, ""RU"", 0)"),0)</f>
        <v>0</v>
      </c>
      <c r="K62" s="39" t="str">
        <f ca="1">IFERROR(__xludf.DUMMYFUNCTION("IF(SUM(COUNTIF(artists!E:E, SPLIT(D62, "",""))) &gt; 0, ""OTHER"", 0)"),"OTHER")</f>
        <v>OTHER</v>
      </c>
    </row>
    <row r="63" spans="1:11" ht="14.25" customHeight="1">
      <c r="A63" s="21">
        <v>62</v>
      </c>
      <c r="B63" s="21">
        <v>62</v>
      </c>
      <c r="C63" s="21" t="s">
        <v>686</v>
      </c>
      <c r="D63" s="21" t="s">
        <v>687</v>
      </c>
      <c r="E63" s="21">
        <v>5</v>
      </c>
      <c r="F63" s="21">
        <v>176262</v>
      </c>
      <c r="G63" s="42">
        <v>0.109</v>
      </c>
      <c r="H63" s="21" t="s">
        <v>920</v>
      </c>
      <c r="I63" s="39">
        <f ca="1">IFERROR(__xludf.DUMMYFUNCTION("IF(SUM(COUNTIF(artists!A:A, SPLIT(D63, "",""))) &gt; 0, ""UA"", 0)"),0)</f>
        <v>0</v>
      </c>
      <c r="J63" s="40" t="str">
        <f ca="1">IFERROR(__xludf.DUMMYFUNCTION("IF(SUM(COUNTIF(artists!C:C, SPLIT(D63, "",""))) &gt; 0, ""RU"", 0)"),"RU")</f>
        <v>RU</v>
      </c>
      <c r="K63" s="39">
        <f ca="1">IFERROR(__xludf.DUMMYFUNCTION("IF(SUM(COUNTIF(artists!E:E, SPLIT(D63, "",""))) &gt; 0, ""OTHER"", 0)"),0)</f>
        <v>0</v>
      </c>
    </row>
    <row r="64" spans="1:11" ht="14.25" customHeight="1">
      <c r="A64" s="21">
        <v>63</v>
      </c>
      <c r="B64" s="21">
        <v>60</v>
      </c>
      <c r="C64" s="21" t="s">
        <v>527</v>
      </c>
      <c r="D64" s="21" t="s">
        <v>528</v>
      </c>
      <c r="E64" s="21">
        <v>11</v>
      </c>
      <c r="F64" s="21">
        <v>171352</v>
      </c>
      <c r="G64" s="42">
        <v>-1E-3</v>
      </c>
      <c r="H64" s="21" t="s">
        <v>529</v>
      </c>
      <c r="I64" s="39" t="str">
        <f ca="1">IFERROR(__xludf.DUMMYFUNCTION("IF(SUM(COUNTIF(artists!A:A, SPLIT(D64, "",""))) &gt; 0, ""UA"", 0)"),"UA")</f>
        <v>UA</v>
      </c>
      <c r="J64" s="40">
        <f ca="1">IFERROR(__xludf.DUMMYFUNCTION("IF(SUM(COUNTIF(artists!C:C, SPLIT(D64, "",""))) &gt; 0, ""RU"", 0)"),0)</f>
        <v>0</v>
      </c>
      <c r="K64" s="39">
        <f ca="1">IFERROR(__xludf.DUMMYFUNCTION("IF(SUM(COUNTIF(artists!E:E, SPLIT(D64, "",""))) &gt; 0, ""OTHER"", 0)"),0)</f>
        <v>0</v>
      </c>
    </row>
    <row r="65" spans="1:11" ht="14.25" customHeight="1">
      <c r="A65" s="21">
        <v>64</v>
      </c>
      <c r="B65" s="21">
        <v>61</v>
      </c>
      <c r="C65" s="21" t="s">
        <v>482</v>
      </c>
      <c r="D65" s="21" t="s">
        <v>210</v>
      </c>
      <c r="E65" s="21">
        <v>11</v>
      </c>
      <c r="F65" s="21">
        <v>163946</v>
      </c>
      <c r="G65" s="42">
        <v>1E-3</v>
      </c>
      <c r="H65" s="21" t="s">
        <v>484</v>
      </c>
      <c r="I65" s="39" t="str">
        <f ca="1">IFERROR(__xludf.DUMMYFUNCTION("IF(SUM(COUNTIF(artists!A:A, SPLIT(D65, "",""))) &gt; 0, ""UA"", 0)"),"UA")</f>
        <v>UA</v>
      </c>
      <c r="J65" s="40">
        <f ca="1">IFERROR(__xludf.DUMMYFUNCTION("IF(SUM(COUNTIF(artists!C:C, SPLIT(D65, "",""))) &gt; 0, ""RU"", 0)"),0)</f>
        <v>0</v>
      </c>
      <c r="K65" s="39">
        <f ca="1">IFERROR(__xludf.DUMMYFUNCTION("IF(SUM(COUNTIF(artists!E:E, SPLIT(D65, "",""))) &gt; 0, ""OTHER"", 0)"),0)</f>
        <v>0</v>
      </c>
    </row>
    <row r="66" spans="1:11" ht="14.25" customHeight="1">
      <c r="A66" s="21">
        <v>65</v>
      </c>
      <c r="B66" s="21">
        <v>45</v>
      </c>
      <c r="C66" s="21" t="s">
        <v>932</v>
      </c>
      <c r="D66" s="21" t="s">
        <v>933</v>
      </c>
      <c r="E66" s="21">
        <v>4</v>
      </c>
      <c r="F66" s="21">
        <v>163488</v>
      </c>
      <c r="G66" s="42">
        <v>-0.245</v>
      </c>
      <c r="H66" s="21" t="s">
        <v>934</v>
      </c>
      <c r="I66" s="39">
        <f ca="1">IFERROR(__xludf.DUMMYFUNCTION("IF(SUM(COUNTIF(artists!A:A, SPLIT(D66, "",""))) &gt; 0, ""UA"", 0)"),0)</f>
        <v>0</v>
      </c>
      <c r="J66" s="40" t="str">
        <f ca="1">IFERROR(__xludf.DUMMYFUNCTION("IF(SUM(COUNTIF(artists!C:C, SPLIT(D66, "",""))) &gt; 0, ""RU"", 0)"),"RU")</f>
        <v>RU</v>
      </c>
      <c r="K66" s="39">
        <f ca="1">IFERROR(__xludf.DUMMYFUNCTION("IF(SUM(COUNTIF(artists!E:E, SPLIT(D66, "",""))) &gt; 0, ""OTHER"", 0)"),0)</f>
        <v>0</v>
      </c>
    </row>
    <row r="67" spans="1:11" ht="14.25" customHeight="1">
      <c r="A67" s="21">
        <v>66</v>
      </c>
      <c r="B67" s="21">
        <v>70</v>
      </c>
      <c r="C67" s="21" t="s">
        <v>264</v>
      </c>
      <c r="D67" s="21" t="s">
        <v>265</v>
      </c>
      <c r="E67" s="21">
        <v>10</v>
      </c>
      <c r="F67" s="21">
        <v>163185</v>
      </c>
      <c r="G67" s="42">
        <v>0.107</v>
      </c>
      <c r="H67" s="21" t="s">
        <v>267</v>
      </c>
      <c r="I67" s="39">
        <f ca="1">IFERROR(__xludf.DUMMYFUNCTION("IF(SUM(COUNTIF(artists!A:A, SPLIT(D67, "",""))) &gt; 0, ""UA"", 0)"),0)</f>
        <v>0</v>
      </c>
      <c r="J67" s="40">
        <f ca="1">IFERROR(__xludf.DUMMYFUNCTION("IF(SUM(COUNTIF(artists!C:C, SPLIT(D67, "",""))) &gt; 0, ""RU"", 0)"),0)</f>
        <v>0</v>
      </c>
      <c r="K67" s="39" t="str">
        <f ca="1">IFERROR(__xludf.DUMMYFUNCTION("IF(SUM(COUNTIF(artists!E:E, SPLIT(D67, "",""))) &gt; 0, ""OTHER"", 0)"),"OTHER")</f>
        <v>OTHER</v>
      </c>
    </row>
    <row r="68" spans="1:11" ht="14.25" customHeight="1">
      <c r="A68" s="21">
        <v>67</v>
      </c>
      <c r="B68" s="21">
        <v>55</v>
      </c>
      <c r="C68" s="21" t="s">
        <v>772</v>
      </c>
      <c r="D68" s="21" t="s">
        <v>773</v>
      </c>
      <c r="E68" s="21">
        <v>10</v>
      </c>
      <c r="F68" s="21">
        <v>161154</v>
      </c>
      <c r="G68" s="42">
        <v>-0.13100000000000001</v>
      </c>
      <c r="H68" s="21" t="s">
        <v>774</v>
      </c>
      <c r="I68" s="39" t="str">
        <f ca="1">IFERROR(__xludf.DUMMYFUNCTION("IF(SUM(COUNTIF(artists!A:A, SPLIT(D68, "",""))) &gt; 0, ""UA"", 0)"),"UA")</f>
        <v>UA</v>
      </c>
      <c r="J68" s="40">
        <f ca="1">IFERROR(__xludf.DUMMYFUNCTION("IF(SUM(COUNTIF(artists!C:C, SPLIT(D68, "",""))) &gt; 0, ""RU"", 0)"),0)</f>
        <v>0</v>
      </c>
      <c r="K68" s="39">
        <f ca="1">IFERROR(__xludf.DUMMYFUNCTION("IF(SUM(COUNTIF(artists!E:E, SPLIT(D68, "",""))) &gt; 0, ""OTHER"", 0)"),0)</f>
        <v>0</v>
      </c>
    </row>
    <row r="69" spans="1:11" ht="14.25" customHeight="1">
      <c r="A69" s="21">
        <v>68</v>
      </c>
      <c r="B69" s="21">
        <v>64</v>
      </c>
      <c r="C69" s="21" t="s">
        <v>971</v>
      </c>
      <c r="D69" s="21" t="s">
        <v>972</v>
      </c>
      <c r="E69" s="21">
        <v>20</v>
      </c>
      <c r="F69" s="21">
        <v>157419</v>
      </c>
      <c r="G69" s="43">
        <v>0</v>
      </c>
      <c r="H69" s="21" t="s">
        <v>973</v>
      </c>
      <c r="I69" s="39">
        <f ca="1">IFERROR(__xludf.DUMMYFUNCTION("IF(SUM(COUNTIF(artists!A:A, SPLIT(D69, "",""))) &gt; 0, ""UA"", 0)"),0)</f>
        <v>0</v>
      </c>
      <c r="J69" s="40">
        <f ca="1">IFERROR(__xludf.DUMMYFUNCTION("IF(SUM(COUNTIF(artists!C:C, SPLIT(D69, "",""))) &gt; 0, ""RU"", 0)"),0)</f>
        <v>0</v>
      </c>
      <c r="K69" s="39" t="str">
        <f ca="1">IFERROR(__xludf.DUMMYFUNCTION("IF(SUM(COUNTIF(artists!E:E, SPLIT(D69, "",""))) &gt; 0, ""OTHER"", 0)"),"OTHER")</f>
        <v>OTHER</v>
      </c>
    </row>
    <row r="70" spans="1:11" ht="14.25" customHeight="1">
      <c r="A70" s="21">
        <v>69</v>
      </c>
      <c r="B70" s="21">
        <v>66</v>
      </c>
      <c r="C70" s="21" t="s">
        <v>953</v>
      </c>
      <c r="D70" s="21" t="s">
        <v>954</v>
      </c>
      <c r="E70" s="21">
        <v>10</v>
      </c>
      <c r="F70" s="21">
        <v>156248</v>
      </c>
      <c r="G70" s="42">
        <v>4.0000000000000001E-3</v>
      </c>
      <c r="H70" s="21" t="s">
        <v>955</v>
      </c>
      <c r="I70" s="39">
        <f ca="1">IFERROR(__xludf.DUMMYFUNCTION("IF(SUM(COUNTIF(artists!A:A, SPLIT(D70, "",""))) &gt; 0, ""UA"", 0)"),0)</f>
        <v>0</v>
      </c>
      <c r="J70" s="40" t="str">
        <f ca="1">IFERROR(__xludf.DUMMYFUNCTION("IF(SUM(COUNTIF(artists!C:C, SPLIT(D70, "",""))) &gt; 0, ""RU"", 0)"),"RU")</f>
        <v>RU</v>
      </c>
      <c r="K70" s="39">
        <f ca="1">IFERROR(__xludf.DUMMYFUNCTION("IF(SUM(COUNTIF(artists!E:E, SPLIT(D70, "",""))) &gt; 0, ""OTHER"", 0)"),0)</f>
        <v>0</v>
      </c>
    </row>
    <row r="71" spans="1:11" ht="14.25" customHeight="1">
      <c r="A71" s="21">
        <v>70</v>
      </c>
      <c r="B71" s="21">
        <v>63</v>
      </c>
      <c r="C71" s="21" t="s">
        <v>284</v>
      </c>
      <c r="D71" s="21" t="s">
        <v>15</v>
      </c>
      <c r="E71" s="21">
        <v>19</v>
      </c>
      <c r="F71" s="21">
        <v>155460</v>
      </c>
      <c r="G71" s="42">
        <v>-1.7999999999999999E-2</v>
      </c>
      <c r="H71" s="21" t="s">
        <v>285</v>
      </c>
      <c r="I71" s="39">
        <f ca="1">IFERROR(__xludf.DUMMYFUNCTION("IF(SUM(COUNTIF(artists!A:A, SPLIT(D71, "",""))) &gt; 0, ""UA"", 0)"),0)</f>
        <v>0</v>
      </c>
      <c r="J71" s="40">
        <f ca="1">IFERROR(__xludf.DUMMYFUNCTION("IF(SUM(COUNTIF(artists!C:C, SPLIT(D71, "",""))) &gt; 0, ""RU"", 0)"),0)</f>
        <v>0</v>
      </c>
      <c r="K71" s="39" t="str">
        <f ca="1">IFERROR(__xludf.DUMMYFUNCTION("IF(SUM(COUNTIF(artists!E:E, SPLIT(D71, "",""))) &gt; 0, ""OTHER"", 0)"),"OTHER")</f>
        <v>OTHER</v>
      </c>
    </row>
    <row r="72" spans="1:11" ht="14.25" customHeight="1">
      <c r="A72" s="21">
        <v>71</v>
      </c>
      <c r="C72" s="21" t="s">
        <v>237</v>
      </c>
      <c r="D72" s="21" t="s">
        <v>238</v>
      </c>
      <c r="E72" s="21">
        <v>1</v>
      </c>
      <c r="F72" s="21">
        <v>153666</v>
      </c>
      <c r="H72" s="21" t="s">
        <v>240</v>
      </c>
      <c r="I72" s="39" t="str">
        <f ca="1">IFERROR(__xludf.DUMMYFUNCTION("IF(SUM(COUNTIF(artists!A:A, SPLIT(D72, "",""))) &gt; 0, ""UA"", 0)"),"UA")</f>
        <v>UA</v>
      </c>
      <c r="J72" s="40">
        <f ca="1">IFERROR(__xludf.DUMMYFUNCTION("IF(SUM(COUNTIF(artists!C:C, SPLIT(D72, "",""))) &gt; 0, ""RU"", 0)"),0)</f>
        <v>0</v>
      </c>
      <c r="K72" s="39">
        <f ca="1">IFERROR(__xludf.DUMMYFUNCTION("IF(SUM(COUNTIF(artists!E:E, SPLIT(D72, "",""))) &gt; 0, ""OTHER"", 0)"),0)</f>
        <v>0</v>
      </c>
    </row>
    <row r="73" spans="1:11" ht="14.25" customHeight="1">
      <c r="A73" s="21">
        <v>72</v>
      </c>
      <c r="C73" s="21" t="s">
        <v>255</v>
      </c>
      <c r="D73" s="21" t="s">
        <v>256</v>
      </c>
      <c r="E73" s="21">
        <v>21</v>
      </c>
      <c r="F73" s="21">
        <v>152184</v>
      </c>
      <c r="H73" s="21" t="s">
        <v>257</v>
      </c>
      <c r="I73" s="39" t="str">
        <f ca="1">IFERROR(__xludf.DUMMYFUNCTION("IF(SUM(COUNTIF(artists!A:A, SPLIT(D73, "",""))) &gt; 0, ""UA"", 0)"),"UA")</f>
        <v>UA</v>
      </c>
      <c r="J73" s="40">
        <f ca="1">IFERROR(__xludf.DUMMYFUNCTION("IF(SUM(COUNTIF(artists!C:C, SPLIT(D73, "",""))) &gt; 0, ""RU"", 0)"),0)</f>
        <v>0</v>
      </c>
      <c r="K73" s="39">
        <f ca="1">IFERROR(__xludf.DUMMYFUNCTION("IF(SUM(COUNTIF(artists!E:E, SPLIT(D73, "",""))) &gt; 0, ""OTHER"", 0)"),0)</f>
        <v>0</v>
      </c>
    </row>
    <row r="74" spans="1:11" ht="14.25" customHeight="1">
      <c r="A74" s="21">
        <v>73</v>
      </c>
      <c r="B74" s="21">
        <v>56</v>
      </c>
      <c r="C74" s="21" t="s">
        <v>966</v>
      </c>
      <c r="D74" s="21" t="s">
        <v>584</v>
      </c>
      <c r="E74" s="21">
        <v>4</v>
      </c>
      <c r="F74" s="21">
        <v>151448</v>
      </c>
      <c r="G74" s="43">
        <v>-0.18</v>
      </c>
      <c r="H74" s="21" t="s">
        <v>967</v>
      </c>
      <c r="I74" s="39">
        <f ca="1">IFERROR(__xludf.DUMMYFUNCTION("IF(SUM(COUNTIF(artists!A:A, SPLIT(D74, "",""))) &gt; 0, ""UA"", 0)"),0)</f>
        <v>0</v>
      </c>
      <c r="J74" s="40" t="str">
        <f ca="1">IFERROR(__xludf.DUMMYFUNCTION("IF(SUM(COUNTIF(artists!C:C, SPLIT(D74, "",""))) &gt; 0, ""RU"", 0)"),"RU")</f>
        <v>RU</v>
      </c>
      <c r="K74" s="39">
        <f ca="1">IFERROR(__xludf.DUMMYFUNCTION("IF(SUM(COUNTIF(artists!E:E, SPLIT(D74, "",""))) &gt; 0, ""OTHER"", 0)"),0)</f>
        <v>0</v>
      </c>
    </row>
    <row r="75" spans="1:11" ht="14.25" customHeight="1">
      <c r="A75" s="21">
        <v>74</v>
      </c>
      <c r="B75" s="21">
        <v>96</v>
      </c>
      <c r="C75" s="21" t="s">
        <v>282</v>
      </c>
      <c r="D75" s="21" t="s">
        <v>85</v>
      </c>
      <c r="E75" s="21">
        <v>4</v>
      </c>
      <c r="F75" s="21">
        <v>146959</v>
      </c>
      <c r="G75" s="42">
        <v>0.20100000000000001</v>
      </c>
      <c r="H75" s="21" t="s">
        <v>283</v>
      </c>
      <c r="I75" s="39" t="str">
        <f ca="1">IFERROR(__xludf.DUMMYFUNCTION("IF(SUM(COUNTIF(artists!A:A, SPLIT(D75, "",""))) &gt; 0, ""UA"", 0)"),"UA")</f>
        <v>UA</v>
      </c>
      <c r="J75" s="40">
        <f ca="1">IFERROR(__xludf.DUMMYFUNCTION("IF(SUM(COUNTIF(artists!C:C, SPLIT(D75, "",""))) &gt; 0, ""RU"", 0)"),0)</f>
        <v>0</v>
      </c>
      <c r="K75" s="39">
        <f ca="1">IFERROR(__xludf.DUMMYFUNCTION("IF(SUM(COUNTIF(artists!E:E, SPLIT(D75, "",""))) &gt; 0, ""OTHER"", 0)"),0)</f>
        <v>0</v>
      </c>
    </row>
    <row r="76" spans="1:11" ht="14.25" customHeight="1">
      <c r="A76" s="21">
        <v>75</v>
      </c>
      <c r="B76" s="21">
        <v>77</v>
      </c>
      <c r="C76" s="21" t="s">
        <v>900</v>
      </c>
      <c r="D76" s="21" t="s">
        <v>901</v>
      </c>
      <c r="E76" s="21">
        <v>17</v>
      </c>
      <c r="F76" s="21">
        <v>146793</v>
      </c>
      <c r="G76" s="42">
        <v>9.1999999999999998E-2</v>
      </c>
      <c r="H76" s="21" t="s">
        <v>902</v>
      </c>
      <c r="I76" s="39">
        <f ca="1">IFERROR(__xludf.DUMMYFUNCTION("IF(SUM(COUNTIF(artists!A:A, SPLIT(D76, "",""))) &gt; 0, ""UA"", 0)"),0)</f>
        <v>0</v>
      </c>
      <c r="J76" s="40">
        <f ca="1">IFERROR(__xludf.DUMMYFUNCTION("IF(SUM(COUNTIF(artists!C:C, SPLIT(D76, "",""))) &gt; 0, ""RU"", 0)"),0)</f>
        <v>0</v>
      </c>
      <c r="K76" s="39" t="str">
        <f ca="1">IFERROR(__xludf.DUMMYFUNCTION("IF(SUM(COUNTIF(artists!E:E, SPLIT(D76, "",""))) &gt; 0, ""OTHER"", 0)"),"OTHER")</f>
        <v>OTHER</v>
      </c>
    </row>
    <row r="77" spans="1:11" ht="14.25" customHeight="1">
      <c r="A77" s="21">
        <v>76</v>
      </c>
      <c r="C77" s="21" t="s">
        <v>974</v>
      </c>
      <c r="D77" s="21" t="s">
        <v>975</v>
      </c>
      <c r="E77" s="21">
        <v>1</v>
      </c>
      <c r="F77" s="21">
        <v>146735</v>
      </c>
      <c r="H77" s="21" t="s">
        <v>976</v>
      </c>
      <c r="I77" s="39" t="str">
        <f ca="1">IFERROR(__xludf.DUMMYFUNCTION("IF(SUM(COUNTIF(artists!A:A, SPLIT(D77, "",""))) &gt; 0, ""UA"", 0)"),"UA")</f>
        <v>UA</v>
      </c>
      <c r="J77" s="40">
        <f ca="1">IFERROR(__xludf.DUMMYFUNCTION("IF(SUM(COUNTIF(artists!C:C, SPLIT(D77, "",""))) &gt; 0, ""RU"", 0)"),0)</f>
        <v>0</v>
      </c>
      <c r="K77" s="39">
        <f ca="1">IFERROR(__xludf.DUMMYFUNCTION("IF(SUM(COUNTIF(artists!E:E, SPLIT(D77, "",""))) &gt; 0, ""OTHER"", 0)"),0)</f>
        <v>0</v>
      </c>
    </row>
    <row r="78" spans="1:11" ht="14.25" customHeight="1">
      <c r="A78" s="21">
        <v>77</v>
      </c>
      <c r="B78" s="21">
        <v>65</v>
      </c>
      <c r="C78" s="21" t="s">
        <v>524</v>
      </c>
      <c r="D78" s="21" t="s">
        <v>525</v>
      </c>
      <c r="E78" s="21">
        <v>16</v>
      </c>
      <c r="F78" s="21">
        <v>146707</v>
      </c>
      <c r="G78" s="42">
        <v>-6.0999999999999999E-2</v>
      </c>
      <c r="H78" s="21" t="s">
        <v>526</v>
      </c>
      <c r="I78" s="39" t="str">
        <f ca="1">IFERROR(__xludf.DUMMYFUNCTION("IF(SUM(COUNTIF(artists!A:A, SPLIT(D78, "",""))) &gt; 0, ""UA"", 0)"),"UA")</f>
        <v>UA</v>
      </c>
      <c r="J78" s="40">
        <f ca="1">IFERROR(__xludf.DUMMYFUNCTION("IF(SUM(COUNTIF(artists!C:C, SPLIT(D78, "",""))) &gt; 0, ""RU"", 0)"),0)</f>
        <v>0</v>
      </c>
      <c r="K78" s="39">
        <f ca="1">IFERROR(__xludf.DUMMYFUNCTION("IF(SUM(COUNTIF(artists!E:E, SPLIT(D78, "",""))) &gt; 0, ""OTHER"", 0)"),0)</f>
        <v>0</v>
      </c>
    </row>
    <row r="79" spans="1:11" ht="14.25" customHeight="1">
      <c r="A79" s="21">
        <v>78</v>
      </c>
      <c r="B79" s="21">
        <v>80</v>
      </c>
      <c r="C79" s="21" t="s">
        <v>418</v>
      </c>
      <c r="D79" s="21" t="s">
        <v>419</v>
      </c>
      <c r="E79" s="21">
        <v>7</v>
      </c>
      <c r="F79" s="21">
        <v>146370</v>
      </c>
      <c r="G79" s="42">
        <v>9.2999999999999999E-2</v>
      </c>
      <c r="H79" s="21" t="s">
        <v>420</v>
      </c>
      <c r="I79" s="39">
        <f ca="1">IFERROR(__xludf.DUMMYFUNCTION("IF(SUM(COUNTIF(artists!A:A, SPLIT(D79, "",""))) &gt; 0, ""UA"", 0)"),0)</f>
        <v>0</v>
      </c>
      <c r="J79" s="40">
        <f ca="1">IFERROR(__xludf.DUMMYFUNCTION("IF(SUM(COUNTIF(artists!C:C, SPLIT(D79, "",""))) &gt; 0, ""RU"", 0)"),0)</f>
        <v>0</v>
      </c>
      <c r="K79" s="39" t="str">
        <f ca="1">IFERROR(__xludf.DUMMYFUNCTION("IF(SUM(COUNTIF(artists!E:E, SPLIT(D79, "",""))) &gt; 0, ""OTHER"", 0)"),"OTHER")</f>
        <v>OTHER</v>
      </c>
    </row>
    <row r="80" spans="1:11" ht="14.25" customHeight="1">
      <c r="A80" s="21">
        <v>79</v>
      </c>
      <c r="B80" s="21">
        <v>75</v>
      </c>
      <c r="C80" s="21" t="s">
        <v>765</v>
      </c>
      <c r="D80" s="21" t="s">
        <v>766</v>
      </c>
      <c r="E80" s="21">
        <v>6</v>
      </c>
      <c r="F80" s="21">
        <v>142406</v>
      </c>
      <c r="G80" s="42">
        <v>5.3999999999999999E-2</v>
      </c>
      <c r="H80" s="21" t="s">
        <v>768</v>
      </c>
      <c r="I80" s="39" t="str">
        <f ca="1">IFERROR(__xludf.DUMMYFUNCTION("IF(SUM(COUNTIF(artists!A:A, SPLIT(D80, "",""))) &gt; 0, ""UA"", 0)"),"UA")</f>
        <v>UA</v>
      </c>
      <c r="J80" s="40">
        <f ca="1">IFERROR(__xludf.DUMMYFUNCTION("IF(SUM(COUNTIF(artists!C:C, SPLIT(D80, "",""))) &gt; 0, ""RU"", 0)"),0)</f>
        <v>0</v>
      </c>
      <c r="K80" s="39">
        <f ca="1">IFERROR(__xludf.DUMMYFUNCTION("IF(SUM(COUNTIF(artists!E:E, SPLIT(D80, "",""))) &gt; 0, ""OTHER"", 0)"),0)</f>
        <v>0</v>
      </c>
    </row>
    <row r="81" spans="1:11" ht="14.25" customHeight="1">
      <c r="A81" s="21">
        <v>80</v>
      </c>
      <c r="B81" s="21">
        <v>76</v>
      </c>
      <c r="C81" s="21" t="s">
        <v>961</v>
      </c>
      <c r="D81" s="21" t="s">
        <v>137</v>
      </c>
      <c r="E81" s="21">
        <v>5</v>
      </c>
      <c r="F81" s="21">
        <v>138503</v>
      </c>
      <c r="G81" s="42">
        <v>2.7E-2</v>
      </c>
      <c r="H81" s="21" t="s">
        <v>962</v>
      </c>
      <c r="I81" s="39" t="str">
        <f ca="1">IFERROR(__xludf.DUMMYFUNCTION("IF(SUM(COUNTIF(artists!A:A, SPLIT(D81, "",""))) &gt; 0, ""UA"", 0)"),"UA")</f>
        <v>UA</v>
      </c>
      <c r="J81" s="40">
        <f ca="1">IFERROR(__xludf.DUMMYFUNCTION("IF(SUM(COUNTIF(artists!C:C, SPLIT(D81, "",""))) &gt; 0, ""RU"", 0)"),0)</f>
        <v>0</v>
      </c>
      <c r="K81" s="39">
        <f ca="1">IFERROR(__xludf.DUMMYFUNCTION("IF(SUM(COUNTIF(artists!E:E, SPLIT(D81, "",""))) &gt; 0, ""OTHER"", 0)"),0)</f>
        <v>0</v>
      </c>
    </row>
    <row r="82" spans="1:11" ht="14.25" customHeight="1">
      <c r="A82" s="21">
        <v>81</v>
      </c>
      <c r="B82" s="21">
        <v>82</v>
      </c>
      <c r="C82" s="21" t="s">
        <v>690</v>
      </c>
      <c r="D82" s="21" t="s">
        <v>691</v>
      </c>
      <c r="E82" s="21">
        <v>6</v>
      </c>
      <c r="F82" s="21">
        <v>138413</v>
      </c>
      <c r="G82" s="42">
        <v>3.9E-2</v>
      </c>
      <c r="H82" s="21" t="s">
        <v>692</v>
      </c>
      <c r="I82" s="39">
        <f ca="1">IFERROR(__xludf.DUMMYFUNCTION("IF(SUM(COUNTIF(artists!A:A, SPLIT(D82, "",""))) &gt; 0, ""UA"", 0)"),0)</f>
        <v>0</v>
      </c>
      <c r="J82" s="40" t="str">
        <f ca="1">IFERROR(__xludf.DUMMYFUNCTION("IF(SUM(COUNTIF(artists!C:C, SPLIT(D82, "",""))) &gt; 0, ""RU"", 0)"),"RU")</f>
        <v>RU</v>
      </c>
      <c r="K82" s="39">
        <f ca="1">IFERROR(__xludf.DUMMYFUNCTION("IF(SUM(COUNTIF(artists!E:E, SPLIT(D82, "",""))) &gt; 0, ""OTHER"", 0)"),0)</f>
        <v>0</v>
      </c>
    </row>
    <row r="83" spans="1:11" ht="14.25" customHeight="1">
      <c r="A83" s="21">
        <v>82</v>
      </c>
      <c r="B83" s="21">
        <v>68</v>
      </c>
      <c r="C83" s="21" t="s">
        <v>977</v>
      </c>
      <c r="D83" s="21" t="s">
        <v>978</v>
      </c>
      <c r="E83" s="21">
        <v>6</v>
      </c>
      <c r="F83" s="21">
        <v>137889</v>
      </c>
      <c r="G83" s="42">
        <v>-0.106</v>
      </c>
      <c r="H83" s="21" t="s">
        <v>979</v>
      </c>
      <c r="I83" s="39" t="str">
        <f ca="1">IFERROR(__xludf.DUMMYFUNCTION("IF(SUM(COUNTIF(artists!A:A, SPLIT(D83, "",""))) &gt; 0, ""UA"", 0)"),"UA")</f>
        <v>UA</v>
      </c>
      <c r="J83" s="40">
        <f ca="1">IFERROR(__xludf.DUMMYFUNCTION("IF(SUM(COUNTIF(artists!C:C, SPLIT(D83, "",""))) &gt; 0, ""RU"", 0)"),0)</f>
        <v>0</v>
      </c>
      <c r="K83" s="39">
        <f ca="1">IFERROR(__xludf.DUMMYFUNCTION("IF(SUM(COUNTIF(artists!E:E, SPLIT(D83, "",""))) &gt; 0, ""OTHER"", 0)"),0)</f>
        <v>0</v>
      </c>
    </row>
    <row r="84" spans="1:11" ht="14.25" customHeight="1">
      <c r="A84" s="21">
        <v>83</v>
      </c>
      <c r="B84" s="21">
        <v>74</v>
      </c>
      <c r="C84" s="21" t="s">
        <v>956</v>
      </c>
      <c r="D84" s="21" t="s">
        <v>743</v>
      </c>
      <c r="E84" s="21">
        <v>2</v>
      </c>
      <c r="F84" s="21">
        <v>137481</v>
      </c>
      <c r="G84" s="42">
        <v>1.2999999999999999E-2</v>
      </c>
      <c r="H84" s="21" t="s">
        <v>957</v>
      </c>
      <c r="I84" s="39">
        <f ca="1">IFERROR(__xludf.DUMMYFUNCTION("IF(SUM(COUNTIF(artists!A:A, SPLIT(D84, "",""))) &gt; 0, ""UA"", 0)"),0)</f>
        <v>0</v>
      </c>
      <c r="J84" s="40" t="str">
        <f ca="1">IFERROR(__xludf.DUMMYFUNCTION("IF(SUM(COUNTIF(artists!C:C, SPLIT(D84, "",""))) &gt; 0, ""RU"", 0)"),"RU")</f>
        <v>RU</v>
      </c>
      <c r="K84" s="39">
        <f ca="1">IFERROR(__xludf.DUMMYFUNCTION("IF(SUM(COUNTIF(artists!E:E, SPLIT(D84, "",""))) &gt; 0, ""OTHER"", 0)"),0)</f>
        <v>0</v>
      </c>
    </row>
    <row r="85" spans="1:11" ht="14.25" customHeight="1">
      <c r="A85" s="21">
        <v>84</v>
      </c>
      <c r="B85" s="21">
        <v>86</v>
      </c>
      <c r="C85" s="21" t="s">
        <v>980</v>
      </c>
      <c r="D85" s="21" t="s">
        <v>981</v>
      </c>
      <c r="E85" s="21">
        <v>7</v>
      </c>
      <c r="F85" s="21">
        <v>134701</v>
      </c>
      <c r="G85" s="42">
        <v>2.8000000000000001E-2</v>
      </c>
      <c r="H85" s="21" t="s">
        <v>982</v>
      </c>
      <c r="I85" s="39">
        <f ca="1">IFERROR(__xludf.DUMMYFUNCTION("IF(SUM(COUNTIF(artists!A:A, SPLIT(D85, "",""))) &gt; 0, ""UA"", 0)"),0)</f>
        <v>0</v>
      </c>
      <c r="J85" s="40" t="str">
        <f ca="1">IFERROR(__xludf.DUMMYFUNCTION("IF(SUM(COUNTIF(artists!C:C, SPLIT(D85, "",""))) &gt; 0, ""RU"", 0)"),"RU")</f>
        <v>RU</v>
      </c>
      <c r="K85" s="39">
        <f ca="1">IFERROR(__xludf.DUMMYFUNCTION("IF(SUM(COUNTIF(artists!E:E, SPLIT(D85, "",""))) &gt; 0, ""OTHER"", 0)"),0)</f>
        <v>0</v>
      </c>
    </row>
    <row r="86" spans="1:11" ht="14.25" customHeight="1">
      <c r="A86" s="21">
        <v>85</v>
      </c>
      <c r="B86" s="21">
        <v>85</v>
      </c>
      <c r="C86" s="21" t="s">
        <v>983</v>
      </c>
      <c r="D86" s="21" t="s">
        <v>984</v>
      </c>
      <c r="E86" s="21">
        <v>3</v>
      </c>
      <c r="F86" s="21">
        <v>134160</v>
      </c>
      <c r="G86" s="42">
        <v>2.1000000000000001E-2</v>
      </c>
      <c r="H86" s="21" t="s">
        <v>985</v>
      </c>
      <c r="I86" s="39" t="str">
        <f ca="1">IFERROR(__xludf.DUMMYFUNCTION("IF(SUM(COUNTIF(artists!A:A, SPLIT(D86, "",""))) &gt; 0, ""UA"", 0)"),"UA")</f>
        <v>UA</v>
      </c>
      <c r="J86" s="40">
        <f ca="1">IFERROR(__xludf.DUMMYFUNCTION("IF(SUM(COUNTIF(artists!C:C, SPLIT(D86, "",""))) &gt; 0, ""RU"", 0)"),0)</f>
        <v>0</v>
      </c>
      <c r="K86" s="39">
        <f ca="1">IFERROR(__xludf.DUMMYFUNCTION("IF(SUM(COUNTIF(artists!E:E, SPLIT(D86, "",""))) &gt; 0, ""OTHER"", 0)"),0)</f>
        <v>0</v>
      </c>
    </row>
    <row r="87" spans="1:11" ht="14.25" customHeight="1">
      <c r="A87" s="21">
        <v>86</v>
      </c>
      <c r="B87" s="21">
        <v>88</v>
      </c>
      <c r="C87" s="21" t="s">
        <v>309</v>
      </c>
      <c r="D87" s="21" t="s">
        <v>310</v>
      </c>
      <c r="E87" s="21">
        <v>10</v>
      </c>
      <c r="F87" s="21">
        <v>133931</v>
      </c>
      <c r="G87" s="42">
        <v>3.5999999999999997E-2</v>
      </c>
      <c r="H87" s="21" t="s">
        <v>312</v>
      </c>
      <c r="I87" s="39">
        <f ca="1">IFERROR(__xludf.DUMMYFUNCTION("IF(SUM(COUNTIF(artists!A:A, SPLIT(D87, "",""))) &gt; 0, ""UA"", 0)"),0)</f>
        <v>0</v>
      </c>
      <c r="J87" s="40">
        <f ca="1">IFERROR(__xludf.DUMMYFUNCTION("IF(SUM(COUNTIF(artists!C:C, SPLIT(D87, "",""))) &gt; 0, ""RU"", 0)"),0)</f>
        <v>0</v>
      </c>
      <c r="K87" s="39" t="str">
        <f ca="1">IFERROR(__xludf.DUMMYFUNCTION("IF(SUM(COUNTIF(artists!E:E, SPLIT(D87, "",""))) &gt; 0, ""OTHER"", 0)"),"OTHER")</f>
        <v>OTHER</v>
      </c>
    </row>
    <row r="88" spans="1:11" ht="14.25" customHeight="1">
      <c r="A88" s="21">
        <v>87</v>
      </c>
      <c r="C88" s="21" t="s">
        <v>986</v>
      </c>
      <c r="D88" s="21" t="s">
        <v>987</v>
      </c>
      <c r="E88" s="21">
        <v>1</v>
      </c>
      <c r="F88" s="21">
        <v>133904</v>
      </c>
      <c r="H88" s="21" t="s">
        <v>988</v>
      </c>
      <c r="I88" s="39">
        <f ca="1">IFERROR(__xludf.DUMMYFUNCTION("IF(SUM(COUNTIF(artists!A:A, SPLIT(D88, "",""))) &gt; 0, ""UA"", 0)"),0)</f>
        <v>0</v>
      </c>
      <c r="J88" s="40" t="str">
        <f ca="1">IFERROR(__xludf.DUMMYFUNCTION("IF(SUM(COUNTIF(artists!C:C, SPLIT(D88, "",""))) &gt; 0, ""RU"", 0)"),"RU")</f>
        <v>RU</v>
      </c>
      <c r="K88" s="39">
        <f ca="1">IFERROR(__xludf.DUMMYFUNCTION("IF(SUM(COUNTIF(artists!E:E, SPLIT(D88, "",""))) &gt; 0, ""OTHER"", 0)"),0)</f>
        <v>0</v>
      </c>
    </row>
    <row r="89" spans="1:11" ht="14.25" customHeight="1">
      <c r="A89" s="21">
        <v>88</v>
      </c>
      <c r="B89" s="21">
        <v>84</v>
      </c>
      <c r="C89" s="21" t="s">
        <v>605</v>
      </c>
      <c r="D89" s="21" t="s">
        <v>299</v>
      </c>
      <c r="E89" s="21">
        <v>13</v>
      </c>
      <c r="F89" s="21">
        <v>133669</v>
      </c>
      <c r="G89" s="42">
        <v>1.0999999999999999E-2</v>
      </c>
      <c r="H89" s="21" t="s">
        <v>607</v>
      </c>
      <c r="I89" s="39">
        <f ca="1">IFERROR(__xludf.DUMMYFUNCTION("IF(SUM(COUNTIF(artists!A:A, SPLIT(D89, "",""))) &gt; 0, ""UA"", 0)"),0)</f>
        <v>0</v>
      </c>
      <c r="J89" s="40">
        <f ca="1">IFERROR(__xludf.DUMMYFUNCTION("IF(SUM(COUNTIF(artists!C:C, SPLIT(D89, "",""))) &gt; 0, ""RU"", 0)"),0)</f>
        <v>0</v>
      </c>
      <c r="K89" s="39" t="str">
        <f ca="1">IFERROR(__xludf.DUMMYFUNCTION("IF(SUM(COUNTIF(artists!E:E, SPLIT(D89, "",""))) &gt; 0, ""OTHER"", 0)"),"OTHER")</f>
        <v>OTHER</v>
      </c>
    </row>
    <row r="90" spans="1:11" ht="14.25" customHeight="1">
      <c r="A90" s="21">
        <v>89</v>
      </c>
      <c r="B90" s="21">
        <v>81</v>
      </c>
      <c r="C90" s="21" t="s">
        <v>963</v>
      </c>
      <c r="D90" s="21" t="s">
        <v>964</v>
      </c>
      <c r="E90" s="21">
        <v>11</v>
      </c>
      <c r="F90" s="21">
        <v>133659</v>
      </c>
      <c r="G90" s="42">
        <v>-2E-3</v>
      </c>
      <c r="H90" s="21" t="s">
        <v>965</v>
      </c>
      <c r="I90" s="39" t="str">
        <f ca="1">IFERROR(__xludf.DUMMYFUNCTION("IF(SUM(COUNTIF(artists!A:A, SPLIT(D90, "",""))) &gt; 0, ""UA"", 0)"),"UA")</f>
        <v>UA</v>
      </c>
      <c r="J90" s="40">
        <f ca="1">IFERROR(__xludf.DUMMYFUNCTION("IF(SUM(COUNTIF(artists!C:C, SPLIT(D90, "",""))) &gt; 0, ""RU"", 0)"),0)</f>
        <v>0</v>
      </c>
      <c r="K90" s="39">
        <f ca="1">IFERROR(__xludf.DUMMYFUNCTION("IF(SUM(COUNTIF(artists!E:E, SPLIT(D90, "",""))) &gt; 0, ""OTHER"", 0)"),0)</f>
        <v>0</v>
      </c>
    </row>
    <row r="91" spans="1:11" ht="14.25" customHeight="1">
      <c r="A91" s="21">
        <v>90</v>
      </c>
      <c r="C91" s="21" t="s">
        <v>989</v>
      </c>
      <c r="D91" s="21" t="s">
        <v>990</v>
      </c>
      <c r="E91" s="21">
        <v>2</v>
      </c>
      <c r="F91" s="21">
        <v>132969</v>
      </c>
      <c r="H91" s="21" t="s">
        <v>991</v>
      </c>
      <c r="I91" s="39" t="str">
        <f ca="1">IFERROR(__xludf.DUMMYFUNCTION("IF(SUM(COUNTIF(artists!A:A, SPLIT(D91, "",""))) &gt; 0, ""UA"", 0)"),"UA")</f>
        <v>UA</v>
      </c>
      <c r="J91" s="40">
        <f ca="1">IFERROR(__xludf.DUMMYFUNCTION("IF(SUM(COUNTIF(artists!C:C, SPLIT(D91, "",""))) &gt; 0, ""RU"", 0)"),0)</f>
        <v>0</v>
      </c>
      <c r="K91" s="39">
        <f ca="1">IFERROR(__xludf.DUMMYFUNCTION("IF(SUM(COUNTIF(artists!E:E, SPLIT(D91, "",""))) &gt; 0, ""OTHER"", 0)"),0)</f>
        <v>0</v>
      </c>
    </row>
    <row r="92" spans="1:11" ht="14.25" customHeight="1">
      <c r="A92" s="21">
        <v>91</v>
      </c>
      <c r="B92" s="21">
        <v>89</v>
      </c>
      <c r="C92" s="21" t="s">
        <v>958</v>
      </c>
      <c r="D92" s="21" t="s">
        <v>959</v>
      </c>
      <c r="E92" s="21">
        <v>3</v>
      </c>
      <c r="F92" s="21">
        <v>132048</v>
      </c>
      <c r="G92" s="42">
        <v>3.3000000000000002E-2</v>
      </c>
      <c r="H92" s="21" t="s">
        <v>960</v>
      </c>
      <c r="I92" s="39">
        <f ca="1">IFERROR(__xludf.DUMMYFUNCTION("IF(SUM(COUNTIF(artists!A:A, SPLIT(D92, "",""))) &gt; 0, ""UA"", 0)"),0)</f>
        <v>0</v>
      </c>
      <c r="J92" s="40" t="str">
        <f ca="1">IFERROR(__xludf.DUMMYFUNCTION("IF(SUM(COUNTIF(artists!C:C, SPLIT(D92, "",""))) &gt; 0, ""RU"", 0)"),"RU")</f>
        <v>RU</v>
      </c>
      <c r="K92" s="39">
        <f ca="1">IFERROR(__xludf.DUMMYFUNCTION("IF(SUM(COUNTIF(artists!E:E, SPLIT(D92, "",""))) &gt; 0, ""OTHER"", 0)"),0)</f>
        <v>0</v>
      </c>
    </row>
    <row r="93" spans="1:11" ht="14.25" customHeight="1">
      <c r="A93" s="21">
        <v>92</v>
      </c>
      <c r="B93" s="21">
        <v>73</v>
      </c>
      <c r="C93" s="21" t="s">
        <v>868</v>
      </c>
      <c r="D93" s="21" t="s">
        <v>869</v>
      </c>
      <c r="E93" s="21">
        <v>16</v>
      </c>
      <c r="F93" s="21">
        <v>131446</v>
      </c>
      <c r="G93" s="42">
        <v>-3.3000000000000002E-2</v>
      </c>
      <c r="H93" s="21" t="s">
        <v>870</v>
      </c>
      <c r="I93" s="39">
        <f ca="1">IFERROR(__xludf.DUMMYFUNCTION("IF(SUM(COUNTIF(artists!A:A, SPLIT(D93, "",""))) &gt; 0, ""UA"", 0)"),0)</f>
        <v>0</v>
      </c>
      <c r="J93" s="40" t="str">
        <f ca="1">IFERROR(__xludf.DUMMYFUNCTION("IF(SUM(COUNTIF(artists!C:C, SPLIT(D93, "",""))) &gt; 0, ""RU"", 0)"),"RU")</f>
        <v>RU</v>
      </c>
      <c r="K93" s="39">
        <f ca="1">IFERROR(__xludf.DUMMYFUNCTION("IF(SUM(COUNTIF(artists!E:E, SPLIT(D93, "",""))) &gt; 0, ""OTHER"", 0)"),0)</f>
        <v>0</v>
      </c>
    </row>
    <row r="94" spans="1:11" ht="14.25" customHeight="1">
      <c r="A94" s="21">
        <v>93</v>
      </c>
      <c r="B94" s="21">
        <v>87</v>
      </c>
      <c r="C94" s="21" t="s">
        <v>370</v>
      </c>
      <c r="D94" s="21" t="s">
        <v>222</v>
      </c>
      <c r="E94" s="21">
        <v>2</v>
      </c>
      <c r="F94" s="21">
        <v>129610</v>
      </c>
      <c r="G94" s="42">
        <v>-6.0000000000000001E-3</v>
      </c>
      <c r="H94" s="21" t="s">
        <v>372</v>
      </c>
      <c r="I94" s="39">
        <f ca="1">IFERROR(__xludf.DUMMYFUNCTION("IF(SUM(COUNTIF(artists!A:A, SPLIT(D94, "",""))) &gt; 0, ""UA"", 0)"),0)</f>
        <v>0</v>
      </c>
      <c r="J94" s="40">
        <f ca="1">IFERROR(__xludf.DUMMYFUNCTION("IF(SUM(COUNTIF(artists!C:C, SPLIT(D94, "",""))) &gt; 0, ""RU"", 0)"),0)</f>
        <v>0</v>
      </c>
      <c r="K94" s="39" t="str">
        <f ca="1">IFERROR(__xludf.DUMMYFUNCTION("IF(SUM(COUNTIF(artists!E:E, SPLIT(D94, "",""))) &gt; 0, ""OTHER"", 0)"),"OTHER")</f>
        <v>OTHER</v>
      </c>
    </row>
    <row r="95" spans="1:11" ht="14.25" customHeight="1">
      <c r="A95" s="21">
        <v>94</v>
      </c>
      <c r="B95" s="21">
        <v>72</v>
      </c>
      <c r="C95" s="21" t="s">
        <v>545</v>
      </c>
      <c r="D95" s="21" t="s">
        <v>546</v>
      </c>
      <c r="E95" s="21">
        <v>5</v>
      </c>
      <c r="F95" s="21">
        <v>128894</v>
      </c>
      <c r="G95" s="42">
        <v>-0.112</v>
      </c>
      <c r="H95" s="21" t="s">
        <v>548</v>
      </c>
      <c r="I95" s="39">
        <f ca="1">IFERROR(__xludf.DUMMYFUNCTION("IF(SUM(COUNTIF(artists!A:A, SPLIT(D95, "",""))) &gt; 0, ""UA"", 0)"),0)</f>
        <v>0</v>
      </c>
      <c r="J95" s="40" t="str">
        <f ca="1">IFERROR(__xludf.DUMMYFUNCTION("IF(SUM(COUNTIF(artists!C:C, SPLIT(D95, "",""))) &gt; 0, ""RU"", 0)"),"RU")</f>
        <v>RU</v>
      </c>
      <c r="K95" s="39">
        <f ca="1">IFERROR(__xludf.DUMMYFUNCTION("IF(SUM(COUNTIF(artists!E:E, SPLIT(D95, "",""))) &gt; 0, ""OTHER"", 0)"),0)</f>
        <v>0</v>
      </c>
    </row>
    <row r="96" spans="1:11" ht="14.25" customHeight="1">
      <c r="A96" s="21">
        <v>95</v>
      </c>
      <c r="B96" s="21">
        <v>90</v>
      </c>
      <c r="C96" s="21" t="s">
        <v>992</v>
      </c>
      <c r="D96" s="21" t="s">
        <v>625</v>
      </c>
      <c r="E96" s="21">
        <v>2</v>
      </c>
      <c r="F96" s="21">
        <v>128694</v>
      </c>
      <c r="G96" s="43">
        <v>0.01</v>
      </c>
      <c r="H96" s="21" t="s">
        <v>993</v>
      </c>
      <c r="I96" s="39" t="str">
        <f ca="1">IFERROR(__xludf.DUMMYFUNCTION("IF(SUM(COUNTIF(artists!A:A, SPLIT(D96, "",""))) &gt; 0, ""UA"", 0)"),"UA")</f>
        <v>UA</v>
      </c>
      <c r="J96" s="40">
        <f ca="1">IFERROR(__xludf.DUMMYFUNCTION("IF(SUM(COUNTIF(artists!C:C, SPLIT(D96, "",""))) &gt; 0, ""RU"", 0)"),0)</f>
        <v>0</v>
      </c>
      <c r="K96" s="39">
        <f ca="1">IFERROR(__xludf.DUMMYFUNCTION("IF(SUM(COUNTIF(artists!E:E, SPLIT(D96, "",""))) &gt; 0, ""OTHER"", 0)"),0)</f>
        <v>0</v>
      </c>
    </row>
    <row r="97" spans="1:11" ht="14.25" customHeight="1">
      <c r="A97" s="21">
        <v>96</v>
      </c>
      <c r="B97" s="21">
        <v>83</v>
      </c>
      <c r="C97" s="21" t="s">
        <v>358</v>
      </c>
      <c r="D97" s="21" t="s">
        <v>359</v>
      </c>
      <c r="E97" s="21">
        <v>10</v>
      </c>
      <c r="F97" s="21">
        <v>127594</v>
      </c>
      <c r="G97" s="42">
        <v>-3.7999999999999999E-2</v>
      </c>
      <c r="H97" s="21" t="s">
        <v>361</v>
      </c>
      <c r="I97" s="39">
        <f ca="1">IFERROR(__xludf.DUMMYFUNCTION("IF(SUM(COUNTIF(artists!A:A, SPLIT(D97, "",""))) &gt; 0, ""UA"", 0)"),0)</f>
        <v>0</v>
      </c>
      <c r="J97" s="40">
        <f ca="1">IFERROR(__xludf.DUMMYFUNCTION("IF(SUM(COUNTIF(artists!C:C, SPLIT(D97, "",""))) &gt; 0, ""RU"", 0)"),0)</f>
        <v>0</v>
      </c>
      <c r="K97" s="39" t="str">
        <f ca="1">IFERROR(__xludf.DUMMYFUNCTION("IF(SUM(COUNTIF(artists!E:E, SPLIT(D97, "",""))) &gt; 0, ""OTHER"", 0)"),"OTHER")</f>
        <v>OTHER</v>
      </c>
    </row>
    <row r="98" spans="1:11" ht="14.25" customHeight="1">
      <c r="A98" s="21">
        <v>97</v>
      </c>
      <c r="B98" s="21">
        <v>92</v>
      </c>
      <c r="C98" s="21" t="s">
        <v>682</v>
      </c>
      <c r="D98" s="21" t="s">
        <v>125</v>
      </c>
      <c r="E98" s="21">
        <v>13</v>
      </c>
      <c r="F98" s="21">
        <v>126628</v>
      </c>
      <c r="G98" s="42">
        <v>1.9E-2</v>
      </c>
      <c r="H98" s="21" t="s">
        <v>684</v>
      </c>
      <c r="I98" s="39">
        <f ca="1">IFERROR(__xludf.DUMMYFUNCTION("IF(SUM(COUNTIF(artists!A:A, SPLIT(D98, "",""))) &gt; 0, ""UA"", 0)"),0)</f>
        <v>0</v>
      </c>
      <c r="J98" s="40" t="str">
        <f ca="1">IFERROR(__xludf.DUMMYFUNCTION("IF(SUM(COUNTIF(artists!C:C, SPLIT(D98, "",""))) &gt; 0, ""RU"", 0)"),"RU")</f>
        <v>RU</v>
      </c>
      <c r="K98" s="39">
        <f ca="1">IFERROR(__xludf.DUMMYFUNCTION("IF(SUM(COUNTIF(artists!E:E, SPLIT(D98, "",""))) &gt; 0, ""OTHER"", 0)"),0)</f>
        <v>0</v>
      </c>
    </row>
    <row r="99" spans="1:11" ht="14.25" customHeight="1">
      <c r="A99" s="21">
        <v>98</v>
      </c>
      <c r="B99" s="21">
        <v>98</v>
      </c>
      <c r="C99" s="21" t="s">
        <v>497</v>
      </c>
      <c r="D99" s="21" t="s">
        <v>860</v>
      </c>
      <c r="E99" s="21">
        <v>12</v>
      </c>
      <c r="F99" s="21">
        <v>123633</v>
      </c>
      <c r="G99" s="42">
        <v>1.2999999999999999E-2</v>
      </c>
      <c r="H99" s="21" t="s">
        <v>499</v>
      </c>
      <c r="I99" s="39" t="str">
        <f ca="1">IFERROR(__xludf.DUMMYFUNCTION("IF(SUM(COUNTIF(artists!A:A, SPLIT(D99, "",""))) &gt; 0, ""UA"", 0)"),"UA")</f>
        <v>UA</v>
      </c>
      <c r="J99" s="40">
        <f ca="1">IFERROR(__xludf.DUMMYFUNCTION("IF(SUM(COUNTIF(artists!C:C, SPLIT(D99, "",""))) &gt; 0, ""RU"", 0)"),0)</f>
        <v>0</v>
      </c>
      <c r="K99" s="39">
        <f ca="1">IFERROR(__xludf.DUMMYFUNCTION("IF(SUM(COUNTIF(artists!E:E, SPLIT(D99, "",""))) &gt; 0, ""OTHER"", 0)"),0)</f>
        <v>0</v>
      </c>
    </row>
    <row r="100" spans="1:11" ht="14.25" customHeight="1">
      <c r="A100" s="21">
        <v>99</v>
      </c>
      <c r="B100" s="21">
        <v>67</v>
      </c>
      <c r="C100" s="21" t="s">
        <v>994</v>
      </c>
      <c r="D100" s="21" t="s">
        <v>133</v>
      </c>
      <c r="E100" s="21">
        <v>3</v>
      </c>
      <c r="F100" s="21">
        <v>122737</v>
      </c>
      <c r="G100" s="43">
        <v>-0.21</v>
      </c>
      <c r="H100" s="21" t="s">
        <v>995</v>
      </c>
      <c r="I100" s="39" t="str">
        <f ca="1">IFERROR(__xludf.DUMMYFUNCTION("IF(SUM(COUNTIF(artists!A:A, SPLIT(D100, "",""))) &gt; 0, ""UA"", 0)"),"UA")</f>
        <v>UA</v>
      </c>
      <c r="J100" s="40">
        <f ca="1">IFERROR(__xludf.DUMMYFUNCTION("IF(SUM(COUNTIF(artists!C:C, SPLIT(D100, "",""))) &gt; 0, ""RU"", 0)"),0)</f>
        <v>0</v>
      </c>
      <c r="K100" s="39">
        <f ca="1">IFERROR(__xludf.DUMMYFUNCTION("IF(SUM(COUNTIF(artists!E:E, SPLIT(D100, "",""))) &gt; 0, ""OTHER"", 0)"),0)</f>
        <v>0</v>
      </c>
    </row>
    <row r="101" spans="1:11" ht="14.25" customHeight="1">
      <c r="A101" s="21">
        <v>100</v>
      </c>
      <c r="C101" s="21" t="s">
        <v>996</v>
      </c>
      <c r="D101" s="21" t="s">
        <v>997</v>
      </c>
      <c r="E101" s="21">
        <v>1</v>
      </c>
      <c r="F101" s="21">
        <v>121962</v>
      </c>
      <c r="H101" s="21" t="s">
        <v>998</v>
      </c>
      <c r="I101" s="39" t="str">
        <f ca="1">IFERROR(__xludf.DUMMYFUNCTION("IF(SUM(COUNTIF(artists!A:A, SPLIT(D101, "",""))) &gt; 0, ""UA"", 0)"),"UA")</f>
        <v>UA</v>
      </c>
      <c r="J101" s="40">
        <f ca="1">IFERROR(__xludf.DUMMYFUNCTION("IF(SUM(COUNTIF(artists!C:C, SPLIT(D101, "",""))) &gt; 0, ""RU"", 0)"),0)</f>
        <v>0</v>
      </c>
      <c r="K101" s="39">
        <f ca="1">IFERROR(__xludf.DUMMYFUNCTION("IF(SUM(COUNTIF(artists!E:E, SPLIT(D101, "",""))) &gt; 0, ""OTHER"", 0)"),0)</f>
        <v>0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99" priority="1">
      <formula>AND($I2=0, $J2=0, $K2=0)</formula>
    </cfRule>
    <cfRule type="expression" dxfId="98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Аркуш14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3" width="8.6640625" customWidth="1"/>
    <col min="4" max="4" width="13.5546875" customWidth="1"/>
    <col min="5" max="5" width="8.6640625" hidden="1" customWidth="1"/>
    <col min="6" max="6" width="8.6640625" customWidth="1"/>
    <col min="7" max="7" width="13.10937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B2" s="21">
        <v>30</v>
      </c>
      <c r="C2" s="21" t="s">
        <v>221</v>
      </c>
      <c r="D2" s="21" t="s">
        <v>222</v>
      </c>
      <c r="E2" s="21">
        <v>2</v>
      </c>
      <c r="F2" s="21">
        <v>1286054</v>
      </c>
      <c r="G2" s="42">
        <v>3.476</v>
      </c>
      <c r="H2" s="21" t="s">
        <v>224</v>
      </c>
      <c r="I2" s="39">
        <f ca="1">IFERROR(__xludf.DUMMYFUNCTION("IF(SUM(COUNTIF(artists!A:A, SPLIT(D2, "",""))) &gt; 0, ""UA"", 0)"),0)</f>
        <v>0</v>
      </c>
      <c r="J2" s="40">
        <f ca="1">IFERROR(__xludf.DUMMYFUNCTION("IF(SUM(COUNTIF(artists!C:C, SPLIT(D2, "",""))) &gt; 0, ""RU"", 0)"),0)</f>
        <v>0</v>
      </c>
      <c r="K2" s="39" t="str">
        <f ca="1">IFERROR(__xludf.DUMMYFUNCTION("IF(SUM(COUNTIF(artists!E:E, SPLIT(D2, "",""))) &gt; 0, ""OTHER"", 0)"),"OTHER")</f>
        <v>OTHER</v>
      </c>
    </row>
    <row r="3" spans="1:11" ht="14.25" customHeight="1">
      <c r="A3" s="21">
        <v>2</v>
      </c>
      <c r="B3" s="21">
        <v>1</v>
      </c>
      <c r="C3" s="21" t="s">
        <v>88</v>
      </c>
      <c r="D3" s="21" t="s">
        <v>89</v>
      </c>
      <c r="E3" s="21">
        <v>19</v>
      </c>
      <c r="F3" s="21">
        <v>911111</v>
      </c>
      <c r="G3" s="42">
        <v>-4.2000000000000003E-2</v>
      </c>
      <c r="H3" s="21" t="s">
        <v>90</v>
      </c>
      <c r="I3" s="39" t="str">
        <f ca="1">IFERROR(__xludf.DUMMYFUNCTION("IF(SUM(COUNTIF(artists!A:A, SPLIT(D3, "",""))) &gt; 0, ""UA"", 0)"),"UA")</f>
        <v>UA</v>
      </c>
      <c r="J3" s="40">
        <f ca="1">IFERROR(__xludf.DUMMYFUNCTION("IF(SUM(COUNTIF(artists!C:C, SPLIT(D3, "",""))) &gt; 0, ""RU"", 0)"),0)</f>
        <v>0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B4" s="21">
        <v>2</v>
      </c>
      <c r="C4" s="21" t="s">
        <v>95</v>
      </c>
      <c r="D4" s="21" t="s">
        <v>96</v>
      </c>
      <c r="E4" s="21">
        <v>4</v>
      </c>
      <c r="F4" s="21">
        <v>594957</v>
      </c>
      <c r="G4" s="43">
        <v>-0.05</v>
      </c>
      <c r="H4" s="21" t="s">
        <v>98</v>
      </c>
      <c r="I4" s="39" t="str">
        <f ca="1">IFERROR(__xludf.DUMMYFUNCTION("IF(SUM(COUNTIF(artists!A:A, SPLIT(D4, "",""))) &gt; 0, ""UA"", 0)"),"UA")</f>
        <v>UA</v>
      </c>
      <c r="J4" s="40">
        <f ca="1">IFERROR(__xludf.DUMMYFUNCTION("IF(SUM(COUNTIF(artists!C:C, SPLIT(D4, "",""))) &gt; 0, ""RU"", 0)"),0)</f>
        <v>0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B5" s="21">
        <v>3</v>
      </c>
      <c r="C5" s="21" t="s">
        <v>132</v>
      </c>
      <c r="D5" s="21" t="s">
        <v>133</v>
      </c>
      <c r="E5" s="21">
        <v>31</v>
      </c>
      <c r="F5" s="21">
        <v>524618</v>
      </c>
      <c r="G5" s="42">
        <v>-1.6E-2</v>
      </c>
      <c r="H5" s="21" t="s">
        <v>135</v>
      </c>
      <c r="I5" s="39" t="str">
        <f ca="1">IFERROR(__xludf.DUMMYFUNCTION("IF(SUM(COUNTIF(artists!A:A, SPLIT(D5, "",""))) &gt; 0, ""UA"", 0)"),"UA")</f>
        <v>UA</v>
      </c>
      <c r="J5" s="40">
        <f ca="1">IFERROR(__xludf.DUMMYFUNCTION("IF(SUM(COUNTIF(artists!C:C, SPLIT(D5, "",""))) &gt; 0, ""RU"", 0)"),0)</f>
        <v>0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B6" s="21">
        <v>6</v>
      </c>
      <c r="C6" s="21" t="s">
        <v>115</v>
      </c>
      <c r="D6" s="21" t="s">
        <v>116</v>
      </c>
      <c r="E6" s="21">
        <v>21</v>
      </c>
      <c r="F6" s="21">
        <v>520711</v>
      </c>
      <c r="G6" s="43">
        <v>0.05</v>
      </c>
      <c r="H6" s="21" t="s">
        <v>117</v>
      </c>
      <c r="I6" s="39" t="str">
        <f ca="1">IFERROR(__xludf.DUMMYFUNCTION("IF(SUM(COUNTIF(artists!A:A, SPLIT(D6, "",""))) &gt; 0, ""UA"", 0)"),"UA")</f>
        <v>UA</v>
      </c>
      <c r="J6" s="40">
        <f ca="1">IFERROR(__xludf.DUMMYFUNCTION("IF(SUM(COUNTIF(artists!C:C, SPLIT(D6, "",""))) &gt; 0, ""RU"", 0)"),0)</f>
        <v>0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B7" s="21">
        <v>5</v>
      </c>
      <c r="C7" s="21" t="s">
        <v>645</v>
      </c>
      <c r="D7" s="21" t="s">
        <v>352</v>
      </c>
      <c r="E7" s="21">
        <v>44</v>
      </c>
      <c r="F7" s="21">
        <v>514347</v>
      </c>
      <c r="G7" s="42">
        <v>3.3000000000000002E-2</v>
      </c>
      <c r="H7" s="21" t="s">
        <v>647</v>
      </c>
      <c r="I7" s="39" t="str">
        <f ca="1">IFERROR(__xludf.DUMMYFUNCTION("IF(SUM(COUNTIF(artists!A:A, SPLIT(D7, "",""))) &gt; 0, ""UA"", 0)"),"UA")</f>
        <v>UA</v>
      </c>
      <c r="J7" s="40">
        <f ca="1">IFERROR(__xludf.DUMMYFUNCTION("IF(SUM(COUNTIF(artists!C:C, SPLIT(D7, "",""))) &gt; 0, ""RU"", 0)"),0)</f>
        <v>0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B8" s="21">
        <v>4</v>
      </c>
      <c r="C8" s="21" t="s">
        <v>128</v>
      </c>
      <c r="D8" s="21" t="s">
        <v>129</v>
      </c>
      <c r="E8" s="21">
        <v>27</v>
      </c>
      <c r="F8" s="21">
        <v>509618</v>
      </c>
      <c r="G8" s="42">
        <v>-2.3E-2</v>
      </c>
      <c r="H8" s="21" t="s">
        <v>131</v>
      </c>
      <c r="I8" s="39" t="str">
        <f ca="1">IFERROR(__xludf.DUMMYFUNCTION("IF(SUM(COUNTIF(artists!A:A, SPLIT(D8, "",""))) &gt; 0, ""UA"", 0)"),"UA")</f>
        <v>UA</v>
      </c>
      <c r="J8" s="40">
        <f ca="1">IFERROR(__xludf.DUMMYFUNCTION("IF(SUM(COUNTIF(artists!C:C, SPLIT(D8, "",""))) &gt; 0, ""RU"", 0)"),0)</f>
        <v>0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B9" s="21">
        <v>8</v>
      </c>
      <c r="C9" s="21" t="s">
        <v>294</v>
      </c>
      <c r="D9" s="21" t="s">
        <v>295</v>
      </c>
      <c r="E9" s="21">
        <v>3</v>
      </c>
      <c r="F9" s="21">
        <v>495856</v>
      </c>
      <c r="G9" s="42">
        <v>6.0999999999999999E-2</v>
      </c>
      <c r="H9" s="21" t="s">
        <v>297</v>
      </c>
      <c r="I9" s="39">
        <f ca="1">IFERROR(__xludf.DUMMYFUNCTION("IF(SUM(COUNTIF(artists!A:A, SPLIT(D9, "",""))) &gt; 0, ""UA"", 0)"),0)</f>
        <v>0</v>
      </c>
      <c r="J9" s="40" t="str">
        <f ca="1">IFERROR(__xludf.DUMMYFUNCTION("IF(SUM(COUNTIF(artists!C:C, SPLIT(D9, "",""))) &gt; 0, ""RU"", 0)"),"RU")</f>
        <v>RU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B10" s="21">
        <v>10</v>
      </c>
      <c r="C10" s="21" t="s">
        <v>145</v>
      </c>
      <c r="D10" s="21" t="s">
        <v>146</v>
      </c>
      <c r="E10" s="21">
        <v>25</v>
      </c>
      <c r="F10" s="21">
        <v>459773</v>
      </c>
      <c r="G10" s="42">
        <v>3.7999999999999999E-2</v>
      </c>
      <c r="H10" s="21" t="s">
        <v>148</v>
      </c>
      <c r="I10" s="39" t="str">
        <f ca="1">IFERROR(__xludf.DUMMYFUNCTION("IF(SUM(COUNTIF(artists!A:A, SPLIT(D10, "",""))) &gt; 0, ""UA"", 0)"),"UA")</f>
        <v>UA</v>
      </c>
      <c r="J10" s="40">
        <f ca="1">IFERROR(__xludf.DUMMYFUNCTION("IF(SUM(COUNTIF(artists!C:C, SPLIT(D10, "",""))) &gt; 0, ""RU"", 0)"),0)</f>
        <v>0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B11" s="21">
        <v>12</v>
      </c>
      <c r="C11" s="21" t="s">
        <v>202</v>
      </c>
      <c r="D11" s="21" t="s">
        <v>835</v>
      </c>
      <c r="E11" s="21">
        <v>21</v>
      </c>
      <c r="F11" s="21">
        <v>442954</v>
      </c>
      <c r="G11" s="42">
        <v>6.6000000000000003E-2</v>
      </c>
      <c r="H11" s="21" t="s">
        <v>204</v>
      </c>
      <c r="I11" s="39" t="str">
        <f ca="1">IFERROR(__xludf.DUMMYFUNCTION("IF(SUM(COUNTIF(artists!A:A, SPLIT(D11, "",""))) &gt; 0, ""UA"", 0)"),"UA")</f>
        <v>UA</v>
      </c>
      <c r="J11" s="40">
        <f ca="1">IFERROR(__xludf.DUMMYFUNCTION("IF(SUM(COUNTIF(artists!C:C, SPLIT(D11, "",""))) &gt; 0, ""RU"", 0)"),0)</f>
        <v>0</v>
      </c>
      <c r="K11" s="39">
        <f ca="1">IFERROR(__xludf.DUMMYFUNCTION("IF(SUM(COUNTIF(artists!E:E, SPLIT(D11, "",""))) &gt; 0, ""OTHER"", 0)"),0)</f>
        <v>0</v>
      </c>
    </row>
    <row r="12" spans="1:11" ht="14.25" customHeight="1">
      <c r="A12" s="21">
        <v>11</v>
      </c>
      <c r="B12" s="21">
        <v>7</v>
      </c>
      <c r="C12" s="21" t="s">
        <v>175</v>
      </c>
      <c r="D12" s="21" t="s">
        <v>89</v>
      </c>
      <c r="E12" s="21">
        <v>31</v>
      </c>
      <c r="F12" s="21">
        <v>433948</v>
      </c>
      <c r="G12" s="42">
        <v>-9.2999999999999999E-2</v>
      </c>
      <c r="H12" s="21" t="s">
        <v>177</v>
      </c>
      <c r="I12" s="39" t="str">
        <f ca="1">IFERROR(__xludf.DUMMYFUNCTION("IF(SUM(COUNTIF(artists!A:A, SPLIT(D12, "",""))) &gt; 0, ""UA"", 0)"),"UA")</f>
        <v>UA</v>
      </c>
      <c r="J12" s="40">
        <f ca="1">IFERROR(__xludf.DUMMYFUNCTION("IF(SUM(COUNTIF(artists!C:C, SPLIT(D12, "",""))) &gt; 0, ""RU"", 0)"),0)</f>
        <v>0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C13" s="21" t="s">
        <v>861</v>
      </c>
      <c r="D13" s="21" t="s">
        <v>862</v>
      </c>
      <c r="E13" s="21">
        <v>1</v>
      </c>
      <c r="F13" s="21">
        <v>428628</v>
      </c>
      <c r="H13" s="21" t="s">
        <v>327</v>
      </c>
      <c r="I13" s="39" t="str">
        <f ca="1">IFERROR(__xludf.DUMMYFUNCTION("IF(SUM(COUNTIF(artists!A:A, SPLIT(D13, "",""))) &gt; 0, ""UA"", 0)"),"UA")</f>
        <v>UA</v>
      </c>
      <c r="J13" s="40">
        <f ca="1">IFERROR(__xludf.DUMMYFUNCTION("IF(SUM(COUNTIF(artists!C:C, SPLIT(D13, "",""))) &gt; 0, ""RU"", 0)"),0)</f>
        <v>0</v>
      </c>
      <c r="K13" s="39">
        <f ca="1">IFERROR(__xludf.DUMMYFUNCTION("IF(SUM(COUNTIF(artists!E:E, SPLIT(D13, "",""))) &gt; 0, ""OTHER"", 0)"),0)</f>
        <v>0</v>
      </c>
    </row>
    <row r="14" spans="1:11" ht="14.25" customHeight="1">
      <c r="A14" s="21">
        <v>13</v>
      </c>
      <c r="B14" s="21">
        <v>13</v>
      </c>
      <c r="C14" s="21" t="s">
        <v>149</v>
      </c>
      <c r="D14" s="21" t="s">
        <v>150</v>
      </c>
      <c r="E14" s="21">
        <v>24</v>
      </c>
      <c r="F14" s="21">
        <v>416519</v>
      </c>
      <c r="G14" s="42">
        <v>1.2E-2</v>
      </c>
      <c r="H14" s="21" t="s">
        <v>152</v>
      </c>
      <c r="I14" s="39" t="str">
        <f ca="1">IFERROR(__xludf.DUMMYFUNCTION("IF(SUM(COUNTIF(artists!A:A, SPLIT(D14, "",""))) &gt; 0, ""UA"", 0)"),"UA")</f>
        <v>UA</v>
      </c>
      <c r="J14" s="40">
        <f ca="1">IFERROR(__xludf.DUMMYFUNCTION("IF(SUM(COUNTIF(artists!C:C, SPLIT(D14, "",""))) &gt; 0, ""RU"", 0)"),0)</f>
        <v>0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B15" s="21">
        <v>11</v>
      </c>
      <c r="C15" s="21" t="s">
        <v>182</v>
      </c>
      <c r="D15" s="21" t="s">
        <v>183</v>
      </c>
      <c r="E15" s="21">
        <v>27</v>
      </c>
      <c r="F15" s="21">
        <v>404793</v>
      </c>
      <c r="G15" s="42">
        <v>-3.7999999999999999E-2</v>
      </c>
      <c r="H15" s="21" t="s">
        <v>185</v>
      </c>
      <c r="I15" s="39" t="str">
        <f ca="1">IFERROR(__xludf.DUMMYFUNCTION("IF(SUM(COUNTIF(artists!A:A, SPLIT(D15, "",""))) &gt; 0, ""UA"", 0)"),"UA")</f>
        <v>UA</v>
      </c>
      <c r="J15" s="40">
        <f ca="1">IFERROR(__xludf.DUMMYFUNCTION("IF(SUM(COUNTIF(artists!C:C, SPLIT(D15, "",""))) &gt; 0, ""RU"", 0)"),0)</f>
        <v>0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B16" s="21">
        <v>9</v>
      </c>
      <c r="C16" s="21" t="s">
        <v>351</v>
      </c>
      <c r="D16" s="21" t="s">
        <v>352</v>
      </c>
      <c r="E16" s="21">
        <v>7</v>
      </c>
      <c r="F16" s="21">
        <v>389576</v>
      </c>
      <c r="G16" s="42">
        <v>-0.14899999999999999</v>
      </c>
      <c r="H16" s="21" t="s">
        <v>354</v>
      </c>
      <c r="I16" s="39" t="str">
        <f ca="1">IFERROR(__xludf.DUMMYFUNCTION("IF(SUM(COUNTIF(artists!A:A, SPLIT(D16, "",""))) &gt; 0, ""UA"", 0)"),"UA")</f>
        <v>UA</v>
      </c>
      <c r="J16" s="40">
        <f ca="1">IFERROR(__xludf.DUMMYFUNCTION("IF(SUM(COUNTIF(artists!C:C, SPLIT(D16, "",""))) &gt; 0, ""RU"", 0)"),0)</f>
        <v>0</v>
      </c>
      <c r="K16" s="39">
        <f ca="1">IFERROR(__xludf.DUMMYFUNCTION("IF(SUM(COUNTIF(artists!E:E, SPLIT(D16, "",""))) &gt; 0, ""OTHER"", 0)"),0)</f>
        <v>0</v>
      </c>
    </row>
    <row r="17" spans="1:11" ht="14.25" customHeight="1">
      <c r="A17" s="21">
        <v>16</v>
      </c>
      <c r="B17" s="21">
        <v>18</v>
      </c>
      <c r="C17" s="21" t="s">
        <v>171</v>
      </c>
      <c r="D17" s="21" t="s">
        <v>172</v>
      </c>
      <c r="E17" s="21">
        <v>26</v>
      </c>
      <c r="F17" s="21">
        <v>377800</v>
      </c>
      <c r="G17" s="43">
        <v>0.06</v>
      </c>
      <c r="H17" s="21" t="s">
        <v>174</v>
      </c>
      <c r="I17" s="39">
        <f ca="1">IFERROR(__xludf.DUMMYFUNCTION("IF(SUM(COUNTIF(artists!A:A, SPLIT(D17, "",""))) &gt; 0, ""UA"", 0)"),0)</f>
        <v>0</v>
      </c>
      <c r="J17" s="40" t="str">
        <f ca="1">IFERROR(__xludf.DUMMYFUNCTION("IF(SUM(COUNTIF(artists!C:C, SPLIT(D17, "",""))) &gt; 0, ""RU"", 0)"),"RU")</f>
        <v>RU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B18" s="21">
        <v>14</v>
      </c>
      <c r="C18" s="21" t="s">
        <v>168</v>
      </c>
      <c r="D18" s="21" t="s">
        <v>137</v>
      </c>
      <c r="E18" s="21">
        <v>22</v>
      </c>
      <c r="F18" s="21">
        <v>376467</v>
      </c>
      <c r="G18" s="42">
        <v>-8.1000000000000003E-2</v>
      </c>
      <c r="H18" s="21" t="s">
        <v>170</v>
      </c>
      <c r="I18" s="39" t="str">
        <f ca="1">IFERROR(__xludf.DUMMYFUNCTION("IF(SUM(COUNTIF(artists!A:A, SPLIT(D18, "",""))) &gt; 0, ""UA"", 0)"),"UA")</f>
        <v>UA</v>
      </c>
      <c r="J18" s="40">
        <f ca="1">IFERROR(__xludf.DUMMYFUNCTION("IF(SUM(COUNTIF(artists!C:C, SPLIT(D18, "",""))) &gt; 0, ""RU"", 0)"),0)</f>
        <v>0</v>
      </c>
      <c r="K18" s="39">
        <f ca="1">IFERROR(__xludf.DUMMYFUNCTION("IF(SUM(COUNTIF(artists!E:E, SPLIT(D18, "",""))) &gt; 0, ""OTHER"", 0)"),0)</f>
        <v>0</v>
      </c>
    </row>
    <row r="19" spans="1:11" ht="14.25" customHeight="1">
      <c r="A19" s="21">
        <v>18</v>
      </c>
      <c r="B19" s="21">
        <v>19</v>
      </c>
      <c r="C19" s="21" t="s">
        <v>194</v>
      </c>
      <c r="D19" s="21" t="s">
        <v>195</v>
      </c>
      <c r="E19" s="21">
        <v>34</v>
      </c>
      <c r="F19" s="21">
        <v>364714</v>
      </c>
      <c r="G19" s="42">
        <v>3.2000000000000001E-2</v>
      </c>
      <c r="H19" s="21" t="s">
        <v>197</v>
      </c>
      <c r="I19" s="39" t="str">
        <f ca="1">IFERROR(__xludf.DUMMYFUNCTION("IF(SUM(COUNTIF(artists!A:A, SPLIT(D19, "",""))) &gt; 0, ""UA"", 0)"),"UA")</f>
        <v>UA</v>
      </c>
      <c r="J19" s="40">
        <f ca="1">IFERROR(__xludf.DUMMYFUNCTION("IF(SUM(COUNTIF(artists!C:C, SPLIT(D19, "",""))) &gt; 0, ""RU"", 0)"),0)</f>
        <v>0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B20" s="21">
        <v>16</v>
      </c>
      <c r="C20" s="21" t="s">
        <v>286</v>
      </c>
      <c r="D20" s="21" t="s">
        <v>287</v>
      </c>
      <c r="E20" s="21">
        <v>6</v>
      </c>
      <c r="F20" s="21">
        <v>357600</v>
      </c>
      <c r="G20" s="42">
        <v>-3.9E-2</v>
      </c>
      <c r="H20" s="21" t="s">
        <v>289</v>
      </c>
      <c r="I20" s="39">
        <f ca="1">IFERROR(__xludf.DUMMYFUNCTION("IF(SUM(COUNTIF(artists!A:A, SPLIT(D20, "",""))) &gt; 0, ""UA"", 0)"),0)</f>
        <v>0</v>
      </c>
      <c r="J20" s="40" t="str">
        <f ca="1">IFERROR(__xludf.DUMMYFUNCTION("IF(SUM(COUNTIF(artists!C:C, SPLIT(D20, "",""))) &gt; 0, ""RU"", 0)"),"RU")</f>
        <v>RU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B21" s="21">
        <v>15</v>
      </c>
      <c r="C21" s="21" t="s">
        <v>186</v>
      </c>
      <c r="D21" s="21" t="s">
        <v>187</v>
      </c>
      <c r="E21" s="21">
        <v>35</v>
      </c>
      <c r="F21" s="21">
        <v>357036</v>
      </c>
      <c r="G21" s="42">
        <v>-4.8000000000000001E-2</v>
      </c>
      <c r="H21" s="21" t="s">
        <v>189</v>
      </c>
      <c r="I21" s="39" t="str">
        <f ca="1">IFERROR(__xludf.DUMMYFUNCTION("IF(SUM(COUNTIF(artists!A:A, SPLIT(D21, "",""))) &gt; 0, ""UA"", 0)"),"UA")</f>
        <v>UA</v>
      </c>
      <c r="J21" s="40">
        <f ca="1">IFERROR(__xludf.DUMMYFUNCTION("IF(SUM(COUNTIF(artists!C:C, SPLIT(D21, "",""))) &gt; 0, ""RU"", 0)"),0)</f>
        <v>0</v>
      </c>
      <c r="K21" s="39">
        <f ca="1">IFERROR(__xludf.DUMMYFUNCTION("IF(SUM(COUNTIF(artists!E:E, SPLIT(D21, "",""))) &gt; 0, ""OTHER"", 0)"),0)</f>
        <v>0</v>
      </c>
    </row>
    <row r="22" spans="1:11" ht="14.25" customHeight="1">
      <c r="A22" s="21">
        <v>21</v>
      </c>
      <c r="B22" s="21">
        <v>46</v>
      </c>
      <c r="C22" s="21" t="s">
        <v>124</v>
      </c>
      <c r="D22" s="21" t="s">
        <v>125</v>
      </c>
      <c r="E22" s="21">
        <v>2</v>
      </c>
      <c r="F22" s="21">
        <v>353179</v>
      </c>
      <c r="G22" s="42">
        <v>0.55900000000000005</v>
      </c>
      <c r="H22" s="21" t="s">
        <v>127</v>
      </c>
      <c r="I22" s="39">
        <f ca="1">IFERROR(__xludf.DUMMYFUNCTION("IF(SUM(COUNTIF(artists!A:A, SPLIT(D22, "",""))) &gt; 0, ""UA"", 0)"),0)</f>
        <v>0</v>
      </c>
      <c r="J22" s="40" t="str">
        <f ca="1">IFERROR(__xludf.DUMMYFUNCTION("IF(SUM(COUNTIF(artists!C:C, SPLIT(D22, "",""))) &gt; 0, ""RU"", 0)"),"RU")</f>
        <v>RU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B23" s="21">
        <v>27</v>
      </c>
      <c r="C23" s="21" t="s">
        <v>968</v>
      </c>
      <c r="D23" s="21" t="s">
        <v>969</v>
      </c>
      <c r="E23" s="21">
        <v>51</v>
      </c>
      <c r="F23" s="21">
        <v>328594</v>
      </c>
      <c r="G23" s="42">
        <v>9.0999999999999998E-2</v>
      </c>
      <c r="H23" s="21" t="s">
        <v>970</v>
      </c>
      <c r="I23" s="39" t="str">
        <f ca="1">IFERROR(__xludf.DUMMYFUNCTION("IF(SUM(COUNTIF(artists!A:A, SPLIT(D23, "",""))) &gt; 0, ""UA"", 0)"),"UA")</f>
        <v>UA</v>
      </c>
      <c r="J23" s="40">
        <f ca="1">IFERROR(__xludf.DUMMYFUNCTION("IF(SUM(COUNTIF(artists!C:C, SPLIT(D23, "",""))) &gt; 0, ""RU"", 0)"),0)</f>
        <v>0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B24" s="21">
        <v>23</v>
      </c>
      <c r="C24" s="21" t="s">
        <v>209</v>
      </c>
      <c r="D24" s="21" t="s">
        <v>210</v>
      </c>
      <c r="E24" s="21">
        <v>24</v>
      </c>
      <c r="F24" s="21">
        <v>315391</v>
      </c>
      <c r="G24" s="42">
        <v>-2.8000000000000001E-2</v>
      </c>
      <c r="H24" s="21" t="s">
        <v>212</v>
      </c>
      <c r="I24" s="39" t="str">
        <f ca="1">IFERROR(__xludf.DUMMYFUNCTION("IF(SUM(COUNTIF(artists!A:A, SPLIT(D24, "",""))) &gt; 0, ""UA"", 0)"),"UA")</f>
        <v>UA</v>
      </c>
      <c r="J24" s="40">
        <f ca="1">IFERROR(__xludf.DUMMYFUNCTION("IF(SUM(COUNTIF(artists!C:C, SPLIT(D24, "",""))) &gt; 0, ""RU"", 0)"),0)</f>
        <v>0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B25" s="21">
        <v>29</v>
      </c>
      <c r="C25" s="21" t="s">
        <v>178</v>
      </c>
      <c r="D25" s="21" t="s">
        <v>179</v>
      </c>
      <c r="E25" s="21">
        <v>35</v>
      </c>
      <c r="F25" s="21">
        <v>306298</v>
      </c>
      <c r="G25" s="42">
        <v>3.9E-2</v>
      </c>
      <c r="H25" s="21" t="s">
        <v>181</v>
      </c>
      <c r="I25" s="39" t="str">
        <f ca="1">IFERROR(__xludf.DUMMYFUNCTION("IF(SUM(COUNTIF(artists!A:A, SPLIT(D25, "",""))) &gt; 0, ""UA"", 0)"),"UA")</f>
        <v>UA</v>
      </c>
      <c r="J25" s="40">
        <f ca="1">IFERROR(__xludf.DUMMYFUNCTION("IF(SUM(COUNTIF(artists!C:C, SPLIT(D25, "",""))) &gt; 0, ""RU"", 0)"),0)</f>
        <v>0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C26" s="21" t="s">
        <v>947</v>
      </c>
      <c r="D26" s="21" t="s">
        <v>776</v>
      </c>
      <c r="E26" s="21">
        <v>1</v>
      </c>
      <c r="F26" s="21">
        <v>304732</v>
      </c>
      <c r="H26" s="21" t="s">
        <v>948</v>
      </c>
      <c r="I26" s="39" t="str">
        <f ca="1">IFERROR(__xludf.DUMMYFUNCTION("IF(SUM(COUNTIF(artists!A:A, SPLIT(D26, "",""))) &gt; 0, ""UA"", 0)"),"UA")</f>
        <v>UA</v>
      </c>
      <c r="J26" s="40">
        <f ca="1">IFERROR(__xludf.DUMMYFUNCTION("IF(SUM(COUNTIF(artists!C:C, SPLIT(D26, "",""))) &gt; 0, ""RU"", 0)"),0)</f>
        <v>0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B27" s="21">
        <v>21</v>
      </c>
      <c r="C27" s="21" t="s">
        <v>844</v>
      </c>
      <c r="D27" s="21" t="s">
        <v>457</v>
      </c>
      <c r="E27" s="21">
        <v>11</v>
      </c>
      <c r="F27" s="21">
        <v>303523</v>
      </c>
      <c r="G27" s="42">
        <v>-7.8E-2</v>
      </c>
      <c r="H27" s="21" t="s">
        <v>459</v>
      </c>
      <c r="I27" s="39">
        <f ca="1">IFERROR(__xludf.DUMMYFUNCTION("IF(SUM(COUNTIF(artists!A:A, SPLIT(D27, "",""))) &gt; 0, ""UA"", 0)"),0)</f>
        <v>0</v>
      </c>
      <c r="J27" s="40">
        <f ca="1">IFERROR(__xludf.DUMMYFUNCTION("IF(SUM(COUNTIF(artists!C:C, SPLIT(D27, "",""))) &gt; 0, ""RU"", 0)"),0)</f>
        <v>0</v>
      </c>
      <c r="K27" s="39" t="str">
        <f ca="1">IFERROR(__xludf.DUMMYFUNCTION("IF(SUM(COUNTIF(artists!E:E, SPLIT(D27, "",""))) &gt; 0, ""OTHER"", 0)"),"OTHER")</f>
        <v>OTHER</v>
      </c>
    </row>
    <row r="28" spans="1:11" ht="14.25" customHeight="1">
      <c r="A28" s="21">
        <v>27</v>
      </c>
      <c r="B28" s="21">
        <v>25</v>
      </c>
      <c r="C28" s="21" t="s">
        <v>500</v>
      </c>
      <c r="D28" s="21" t="s">
        <v>501</v>
      </c>
      <c r="E28" s="21">
        <v>10</v>
      </c>
      <c r="F28" s="21">
        <v>297895</v>
      </c>
      <c r="G28" s="42">
        <v>-7.5999999999999998E-2</v>
      </c>
      <c r="H28" s="21" t="s">
        <v>503</v>
      </c>
      <c r="I28" s="39">
        <f ca="1">IFERROR(__xludf.DUMMYFUNCTION("IF(SUM(COUNTIF(artists!A:A, SPLIT(D28, "",""))) &gt; 0, ""UA"", 0)"),0)</f>
        <v>0</v>
      </c>
      <c r="J28" s="40" t="str">
        <f ca="1">IFERROR(__xludf.DUMMYFUNCTION("IF(SUM(COUNTIF(artists!C:C, SPLIT(D28, "",""))) &gt; 0, ""RU"", 0)"),"RU")</f>
        <v>RU</v>
      </c>
      <c r="K28" s="39">
        <f ca="1">IFERROR(__xludf.DUMMYFUNCTION("IF(SUM(COUNTIF(artists!E:E, SPLIT(D28, "",""))) &gt; 0, ""OTHER"", 0)"),0)</f>
        <v>0</v>
      </c>
    </row>
    <row r="29" spans="1:11" ht="14.25" customHeight="1">
      <c r="A29" s="21">
        <v>28</v>
      </c>
      <c r="B29" s="21">
        <v>20</v>
      </c>
      <c r="C29" s="21" t="s">
        <v>190</v>
      </c>
      <c r="D29" s="21" t="s">
        <v>191</v>
      </c>
      <c r="E29" s="21">
        <v>6</v>
      </c>
      <c r="F29" s="21">
        <v>294071</v>
      </c>
      <c r="G29" s="42">
        <v>-0.14199999999999999</v>
      </c>
      <c r="H29" s="21" t="s">
        <v>193</v>
      </c>
      <c r="I29" s="39" t="str">
        <f ca="1">IFERROR(__xludf.DUMMYFUNCTION("IF(SUM(COUNTIF(artists!A:A, SPLIT(D29, "",""))) &gt; 0, ""UA"", 0)"),"UA")</f>
        <v>UA</v>
      </c>
      <c r="J29" s="40">
        <f ca="1">IFERROR(__xludf.DUMMYFUNCTION("IF(SUM(COUNTIF(artists!C:C, SPLIT(D29, "",""))) &gt; 0, ""RU"", 0)"),0)</f>
        <v>0</v>
      </c>
      <c r="K29" s="39">
        <f ca="1">IFERROR(__xludf.DUMMYFUNCTION("IF(SUM(COUNTIF(artists!E:E, SPLIT(D29, "",""))) &gt; 0, ""OTHER"", 0)"),0)</f>
        <v>0</v>
      </c>
    </row>
    <row r="30" spans="1:11" ht="14.25" customHeight="1">
      <c r="A30" s="21">
        <v>29</v>
      </c>
      <c r="B30" s="21">
        <v>28</v>
      </c>
      <c r="C30" s="21" t="s">
        <v>841</v>
      </c>
      <c r="D30" s="21" t="s">
        <v>842</v>
      </c>
      <c r="E30" s="21">
        <v>36</v>
      </c>
      <c r="F30" s="21">
        <v>284514</v>
      </c>
      <c r="G30" s="42">
        <v>-4.2000000000000003E-2</v>
      </c>
      <c r="H30" s="21" t="s">
        <v>843</v>
      </c>
      <c r="I30" s="39">
        <f ca="1">IFERROR(__xludf.DUMMYFUNCTION("IF(SUM(COUNTIF(artists!A:A, SPLIT(D30, "",""))) &gt; 0, ""UA"", 0)"),0)</f>
        <v>0</v>
      </c>
      <c r="J30" s="40">
        <f ca="1">IFERROR(__xludf.DUMMYFUNCTION("IF(SUM(COUNTIF(artists!C:C, SPLIT(D30, "",""))) &gt; 0, ""RU"", 0)"),0)</f>
        <v>0</v>
      </c>
      <c r="K30" s="39" t="str">
        <f ca="1">IFERROR(__xludf.DUMMYFUNCTION("IF(SUM(COUNTIF(artists!E:E, SPLIT(D30, "",""))) &gt; 0, ""OTHER"", 0)"),"OTHER")</f>
        <v>OTHER</v>
      </c>
    </row>
    <row r="31" spans="1:11" ht="14.25" customHeight="1">
      <c r="A31" s="21">
        <v>30</v>
      </c>
      <c r="B31" s="21">
        <v>31</v>
      </c>
      <c r="C31" s="21" t="s">
        <v>160</v>
      </c>
      <c r="D31" s="21" t="s">
        <v>161</v>
      </c>
      <c r="E31" s="21">
        <v>25</v>
      </c>
      <c r="F31" s="21">
        <v>281610</v>
      </c>
      <c r="G31" s="42">
        <v>2.5000000000000001E-2</v>
      </c>
      <c r="H31" s="21" t="s">
        <v>163</v>
      </c>
      <c r="I31" s="39" t="str">
        <f ca="1">IFERROR(__xludf.DUMMYFUNCTION("IF(SUM(COUNTIF(artists!A:A, SPLIT(D31, "",""))) &gt; 0, ""UA"", 0)"),"UA")</f>
        <v>UA</v>
      </c>
      <c r="J31" s="40">
        <f ca="1">IFERROR(__xludf.DUMMYFUNCTION("IF(SUM(COUNTIF(artists!C:C, SPLIT(D31, "",""))) &gt; 0, ""RU"", 0)"),0)</f>
        <v>0</v>
      </c>
      <c r="K31" s="39">
        <f ca="1">IFERROR(__xludf.DUMMYFUNCTION("IF(SUM(COUNTIF(artists!E:E, SPLIT(D31, "",""))) &gt; 0, ""OTHER"", 0)"),0)</f>
        <v>0</v>
      </c>
    </row>
    <row r="32" spans="1:11" ht="14.25" customHeight="1">
      <c r="A32" s="21">
        <v>31</v>
      </c>
      <c r="C32" s="21" t="s">
        <v>814</v>
      </c>
      <c r="D32" s="21" t="s">
        <v>815</v>
      </c>
      <c r="E32" s="21">
        <v>1</v>
      </c>
      <c r="F32" s="21">
        <v>273170</v>
      </c>
      <c r="H32" s="21" t="s">
        <v>817</v>
      </c>
      <c r="I32" s="39">
        <f ca="1">IFERROR(__xludf.DUMMYFUNCTION("IF(SUM(COUNTIF(artists!A:A, SPLIT(D32, "",""))) &gt; 0, ""UA"", 0)"),0)</f>
        <v>0</v>
      </c>
      <c r="J32" s="40" t="str">
        <f ca="1">IFERROR(__xludf.DUMMYFUNCTION("IF(SUM(COUNTIF(artists!C:C, SPLIT(D32, "",""))) &gt; 0, ""RU"", 0)"),"RU")</f>
        <v>RU</v>
      </c>
      <c r="K32" s="39">
        <f ca="1">IFERROR(__xludf.DUMMYFUNCTION("IF(SUM(COUNTIF(artists!E:E, SPLIT(D32, "",""))) &gt; 0, ""OTHER"", 0)"),0)</f>
        <v>0</v>
      </c>
    </row>
    <row r="33" spans="1:11" ht="14.25" customHeight="1">
      <c r="A33" s="21">
        <v>32</v>
      </c>
      <c r="B33" s="21">
        <v>40</v>
      </c>
      <c r="C33" s="21" t="s">
        <v>653</v>
      </c>
      <c r="D33" s="21" t="s">
        <v>85</v>
      </c>
      <c r="E33" s="21">
        <v>7</v>
      </c>
      <c r="F33" s="21">
        <v>258491</v>
      </c>
      <c r="G33" s="42">
        <v>8.7999999999999995E-2</v>
      </c>
      <c r="H33" s="21" t="s">
        <v>655</v>
      </c>
      <c r="I33" s="39" t="str">
        <f ca="1">IFERROR(__xludf.DUMMYFUNCTION("IF(SUM(COUNTIF(artists!A:A, SPLIT(D33, "",""))) &gt; 0, ""UA"", 0)"),"UA")</f>
        <v>UA</v>
      </c>
      <c r="J33" s="40">
        <f ca="1">IFERROR(__xludf.DUMMYFUNCTION("IF(SUM(COUNTIF(artists!C:C, SPLIT(D33, "",""))) &gt; 0, ""RU"", 0)"),0)</f>
        <v>0</v>
      </c>
      <c r="K33" s="39">
        <f ca="1">IFERROR(__xludf.DUMMYFUNCTION("IF(SUM(COUNTIF(artists!E:E, SPLIT(D33, "",""))) &gt; 0, ""OTHER"", 0)"),0)</f>
        <v>0</v>
      </c>
    </row>
    <row r="34" spans="1:11" ht="14.25" customHeight="1">
      <c r="A34" s="21">
        <v>33</v>
      </c>
      <c r="B34" s="21">
        <v>61</v>
      </c>
      <c r="C34" s="21" t="s">
        <v>924</v>
      </c>
      <c r="D34" s="21" t="s">
        <v>466</v>
      </c>
      <c r="E34" s="21">
        <v>2</v>
      </c>
      <c r="F34" s="21">
        <v>251366</v>
      </c>
      <c r="G34" s="42">
        <v>0.45300000000000001</v>
      </c>
      <c r="H34" s="21" t="s">
        <v>925</v>
      </c>
      <c r="I34" s="39" t="str">
        <f ca="1">IFERROR(__xludf.DUMMYFUNCTION("IF(SUM(COUNTIF(artists!A:A, SPLIT(D34, "",""))) &gt; 0, ""UA"", 0)"),"UA")</f>
        <v>UA</v>
      </c>
      <c r="J34" s="40">
        <f ca="1">IFERROR(__xludf.DUMMYFUNCTION("IF(SUM(COUNTIF(artists!C:C, SPLIT(D34, "",""))) &gt; 0, ""RU"", 0)"),0)</f>
        <v>0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B35" s="21">
        <v>32</v>
      </c>
      <c r="C35" s="21" t="s">
        <v>198</v>
      </c>
      <c r="D35" s="21" t="s">
        <v>199</v>
      </c>
      <c r="E35" s="21">
        <v>12</v>
      </c>
      <c r="F35" s="21">
        <v>244756</v>
      </c>
      <c r="G35" s="42">
        <v>-0.104</v>
      </c>
      <c r="H35" s="21" t="s">
        <v>201</v>
      </c>
      <c r="I35" s="39" t="str">
        <f ca="1">IFERROR(__xludf.DUMMYFUNCTION("IF(SUM(COUNTIF(artists!A:A, SPLIT(D35, "",""))) &gt; 0, ""UA"", 0)"),"UA")</f>
        <v>UA</v>
      </c>
      <c r="J35" s="40">
        <f ca="1">IFERROR(__xludf.DUMMYFUNCTION("IF(SUM(COUNTIF(artists!C:C, SPLIT(D35, "",""))) &gt; 0, ""RU"", 0)"),0)</f>
        <v>0</v>
      </c>
      <c r="K35" s="39">
        <f ca="1">IFERROR(__xludf.DUMMYFUNCTION("IF(SUM(COUNTIF(artists!E:E, SPLIT(D35, "",""))) &gt; 0, ""OTHER"", 0)"),0)</f>
        <v>0</v>
      </c>
    </row>
    <row r="36" spans="1:11" ht="14.25" customHeight="1">
      <c r="A36" s="21">
        <v>35</v>
      </c>
      <c r="B36" s="21">
        <v>35</v>
      </c>
      <c r="C36" s="21" t="s">
        <v>251</v>
      </c>
      <c r="D36" s="21" t="s">
        <v>133</v>
      </c>
      <c r="E36" s="21">
        <v>16</v>
      </c>
      <c r="F36" s="21">
        <v>240436</v>
      </c>
      <c r="G36" s="42">
        <v>-2.1999999999999999E-2</v>
      </c>
      <c r="H36" s="21" t="s">
        <v>252</v>
      </c>
      <c r="I36" s="39" t="str">
        <f ca="1">IFERROR(__xludf.DUMMYFUNCTION("IF(SUM(COUNTIF(artists!A:A, SPLIT(D36, "",""))) &gt; 0, ""UA"", 0)"),"UA")</f>
        <v>UA</v>
      </c>
      <c r="J36" s="40">
        <f ca="1">IFERROR(__xludf.DUMMYFUNCTION("IF(SUM(COUNTIF(artists!C:C, SPLIT(D36, "",""))) &gt; 0, ""RU"", 0)"),0)</f>
        <v>0</v>
      </c>
      <c r="K36" s="39">
        <f ca="1">IFERROR(__xludf.DUMMYFUNCTION("IF(SUM(COUNTIF(artists!E:E, SPLIT(D36, "",""))) &gt; 0, ""OTHER"", 0)"),0)</f>
        <v>0</v>
      </c>
    </row>
    <row r="37" spans="1:11" ht="14.25" customHeight="1">
      <c r="A37" s="21">
        <v>36</v>
      </c>
      <c r="B37" s="21">
        <v>22</v>
      </c>
      <c r="C37" s="21" t="s">
        <v>775</v>
      </c>
      <c r="D37" s="21" t="s">
        <v>776</v>
      </c>
      <c r="E37" s="21">
        <v>3</v>
      </c>
      <c r="F37" s="21">
        <v>238601</v>
      </c>
      <c r="G37" s="42">
        <v>-0.27200000000000002</v>
      </c>
      <c r="H37" s="21" t="s">
        <v>777</v>
      </c>
      <c r="I37" s="39" t="str">
        <f ca="1">IFERROR(__xludf.DUMMYFUNCTION("IF(SUM(COUNTIF(artists!A:A, SPLIT(D37, "",""))) &gt; 0, ""UA"", 0)"),"UA")</f>
        <v>UA</v>
      </c>
      <c r="J37" s="40">
        <f ca="1">IFERROR(__xludf.DUMMYFUNCTION("IF(SUM(COUNTIF(artists!C:C, SPLIT(D37, "",""))) &gt; 0, ""RU"", 0)"),0)</f>
        <v>0</v>
      </c>
      <c r="K37" s="39">
        <f ca="1">IFERROR(__xludf.DUMMYFUNCTION("IF(SUM(COUNTIF(artists!E:E, SPLIT(D37, "",""))) &gt; 0, ""OTHER"", 0)"),0)</f>
        <v>0</v>
      </c>
    </row>
    <row r="38" spans="1:11" ht="14.25" customHeight="1">
      <c r="A38" s="21">
        <v>37</v>
      </c>
      <c r="C38" s="21" t="s">
        <v>261</v>
      </c>
      <c r="D38" s="21" t="s">
        <v>262</v>
      </c>
      <c r="E38" s="21">
        <v>1</v>
      </c>
      <c r="F38" s="21">
        <v>237171</v>
      </c>
      <c r="H38" s="21" t="s">
        <v>263</v>
      </c>
      <c r="I38" s="39" t="str">
        <f ca="1">IFERROR(__xludf.DUMMYFUNCTION("IF(SUM(COUNTIF(artists!A:A, SPLIT(D38, "",""))) &gt; 0, ""UA"", 0)"),"UA")</f>
        <v>UA</v>
      </c>
      <c r="J38" s="40">
        <f ca="1">IFERROR(__xludf.DUMMYFUNCTION("IF(SUM(COUNTIF(artists!C:C, SPLIT(D38, "",""))) &gt; 0, ""RU"", 0)"),0)</f>
        <v>0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B39" s="21">
        <v>44</v>
      </c>
      <c r="C39" s="21" t="s">
        <v>253</v>
      </c>
      <c r="D39" s="21" t="s">
        <v>89</v>
      </c>
      <c r="E39" s="21">
        <v>40</v>
      </c>
      <c r="F39" s="21">
        <v>236249</v>
      </c>
      <c r="G39" s="42">
        <v>2.8000000000000001E-2</v>
      </c>
      <c r="H39" s="21" t="s">
        <v>254</v>
      </c>
      <c r="I39" s="39" t="str">
        <f ca="1">IFERROR(__xludf.DUMMYFUNCTION("IF(SUM(COUNTIF(artists!A:A, SPLIT(D39, "",""))) &gt; 0, ""UA"", 0)"),"UA")</f>
        <v>UA</v>
      </c>
      <c r="J39" s="40">
        <f ca="1">IFERROR(__xludf.DUMMYFUNCTION("IF(SUM(COUNTIF(artists!C:C, SPLIT(D39, "",""))) &gt; 0, ""RU"", 0)"),0)</f>
        <v>0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B40" s="21">
        <v>43</v>
      </c>
      <c r="C40" s="21" t="s">
        <v>339</v>
      </c>
      <c r="D40" s="21" t="s">
        <v>340</v>
      </c>
      <c r="E40" s="21">
        <v>7</v>
      </c>
      <c r="F40" s="21">
        <v>231629</v>
      </c>
      <c r="G40" s="42">
        <v>-3.0000000000000001E-3</v>
      </c>
      <c r="H40" s="21" t="s">
        <v>342</v>
      </c>
      <c r="I40" s="39" t="str">
        <f ca="1">IFERROR(__xludf.DUMMYFUNCTION("IF(SUM(COUNTIF(artists!A:A, SPLIT(D40, "",""))) &gt; 0, ""UA"", 0)"),"UA")</f>
        <v>UA</v>
      </c>
      <c r="J40" s="40">
        <f ca="1">IFERROR(__xludf.DUMMYFUNCTION("IF(SUM(COUNTIF(artists!C:C, SPLIT(D40, "",""))) &gt; 0, ""RU"", 0)"),0)</f>
        <v>0</v>
      </c>
      <c r="K40" s="39">
        <f ca="1">IFERROR(__xludf.DUMMYFUNCTION("IF(SUM(COUNTIF(artists!E:E, SPLIT(D40, "",""))) &gt; 0, ""OTHER"", 0)"),0)</f>
        <v>0</v>
      </c>
    </row>
    <row r="41" spans="1:11" ht="14.25" customHeight="1">
      <c r="A41" s="21">
        <v>40</v>
      </c>
      <c r="B41" s="21">
        <v>45</v>
      </c>
      <c r="C41" s="21" t="s">
        <v>229</v>
      </c>
      <c r="D41" s="21" t="s">
        <v>230</v>
      </c>
      <c r="E41" s="21">
        <v>38</v>
      </c>
      <c r="F41" s="21">
        <v>227963</v>
      </c>
      <c r="G41" s="42">
        <v>1E-3</v>
      </c>
      <c r="H41" s="21" t="s">
        <v>232</v>
      </c>
      <c r="I41" s="39" t="str">
        <f ca="1">IFERROR(__xludf.DUMMYFUNCTION("IF(SUM(COUNTIF(artists!A:A, SPLIT(D41, "",""))) &gt; 0, ""UA"", 0)"),"UA")</f>
        <v>UA</v>
      </c>
      <c r="J41" s="40">
        <f ca="1">IFERROR(__xludf.DUMMYFUNCTION("IF(SUM(COUNTIF(artists!C:C, SPLIT(D41, "",""))) &gt; 0, ""RU"", 0)"),0)</f>
        <v>0</v>
      </c>
      <c r="K41" s="39">
        <f ca="1">IFERROR(__xludf.DUMMYFUNCTION("IF(SUM(COUNTIF(artists!E:E, SPLIT(D41, "",""))) &gt; 0, ""OTHER"", 0)"),0)</f>
        <v>0</v>
      </c>
    </row>
    <row r="42" spans="1:11" ht="14.25" customHeight="1">
      <c r="A42" s="21">
        <v>41</v>
      </c>
      <c r="B42" s="21">
        <v>42</v>
      </c>
      <c r="C42" s="21" t="s">
        <v>700</v>
      </c>
      <c r="D42" s="21" t="s">
        <v>701</v>
      </c>
      <c r="E42" s="21">
        <v>12</v>
      </c>
      <c r="F42" s="21">
        <v>227124</v>
      </c>
      <c r="G42" s="42">
        <v>-2.5999999999999999E-2</v>
      </c>
      <c r="H42" s="21" t="s">
        <v>702</v>
      </c>
      <c r="I42" s="39">
        <f ca="1">IFERROR(__xludf.DUMMYFUNCTION("IF(SUM(COUNTIF(artists!A:A, SPLIT(D42, "",""))) &gt; 0, ""UA"", 0)"),0)</f>
        <v>0</v>
      </c>
      <c r="J42" s="40" t="str">
        <f ca="1">IFERROR(__xludf.DUMMYFUNCTION("IF(SUM(COUNTIF(artists!C:C, SPLIT(D42, "",""))) &gt; 0, ""RU"", 0)"),"RU")</f>
        <v>RU</v>
      </c>
      <c r="K42" s="39">
        <f ca="1">IFERROR(__xludf.DUMMYFUNCTION("IF(SUM(COUNTIF(artists!E:E, SPLIT(D42, "",""))) &gt; 0, ""OTHER"", 0)"),0)</f>
        <v>0</v>
      </c>
    </row>
    <row r="43" spans="1:11" ht="14.25" customHeight="1">
      <c r="A43" s="21">
        <v>42</v>
      </c>
      <c r="B43" s="21">
        <v>24</v>
      </c>
      <c r="C43" s="21" t="s">
        <v>999</v>
      </c>
      <c r="D43" s="21" t="s">
        <v>1000</v>
      </c>
      <c r="E43" s="21">
        <v>2</v>
      </c>
      <c r="F43" s="21">
        <v>227059</v>
      </c>
      <c r="G43" s="42">
        <v>-0.29699999999999999</v>
      </c>
      <c r="H43" s="21" t="s">
        <v>1001</v>
      </c>
      <c r="I43" s="39">
        <f ca="1">IFERROR(__xludf.DUMMYFUNCTION("IF(SUM(COUNTIF(artists!A:A, SPLIT(D43, "",""))) &gt; 0, ""UA"", 0)"),0)</f>
        <v>0</v>
      </c>
      <c r="J43" s="40" t="str">
        <f ca="1">IFERROR(__xludf.DUMMYFUNCTION("IF(SUM(COUNTIF(artists!C:C, SPLIT(D43, "",""))) &gt; 0, ""RU"", 0)"),"RU")</f>
        <v>RU</v>
      </c>
      <c r="K43" s="39">
        <f ca="1">IFERROR(__xludf.DUMMYFUNCTION("IF(SUM(COUNTIF(artists!E:E, SPLIT(D43, "",""))) &gt; 0, ""OTHER"", 0)"),0)</f>
        <v>0</v>
      </c>
    </row>
    <row r="44" spans="1:11" ht="14.25" customHeight="1">
      <c r="A44" s="21">
        <v>43</v>
      </c>
      <c r="B44" s="21">
        <v>37</v>
      </c>
      <c r="C44" s="21" t="s">
        <v>594</v>
      </c>
      <c r="D44" s="21" t="s">
        <v>595</v>
      </c>
      <c r="E44" s="21">
        <v>19</v>
      </c>
      <c r="F44" s="21">
        <v>223550</v>
      </c>
      <c r="G44" s="43">
        <v>-0.08</v>
      </c>
      <c r="H44" s="21" t="s">
        <v>596</v>
      </c>
      <c r="I44" s="39" t="str">
        <f ca="1">IFERROR(__xludf.DUMMYFUNCTION("IF(SUM(COUNTIF(artists!A:A, SPLIT(D44, "",""))) &gt; 0, ""UA"", 0)"),"UA")</f>
        <v>UA</v>
      </c>
      <c r="J44" s="40">
        <f ca="1">IFERROR(__xludf.DUMMYFUNCTION("IF(SUM(COUNTIF(artists!C:C, SPLIT(D44, "",""))) &gt; 0, ""RU"", 0)"),0)</f>
        <v>0</v>
      </c>
      <c r="K44" s="39">
        <f ca="1">IFERROR(__xludf.DUMMYFUNCTION("IF(SUM(COUNTIF(artists!E:E, SPLIT(D44, "",""))) &gt; 0, ""OTHER"", 0)"),0)</f>
        <v>0</v>
      </c>
    </row>
    <row r="45" spans="1:11" ht="14.25" customHeight="1">
      <c r="A45" s="21">
        <v>44</v>
      </c>
      <c r="B45" s="21">
        <v>50</v>
      </c>
      <c r="C45" s="21" t="s">
        <v>508</v>
      </c>
      <c r="D45" s="21" t="s">
        <v>509</v>
      </c>
      <c r="E45" s="21">
        <v>12</v>
      </c>
      <c r="F45" s="21">
        <v>216567</v>
      </c>
      <c r="G45" s="42">
        <v>2.5000000000000001E-2</v>
      </c>
      <c r="H45" s="21" t="s">
        <v>510</v>
      </c>
      <c r="I45" s="39">
        <f ca="1">IFERROR(__xludf.DUMMYFUNCTION("IF(SUM(COUNTIF(artists!A:A, SPLIT(D45, "",""))) &gt; 0, ""UA"", 0)"),0)</f>
        <v>0</v>
      </c>
      <c r="J45" s="40" t="str">
        <f ca="1">IFERROR(__xludf.DUMMYFUNCTION("IF(SUM(COUNTIF(artists!C:C, SPLIT(D45, "",""))) &gt; 0, ""RU"", 0)"),"RU")</f>
        <v>RU</v>
      </c>
      <c r="K45" s="39">
        <f ca="1">IFERROR(__xludf.DUMMYFUNCTION("IF(SUM(COUNTIF(artists!E:E, SPLIT(D45, "",""))) &gt; 0, ""OTHER"", 0)"),0)</f>
        <v>0</v>
      </c>
    </row>
    <row r="46" spans="1:11" ht="14.25" customHeight="1">
      <c r="A46" s="21">
        <v>45</v>
      </c>
      <c r="B46" s="21">
        <v>39</v>
      </c>
      <c r="C46" s="21" t="s">
        <v>932</v>
      </c>
      <c r="D46" s="21" t="s">
        <v>933</v>
      </c>
      <c r="E46" s="21">
        <v>3</v>
      </c>
      <c r="F46" s="21">
        <v>216423</v>
      </c>
      <c r="G46" s="42">
        <v>-9.9000000000000005E-2</v>
      </c>
      <c r="H46" s="21" t="s">
        <v>934</v>
      </c>
      <c r="I46" s="39">
        <f ca="1">IFERROR(__xludf.DUMMYFUNCTION("IF(SUM(COUNTIF(artists!A:A, SPLIT(D46, "",""))) &gt; 0, ""UA"", 0)"),0)</f>
        <v>0</v>
      </c>
      <c r="J46" s="40" t="str">
        <f ca="1">IFERROR(__xludf.DUMMYFUNCTION("IF(SUM(COUNTIF(artists!C:C, SPLIT(D46, "",""))) &gt; 0, ""RU"", 0)"),"RU")</f>
        <v>RU</v>
      </c>
      <c r="K46" s="39">
        <f ca="1">IFERROR(__xludf.DUMMYFUNCTION("IF(SUM(COUNTIF(artists!E:E, SPLIT(D46, "",""))) &gt; 0, ""OTHER"", 0)"),0)</f>
        <v>0</v>
      </c>
    </row>
    <row r="47" spans="1:11" ht="14.25" customHeight="1">
      <c r="A47" s="21">
        <v>46</v>
      </c>
      <c r="B47" s="21">
        <v>48</v>
      </c>
      <c r="C47" s="21" t="s">
        <v>799</v>
      </c>
      <c r="D47" s="21" t="s">
        <v>494</v>
      </c>
      <c r="E47" s="21">
        <v>40</v>
      </c>
      <c r="F47" s="21">
        <v>216347</v>
      </c>
      <c r="G47" s="42">
        <v>4.0000000000000001E-3</v>
      </c>
      <c r="H47" s="21" t="s">
        <v>800</v>
      </c>
      <c r="I47" s="39" t="str">
        <f ca="1">IFERROR(__xludf.DUMMYFUNCTION("IF(SUM(COUNTIF(artists!A:A, SPLIT(D47, "",""))) &gt; 0, ""UA"", 0)"),"UA")</f>
        <v>UA</v>
      </c>
      <c r="J47" s="40">
        <f ca="1">IFERROR(__xludf.DUMMYFUNCTION("IF(SUM(COUNTIF(artists!C:C, SPLIT(D47, "",""))) &gt; 0, ""RU"", 0)"),0)</f>
        <v>0</v>
      </c>
      <c r="K47" s="39">
        <f ca="1">IFERROR(__xludf.DUMMYFUNCTION("IF(SUM(COUNTIF(artists!E:E, SPLIT(D47, "",""))) &gt; 0, ""OTHER"", 0)"),0)</f>
        <v>0</v>
      </c>
    </row>
    <row r="48" spans="1:11" ht="14.25" customHeight="1">
      <c r="A48" s="21">
        <v>47</v>
      </c>
      <c r="B48" s="21">
        <v>26</v>
      </c>
      <c r="C48" s="21" t="s">
        <v>268</v>
      </c>
      <c r="D48" s="21" t="s">
        <v>466</v>
      </c>
      <c r="E48" s="21">
        <v>4</v>
      </c>
      <c r="F48" s="21">
        <v>214804</v>
      </c>
      <c r="G48" s="42">
        <v>-0.32600000000000001</v>
      </c>
      <c r="H48" s="21" t="s">
        <v>270</v>
      </c>
      <c r="I48" s="39" t="str">
        <f ca="1">IFERROR(__xludf.DUMMYFUNCTION("IF(SUM(COUNTIF(artists!A:A, SPLIT(D48, "",""))) &gt; 0, ""UA"", 0)"),"UA")</f>
        <v>UA</v>
      </c>
      <c r="J48" s="40">
        <f ca="1">IFERROR(__xludf.DUMMYFUNCTION("IF(SUM(COUNTIF(artists!C:C, SPLIT(D48, "",""))) &gt; 0, ""RU"", 0)"),0)</f>
        <v>0</v>
      </c>
      <c r="K48" s="39">
        <f ca="1">IFERROR(__xludf.DUMMYFUNCTION("IF(SUM(COUNTIF(artists!E:E, SPLIT(D48, "",""))) &gt; 0, ""OTHER"", 0)"),0)</f>
        <v>0</v>
      </c>
    </row>
    <row r="49" spans="1:11" ht="14.25" customHeight="1">
      <c r="A49" s="21">
        <v>48</v>
      </c>
      <c r="B49" s="21">
        <v>52</v>
      </c>
      <c r="C49" s="21" t="s">
        <v>373</v>
      </c>
      <c r="D49" s="21" t="s">
        <v>172</v>
      </c>
      <c r="E49" s="21">
        <v>7</v>
      </c>
      <c r="F49" s="21">
        <v>214206</v>
      </c>
      <c r="G49" s="42">
        <v>6.9000000000000006E-2</v>
      </c>
      <c r="H49" s="21" t="s">
        <v>375</v>
      </c>
      <c r="I49" s="39">
        <f ca="1">IFERROR(__xludf.DUMMYFUNCTION("IF(SUM(COUNTIF(artists!A:A, SPLIT(D49, "",""))) &gt; 0, ""UA"", 0)"),0)</f>
        <v>0</v>
      </c>
      <c r="J49" s="40" t="str">
        <f ca="1">IFERROR(__xludf.DUMMYFUNCTION("IF(SUM(COUNTIF(artists!C:C, SPLIT(D49, "",""))) &gt; 0, ""RU"", 0)"),"RU")</f>
        <v>RU</v>
      </c>
      <c r="K49" s="39">
        <f ca="1">IFERROR(__xludf.DUMMYFUNCTION("IF(SUM(COUNTIF(artists!E:E, SPLIT(D49, "",""))) &gt; 0, ""OTHER"", 0)"),0)</f>
        <v>0</v>
      </c>
    </row>
    <row r="50" spans="1:11" ht="14.25" customHeight="1">
      <c r="A50" s="21">
        <v>49</v>
      </c>
      <c r="B50" s="21">
        <v>38</v>
      </c>
      <c r="C50" s="21" t="s">
        <v>742</v>
      </c>
      <c r="D50" s="21" t="s">
        <v>743</v>
      </c>
      <c r="E50" s="21">
        <v>13</v>
      </c>
      <c r="F50" s="21">
        <v>213806</v>
      </c>
      <c r="G50" s="42">
        <v>-0.112</v>
      </c>
      <c r="H50" s="21" t="s">
        <v>744</v>
      </c>
      <c r="I50" s="39">
        <f ca="1">IFERROR(__xludf.DUMMYFUNCTION("IF(SUM(COUNTIF(artists!A:A, SPLIT(D50, "",""))) &gt; 0, ""UA"", 0)"),0)</f>
        <v>0</v>
      </c>
      <c r="J50" s="40" t="str">
        <f ca="1">IFERROR(__xludf.DUMMYFUNCTION("IF(SUM(COUNTIF(artists!C:C, SPLIT(D50, "",""))) &gt; 0, ""RU"", 0)"),"RU")</f>
        <v>RU</v>
      </c>
      <c r="K50" s="39">
        <f ca="1">IFERROR(__xludf.DUMMYFUNCTION("IF(SUM(COUNTIF(artists!E:E, SPLIT(D50, "",""))) &gt; 0, ""OTHER"", 0)"),0)</f>
        <v>0</v>
      </c>
    </row>
    <row r="51" spans="1:11" ht="14.25" customHeight="1">
      <c r="A51" s="21">
        <v>50</v>
      </c>
      <c r="B51" s="21">
        <v>49</v>
      </c>
      <c r="C51" s="21" t="s">
        <v>298</v>
      </c>
      <c r="D51" s="21" t="s">
        <v>299</v>
      </c>
      <c r="E51" s="21">
        <v>8</v>
      </c>
      <c r="F51" s="21">
        <v>212626</v>
      </c>
      <c r="G51" s="42">
        <v>-7.0000000000000001E-3</v>
      </c>
      <c r="H51" s="21" t="s">
        <v>300</v>
      </c>
      <c r="I51" s="39">
        <f ca="1">IFERROR(__xludf.DUMMYFUNCTION("IF(SUM(COUNTIF(artists!A:A, SPLIT(D51, "",""))) &gt; 0, ""UA"", 0)"),0)</f>
        <v>0</v>
      </c>
      <c r="J51" s="40">
        <f ca="1">IFERROR(__xludf.DUMMYFUNCTION("IF(SUM(COUNTIF(artists!C:C, SPLIT(D51, "",""))) &gt; 0, ""RU"", 0)"),0)</f>
        <v>0</v>
      </c>
      <c r="K51" s="39" t="str">
        <f ca="1">IFERROR(__xludf.DUMMYFUNCTION("IF(SUM(COUNTIF(artists!E:E, SPLIT(D51, "",""))) &gt; 0, ""OTHER"", 0)"),"OTHER")</f>
        <v>OTHER</v>
      </c>
    </row>
    <row r="52" spans="1:11" ht="14.25" customHeight="1">
      <c r="A52" s="21">
        <v>51</v>
      </c>
      <c r="B52" s="21">
        <v>34</v>
      </c>
      <c r="C52" s="21" t="s">
        <v>247</v>
      </c>
      <c r="D52" s="21" t="s">
        <v>454</v>
      </c>
      <c r="E52" s="21">
        <v>8</v>
      </c>
      <c r="F52" s="21">
        <v>209843</v>
      </c>
      <c r="G52" s="42">
        <v>-0.152</v>
      </c>
      <c r="H52" s="21" t="s">
        <v>250</v>
      </c>
      <c r="I52" s="39" t="str">
        <f ca="1">IFERROR(__xludf.DUMMYFUNCTION("IF(SUM(COUNTIF(artists!A:A, SPLIT(D52, "",""))) &gt; 0, ""UA"", 0)"),"UA")</f>
        <v>UA</v>
      </c>
      <c r="J52" s="40">
        <f ca="1">IFERROR(__xludf.DUMMYFUNCTION("IF(SUM(COUNTIF(artists!C:C, SPLIT(D52, "",""))) &gt; 0, ""RU"", 0)"),0)</f>
        <v>0</v>
      </c>
      <c r="K52" s="39">
        <f ca="1">IFERROR(__xludf.DUMMYFUNCTION("IF(SUM(COUNTIF(artists!E:E, SPLIT(D52, "",""))) &gt; 0, ""OTHER"", 0)"),0)</f>
        <v>0</v>
      </c>
    </row>
    <row r="53" spans="1:11" ht="14.25" customHeight="1">
      <c r="A53" s="21">
        <v>52</v>
      </c>
      <c r="B53" s="21">
        <v>63</v>
      </c>
      <c r="C53" s="21" t="s">
        <v>602</v>
      </c>
      <c r="D53" s="21" t="s">
        <v>299</v>
      </c>
      <c r="E53" s="21">
        <v>12</v>
      </c>
      <c r="F53" s="21">
        <v>197919</v>
      </c>
      <c r="G53" s="42">
        <v>0.184</v>
      </c>
      <c r="H53" s="21" t="s">
        <v>604</v>
      </c>
      <c r="I53" s="39">
        <f ca="1">IFERROR(__xludf.DUMMYFUNCTION("IF(SUM(COUNTIF(artists!A:A, SPLIT(D53, "",""))) &gt; 0, ""UA"", 0)"),0)</f>
        <v>0</v>
      </c>
      <c r="J53" s="40">
        <f ca="1">IFERROR(__xludf.DUMMYFUNCTION("IF(SUM(COUNTIF(artists!C:C, SPLIT(D53, "",""))) &gt; 0, ""RU"", 0)"),0)</f>
        <v>0</v>
      </c>
      <c r="K53" s="39" t="str">
        <f ca="1">IFERROR(__xludf.DUMMYFUNCTION("IF(SUM(COUNTIF(artists!E:E, SPLIT(D53, "",""))) &gt; 0, ""OTHER"", 0)"),"OTHER")</f>
        <v>OTHER</v>
      </c>
    </row>
    <row r="54" spans="1:11" ht="14.25" customHeight="1">
      <c r="A54" s="21">
        <v>53</v>
      </c>
      <c r="B54" s="21">
        <v>51</v>
      </c>
      <c r="C54" s="21" t="s">
        <v>667</v>
      </c>
      <c r="D54" s="21" t="s">
        <v>668</v>
      </c>
      <c r="E54" s="21">
        <v>12</v>
      </c>
      <c r="F54" s="21">
        <v>197676</v>
      </c>
      <c r="G54" s="42">
        <v>-4.7E-2</v>
      </c>
      <c r="H54" s="21" t="s">
        <v>669</v>
      </c>
      <c r="I54" s="39">
        <f ca="1">IFERROR(__xludf.DUMMYFUNCTION("IF(SUM(COUNTIF(artists!A:A, SPLIT(D54, "",""))) &gt; 0, ""UA"", 0)"),0)</f>
        <v>0</v>
      </c>
      <c r="J54" s="40" t="str">
        <f ca="1">IFERROR(__xludf.DUMMYFUNCTION("IF(SUM(COUNTIF(artists!C:C, SPLIT(D54, "",""))) &gt; 0, ""RU"", 0)"),"RU")</f>
        <v>RU</v>
      </c>
      <c r="K54" s="39">
        <f ca="1">IFERROR(__xludf.DUMMYFUNCTION("IF(SUM(COUNTIF(artists!E:E, SPLIT(D54, "",""))) &gt; 0, ""OTHER"", 0)"),0)</f>
        <v>0</v>
      </c>
    </row>
    <row r="55" spans="1:11" ht="14.25" customHeight="1">
      <c r="A55" s="21">
        <v>54</v>
      </c>
      <c r="B55" s="21">
        <v>71</v>
      </c>
      <c r="C55" s="21" t="s">
        <v>876</v>
      </c>
      <c r="D55" s="21" t="s">
        <v>877</v>
      </c>
      <c r="E55" s="21">
        <v>21</v>
      </c>
      <c r="F55" s="21">
        <v>185806</v>
      </c>
      <c r="G55" s="42">
        <v>0.221</v>
      </c>
      <c r="H55" s="21" t="s">
        <v>878</v>
      </c>
      <c r="I55" s="39">
        <f ca="1">IFERROR(__xludf.DUMMYFUNCTION("IF(SUM(COUNTIF(artists!A:A, SPLIT(D55, "",""))) &gt; 0, ""UA"", 0)"),0)</f>
        <v>0</v>
      </c>
      <c r="J55" s="40">
        <f ca="1">IFERROR(__xludf.DUMMYFUNCTION("IF(SUM(COUNTIF(artists!C:C, SPLIT(D55, "",""))) &gt; 0, ""RU"", 0)"),0)</f>
        <v>0</v>
      </c>
      <c r="K55" s="39" t="str">
        <f ca="1">IFERROR(__xludf.DUMMYFUNCTION("IF(SUM(COUNTIF(artists!E:E, SPLIT(D55, "",""))) &gt; 0, ""OTHER"", 0)"),"OTHER")</f>
        <v>OTHER</v>
      </c>
    </row>
    <row r="56" spans="1:11" ht="14.25" customHeight="1">
      <c r="A56" s="21">
        <v>55</v>
      </c>
      <c r="B56" s="21">
        <v>55</v>
      </c>
      <c r="C56" s="21" t="s">
        <v>772</v>
      </c>
      <c r="D56" s="21" t="s">
        <v>773</v>
      </c>
      <c r="E56" s="21">
        <v>9</v>
      </c>
      <c r="F56" s="21">
        <v>185365</v>
      </c>
      <c r="G56" s="42">
        <v>-2.5000000000000001E-2</v>
      </c>
      <c r="H56" s="21" t="s">
        <v>774</v>
      </c>
      <c r="I56" s="39" t="str">
        <f ca="1">IFERROR(__xludf.DUMMYFUNCTION("IF(SUM(COUNTIF(artists!A:A, SPLIT(D56, "",""))) &gt; 0, ""UA"", 0)"),"UA")</f>
        <v>UA</v>
      </c>
      <c r="J56" s="40">
        <f ca="1">IFERROR(__xludf.DUMMYFUNCTION("IF(SUM(COUNTIF(artists!C:C, SPLIT(D56, "",""))) &gt; 0, ""RU"", 0)"),0)</f>
        <v>0</v>
      </c>
      <c r="K56" s="39">
        <f ca="1">IFERROR(__xludf.DUMMYFUNCTION("IF(SUM(COUNTIF(artists!E:E, SPLIT(D56, "",""))) &gt; 0, ""OTHER"", 0)"),0)</f>
        <v>0</v>
      </c>
    </row>
    <row r="57" spans="1:11" ht="14.25" customHeight="1">
      <c r="A57" s="21">
        <v>56</v>
      </c>
      <c r="B57" s="21">
        <v>36</v>
      </c>
      <c r="C57" s="21" t="s">
        <v>966</v>
      </c>
      <c r="D57" s="21" t="s">
        <v>584</v>
      </c>
      <c r="E57" s="21">
        <v>3</v>
      </c>
      <c r="F57" s="21">
        <v>184628</v>
      </c>
      <c r="G57" s="42">
        <v>-0.24299999999999999</v>
      </c>
      <c r="H57" s="21" t="s">
        <v>967</v>
      </c>
      <c r="I57" s="39">
        <f ca="1">IFERROR(__xludf.DUMMYFUNCTION("IF(SUM(COUNTIF(artists!A:A, SPLIT(D57, "",""))) &gt; 0, ""UA"", 0)"),0)</f>
        <v>0</v>
      </c>
      <c r="J57" s="40" t="str">
        <f ca="1">IFERROR(__xludf.DUMMYFUNCTION("IF(SUM(COUNTIF(artists!C:C, SPLIT(D57, "",""))) &gt; 0, ""RU"", 0)"),"RU")</f>
        <v>RU</v>
      </c>
      <c r="K57" s="39">
        <f ca="1">IFERROR(__xludf.DUMMYFUNCTION("IF(SUM(COUNTIF(artists!E:E, SPLIT(D57, "",""))) &gt; 0, ""OTHER"", 0)"),0)</f>
        <v>0</v>
      </c>
    </row>
    <row r="58" spans="1:11" ht="14.25" customHeight="1">
      <c r="A58" s="21">
        <v>57</v>
      </c>
      <c r="B58" s="21">
        <v>89</v>
      </c>
      <c r="C58" s="21" t="s">
        <v>1002</v>
      </c>
      <c r="D58" s="21" t="s">
        <v>1003</v>
      </c>
      <c r="E58" s="21">
        <v>4</v>
      </c>
      <c r="F58" s="21">
        <v>179111</v>
      </c>
      <c r="G58" s="43">
        <v>0.37</v>
      </c>
      <c r="H58" s="21" t="s">
        <v>1004</v>
      </c>
      <c r="I58" s="39" t="str">
        <f ca="1">IFERROR(__xludf.DUMMYFUNCTION("IF(SUM(COUNTIF(artists!A:A, SPLIT(D58, "",""))) &gt; 0, ""UA"", 0)"),"UA")</f>
        <v>UA</v>
      </c>
      <c r="J58" s="40">
        <f ca="1">IFERROR(__xludf.DUMMYFUNCTION("IF(SUM(COUNTIF(artists!C:C, SPLIT(D58, "",""))) &gt; 0, ""RU"", 0)"),0)</f>
        <v>0</v>
      </c>
      <c r="K58" s="39">
        <f ca="1">IFERROR(__xludf.DUMMYFUNCTION("IF(SUM(COUNTIF(artists!E:E, SPLIT(D58, "",""))) &gt; 0, ""OTHER"", 0)"),0)</f>
        <v>0</v>
      </c>
    </row>
    <row r="59" spans="1:11" ht="14.25" customHeight="1">
      <c r="A59" s="21">
        <v>58</v>
      </c>
      <c r="C59" s="21" t="s">
        <v>1005</v>
      </c>
      <c r="D59" s="21" t="s">
        <v>584</v>
      </c>
      <c r="E59" s="21">
        <v>1</v>
      </c>
      <c r="F59" s="21">
        <v>177588</v>
      </c>
      <c r="H59" s="21" t="s">
        <v>1006</v>
      </c>
      <c r="I59" s="39">
        <f ca="1">IFERROR(__xludf.DUMMYFUNCTION("IF(SUM(COUNTIF(artists!A:A, SPLIT(D59, "",""))) &gt; 0, ""UA"", 0)"),0)</f>
        <v>0</v>
      </c>
      <c r="J59" s="40" t="str">
        <f ca="1">IFERROR(__xludf.DUMMYFUNCTION("IF(SUM(COUNTIF(artists!C:C, SPLIT(D59, "",""))) &gt; 0, ""RU"", 0)"),"RU")</f>
        <v>RU</v>
      </c>
      <c r="K59" s="39">
        <f ca="1">IFERROR(__xludf.DUMMYFUNCTION("IF(SUM(COUNTIF(artists!E:E, SPLIT(D59, "",""))) &gt; 0, ""OTHER"", 0)"),0)</f>
        <v>0</v>
      </c>
    </row>
    <row r="60" spans="1:11" ht="14.25" customHeight="1">
      <c r="A60" s="21">
        <v>59</v>
      </c>
      <c r="B60" s="21">
        <v>65</v>
      </c>
      <c r="C60" s="21" t="s">
        <v>589</v>
      </c>
      <c r="D60" s="21" t="s">
        <v>590</v>
      </c>
      <c r="E60" s="21">
        <v>19</v>
      </c>
      <c r="F60" s="21">
        <v>175947</v>
      </c>
      <c r="G60" s="43">
        <v>7.0000000000000007E-2</v>
      </c>
      <c r="H60" s="21" t="s">
        <v>591</v>
      </c>
      <c r="I60" s="39" t="str">
        <f ca="1">IFERROR(__xludf.DUMMYFUNCTION("IF(SUM(COUNTIF(artists!A:A, SPLIT(D60, "",""))) &gt; 0, ""UA"", 0)"),"UA")</f>
        <v>UA</v>
      </c>
      <c r="J60" s="40">
        <f ca="1">IFERROR(__xludf.DUMMYFUNCTION("IF(SUM(COUNTIF(artists!C:C, SPLIT(D60, "",""))) &gt; 0, ""RU"", 0)"),0)</f>
        <v>0</v>
      </c>
      <c r="K60" s="39">
        <f ca="1">IFERROR(__xludf.DUMMYFUNCTION("IF(SUM(COUNTIF(artists!E:E, SPLIT(D60, "",""))) &gt; 0, ""OTHER"", 0)"),0)</f>
        <v>0</v>
      </c>
    </row>
    <row r="61" spans="1:11" ht="14.25" customHeight="1">
      <c r="A61" s="21">
        <v>60</v>
      </c>
      <c r="B61" s="21">
        <v>58</v>
      </c>
      <c r="C61" s="21" t="s">
        <v>527</v>
      </c>
      <c r="D61" s="21" t="s">
        <v>528</v>
      </c>
      <c r="E61" s="21">
        <v>10</v>
      </c>
      <c r="F61" s="21">
        <v>171549</v>
      </c>
      <c r="G61" s="42">
        <v>-2.5999999999999999E-2</v>
      </c>
      <c r="H61" s="21" t="s">
        <v>529</v>
      </c>
      <c r="I61" s="39" t="str">
        <f ca="1">IFERROR(__xludf.DUMMYFUNCTION("IF(SUM(COUNTIF(artists!A:A, SPLIT(D61, "",""))) &gt; 0, ""UA"", 0)"),"UA")</f>
        <v>UA</v>
      </c>
      <c r="J61" s="40">
        <f ca="1">IFERROR(__xludf.DUMMYFUNCTION("IF(SUM(COUNTIF(artists!C:C, SPLIT(D61, "",""))) &gt; 0, ""RU"", 0)"),0)</f>
        <v>0</v>
      </c>
      <c r="K61" s="39">
        <f ca="1">IFERROR(__xludf.DUMMYFUNCTION("IF(SUM(COUNTIF(artists!E:E, SPLIT(D61, "",""))) &gt; 0, ""OTHER"", 0)"),0)</f>
        <v>0</v>
      </c>
    </row>
    <row r="62" spans="1:11" ht="14.25" customHeight="1">
      <c r="A62" s="21">
        <v>61</v>
      </c>
      <c r="B62" s="21">
        <v>64</v>
      </c>
      <c r="C62" s="21" t="s">
        <v>482</v>
      </c>
      <c r="D62" s="21" t="s">
        <v>210</v>
      </c>
      <c r="E62" s="21">
        <v>10</v>
      </c>
      <c r="F62" s="21">
        <v>163706</v>
      </c>
      <c r="G62" s="42">
        <v>-1.2999999999999999E-2</v>
      </c>
      <c r="H62" s="21" t="s">
        <v>484</v>
      </c>
      <c r="I62" s="39" t="str">
        <f ca="1">IFERROR(__xludf.DUMMYFUNCTION("IF(SUM(COUNTIF(artists!A:A, SPLIT(D62, "",""))) &gt; 0, ""UA"", 0)"),"UA")</f>
        <v>UA</v>
      </c>
      <c r="J62" s="40">
        <f ca="1">IFERROR(__xludf.DUMMYFUNCTION("IF(SUM(COUNTIF(artists!C:C, SPLIT(D62, "",""))) &gt; 0, ""RU"", 0)"),0)</f>
        <v>0</v>
      </c>
      <c r="K62" s="39">
        <f ca="1">IFERROR(__xludf.DUMMYFUNCTION("IF(SUM(COUNTIF(artists!E:E, SPLIT(D62, "",""))) &gt; 0, ""OTHER"", 0)"),0)</f>
        <v>0</v>
      </c>
    </row>
    <row r="63" spans="1:11" ht="14.25" customHeight="1">
      <c r="A63" s="21">
        <v>62</v>
      </c>
      <c r="B63" s="21">
        <v>59</v>
      </c>
      <c r="C63" s="21" t="s">
        <v>686</v>
      </c>
      <c r="D63" s="21" t="s">
        <v>687</v>
      </c>
      <c r="E63" s="21">
        <v>4</v>
      </c>
      <c r="F63" s="21">
        <v>158880</v>
      </c>
      <c r="G63" s="42">
        <v>-9.6000000000000002E-2</v>
      </c>
      <c r="H63" s="21" t="s">
        <v>920</v>
      </c>
      <c r="I63" s="39">
        <f ca="1">IFERROR(__xludf.DUMMYFUNCTION("IF(SUM(COUNTIF(artists!A:A, SPLIT(D63, "",""))) &gt; 0, ""UA"", 0)"),0)</f>
        <v>0</v>
      </c>
      <c r="J63" s="40" t="str">
        <f ca="1">IFERROR(__xludf.DUMMYFUNCTION("IF(SUM(COUNTIF(artists!C:C, SPLIT(D63, "",""))) &gt; 0, ""RU"", 0)"),"RU")</f>
        <v>RU</v>
      </c>
      <c r="K63" s="39">
        <f ca="1">IFERROR(__xludf.DUMMYFUNCTION("IF(SUM(COUNTIF(artists!E:E, SPLIT(D63, "",""))) &gt; 0, ""OTHER"", 0)"),0)</f>
        <v>0</v>
      </c>
    </row>
    <row r="64" spans="1:11" ht="14.25" customHeight="1">
      <c r="A64" s="21">
        <v>63</v>
      </c>
      <c r="B64" s="21">
        <v>70</v>
      </c>
      <c r="C64" s="21" t="s">
        <v>284</v>
      </c>
      <c r="D64" s="21" t="s">
        <v>15</v>
      </c>
      <c r="E64" s="21">
        <v>18</v>
      </c>
      <c r="F64" s="21">
        <v>158245</v>
      </c>
      <c r="G64" s="42">
        <v>3.7999999999999999E-2</v>
      </c>
      <c r="H64" s="21" t="s">
        <v>285</v>
      </c>
      <c r="I64" s="39">
        <f ca="1">IFERROR(__xludf.DUMMYFUNCTION("IF(SUM(COUNTIF(artists!A:A, SPLIT(D64, "",""))) &gt; 0, ""UA"", 0)"),0)</f>
        <v>0</v>
      </c>
      <c r="J64" s="40">
        <f ca="1">IFERROR(__xludf.DUMMYFUNCTION("IF(SUM(COUNTIF(artists!C:C, SPLIT(D64, "",""))) &gt; 0, ""RU"", 0)"),0)</f>
        <v>0</v>
      </c>
      <c r="K64" s="39" t="str">
        <f ca="1">IFERROR(__xludf.DUMMYFUNCTION("IF(SUM(COUNTIF(artists!E:E, SPLIT(D64, "",""))) &gt; 0, ""OTHER"", 0)"),"OTHER")</f>
        <v>OTHER</v>
      </c>
    </row>
    <row r="65" spans="1:11" ht="14.25" customHeight="1">
      <c r="A65" s="21">
        <v>64</v>
      </c>
      <c r="B65" s="21">
        <v>69</v>
      </c>
      <c r="C65" s="21" t="s">
        <v>971</v>
      </c>
      <c r="D65" s="21" t="s">
        <v>972</v>
      </c>
      <c r="E65" s="21">
        <v>19</v>
      </c>
      <c r="F65" s="21">
        <v>157442</v>
      </c>
      <c r="G65" s="42">
        <v>2.9000000000000001E-2</v>
      </c>
      <c r="H65" s="21" t="s">
        <v>973</v>
      </c>
      <c r="I65" s="39">
        <f ca="1">IFERROR(__xludf.DUMMYFUNCTION("IF(SUM(COUNTIF(artists!A:A, SPLIT(D65, "",""))) &gt; 0, ""UA"", 0)"),0)</f>
        <v>0</v>
      </c>
      <c r="J65" s="40">
        <f ca="1">IFERROR(__xludf.DUMMYFUNCTION("IF(SUM(COUNTIF(artists!C:C, SPLIT(D65, "",""))) &gt; 0, ""RU"", 0)"),0)</f>
        <v>0</v>
      </c>
      <c r="K65" s="39" t="str">
        <f ca="1">IFERROR(__xludf.DUMMYFUNCTION("IF(SUM(COUNTIF(artists!E:E, SPLIT(D65, "",""))) &gt; 0, ""OTHER"", 0)"),"OTHER")</f>
        <v>OTHER</v>
      </c>
    </row>
    <row r="66" spans="1:11" ht="14.25" customHeight="1">
      <c r="A66" s="21">
        <v>65</v>
      </c>
      <c r="B66" s="21">
        <v>62</v>
      </c>
      <c r="C66" s="21" t="s">
        <v>524</v>
      </c>
      <c r="D66" s="21" t="s">
        <v>525</v>
      </c>
      <c r="E66" s="21">
        <v>15</v>
      </c>
      <c r="F66" s="21">
        <v>156160</v>
      </c>
      <c r="G66" s="42">
        <v>-7.9000000000000001E-2</v>
      </c>
      <c r="H66" s="21" t="s">
        <v>526</v>
      </c>
      <c r="I66" s="39" t="str">
        <f ca="1">IFERROR(__xludf.DUMMYFUNCTION("IF(SUM(COUNTIF(artists!A:A, SPLIT(D66, "",""))) &gt; 0, ""UA"", 0)"),"UA")</f>
        <v>UA</v>
      </c>
      <c r="J66" s="40">
        <f ca="1">IFERROR(__xludf.DUMMYFUNCTION("IF(SUM(COUNTIF(artists!C:C, SPLIT(D66, "",""))) &gt; 0, ""RU"", 0)"),0)</f>
        <v>0</v>
      </c>
      <c r="K66" s="39">
        <f ca="1">IFERROR(__xludf.DUMMYFUNCTION("IF(SUM(COUNTIF(artists!E:E, SPLIT(D66, "",""))) &gt; 0, ""OTHER"", 0)"),0)</f>
        <v>0</v>
      </c>
    </row>
    <row r="67" spans="1:11" ht="14.25" customHeight="1">
      <c r="A67" s="21">
        <v>66</v>
      </c>
      <c r="B67" s="21">
        <v>60</v>
      </c>
      <c r="C67" s="21" t="s">
        <v>953</v>
      </c>
      <c r="D67" s="21" t="s">
        <v>954</v>
      </c>
      <c r="E67" s="21">
        <v>9</v>
      </c>
      <c r="F67" s="21">
        <v>155556</v>
      </c>
      <c r="G67" s="42">
        <v>-0.112</v>
      </c>
      <c r="H67" s="21" t="s">
        <v>955</v>
      </c>
      <c r="I67" s="39">
        <f ca="1">IFERROR(__xludf.DUMMYFUNCTION("IF(SUM(COUNTIF(artists!A:A, SPLIT(D67, "",""))) &gt; 0, ""UA"", 0)"),0)</f>
        <v>0</v>
      </c>
      <c r="J67" s="40" t="str">
        <f ca="1">IFERROR(__xludf.DUMMYFUNCTION("IF(SUM(COUNTIF(artists!C:C, SPLIT(D67, "",""))) &gt; 0, ""RU"", 0)"),"RU")</f>
        <v>RU</v>
      </c>
      <c r="K67" s="39">
        <f ca="1">IFERROR(__xludf.DUMMYFUNCTION("IF(SUM(COUNTIF(artists!E:E, SPLIT(D67, "",""))) &gt; 0, ""OTHER"", 0)"),0)</f>
        <v>0</v>
      </c>
    </row>
    <row r="68" spans="1:11" ht="14.25" customHeight="1">
      <c r="A68" s="21">
        <v>67</v>
      </c>
      <c r="B68" s="21">
        <v>53</v>
      </c>
      <c r="C68" s="21" t="s">
        <v>994</v>
      </c>
      <c r="D68" s="21" t="s">
        <v>133</v>
      </c>
      <c r="E68" s="21">
        <v>2</v>
      </c>
      <c r="F68" s="21">
        <v>155432</v>
      </c>
      <c r="G68" s="42">
        <v>-0.20699999999999999</v>
      </c>
      <c r="H68" s="21" t="s">
        <v>995</v>
      </c>
      <c r="I68" s="39" t="str">
        <f ca="1">IFERROR(__xludf.DUMMYFUNCTION("IF(SUM(COUNTIF(artists!A:A, SPLIT(D68, "",""))) &gt; 0, ""UA"", 0)"),"UA")</f>
        <v>UA</v>
      </c>
      <c r="J68" s="40">
        <f ca="1">IFERROR(__xludf.DUMMYFUNCTION("IF(SUM(COUNTIF(artists!C:C, SPLIT(D68, "",""))) &gt; 0, ""RU"", 0)"),0)</f>
        <v>0</v>
      </c>
      <c r="K68" s="39">
        <f ca="1">IFERROR(__xludf.DUMMYFUNCTION("IF(SUM(COUNTIF(artists!E:E, SPLIT(D68, "",""))) &gt; 0, ""OTHER"", 0)"),0)</f>
        <v>0</v>
      </c>
    </row>
    <row r="69" spans="1:11" ht="14.25" customHeight="1">
      <c r="A69" s="21">
        <v>68</v>
      </c>
      <c r="B69" s="21">
        <v>75</v>
      </c>
      <c r="C69" s="21" t="s">
        <v>977</v>
      </c>
      <c r="D69" s="21" t="s">
        <v>978</v>
      </c>
      <c r="E69" s="21">
        <v>5</v>
      </c>
      <c r="F69" s="21">
        <v>154300</v>
      </c>
      <c r="G69" s="43">
        <v>0.04</v>
      </c>
      <c r="H69" s="21" t="s">
        <v>979</v>
      </c>
      <c r="I69" s="39" t="str">
        <f ca="1">IFERROR(__xludf.DUMMYFUNCTION("IF(SUM(COUNTIF(artists!A:A, SPLIT(D69, "",""))) &gt; 0, ""UA"", 0)"),"UA")</f>
        <v>UA</v>
      </c>
      <c r="J69" s="40">
        <f ca="1">IFERROR(__xludf.DUMMYFUNCTION("IF(SUM(COUNTIF(artists!C:C, SPLIT(D69, "",""))) &gt; 0, ""RU"", 0)"),0)</f>
        <v>0</v>
      </c>
      <c r="K69" s="39">
        <f ca="1">IFERROR(__xludf.DUMMYFUNCTION("IF(SUM(COUNTIF(artists!E:E, SPLIT(D69, "",""))) &gt; 0, ""OTHER"", 0)"),0)</f>
        <v>0</v>
      </c>
    </row>
    <row r="70" spans="1:11" ht="14.25" customHeight="1">
      <c r="A70" s="21">
        <v>69</v>
      </c>
      <c r="B70" s="21">
        <v>57</v>
      </c>
      <c r="C70" s="21" t="s">
        <v>320</v>
      </c>
      <c r="D70" s="21" t="s">
        <v>321</v>
      </c>
      <c r="E70" s="21">
        <v>3</v>
      </c>
      <c r="F70" s="21">
        <v>153070</v>
      </c>
      <c r="G70" s="42">
        <v>-0.159</v>
      </c>
      <c r="H70" s="21" t="s">
        <v>323</v>
      </c>
      <c r="I70" s="39">
        <f ca="1">IFERROR(__xludf.DUMMYFUNCTION("IF(SUM(COUNTIF(artists!A:A, SPLIT(D70, "",""))) &gt; 0, ""UA"", 0)"),0)</f>
        <v>0</v>
      </c>
      <c r="J70" s="40">
        <f ca="1">IFERROR(__xludf.DUMMYFUNCTION("IF(SUM(COUNTIF(artists!C:C, SPLIT(D70, "",""))) &gt; 0, ""RU"", 0)"),0)</f>
        <v>0</v>
      </c>
      <c r="K70" s="39" t="str">
        <f ca="1">IFERROR(__xludf.DUMMYFUNCTION("IF(SUM(COUNTIF(artists!E:E, SPLIT(D70, "",""))) &gt; 0, ""OTHER"", 0)"),"OTHER")</f>
        <v>OTHER</v>
      </c>
    </row>
    <row r="71" spans="1:11" ht="14.25" customHeight="1">
      <c r="A71" s="21">
        <v>70</v>
      </c>
      <c r="B71" s="21">
        <v>87</v>
      </c>
      <c r="C71" s="21" t="s">
        <v>264</v>
      </c>
      <c r="D71" s="21" t="s">
        <v>265</v>
      </c>
      <c r="E71" s="21">
        <v>9</v>
      </c>
      <c r="F71" s="21">
        <v>147463</v>
      </c>
      <c r="G71" s="42">
        <v>0.11799999999999999</v>
      </c>
      <c r="H71" s="21" t="s">
        <v>267</v>
      </c>
      <c r="I71" s="39">
        <f ca="1">IFERROR(__xludf.DUMMYFUNCTION("IF(SUM(COUNTIF(artists!A:A, SPLIT(D71, "",""))) &gt; 0, ""UA"", 0)"),0)</f>
        <v>0</v>
      </c>
      <c r="J71" s="40">
        <f ca="1">IFERROR(__xludf.DUMMYFUNCTION("IF(SUM(COUNTIF(artists!C:C, SPLIT(D71, "",""))) &gt; 0, ""RU"", 0)"),0)</f>
        <v>0</v>
      </c>
      <c r="K71" s="39" t="str">
        <f ca="1">IFERROR(__xludf.DUMMYFUNCTION("IF(SUM(COUNTIF(artists!E:E, SPLIT(D71, "",""))) &gt; 0, ""OTHER"", 0)"),"OTHER")</f>
        <v>OTHER</v>
      </c>
    </row>
    <row r="72" spans="1:11" ht="14.25" customHeight="1">
      <c r="A72" s="21">
        <v>71</v>
      </c>
      <c r="B72" s="21">
        <v>47</v>
      </c>
      <c r="C72" s="21" t="s">
        <v>402</v>
      </c>
      <c r="D72" s="21" t="s">
        <v>403</v>
      </c>
      <c r="E72" s="21">
        <v>4</v>
      </c>
      <c r="F72" s="21">
        <v>147279</v>
      </c>
      <c r="G72" s="42">
        <v>-0.32700000000000001</v>
      </c>
      <c r="H72" s="21" t="s">
        <v>404</v>
      </c>
      <c r="I72" s="39">
        <f ca="1">IFERROR(__xludf.DUMMYFUNCTION("IF(SUM(COUNTIF(artists!A:A, SPLIT(D72, "",""))) &gt; 0, ""UA"", 0)"),0)</f>
        <v>0</v>
      </c>
      <c r="J72" s="40">
        <f ca="1">IFERROR(__xludf.DUMMYFUNCTION("IF(SUM(COUNTIF(artists!C:C, SPLIT(D72, "",""))) &gt; 0, ""RU"", 0)"),0)</f>
        <v>0</v>
      </c>
      <c r="K72" s="39" t="str">
        <f ca="1">IFERROR(__xludf.DUMMYFUNCTION("IF(SUM(COUNTIF(artists!E:E, SPLIT(D72, "",""))) &gt; 0, ""OTHER"", 0)"),"OTHER")</f>
        <v>OTHER</v>
      </c>
    </row>
    <row r="73" spans="1:11" ht="14.25" customHeight="1">
      <c r="A73" s="21">
        <v>72</v>
      </c>
      <c r="B73" s="21">
        <v>72</v>
      </c>
      <c r="C73" s="21" t="s">
        <v>545</v>
      </c>
      <c r="D73" s="21" t="s">
        <v>546</v>
      </c>
      <c r="E73" s="21">
        <v>4</v>
      </c>
      <c r="F73" s="21">
        <v>145203</v>
      </c>
      <c r="G73" s="42">
        <v>-3.5000000000000003E-2</v>
      </c>
      <c r="H73" s="21" t="s">
        <v>548</v>
      </c>
      <c r="I73" s="39">
        <f ca="1">IFERROR(__xludf.DUMMYFUNCTION("IF(SUM(COUNTIF(artists!A:A, SPLIT(D73, "",""))) &gt; 0, ""UA"", 0)"),0)</f>
        <v>0</v>
      </c>
      <c r="J73" s="40" t="str">
        <f ca="1">IFERROR(__xludf.DUMMYFUNCTION("IF(SUM(COUNTIF(artists!C:C, SPLIT(D73, "",""))) &gt; 0, ""RU"", 0)"),"RU")</f>
        <v>RU</v>
      </c>
      <c r="K73" s="39">
        <f ca="1">IFERROR(__xludf.DUMMYFUNCTION("IF(SUM(COUNTIF(artists!E:E, SPLIT(D73, "",""))) &gt; 0, ""OTHER"", 0)"),0)</f>
        <v>0</v>
      </c>
    </row>
    <row r="74" spans="1:11" ht="14.25" customHeight="1">
      <c r="A74" s="21">
        <v>73</v>
      </c>
      <c r="B74" s="21">
        <v>78</v>
      </c>
      <c r="C74" s="21" t="s">
        <v>868</v>
      </c>
      <c r="D74" s="21" t="s">
        <v>869</v>
      </c>
      <c r="E74" s="21">
        <v>15</v>
      </c>
      <c r="F74" s="21">
        <v>135866</v>
      </c>
      <c r="G74" s="42">
        <v>-6.0000000000000001E-3</v>
      </c>
      <c r="H74" s="21" t="s">
        <v>870</v>
      </c>
      <c r="I74" s="39">
        <f ca="1">IFERROR(__xludf.DUMMYFUNCTION("IF(SUM(COUNTIF(artists!A:A, SPLIT(D74, "",""))) &gt; 0, ""UA"", 0)"),0)</f>
        <v>0</v>
      </c>
      <c r="J74" s="40" t="str">
        <f ca="1">IFERROR(__xludf.DUMMYFUNCTION("IF(SUM(COUNTIF(artists!C:C, SPLIT(D74, "",""))) &gt; 0, ""RU"", 0)"),"RU")</f>
        <v>RU</v>
      </c>
      <c r="K74" s="39">
        <f ca="1">IFERROR(__xludf.DUMMYFUNCTION("IF(SUM(COUNTIF(artists!E:E, SPLIT(D74, "",""))) &gt; 0, ""OTHER"", 0)"),0)</f>
        <v>0</v>
      </c>
    </row>
    <row r="75" spans="1:11" ht="14.25" customHeight="1">
      <c r="A75" s="21">
        <v>74</v>
      </c>
      <c r="C75" s="21" t="s">
        <v>956</v>
      </c>
      <c r="D75" s="21" t="s">
        <v>743</v>
      </c>
      <c r="E75" s="21">
        <v>1</v>
      </c>
      <c r="F75" s="21">
        <v>135759</v>
      </c>
      <c r="H75" s="21" t="s">
        <v>957</v>
      </c>
      <c r="I75" s="39">
        <f ca="1">IFERROR(__xludf.DUMMYFUNCTION("IF(SUM(COUNTIF(artists!A:A, SPLIT(D75, "",""))) &gt; 0, ""UA"", 0)"),0)</f>
        <v>0</v>
      </c>
      <c r="J75" s="40" t="str">
        <f ca="1">IFERROR(__xludf.DUMMYFUNCTION("IF(SUM(COUNTIF(artists!C:C, SPLIT(D75, "",""))) &gt; 0, ""RU"", 0)"),"RU")</f>
        <v>RU</v>
      </c>
      <c r="K75" s="39">
        <f ca="1">IFERROR(__xludf.DUMMYFUNCTION("IF(SUM(COUNTIF(artists!E:E, SPLIT(D75, "",""))) &gt; 0, ""OTHER"", 0)"),0)</f>
        <v>0</v>
      </c>
    </row>
    <row r="76" spans="1:11" ht="14.25" customHeight="1">
      <c r="A76" s="21">
        <v>75</v>
      </c>
      <c r="B76" s="21">
        <v>67</v>
      </c>
      <c r="C76" s="21" t="s">
        <v>765</v>
      </c>
      <c r="D76" s="21" t="s">
        <v>766</v>
      </c>
      <c r="E76" s="21">
        <v>5</v>
      </c>
      <c r="F76" s="21">
        <v>135084</v>
      </c>
      <c r="G76" s="42">
        <v>-0.13500000000000001</v>
      </c>
      <c r="H76" s="21" t="s">
        <v>768</v>
      </c>
      <c r="I76" s="39" t="str">
        <f ca="1">IFERROR(__xludf.DUMMYFUNCTION("IF(SUM(COUNTIF(artists!A:A, SPLIT(D76, "",""))) &gt; 0, ""UA"", 0)"),"UA")</f>
        <v>UA</v>
      </c>
      <c r="J76" s="40">
        <f ca="1">IFERROR(__xludf.DUMMYFUNCTION("IF(SUM(COUNTIF(artists!C:C, SPLIT(D76, "",""))) &gt; 0, ""RU"", 0)"),0)</f>
        <v>0</v>
      </c>
      <c r="K76" s="39">
        <f ca="1">IFERROR(__xludf.DUMMYFUNCTION("IF(SUM(COUNTIF(artists!E:E, SPLIT(D76, "",""))) &gt; 0, ""OTHER"", 0)"),0)</f>
        <v>0</v>
      </c>
    </row>
    <row r="77" spans="1:11" ht="14.25" customHeight="1">
      <c r="A77" s="21">
        <v>76</v>
      </c>
      <c r="B77" s="21">
        <v>80</v>
      </c>
      <c r="C77" s="21" t="s">
        <v>961</v>
      </c>
      <c r="D77" s="21" t="s">
        <v>137</v>
      </c>
      <c r="E77" s="21">
        <v>4</v>
      </c>
      <c r="F77" s="21">
        <v>134886</v>
      </c>
      <c r="G77" s="42">
        <v>-7.0000000000000001E-3</v>
      </c>
      <c r="H77" s="21" t="s">
        <v>962</v>
      </c>
      <c r="I77" s="39" t="str">
        <f ca="1">IFERROR(__xludf.DUMMYFUNCTION("IF(SUM(COUNTIF(artists!A:A, SPLIT(D77, "",""))) &gt; 0, ""UA"", 0)"),"UA")</f>
        <v>UA</v>
      </c>
      <c r="J77" s="40">
        <f ca="1">IFERROR(__xludf.DUMMYFUNCTION("IF(SUM(COUNTIF(artists!C:C, SPLIT(D77, "",""))) &gt; 0, ""RU"", 0)"),0)</f>
        <v>0</v>
      </c>
      <c r="K77" s="39">
        <f ca="1">IFERROR(__xludf.DUMMYFUNCTION("IF(SUM(COUNTIF(artists!E:E, SPLIT(D77, "",""))) &gt; 0, ""OTHER"", 0)"),0)</f>
        <v>0</v>
      </c>
    </row>
    <row r="78" spans="1:11" ht="14.25" customHeight="1">
      <c r="A78" s="21">
        <v>77</v>
      </c>
      <c r="C78" s="21" t="s">
        <v>900</v>
      </c>
      <c r="D78" s="21" t="s">
        <v>901</v>
      </c>
      <c r="E78" s="21">
        <v>16</v>
      </c>
      <c r="F78" s="21">
        <v>134387</v>
      </c>
      <c r="H78" s="21" t="s">
        <v>902</v>
      </c>
      <c r="I78" s="39">
        <f ca="1">IFERROR(__xludf.DUMMYFUNCTION("IF(SUM(COUNTIF(artists!A:A, SPLIT(D78, "",""))) &gt; 0, ""UA"", 0)"),0)</f>
        <v>0</v>
      </c>
      <c r="J78" s="40">
        <f ca="1">IFERROR(__xludf.DUMMYFUNCTION("IF(SUM(COUNTIF(artists!C:C, SPLIT(D78, "",""))) &gt; 0, ""RU"", 0)"),0)</f>
        <v>0</v>
      </c>
      <c r="K78" s="39" t="str">
        <f ca="1">IFERROR(__xludf.DUMMYFUNCTION("IF(SUM(COUNTIF(artists!E:E, SPLIT(D78, "",""))) &gt; 0, ""OTHER"", 0)"),"OTHER")</f>
        <v>OTHER</v>
      </c>
    </row>
    <row r="79" spans="1:11" ht="14.25" customHeight="1">
      <c r="A79" s="21">
        <v>78</v>
      </c>
      <c r="C79" s="21" t="s">
        <v>1007</v>
      </c>
      <c r="D79" s="21" t="s">
        <v>1008</v>
      </c>
      <c r="E79" s="21">
        <v>25</v>
      </c>
      <c r="F79" s="21">
        <v>134358</v>
      </c>
      <c r="H79" s="21" t="s">
        <v>1009</v>
      </c>
      <c r="I79" s="39">
        <f ca="1">IFERROR(__xludf.DUMMYFUNCTION("IF(SUM(COUNTIF(artists!A:A, SPLIT(D79, "",""))) &gt; 0, ""UA"", 0)"),0)</f>
        <v>0</v>
      </c>
      <c r="J79" s="40" t="str">
        <f ca="1">IFERROR(__xludf.DUMMYFUNCTION("IF(SUM(COUNTIF(artists!C:C, SPLIT(D79, "",""))) &gt; 0, ""RU"", 0)"),"RU")</f>
        <v>RU</v>
      </c>
      <c r="K79" s="39">
        <f ca="1">IFERROR(__xludf.DUMMYFUNCTION("IF(SUM(COUNTIF(artists!E:E, SPLIT(D79, "",""))) &gt; 0, ""OTHER"", 0)"),0)</f>
        <v>0</v>
      </c>
    </row>
    <row r="80" spans="1:11" ht="14.25" customHeight="1">
      <c r="A80" s="21">
        <v>79</v>
      </c>
      <c r="C80" s="21" t="s">
        <v>99</v>
      </c>
      <c r="D80" s="21" t="s">
        <v>100</v>
      </c>
      <c r="E80" s="21">
        <v>1</v>
      </c>
      <c r="F80" s="21">
        <v>134161</v>
      </c>
      <c r="H80" s="21" t="s">
        <v>102</v>
      </c>
      <c r="I80" s="39" t="str">
        <f ca="1">IFERROR(__xludf.DUMMYFUNCTION("IF(SUM(COUNTIF(artists!A:A, SPLIT(D80, "",""))) &gt; 0, ""UA"", 0)"),"UA")</f>
        <v>UA</v>
      </c>
      <c r="J80" s="40">
        <f ca="1">IFERROR(__xludf.DUMMYFUNCTION("IF(SUM(COUNTIF(artists!C:C, SPLIT(D80, "",""))) &gt; 0, ""RU"", 0)"),0)</f>
        <v>0</v>
      </c>
      <c r="K80" s="39">
        <f ca="1">IFERROR(__xludf.DUMMYFUNCTION("IF(SUM(COUNTIF(artists!E:E, SPLIT(D80, "",""))) &gt; 0, ""OTHER"", 0)"),0)</f>
        <v>0</v>
      </c>
    </row>
    <row r="81" spans="1:11" ht="14.25" customHeight="1">
      <c r="A81" s="21">
        <v>80</v>
      </c>
      <c r="B81" s="21">
        <v>74</v>
      </c>
      <c r="C81" s="21" t="s">
        <v>418</v>
      </c>
      <c r="D81" s="21" t="s">
        <v>419</v>
      </c>
      <c r="E81" s="21">
        <v>6</v>
      </c>
      <c r="F81" s="21">
        <v>133961</v>
      </c>
      <c r="G81" s="42">
        <v>-0.109</v>
      </c>
      <c r="H81" s="21" t="s">
        <v>420</v>
      </c>
      <c r="I81" s="39">
        <f ca="1">IFERROR(__xludf.DUMMYFUNCTION("IF(SUM(COUNTIF(artists!A:A, SPLIT(D81, "",""))) &gt; 0, ""UA"", 0)"),0)</f>
        <v>0</v>
      </c>
      <c r="J81" s="40">
        <f ca="1">IFERROR(__xludf.DUMMYFUNCTION("IF(SUM(COUNTIF(artists!C:C, SPLIT(D81, "",""))) &gt; 0, ""RU"", 0)"),0)</f>
        <v>0</v>
      </c>
      <c r="K81" s="39" t="str">
        <f ca="1">IFERROR(__xludf.DUMMYFUNCTION("IF(SUM(COUNTIF(artists!E:E, SPLIT(D81, "",""))) &gt; 0, ""OTHER"", 0)"),"OTHER")</f>
        <v>OTHER</v>
      </c>
    </row>
    <row r="82" spans="1:11" ht="14.25" customHeight="1">
      <c r="A82" s="21">
        <v>81</v>
      </c>
      <c r="B82" s="21">
        <v>85</v>
      </c>
      <c r="C82" s="21" t="s">
        <v>963</v>
      </c>
      <c r="D82" s="21" t="s">
        <v>964</v>
      </c>
      <c r="E82" s="21">
        <v>10</v>
      </c>
      <c r="F82" s="21">
        <v>133924</v>
      </c>
      <c r="G82" s="43">
        <v>0.01</v>
      </c>
      <c r="H82" s="21" t="s">
        <v>965</v>
      </c>
      <c r="I82" s="39" t="str">
        <f ca="1">IFERROR(__xludf.DUMMYFUNCTION("IF(SUM(COUNTIF(artists!A:A, SPLIT(D82, "",""))) &gt; 0, ""UA"", 0)"),"UA")</f>
        <v>UA</v>
      </c>
      <c r="J82" s="40">
        <f ca="1">IFERROR(__xludf.DUMMYFUNCTION("IF(SUM(COUNTIF(artists!C:C, SPLIT(D82, "",""))) &gt; 0, ""RU"", 0)"),0)</f>
        <v>0</v>
      </c>
      <c r="K82" s="39">
        <f ca="1">IFERROR(__xludf.DUMMYFUNCTION("IF(SUM(COUNTIF(artists!E:E, SPLIT(D82, "",""))) &gt; 0, ""OTHER"", 0)"),0)</f>
        <v>0</v>
      </c>
    </row>
    <row r="83" spans="1:11" ht="14.25" customHeight="1">
      <c r="A83" s="21">
        <v>82</v>
      </c>
      <c r="B83" s="21">
        <v>79</v>
      </c>
      <c r="C83" s="21" t="s">
        <v>690</v>
      </c>
      <c r="D83" s="21" t="s">
        <v>691</v>
      </c>
      <c r="E83" s="21">
        <v>5</v>
      </c>
      <c r="F83" s="21">
        <v>133221</v>
      </c>
      <c r="G83" s="42">
        <v>-2.1000000000000001E-2</v>
      </c>
      <c r="H83" s="21" t="s">
        <v>692</v>
      </c>
      <c r="I83" s="39">
        <f ca="1">IFERROR(__xludf.DUMMYFUNCTION("IF(SUM(COUNTIF(artists!A:A, SPLIT(D83, "",""))) &gt; 0, ""UA"", 0)"),0)</f>
        <v>0</v>
      </c>
      <c r="J83" s="40" t="str">
        <f ca="1">IFERROR(__xludf.DUMMYFUNCTION("IF(SUM(COUNTIF(artists!C:C, SPLIT(D83, "",""))) &gt; 0, ""RU"", 0)"),"RU")</f>
        <v>RU</v>
      </c>
      <c r="K83" s="39">
        <f ca="1">IFERROR(__xludf.DUMMYFUNCTION("IF(SUM(COUNTIF(artists!E:E, SPLIT(D83, "",""))) &gt; 0, ""OTHER"", 0)"),0)</f>
        <v>0</v>
      </c>
    </row>
    <row r="84" spans="1:11" ht="14.25" customHeight="1">
      <c r="A84" s="21">
        <v>83</v>
      </c>
      <c r="B84" s="21">
        <v>84</v>
      </c>
      <c r="C84" s="21" t="s">
        <v>358</v>
      </c>
      <c r="D84" s="21" t="s">
        <v>359</v>
      </c>
      <c r="E84" s="21">
        <v>9</v>
      </c>
      <c r="F84" s="21">
        <v>132615</v>
      </c>
      <c r="G84" s="42">
        <v>-4.0000000000000001E-3</v>
      </c>
      <c r="H84" s="21" t="s">
        <v>361</v>
      </c>
      <c r="I84" s="39">
        <f ca="1">IFERROR(__xludf.DUMMYFUNCTION("IF(SUM(COUNTIF(artists!A:A, SPLIT(D84, "",""))) &gt; 0, ""UA"", 0)"),0)</f>
        <v>0</v>
      </c>
      <c r="J84" s="40">
        <f ca="1">IFERROR(__xludf.DUMMYFUNCTION("IF(SUM(COUNTIF(artists!C:C, SPLIT(D84, "",""))) &gt; 0, ""RU"", 0)"),0)</f>
        <v>0</v>
      </c>
      <c r="K84" s="39" t="str">
        <f ca="1">IFERROR(__xludf.DUMMYFUNCTION("IF(SUM(COUNTIF(artists!E:E, SPLIT(D84, "",""))) &gt; 0, ""OTHER"", 0)"),"OTHER")</f>
        <v>OTHER</v>
      </c>
    </row>
    <row r="85" spans="1:11" ht="14.25" customHeight="1">
      <c r="A85" s="21">
        <v>84</v>
      </c>
      <c r="B85" s="21">
        <v>90</v>
      </c>
      <c r="C85" s="21" t="s">
        <v>605</v>
      </c>
      <c r="D85" s="21" t="s">
        <v>299</v>
      </c>
      <c r="E85" s="21">
        <v>12</v>
      </c>
      <c r="F85" s="21">
        <v>132253</v>
      </c>
      <c r="G85" s="43">
        <v>0.02</v>
      </c>
      <c r="H85" s="21" t="s">
        <v>607</v>
      </c>
      <c r="I85" s="39">
        <f ca="1">IFERROR(__xludf.DUMMYFUNCTION("IF(SUM(COUNTIF(artists!A:A, SPLIT(D85, "",""))) &gt; 0, ""UA"", 0)"),0)</f>
        <v>0</v>
      </c>
      <c r="J85" s="40">
        <f ca="1">IFERROR(__xludf.DUMMYFUNCTION("IF(SUM(COUNTIF(artists!C:C, SPLIT(D85, "",""))) &gt; 0, ""RU"", 0)"),0)</f>
        <v>0</v>
      </c>
      <c r="K85" s="39" t="str">
        <f ca="1">IFERROR(__xludf.DUMMYFUNCTION("IF(SUM(COUNTIF(artists!E:E, SPLIT(D85, "",""))) &gt; 0, ""OTHER"", 0)"),"OTHER")</f>
        <v>OTHER</v>
      </c>
    </row>
    <row r="86" spans="1:11" ht="14.25" customHeight="1">
      <c r="A86" s="21">
        <v>85</v>
      </c>
      <c r="B86" s="21">
        <v>96</v>
      </c>
      <c r="C86" s="21" t="s">
        <v>983</v>
      </c>
      <c r="D86" s="21" t="s">
        <v>984</v>
      </c>
      <c r="E86" s="21">
        <v>2</v>
      </c>
      <c r="F86" s="21">
        <v>131460</v>
      </c>
      <c r="G86" s="42">
        <v>9.9000000000000005E-2</v>
      </c>
      <c r="H86" s="21" t="s">
        <v>985</v>
      </c>
      <c r="I86" s="39" t="str">
        <f ca="1">IFERROR(__xludf.DUMMYFUNCTION("IF(SUM(COUNTIF(artists!A:A, SPLIT(D86, "",""))) &gt; 0, ""UA"", 0)"),"UA")</f>
        <v>UA</v>
      </c>
      <c r="J86" s="40">
        <f ca="1">IFERROR(__xludf.DUMMYFUNCTION("IF(SUM(COUNTIF(artists!C:C, SPLIT(D86, "",""))) &gt; 0, ""RU"", 0)"),0)</f>
        <v>0</v>
      </c>
      <c r="K86" s="39">
        <f ca="1">IFERROR(__xludf.DUMMYFUNCTION("IF(SUM(COUNTIF(artists!E:E, SPLIT(D86, "",""))) &gt; 0, ""OTHER"", 0)"),0)</f>
        <v>0</v>
      </c>
    </row>
    <row r="87" spans="1:11" ht="14.25" customHeight="1">
      <c r="A87" s="21">
        <v>86</v>
      </c>
      <c r="B87" s="21">
        <v>76</v>
      </c>
      <c r="C87" s="21" t="s">
        <v>980</v>
      </c>
      <c r="D87" s="21" t="s">
        <v>981</v>
      </c>
      <c r="E87" s="21">
        <v>6</v>
      </c>
      <c r="F87" s="21">
        <v>130993</v>
      </c>
      <c r="G87" s="42">
        <v>-9.0999999999999998E-2</v>
      </c>
      <c r="H87" s="21" t="s">
        <v>982</v>
      </c>
      <c r="I87" s="39">
        <f ca="1">IFERROR(__xludf.DUMMYFUNCTION("IF(SUM(COUNTIF(artists!A:A, SPLIT(D87, "",""))) &gt; 0, ""UA"", 0)"),0)</f>
        <v>0</v>
      </c>
      <c r="J87" s="40" t="str">
        <f ca="1">IFERROR(__xludf.DUMMYFUNCTION("IF(SUM(COUNTIF(artists!C:C, SPLIT(D87, "",""))) &gt; 0, ""RU"", 0)"),"RU")</f>
        <v>RU</v>
      </c>
      <c r="K87" s="39">
        <f ca="1">IFERROR(__xludf.DUMMYFUNCTION("IF(SUM(COUNTIF(artists!E:E, SPLIT(D87, "",""))) &gt; 0, ""OTHER"", 0)"),0)</f>
        <v>0</v>
      </c>
    </row>
    <row r="88" spans="1:11" ht="14.25" customHeight="1">
      <c r="A88" s="21">
        <v>87</v>
      </c>
      <c r="C88" s="21" t="s">
        <v>370</v>
      </c>
      <c r="D88" s="21" t="s">
        <v>222</v>
      </c>
      <c r="E88" s="21">
        <v>1</v>
      </c>
      <c r="F88" s="21">
        <v>130439</v>
      </c>
      <c r="H88" s="21" t="s">
        <v>372</v>
      </c>
      <c r="I88" s="39">
        <f ca="1">IFERROR(__xludf.DUMMYFUNCTION("IF(SUM(COUNTIF(artists!A:A, SPLIT(D88, "",""))) &gt; 0, ""UA"", 0)"),0)</f>
        <v>0</v>
      </c>
      <c r="J88" s="40">
        <f ca="1">IFERROR(__xludf.DUMMYFUNCTION("IF(SUM(COUNTIF(artists!C:C, SPLIT(D88, "",""))) &gt; 0, ""RU"", 0)"),0)</f>
        <v>0</v>
      </c>
      <c r="K88" s="39" t="str">
        <f ca="1">IFERROR(__xludf.DUMMYFUNCTION("IF(SUM(COUNTIF(artists!E:E, SPLIT(D88, "",""))) &gt; 0, ""OTHER"", 0)"),"OTHER")</f>
        <v>OTHER</v>
      </c>
    </row>
    <row r="89" spans="1:11" ht="14.25" customHeight="1">
      <c r="A89" s="21">
        <v>88</v>
      </c>
      <c r="B89" s="21">
        <v>94</v>
      </c>
      <c r="C89" s="21" t="s">
        <v>309</v>
      </c>
      <c r="D89" s="21" t="s">
        <v>310</v>
      </c>
      <c r="E89" s="21">
        <v>9</v>
      </c>
      <c r="F89" s="21">
        <v>129223</v>
      </c>
      <c r="G89" s="43">
        <v>0.02</v>
      </c>
      <c r="H89" s="21" t="s">
        <v>312</v>
      </c>
      <c r="I89" s="39">
        <f ca="1">IFERROR(__xludf.DUMMYFUNCTION("IF(SUM(COUNTIF(artists!A:A, SPLIT(D89, "",""))) &gt; 0, ""UA"", 0)"),0)</f>
        <v>0</v>
      </c>
      <c r="J89" s="40">
        <f ca="1">IFERROR(__xludf.DUMMYFUNCTION("IF(SUM(COUNTIF(artists!C:C, SPLIT(D89, "",""))) &gt; 0, ""RU"", 0)"),0)</f>
        <v>0</v>
      </c>
      <c r="K89" s="39" t="str">
        <f ca="1">IFERROR(__xludf.DUMMYFUNCTION("IF(SUM(COUNTIF(artists!E:E, SPLIT(D89, "",""))) &gt; 0, ""OTHER"", 0)"),"OTHER")</f>
        <v>OTHER</v>
      </c>
    </row>
    <row r="90" spans="1:11" ht="14.25" customHeight="1">
      <c r="A90" s="21">
        <v>89</v>
      </c>
      <c r="B90" s="21">
        <v>77</v>
      </c>
      <c r="C90" s="21" t="s">
        <v>958</v>
      </c>
      <c r="D90" s="21" t="s">
        <v>959</v>
      </c>
      <c r="E90" s="21">
        <v>2</v>
      </c>
      <c r="F90" s="21">
        <v>127889</v>
      </c>
      <c r="G90" s="42">
        <v>-8.8999999999999996E-2</v>
      </c>
      <c r="H90" s="21" t="s">
        <v>960</v>
      </c>
      <c r="I90" s="39">
        <f ca="1">IFERROR(__xludf.DUMMYFUNCTION("IF(SUM(COUNTIF(artists!A:A, SPLIT(D90, "",""))) &gt; 0, ""UA"", 0)"),0)</f>
        <v>0</v>
      </c>
      <c r="J90" s="40" t="str">
        <f ca="1">IFERROR(__xludf.DUMMYFUNCTION("IF(SUM(COUNTIF(artists!C:C, SPLIT(D90, "",""))) &gt; 0, ""RU"", 0)"),"RU")</f>
        <v>RU</v>
      </c>
      <c r="K90" s="39">
        <f ca="1">IFERROR(__xludf.DUMMYFUNCTION("IF(SUM(COUNTIF(artists!E:E, SPLIT(D90, "",""))) &gt; 0, ""OTHER"", 0)"),0)</f>
        <v>0</v>
      </c>
    </row>
    <row r="91" spans="1:11" ht="14.25" customHeight="1">
      <c r="A91" s="21">
        <v>90</v>
      </c>
      <c r="C91" s="21" t="s">
        <v>992</v>
      </c>
      <c r="D91" s="21" t="s">
        <v>625</v>
      </c>
      <c r="E91" s="21">
        <v>1</v>
      </c>
      <c r="F91" s="21">
        <v>127379</v>
      </c>
      <c r="H91" s="21" t="s">
        <v>993</v>
      </c>
      <c r="I91" s="39" t="str">
        <f ca="1">IFERROR(__xludf.DUMMYFUNCTION("IF(SUM(COUNTIF(artists!A:A, SPLIT(D91, "",""))) &gt; 0, ""UA"", 0)"),"UA")</f>
        <v>UA</v>
      </c>
      <c r="J91" s="40">
        <f ca="1">IFERROR(__xludf.DUMMYFUNCTION("IF(SUM(COUNTIF(artists!C:C, SPLIT(D91, "",""))) &gt; 0, ""RU"", 0)"),0)</f>
        <v>0</v>
      </c>
      <c r="K91" s="39">
        <f ca="1">IFERROR(__xludf.DUMMYFUNCTION("IF(SUM(COUNTIF(artists!E:E, SPLIT(D91, "",""))) &gt; 0, ""OTHER"", 0)"),0)</f>
        <v>0</v>
      </c>
    </row>
    <row r="92" spans="1:11" ht="14.25" customHeight="1">
      <c r="A92" s="21">
        <v>91</v>
      </c>
      <c r="C92" s="21" t="s">
        <v>1010</v>
      </c>
      <c r="D92" s="21" t="s">
        <v>1011</v>
      </c>
      <c r="E92" s="21">
        <v>22</v>
      </c>
      <c r="F92" s="21">
        <v>126455</v>
      </c>
      <c r="H92" s="21" t="s">
        <v>1012</v>
      </c>
      <c r="I92" s="39" t="str">
        <f ca="1">IFERROR(__xludf.DUMMYFUNCTION("IF(SUM(COUNTIF(artists!A:A, SPLIT(D92, "",""))) &gt; 0, ""UA"", 0)"),"UA")</f>
        <v>UA</v>
      </c>
      <c r="J92" s="40">
        <f ca="1">IFERROR(__xludf.DUMMYFUNCTION("IF(SUM(COUNTIF(artists!C:C, SPLIT(D92, "",""))) &gt; 0, ""RU"", 0)"),0)</f>
        <v>0</v>
      </c>
      <c r="K92" s="39">
        <f ca="1">IFERROR(__xludf.DUMMYFUNCTION("IF(SUM(COUNTIF(artists!E:E, SPLIT(D92, "",""))) &gt; 0, ""OTHER"", 0)"),0)</f>
        <v>0</v>
      </c>
    </row>
    <row r="93" spans="1:11" ht="14.25" customHeight="1">
      <c r="A93" s="21">
        <v>92</v>
      </c>
      <c r="B93" s="21">
        <v>95</v>
      </c>
      <c r="C93" s="21" t="s">
        <v>682</v>
      </c>
      <c r="D93" s="21" t="s">
        <v>125</v>
      </c>
      <c r="E93" s="21">
        <v>12</v>
      </c>
      <c r="F93" s="21">
        <v>124314</v>
      </c>
      <c r="G93" s="42">
        <v>-5.0000000000000001E-3</v>
      </c>
      <c r="H93" s="21" t="s">
        <v>684</v>
      </c>
      <c r="I93" s="39">
        <f ca="1">IFERROR(__xludf.DUMMYFUNCTION("IF(SUM(COUNTIF(artists!A:A, SPLIT(D93, "",""))) &gt; 0, ""UA"", 0)"),0)</f>
        <v>0</v>
      </c>
      <c r="J93" s="40" t="str">
        <f ca="1">IFERROR(__xludf.DUMMYFUNCTION("IF(SUM(COUNTIF(artists!C:C, SPLIT(D93, "",""))) &gt; 0, ""RU"", 0)"),"RU")</f>
        <v>RU</v>
      </c>
      <c r="K93" s="39">
        <f ca="1">IFERROR(__xludf.DUMMYFUNCTION("IF(SUM(COUNTIF(artists!E:E, SPLIT(D93, "",""))) &gt; 0, ""OTHER"", 0)"),0)</f>
        <v>0</v>
      </c>
    </row>
    <row r="94" spans="1:11" ht="14.25" customHeight="1">
      <c r="A94" s="21">
        <v>93</v>
      </c>
      <c r="B94" s="21">
        <v>83</v>
      </c>
      <c r="C94" s="21" t="s">
        <v>1013</v>
      </c>
      <c r="D94" s="21" t="s">
        <v>1014</v>
      </c>
      <c r="E94" s="21">
        <v>9</v>
      </c>
      <c r="F94" s="21">
        <v>123716</v>
      </c>
      <c r="G94" s="42">
        <v>-7.8E-2</v>
      </c>
      <c r="H94" s="21" t="s">
        <v>1015</v>
      </c>
      <c r="I94" s="39" t="str">
        <f ca="1">IFERROR(__xludf.DUMMYFUNCTION("IF(SUM(COUNTIF(artists!A:A, SPLIT(D94, "",""))) &gt; 0, ""UA"", 0)"),"UA")</f>
        <v>UA</v>
      </c>
      <c r="J94" s="40">
        <f ca="1">IFERROR(__xludf.DUMMYFUNCTION("IF(SUM(COUNTIF(artists!C:C, SPLIT(D94, "",""))) &gt; 0, ""RU"", 0)"),0)</f>
        <v>0</v>
      </c>
      <c r="K94" s="39">
        <f ca="1">IFERROR(__xludf.DUMMYFUNCTION("IF(SUM(COUNTIF(artists!E:E, SPLIT(D94, "",""))) &gt; 0, ""OTHER"", 0)"),0)</f>
        <v>0</v>
      </c>
    </row>
    <row r="95" spans="1:11" ht="14.25" customHeight="1">
      <c r="A95" s="21">
        <v>94</v>
      </c>
      <c r="B95" s="21">
        <v>88</v>
      </c>
      <c r="C95" s="21" t="s">
        <v>313</v>
      </c>
      <c r="D95" s="21" t="s">
        <v>310</v>
      </c>
      <c r="E95" s="21">
        <v>9</v>
      </c>
      <c r="F95" s="21">
        <v>122762</v>
      </c>
      <c r="G95" s="42">
        <v>-6.7000000000000004E-2</v>
      </c>
      <c r="H95" s="21" t="s">
        <v>398</v>
      </c>
      <c r="I95" s="39">
        <f ca="1">IFERROR(__xludf.DUMMYFUNCTION("IF(SUM(COUNTIF(artists!A:A, SPLIT(D95, "",""))) &gt; 0, ""UA"", 0)"),0)</f>
        <v>0</v>
      </c>
      <c r="J95" s="40">
        <f ca="1">IFERROR(__xludf.DUMMYFUNCTION("IF(SUM(COUNTIF(artists!C:C, SPLIT(D95, "",""))) &gt; 0, ""RU"", 0)"),0)</f>
        <v>0</v>
      </c>
      <c r="K95" s="39" t="str">
        <f ca="1">IFERROR(__xludf.DUMMYFUNCTION("IF(SUM(COUNTIF(artists!E:E, SPLIT(D95, "",""))) &gt; 0, ""OTHER"", 0)"),"OTHER")</f>
        <v>OTHER</v>
      </c>
    </row>
    <row r="96" spans="1:11" ht="14.25" customHeight="1">
      <c r="A96" s="21">
        <v>95</v>
      </c>
      <c r="B96" s="21">
        <v>17</v>
      </c>
      <c r="C96" s="21" t="s">
        <v>1016</v>
      </c>
      <c r="D96" s="21" t="s">
        <v>310</v>
      </c>
      <c r="E96" s="21">
        <v>2</v>
      </c>
      <c r="F96" s="21">
        <v>122532</v>
      </c>
      <c r="G96" s="42">
        <v>-0.66700000000000004</v>
      </c>
      <c r="H96" s="21" t="s">
        <v>1017</v>
      </c>
      <c r="I96" s="39">
        <f ca="1">IFERROR(__xludf.DUMMYFUNCTION("IF(SUM(COUNTIF(artists!A:A, SPLIT(D96, "",""))) &gt; 0, ""UA"", 0)"),0)</f>
        <v>0</v>
      </c>
      <c r="J96" s="40">
        <f ca="1">IFERROR(__xludf.DUMMYFUNCTION("IF(SUM(COUNTIF(artists!C:C, SPLIT(D96, "",""))) &gt; 0, ""RU"", 0)"),0)</f>
        <v>0</v>
      </c>
      <c r="K96" s="39" t="str">
        <f ca="1">IFERROR(__xludf.DUMMYFUNCTION("IF(SUM(COUNTIF(artists!E:E, SPLIT(D96, "",""))) &gt; 0, ""OTHER"", 0)"),"OTHER")</f>
        <v>OTHER</v>
      </c>
    </row>
    <row r="97" spans="1:11" ht="14.25" customHeight="1">
      <c r="A97" s="21">
        <v>96</v>
      </c>
      <c r="B97" s="21">
        <v>93</v>
      </c>
      <c r="C97" s="21" t="s">
        <v>282</v>
      </c>
      <c r="D97" s="21" t="s">
        <v>85</v>
      </c>
      <c r="E97" s="21">
        <v>3</v>
      </c>
      <c r="F97" s="21">
        <v>122323</v>
      </c>
      <c r="G97" s="42">
        <v>-3.9E-2</v>
      </c>
      <c r="H97" s="21" t="s">
        <v>283</v>
      </c>
      <c r="I97" s="39" t="str">
        <f ca="1">IFERROR(__xludf.DUMMYFUNCTION("IF(SUM(COUNTIF(artists!A:A, SPLIT(D97, "",""))) &gt; 0, ""UA"", 0)"),"UA")</f>
        <v>UA</v>
      </c>
      <c r="J97" s="40">
        <f ca="1">IFERROR(__xludf.DUMMYFUNCTION("IF(SUM(COUNTIF(artists!C:C, SPLIT(D97, "",""))) &gt; 0, ""RU"", 0)"),0)</f>
        <v>0</v>
      </c>
      <c r="K97" s="39">
        <f ca="1">IFERROR(__xludf.DUMMYFUNCTION("IF(SUM(COUNTIF(artists!E:E, SPLIT(D97, "",""))) &gt; 0, ""OTHER"", 0)"),0)</f>
        <v>0</v>
      </c>
    </row>
    <row r="98" spans="1:11" ht="14.25" customHeight="1">
      <c r="A98" s="21">
        <v>97</v>
      </c>
      <c r="C98" s="21" t="s">
        <v>613</v>
      </c>
      <c r="D98" s="21" t="s">
        <v>614</v>
      </c>
      <c r="E98" s="21">
        <v>21</v>
      </c>
      <c r="F98" s="21">
        <v>122221</v>
      </c>
      <c r="H98" s="21" t="s">
        <v>615</v>
      </c>
      <c r="I98" s="39">
        <f ca="1">IFERROR(__xludf.DUMMYFUNCTION("IF(SUM(COUNTIF(artists!A:A, SPLIT(D98, "",""))) &gt; 0, ""UA"", 0)"),0)</f>
        <v>0</v>
      </c>
      <c r="J98" s="40" t="str">
        <f ca="1">IFERROR(__xludf.DUMMYFUNCTION("IF(SUM(COUNTIF(artists!C:C, SPLIT(D98, "",""))) &gt; 0, ""RU"", 0)"),"RU")</f>
        <v>RU</v>
      </c>
      <c r="K98" s="39">
        <f ca="1">IFERROR(__xludf.DUMMYFUNCTION("IF(SUM(COUNTIF(artists!E:E, SPLIT(D98, "",""))) &gt; 0, ""OTHER"", 0)"),0)</f>
        <v>0</v>
      </c>
    </row>
    <row r="99" spans="1:11" ht="14.25" customHeight="1">
      <c r="A99" s="21">
        <v>98</v>
      </c>
      <c r="B99" s="21">
        <v>91</v>
      </c>
      <c r="C99" s="21" t="s">
        <v>497</v>
      </c>
      <c r="D99" s="21" t="s">
        <v>860</v>
      </c>
      <c r="E99" s="21">
        <v>11</v>
      </c>
      <c r="F99" s="21">
        <v>121997</v>
      </c>
      <c r="G99" s="42">
        <v>-5.7000000000000002E-2</v>
      </c>
      <c r="H99" s="21" t="s">
        <v>499</v>
      </c>
      <c r="I99" s="39" t="str">
        <f ca="1">IFERROR(__xludf.DUMMYFUNCTION("IF(SUM(COUNTIF(artists!A:A, SPLIT(D99, "",""))) &gt; 0, ""UA"", 0)"),"UA")</f>
        <v>UA</v>
      </c>
      <c r="J99" s="40">
        <f ca="1">IFERROR(__xludf.DUMMYFUNCTION("IF(SUM(COUNTIF(artists!C:C, SPLIT(D99, "",""))) &gt; 0, ""RU"", 0)"),0)</f>
        <v>0</v>
      </c>
      <c r="K99" s="39">
        <f ca="1">IFERROR(__xludf.DUMMYFUNCTION("IF(SUM(COUNTIF(artists!E:E, SPLIT(D99, "",""))) &gt; 0, ""OTHER"", 0)"),0)</f>
        <v>0</v>
      </c>
    </row>
    <row r="100" spans="1:11" ht="14.25" customHeight="1">
      <c r="A100" s="21">
        <v>99</v>
      </c>
      <c r="B100" s="21">
        <v>41</v>
      </c>
      <c r="C100" s="21" t="s">
        <v>1018</v>
      </c>
      <c r="D100" s="21" t="s">
        <v>1019</v>
      </c>
      <c r="E100" s="21">
        <v>3</v>
      </c>
      <c r="F100" s="21">
        <v>120619</v>
      </c>
      <c r="G100" s="42">
        <v>-0.48399999999999999</v>
      </c>
      <c r="H100" s="21" t="s">
        <v>1020</v>
      </c>
      <c r="I100" s="39">
        <f ca="1">IFERROR(__xludf.DUMMYFUNCTION("IF(SUM(COUNTIF(artists!A:A, SPLIT(D100, "",""))) &gt; 0, ""UA"", 0)"),0)</f>
        <v>0</v>
      </c>
      <c r="J100" s="40" t="str">
        <f ca="1">IFERROR(__xludf.DUMMYFUNCTION("IF(SUM(COUNTIF(artists!C:C, SPLIT(D100, "",""))) &gt; 0, ""RU"", 0)"),"RU")</f>
        <v>RU</v>
      </c>
      <c r="K100" s="39">
        <f ca="1">IFERROR(__xludf.DUMMYFUNCTION("IF(SUM(COUNTIF(artists!E:E, SPLIT(D100, "",""))) &gt; 0, ""OTHER"", 0)"),0)</f>
        <v>0</v>
      </c>
    </row>
    <row r="101" spans="1:11" ht="14.25" customHeight="1">
      <c r="A101" s="21">
        <v>100</v>
      </c>
      <c r="B101" s="21">
        <v>92</v>
      </c>
      <c r="C101" s="21" t="s">
        <v>1021</v>
      </c>
      <c r="D101" s="21" t="s">
        <v>1022</v>
      </c>
      <c r="E101" s="21">
        <v>11</v>
      </c>
      <c r="F101" s="21">
        <v>117651</v>
      </c>
      <c r="G101" s="42">
        <v>-8.5000000000000006E-2</v>
      </c>
      <c r="H101" s="21" t="s">
        <v>1023</v>
      </c>
      <c r="I101" s="39">
        <f ca="1">IFERROR(__xludf.DUMMYFUNCTION("IF(SUM(COUNTIF(artists!A:A, SPLIT(D101, "",""))) &gt; 0, ""UA"", 0)"),0)</f>
        <v>0</v>
      </c>
      <c r="J101" s="40">
        <f ca="1">IFERROR(__xludf.DUMMYFUNCTION("IF(SUM(COUNTIF(artists!C:C, SPLIT(D101, "",""))) &gt; 0, ""RU"", 0)"),0)</f>
        <v>0</v>
      </c>
      <c r="K101" s="39" t="str">
        <f ca="1">IFERROR(__xludf.DUMMYFUNCTION("IF(SUM(COUNTIF(artists!E:E, SPLIT(D101, "",""))) &gt; 0, ""OTHER"", 0)"),"OTHER")</f>
        <v>OTHER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97" priority="1">
      <formula>AND($I2=0, $J2=0, $K2=0)</formula>
    </cfRule>
    <cfRule type="expression" dxfId="96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Аркуш15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3" width="8.6640625" customWidth="1"/>
    <col min="4" max="4" width="13.109375" customWidth="1"/>
    <col min="5" max="5" width="8.6640625" hidden="1" customWidth="1"/>
    <col min="6" max="6" width="8.6640625" customWidth="1"/>
    <col min="7" max="7" width="13.10937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B2" s="21">
        <v>1</v>
      </c>
      <c r="C2" s="21" t="s">
        <v>88</v>
      </c>
      <c r="D2" s="21" t="s">
        <v>89</v>
      </c>
      <c r="E2" s="21">
        <v>18</v>
      </c>
      <c r="F2" s="21">
        <v>950872</v>
      </c>
      <c r="G2" s="42">
        <v>-5.1999999999999998E-2</v>
      </c>
      <c r="H2" s="21" t="s">
        <v>90</v>
      </c>
      <c r="I2" s="39" t="str">
        <f ca="1">IFERROR(__xludf.DUMMYFUNCTION("IF(SUM(COUNTIF(artists!A:A, SPLIT(D2, "",""))) &gt; 0, ""UA"", 0)"),"UA")</f>
        <v>UA</v>
      </c>
      <c r="J2" s="40">
        <f ca="1">IFERROR(__xludf.DUMMYFUNCTION("IF(SUM(COUNTIF(artists!C:C, SPLIT(D2, "",""))) &gt; 0, ""RU"", 0)"),0)</f>
        <v>0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B3" s="21">
        <v>2</v>
      </c>
      <c r="C3" s="21" t="s">
        <v>95</v>
      </c>
      <c r="D3" s="21" t="s">
        <v>96</v>
      </c>
      <c r="E3" s="21">
        <v>3</v>
      </c>
      <c r="F3" s="21">
        <v>626407</v>
      </c>
      <c r="G3" s="42">
        <v>-0.23499999999999999</v>
      </c>
      <c r="H3" s="21" t="s">
        <v>98</v>
      </c>
      <c r="I3" s="39" t="str">
        <f ca="1">IFERROR(__xludf.DUMMYFUNCTION("IF(SUM(COUNTIF(artists!A:A, SPLIT(D3, "",""))) &gt; 0, ""UA"", 0)"),"UA")</f>
        <v>UA</v>
      </c>
      <c r="J3" s="40">
        <f ca="1">IFERROR(__xludf.DUMMYFUNCTION("IF(SUM(COUNTIF(artists!C:C, SPLIT(D3, "",""))) &gt; 0, ""RU"", 0)"),0)</f>
        <v>0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B4" s="21">
        <v>5</v>
      </c>
      <c r="C4" s="21" t="s">
        <v>132</v>
      </c>
      <c r="D4" s="21" t="s">
        <v>133</v>
      </c>
      <c r="E4" s="21">
        <v>30</v>
      </c>
      <c r="F4" s="21">
        <v>533039</v>
      </c>
      <c r="G4" s="42">
        <v>-5.8000000000000003E-2</v>
      </c>
      <c r="H4" s="21" t="s">
        <v>135</v>
      </c>
      <c r="I4" s="39" t="str">
        <f ca="1">IFERROR(__xludf.DUMMYFUNCTION("IF(SUM(COUNTIF(artists!A:A, SPLIT(D4, "",""))) &gt; 0, ""UA"", 0)"),"UA")</f>
        <v>UA</v>
      </c>
      <c r="J4" s="40">
        <f ca="1">IFERROR(__xludf.DUMMYFUNCTION("IF(SUM(COUNTIF(artists!C:C, SPLIT(D4, "",""))) &gt; 0, ""RU"", 0)"),0)</f>
        <v>0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B5" s="21">
        <v>4</v>
      </c>
      <c r="C5" s="21" t="s">
        <v>128</v>
      </c>
      <c r="D5" s="21" t="s">
        <v>129</v>
      </c>
      <c r="E5" s="21">
        <v>26</v>
      </c>
      <c r="F5" s="21">
        <v>521451</v>
      </c>
      <c r="G5" s="42">
        <v>-0.111</v>
      </c>
      <c r="H5" s="21" t="s">
        <v>131</v>
      </c>
      <c r="I5" s="39" t="str">
        <f ca="1">IFERROR(__xludf.DUMMYFUNCTION("IF(SUM(COUNTIF(artists!A:A, SPLIT(D5, "",""))) &gt; 0, ""UA"", 0)"),"UA")</f>
        <v>UA</v>
      </c>
      <c r="J5" s="40">
        <f ca="1">IFERROR(__xludf.DUMMYFUNCTION("IF(SUM(COUNTIF(artists!C:C, SPLIT(D5, "",""))) &gt; 0, ""RU"", 0)"),0)</f>
        <v>0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B6" s="21">
        <v>7</v>
      </c>
      <c r="C6" s="21" t="s">
        <v>645</v>
      </c>
      <c r="D6" s="21" t="s">
        <v>352</v>
      </c>
      <c r="E6" s="21">
        <v>43</v>
      </c>
      <c r="F6" s="21">
        <v>498127</v>
      </c>
      <c r="G6" s="42">
        <v>-7.9000000000000001E-2</v>
      </c>
      <c r="H6" s="21" t="s">
        <v>647</v>
      </c>
      <c r="I6" s="39" t="str">
        <f ca="1">IFERROR(__xludf.DUMMYFUNCTION("IF(SUM(COUNTIF(artists!A:A, SPLIT(D6, "",""))) &gt; 0, ""UA"", 0)"),"UA")</f>
        <v>UA</v>
      </c>
      <c r="J6" s="40">
        <f ca="1">IFERROR(__xludf.DUMMYFUNCTION("IF(SUM(COUNTIF(artists!C:C, SPLIT(D6, "",""))) &gt; 0, ""RU"", 0)"),0)</f>
        <v>0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B7" s="21">
        <v>8</v>
      </c>
      <c r="C7" s="21" t="s">
        <v>115</v>
      </c>
      <c r="D7" s="21" t="s">
        <v>116</v>
      </c>
      <c r="E7" s="21">
        <v>20</v>
      </c>
      <c r="F7" s="21">
        <v>495902</v>
      </c>
      <c r="G7" s="42">
        <v>-4.9000000000000002E-2</v>
      </c>
      <c r="H7" s="21" t="s">
        <v>117</v>
      </c>
      <c r="I7" s="39" t="str">
        <f ca="1">IFERROR(__xludf.DUMMYFUNCTION("IF(SUM(COUNTIF(artists!A:A, SPLIT(D7, "",""))) &gt; 0, ""UA"", 0)"),"UA")</f>
        <v>UA</v>
      </c>
      <c r="J7" s="40">
        <f ca="1">IFERROR(__xludf.DUMMYFUNCTION("IF(SUM(COUNTIF(artists!C:C, SPLIT(D7, "",""))) &gt; 0, ""RU"", 0)"),0)</f>
        <v>0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B8" s="21">
        <v>12</v>
      </c>
      <c r="C8" s="21" t="s">
        <v>175</v>
      </c>
      <c r="D8" s="21" t="s">
        <v>89</v>
      </c>
      <c r="E8" s="21">
        <v>30</v>
      </c>
      <c r="F8" s="21">
        <v>478498</v>
      </c>
      <c r="G8" s="42">
        <v>-4.3999999999999997E-2</v>
      </c>
      <c r="H8" s="21" t="s">
        <v>177</v>
      </c>
      <c r="I8" s="39" t="str">
        <f ca="1">IFERROR(__xludf.DUMMYFUNCTION("IF(SUM(COUNTIF(artists!A:A, SPLIT(D8, "",""))) &gt; 0, ""UA"", 0)"),"UA")</f>
        <v>UA</v>
      </c>
      <c r="J8" s="40">
        <f ca="1">IFERROR(__xludf.DUMMYFUNCTION("IF(SUM(COUNTIF(artists!C:C, SPLIT(D8, "",""))) &gt; 0, ""RU"", 0)"),0)</f>
        <v>0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B9" s="21">
        <v>20</v>
      </c>
      <c r="C9" s="21" t="s">
        <v>294</v>
      </c>
      <c r="D9" s="21" t="s">
        <v>295</v>
      </c>
      <c r="E9" s="21">
        <v>2</v>
      </c>
      <c r="F9" s="21">
        <v>467512</v>
      </c>
      <c r="G9" s="42">
        <v>0.14899999999999999</v>
      </c>
      <c r="H9" s="21" t="s">
        <v>297</v>
      </c>
      <c r="I9" s="39">
        <f ca="1">IFERROR(__xludf.DUMMYFUNCTION("IF(SUM(COUNTIF(artists!A:A, SPLIT(D9, "",""))) &gt; 0, ""UA"", 0)"),0)</f>
        <v>0</v>
      </c>
      <c r="J9" s="40" t="str">
        <f ca="1">IFERROR(__xludf.DUMMYFUNCTION("IF(SUM(COUNTIF(artists!C:C, SPLIT(D9, "",""))) &gt; 0, ""RU"", 0)"),"RU")</f>
        <v>RU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B10" s="21">
        <v>6</v>
      </c>
      <c r="C10" s="21" t="s">
        <v>351</v>
      </c>
      <c r="D10" s="21" t="s">
        <v>352</v>
      </c>
      <c r="E10" s="21">
        <v>6</v>
      </c>
      <c r="F10" s="21">
        <v>457839</v>
      </c>
      <c r="G10" s="42">
        <v>-0.161</v>
      </c>
      <c r="H10" s="21" t="s">
        <v>354</v>
      </c>
      <c r="I10" s="39" t="str">
        <f ca="1">IFERROR(__xludf.DUMMYFUNCTION("IF(SUM(COUNTIF(artists!A:A, SPLIT(D10, "",""))) &gt; 0, ""UA"", 0)"),"UA")</f>
        <v>UA</v>
      </c>
      <c r="J10" s="40">
        <f ca="1">IFERROR(__xludf.DUMMYFUNCTION("IF(SUM(COUNTIF(artists!C:C, SPLIT(D10, "",""))) &gt; 0, ""RU"", 0)"),0)</f>
        <v>0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B11" s="21">
        <v>11</v>
      </c>
      <c r="C11" s="21" t="s">
        <v>145</v>
      </c>
      <c r="D11" s="21" t="s">
        <v>146</v>
      </c>
      <c r="E11" s="21">
        <v>24</v>
      </c>
      <c r="F11" s="21">
        <v>442916</v>
      </c>
      <c r="G11" s="42">
        <v>-0.11600000000000001</v>
      </c>
      <c r="H11" s="21" t="s">
        <v>148</v>
      </c>
      <c r="I11" s="39" t="str">
        <f ca="1">IFERROR(__xludf.DUMMYFUNCTION("IF(SUM(COUNTIF(artists!A:A, SPLIT(D11, "",""))) &gt; 0, ""UA"", 0)"),"UA")</f>
        <v>UA</v>
      </c>
      <c r="J11" s="40">
        <f ca="1">IFERROR(__xludf.DUMMYFUNCTION("IF(SUM(COUNTIF(artists!C:C, SPLIT(D11, "",""))) &gt; 0, ""RU"", 0)"),0)</f>
        <v>0</v>
      </c>
      <c r="K11" s="39">
        <f ca="1">IFERROR(__xludf.DUMMYFUNCTION("IF(SUM(COUNTIF(artists!E:E, SPLIT(D11, "",""))) &gt; 0, ""OTHER"", 0)"),0)</f>
        <v>0</v>
      </c>
    </row>
    <row r="12" spans="1:11" ht="14.25" customHeight="1">
      <c r="A12" s="21">
        <v>11</v>
      </c>
      <c r="B12" s="21">
        <v>10</v>
      </c>
      <c r="C12" s="21" t="s">
        <v>182</v>
      </c>
      <c r="D12" s="21" t="s">
        <v>183</v>
      </c>
      <c r="E12" s="21">
        <v>26</v>
      </c>
      <c r="F12" s="21">
        <v>420681</v>
      </c>
      <c r="G12" s="42">
        <v>-0.161</v>
      </c>
      <c r="H12" s="21" t="s">
        <v>185</v>
      </c>
      <c r="I12" s="39" t="str">
        <f ca="1">IFERROR(__xludf.DUMMYFUNCTION("IF(SUM(COUNTIF(artists!A:A, SPLIT(D12, "",""))) &gt; 0, ""UA"", 0)"),"UA")</f>
        <v>UA</v>
      </c>
      <c r="J12" s="40">
        <f ca="1">IFERROR(__xludf.DUMMYFUNCTION("IF(SUM(COUNTIF(artists!C:C, SPLIT(D12, "",""))) &gt; 0, ""RU"", 0)"),0)</f>
        <v>0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B13" s="21">
        <v>18</v>
      </c>
      <c r="C13" s="21" t="s">
        <v>202</v>
      </c>
      <c r="D13" s="21" t="s">
        <v>835</v>
      </c>
      <c r="E13" s="21">
        <v>20</v>
      </c>
      <c r="F13" s="21">
        <v>415623</v>
      </c>
      <c r="G13" s="42">
        <v>-4.2000000000000003E-2</v>
      </c>
      <c r="H13" s="21" t="s">
        <v>204</v>
      </c>
      <c r="I13" s="39" t="str">
        <f ca="1">IFERROR(__xludf.DUMMYFUNCTION("IF(SUM(COUNTIF(artists!A:A, SPLIT(D13, "",""))) &gt; 0, ""UA"", 0)"),"UA")</f>
        <v>UA</v>
      </c>
      <c r="J13" s="40">
        <f ca="1">IFERROR(__xludf.DUMMYFUNCTION("IF(SUM(COUNTIF(artists!C:C, SPLIT(D13, "",""))) &gt; 0, ""RU"", 0)"),0)</f>
        <v>0</v>
      </c>
      <c r="K13" s="39">
        <f ca="1">IFERROR(__xludf.DUMMYFUNCTION("IF(SUM(COUNTIF(artists!E:E, SPLIT(D13, "",""))) &gt; 0, ""OTHER"", 0)"),0)</f>
        <v>0</v>
      </c>
    </row>
    <row r="14" spans="1:11" ht="14.25" customHeight="1">
      <c r="A14" s="21">
        <v>13</v>
      </c>
      <c r="B14" s="21">
        <v>14</v>
      </c>
      <c r="C14" s="21" t="s">
        <v>149</v>
      </c>
      <c r="D14" s="21" t="s">
        <v>150</v>
      </c>
      <c r="E14" s="21">
        <v>23</v>
      </c>
      <c r="F14" s="21">
        <v>411400</v>
      </c>
      <c r="G14" s="42">
        <v>-0.13700000000000001</v>
      </c>
      <c r="H14" s="21" t="s">
        <v>152</v>
      </c>
      <c r="I14" s="39" t="str">
        <f ca="1">IFERROR(__xludf.DUMMYFUNCTION("IF(SUM(COUNTIF(artists!A:A, SPLIT(D14, "",""))) &gt; 0, ""UA"", 0)"),"UA")</f>
        <v>UA</v>
      </c>
      <c r="J14" s="40">
        <f ca="1">IFERROR(__xludf.DUMMYFUNCTION("IF(SUM(COUNTIF(artists!C:C, SPLIT(D14, "",""))) &gt; 0, ""RU"", 0)"),0)</f>
        <v>0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B15" s="21">
        <v>9</v>
      </c>
      <c r="C15" s="21" t="s">
        <v>168</v>
      </c>
      <c r="D15" s="21" t="s">
        <v>137</v>
      </c>
      <c r="E15" s="21">
        <v>21</v>
      </c>
      <c r="F15" s="21">
        <v>409522</v>
      </c>
      <c r="G15" s="42">
        <v>-0.20599999999999999</v>
      </c>
      <c r="H15" s="21" t="s">
        <v>170</v>
      </c>
      <c r="I15" s="39" t="str">
        <f ca="1">IFERROR(__xludf.DUMMYFUNCTION("IF(SUM(COUNTIF(artists!A:A, SPLIT(D15, "",""))) &gt; 0, ""UA"", 0)"),"UA")</f>
        <v>UA</v>
      </c>
      <c r="J15" s="40">
        <f ca="1">IFERROR(__xludf.DUMMYFUNCTION("IF(SUM(COUNTIF(artists!C:C, SPLIT(D15, "",""))) &gt; 0, ""RU"", 0)"),0)</f>
        <v>0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B16" s="21">
        <v>16</v>
      </c>
      <c r="C16" s="21" t="s">
        <v>186</v>
      </c>
      <c r="D16" s="21" t="s">
        <v>187</v>
      </c>
      <c r="E16" s="21">
        <v>34</v>
      </c>
      <c r="F16" s="21">
        <v>375157</v>
      </c>
      <c r="G16" s="42">
        <v>-0.16700000000000001</v>
      </c>
      <c r="H16" s="21" t="s">
        <v>189</v>
      </c>
      <c r="I16" s="39" t="str">
        <f ca="1">IFERROR(__xludf.DUMMYFUNCTION("IF(SUM(COUNTIF(artists!A:A, SPLIT(D16, "",""))) &gt; 0, ""UA"", 0)"),"UA")</f>
        <v>UA</v>
      </c>
      <c r="J16" s="40">
        <f ca="1">IFERROR(__xludf.DUMMYFUNCTION("IF(SUM(COUNTIF(artists!C:C, SPLIT(D16, "",""))) &gt; 0, ""RU"", 0)"),0)</f>
        <v>0</v>
      </c>
      <c r="K16" s="39">
        <f ca="1">IFERROR(__xludf.DUMMYFUNCTION("IF(SUM(COUNTIF(artists!E:E, SPLIT(D16, "",""))) &gt; 0, ""OTHER"", 0)"),0)</f>
        <v>0</v>
      </c>
    </row>
    <row r="17" spans="1:11" ht="14.25" customHeight="1">
      <c r="A17" s="21">
        <v>16</v>
      </c>
      <c r="B17" s="21">
        <v>19</v>
      </c>
      <c r="C17" s="21" t="s">
        <v>286</v>
      </c>
      <c r="D17" s="21" t="s">
        <v>287</v>
      </c>
      <c r="E17" s="21">
        <v>5</v>
      </c>
      <c r="F17" s="21">
        <v>371939</v>
      </c>
      <c r="G17" s="42">
        <v>-8.7999999999999995E-2</v>
      </c>
      <c r="H17" s="21" t="s">
        <v>289</v>
      </c>
      <c r="I17" s="39">
        <f ca="1">IFERROR(__xludf.DUMMYFUNCTION("IF(SUM(COUNTIF(artists!A:A, SPLIT(D17, "",""))) &gt; 0, ""UA"", 0)"),0)</f>
        <v>0</v>
      </c>
      <c r="J17" s="40" t="str">
        <f ca="1">IFERROR(__xludf.DUMMYFUNCTION("IF(SUM(COUNTIF(artists!C:C, SPLIT(D17, "",""))) &gt; 0, ""RU"", 0)"),"RU")</f>
        <v>RU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C18" s="21" t="s">
        <v>1016</v>
      </c>
      <c r="D18" s="21" t="s">
        <v>310</v>
      </c>
      <c r="E18" s="21">
        <v>1</v>
      </c>
      <c r="F18" s="21">
        <v>367790</v>
      </c>
      <c r="H18" s="21" t="s">
        <v>1017</v>
      </c>
      <c r="I18" s="39">
        <f ca="1">IFERROR(__xludf.DUMMYFUNCTION("IF(SUM(COUNTIF(artists!A:A, SPLIT(D18, "",""))) &gt; 0, ""UA"", 0)"),0)</f>
        <v>0</v>
      </c>
      <c r="J18" s="40">
        <f ca="1">IFERROR(__xludf.DUMMYFUNCTION("IF(SUM(COUNTIF(artists!C:C, SPLIT(D18, "",""))) &gt; 0, ""RU"", 0)"),0)</f>
        <v>0</v>
      </c>
      <c r="K18" s="39" t="str">
        <f ca="1">IFERROR(__xludf.DUMMYFUNCTION("IF(SUM(COUNTIF(artists!E:E, SPLIT(D18, "",""))) &gt; 0, ""OTHER"", 0)"),"OTHER")</f>
        <v>OTHER</v>
      </c>
    </row>
    <row r="19" spans="1:11" ht="14.25" customHeight="1">
      <c r="A19" s="21">
        <v>18</v>
      </c>
      <c r="B19" s="21">
        <v>23</v>
      </c>
      <c r="C19" s="21" t="s">
        <v>171</v>
      </c>
      <c r="D19" s="21" t="s">
        <v>172</v>
      </c>
      <c r="E19" s="21">
        <v>25</v>
      </c>
      <c r="F19" s="21">
        <v>356250</v>
      </c>
      <c r="G19" s="42">
        <v>-4.8000000000000001E-2</v>
      </c>
      <c r="H19" s="21" t="s">
        <v>174</v>
      </c>
      <c r="I19" s="39">
        <f ca="1">IFERROR(__xludf.DUMMYFUNCTION("IF(SUM(COUNTIF(artists!A:A, SPLIT(D19, "",""))) &gt; 0, ""UA"", 0)"),0)</f>
        <v>0</v>
      </c>
      <c r="J19" s="40" t="str">
        <f ca="1">IFERROR(__xludf.DUMMYFUNCTION("IF(SUM(COUNTIF(artists!C:C, SPLIT(D19, "",""))) &gt; 0, ""RU"", 0)"),"RU")</f>
        <v>RU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B20" s="21">
        <v>21</v>
      </c>
      <c r="C20" s="21" t="s">
        <v>194</v>
      </c>
      <c r="D20" s="21" t="s">
        <v>195</v>
      </c>
      <c r="E20" s="21">
        <v>33</v>
      </c>
      <c r="F20" s="21">
        <v>353338</v>
      </c>
      <c r="G20" s="42">
        <v>-9.9000000000000005E-2</v>
      </c>
      <c r="H20" s="21" t="s">
        <v>197</v>
      </c>
      <c r="I20" s="39" t="str">
        <f ca="1">IFERROR(__xludf.DUMMYFUNCTION("IF(SUM(COUNTIF(artists!A:A, SPLIT(D20, "",""))) &gt; 0, ""UA"", 0)"),"UA")</f>
        <v>UA</v>
      </c>
      <c r="J20" s="40">
        <f ca="1">IFERROR(__xludf.DUMMYFUNCTION("IF(SUM(COUNTIF(artists!C:C, SPLIT(D20, "",""))) &gt; 0, ""RU"", 0)"),0)</f>
        <v>0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B21" s="21">
        <v>24</v>
      </c>
      <c r="C21" s="21" t="s">
        <v>190</v>
      </c>
      <c r="D21" s="21" t="s">
        <v>191</v>
      </c>
      <c r="E21" s="21">
        <v>5</v>
      </c>
      <c r="F21" s="21">
        <v>342628</v>
      </c>
      <c r="G21" s="42">
        <v>-3.7999999999999999E-2</v>
      </c>
      <c r="H21" s="21" t="s">
        <v>193</v>
      </c>
      <c r="I21" s="39" t="str">
        <f ca="1">IFERROR(__xludf.DUMMYFUNCTION("IF(SUM(COUNTIF(artists!A:A, SPLIT(D21, "",""))) &gt; 0, ""UA"", 0)"),"UA")</f>
        <v>UA</v>
      </c>
      <c r="J21" s="40">
        <f ca="1">IFERROR(__xludf.DUMMYFUNCTION("IF(SUM(COUNTIF(artists!C:C, SPLIT(D21, "",""))) &gt; 0, ""RU"", 0)"),0)</f>
        <v>0</v>
      </c>
      <c r="K21" s="39">
        <f ca="1">IFERROR(__xludf.DUMMYFUNCTION("IF(SUM(COUNTIF(artists!E:E, SPLIT(D21, "",""))) &gt; 0, ""OTHER"", 0)"),0)</f>
        <v>0</v>
      </c>
    </row>
    <row r="22" spans="1:11" ht="14.25" customHeight="1">
      <c r="A22" s="21">
        <v>21</v>
      </c>
      <c r="B22" s="21">
        <v>27</v>
      </c>
      <c r="C22" s="21" t="s">
        <v>844</v>
      </c>
      <c r="D22" s="21" t="s">
        <v>457</v>
      </c>
      <c r="E22" s="21">
        <v>10</v>
      </c>
      <c r="F22" s="21">
        <v>329101</v>
      </c>
      <c r="G22" s="42">
        <v>-1.4999999999999999E-2</v>
      </c>
      <c r="H22" s="21" t="s">
        <v>459</v>
      </c>
      <c r="I22" s="39">
        <f ca="1">IFERROR(__xludf.DUMMYFUNCTION("IF(SUM(COUNTIF(artists!A:A, SPLIT(D22, "",""))) &gt; 0, ""UA"", 0)"),0)</f>
        <v>0</v>
      </c>
      <c r="J22" s="40">
        <f ca="1">IFERROR(__xludf.DUMMYFUNCTION("IF(SUM(COUNTIF(artists!C:C, SPLIT(D22, "",""))) &gt; 0, ""RU"", 0)"),0)</f>
        <v>0</v>
      </c>
      <c r="K22" s="39" t="str">
        <f ca="1">IFERROR(__xludf.DUMMYFUNCTION("IF(SUM(COUNTIF(artists!E:E, SPLIT(D22, "",""))) &gt; 0, ""OTHER"", 0)"),"OTHER")</f>
        <v>OTHER</v>
      </c>
    </row>
    <row r="23" spans="1:11" ht="14.25" customHeight="1">
      <c r="A23" s="21">
        <v>22</v>
      </c>
      <c r="B23" s="21">
        <v>3</v>
      </c>
      <c r="C23" s="21" t="s">
        <v>775</v>
      </c>
      <c r="D23" s="21" t="s">
        <v>776</v>
      </c>
      <c r="E23" s="21">
        <v>2</v>
      </c>
      <c r="F23" s="21">
        <v>327972</v>
      </c>
      <c r="G23" s="42">
        <v>-0.52900000000000003</v>
      </c>
      <c r="H23" s="21" t="s">
        <v>777</v>
      </c>
      <c r="I23" s="39" t="str">
        <f ca="1">IFERROR(__xludf.DUMMYFUNCTION("IF(SUM(COUNTIF(artists!A:A, SPLIT(D23, "",""))) &gt; 0, ""UA"", 0)"),"UA")</f>
        <v>UA</v>
      </c>
      <c r="J23" s="40">
        <f ca="1">IFERROR(__xludf.DUMMYFUNCTION("IF(SUM(COUNTIF(artists!C:C, SPLIT(D23, "",""))) &gt; 0, ""RU"", 0)"),0)</f>
        <v>0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B24" s="21">
        <v>25</v>
      </c>
      <c r="C24" s="21" t="s">
        <v>209</v>
      </c>
      <c r="D24" s="21" t="s">
        <v>210</v>
      </c>
      <c r="E24" s="21">
        <v>23</v>
      </c>
      <c r="F24" s="21">
        <v>324437</v>
      </c>
      <c r="G24" s="42">
        <v>-6.9000000000000006E-2</v>
      </c>
      <c r="H24" s="21" t="s">
        <v>212</v>
      </c>
      <c r="I24" s="39" t="str">
        <f ca="1">IFERROR(__xludf.DUMMYFUNCTION("IF(SUM(COUNTIF(artists!A:A, SPLIT(D24, "",""))) &gt; 0, ""UA"", 0)"),"UA")</f>
        <v>UA</v>
      </c>
      <c r="J24" s="40">
        <f ca="1">IFERROR(__xludf.DUMMYFUNCTION("IF(SUM(COUNTIF(artists!C:C, SPLIT(D24, "",""))) &gt; 0, ""RU"", 0)"),0)</f>
        <v>0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C25" s="21" t="s">
        <v>999</v>
      </c>
      <c r="D25" s="21" t="s">
        <v>1000</v>
      </c>
      <c r="E25" s="21">
        <v>1</v>
      </c>
      <c r="F25" s="21">
        <v>322868</v>
      </c>
      <c r="H25" s="21" t="s">
        <v>1001</v>
      </c>
      <c r="I25" s="39">
        <f ca="1">IFERROR(__xludf.DUMMYFUNCTION("IF(SUM(COUNTIF(artists!A:A, SPLIT(D25, "",""))) &gt; 0, ""UA"", 0)"),0)</f>
        <v>0</v>
      </c>
      <c r="J25" s="40" t="str">
        <f ca="1">IFERROR(__xludf.DUMMYFUNCTION("IF(SUM(COUNTIF(artists!C:C, SPLIT(D25, "",""))) &gt; 0, ""RU"", 0)"),"RU")</f>
        <v>RU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B26" s="21">
        <v>22</v>
      </c>
      <c r="C26" s="21" t="s">
        <v>500</v>
      </c>
      <c r="D26" s="21" t="s">
        <v>501</v>
      </c>
      <c r="E26" s="21">
        <v>9</v>
      </c>
      <c r="F26" s="21">
        <v>322241</v>
      </c>
      <c r="G26" s="42">
        <v>-0.16800000000000001</v>
      </c>
      <c r="H26" s="21" t="s">
        <v>503</v>
      </c>
      <c r="I26" s="39">
        <f ca="1">IFERROR(__xludf.DUMMYFUNCTION("IF(SUM(COUNTIF(artists!A:A, SPLIT(D26, "",""))) &gt; 0, ""UA"", 0)"),0)</f>
        <v>0</v>
      </c>
      <c r="J26" s="40" t="str">
        <f ca="1">IFERROR(__xludf.DUMMYFUNCTION("IF(SUM(COUNTIF(artists!C:C, SPLIT(D26, "",""))) &gt; 0, ""RU"", 0)"),"RU")</f>
        <v>RU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B27" s="21">
        <v>17</v>
      </c>
      <c r="C27" s="21" t="s">
        <v>268</v>
      </c>
      <c r="D27" s="21" t="s">
        <v>466</v>
      </c>
      <c r="E27" s="21">
        <v>3</v>
      </c>
      <c r="F27" s="21">
        <v>318874</v>
      </c>
      <c r="G27" s="42">
        <v>-0.27800000000000002</v>
      </c>
      <c r="H27" s="21" t="s">
        <v>270</v>
      </c>
      <c r="I27" s="39" t="str">
        <f ca="1">IFERROR(__xludf.DUMMYFUNCTION("IF(SUM(COUNTIF(artists!A:A, SPLIT(D27, "",""))) &gt; 0, ""UA"", 0)"),"UA")</f>
        <v>UA</v>
      </c>
      <c r="J27" s="40">
        <f ca="1">IFERROR(__xludf.DUMMYFUNCTION("IF(SUM(COUNTIF(artists!C:C, SPLIT(D27, "",""))) &gt; 0, ""RU"", 0)"),0)</f>
        <v>0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B28" s="21">
        <v>33</v>
      </c>
      <c r="C28" s="21" t="s">
        <v>968</v>
      </c>
      <c r="D28" s="21" t="s">
        <v>969</v>
      </c>
      <c r="E28" s="21">
        <v>50</v>
      </c>
      <c r="F28" s="21">
        <v>301154</v>
      </c>
      <c r="G28" s="42">
        <v>8.2000000000000003E-2</v>
      </c>
      <c r="H28" s="21" t="s">
        <v>970</v>
      </c>
      <c r="I28" s="39" t="str">
        <f ca="1">IFERROR(__xludf.DUMMYFUNCTION("IF(SUM(COUNTIF(artists!A:A, SPLIT(D28, "",""))) &gt; 0, ""UA"", 0)"),"UA")</f>
        <v>UA</v>
      </c>
      <c r="J28" s="40">
        <f ca="1">IFERROR(__xludf.DUMMYFUNCTION("IF(SUM(COUNTIF(artists!C:C, SPLIT(D28, "",""))) &gt; 0, ""RU"", 0)"),0)</f>
        <v>0</v>
      </c>
      <c r="K28" s="39">
        <f ca="1">IFERROR(__xludf.DUMMYFUNCTION("IF(SUM(COUNTIF(artists!E:E, SPLIT(D28, "",""))) &gt; 0, ""OTHER"", 0)"),0)</f>
        <v>0</v>
      </c>
    </row>
    <row r="29" spans="1:11" ht="14.25" customHeight="1">
      <c r="A29" s="21">
        <v>28</v>
      </c>
      <c r="B29" s="21">
        <v>30</v>
      </c>
      <c r="C29" s="21" t="s">
        <v>841</v>
      </c>
      <c r="D29" s="21" t="s">
        <v>842</v>
      </c>
      <c r="E29" s="21">
        <v>35</v>
      </c>
      <c r="F29" s="21">
        <v>296921</v>
      </c>
      <c r="G29" s="43">
        <v>-0.01</v>
      </c>
      <c r="H29" s="21" t="s">
        <v>843</v>
      </c>
      <c r="I29" s="39">
        <f ca="1">IFERROR(__xludf.DUMMYFUNCTION("IF(SUM(COUNTIF(artists!A:A, SPLIT(D29, "",""))) &gt; 0, ""UA"", 0)"),0)</f>
        <v>0</v>
      </c>
      <c r="J29" s="40">
        <f ca="1">IFERROR(__xludf.DUMMYFUNCTION("IF(SUM(COUNTIF(artists!C:C, SPLIT(D29, "",""))) &gt; 0, ""RU"", 0)"),0)</f>
        <v>0</v>
      </c>
      <c r="K29" s="39" t="str">
        <f ca="1">IFERROR(__xludf.DUMMYFUNCTION("IF(SUM(COUNTIF(artists!E:E, SPLIT(D29, "",""))) &gt; 0, ""OTHER"", 0)"),"OTHER")</f>
        <v>OTHER</v>
      </c>
    </row>
    <row r="30" spans="1:11" ht="14.25" customHeight="1">
      <c r="A30" s="21">
        <v>29</v>
      </c>
      <c r="B30" s="21">
        <v>28</v>
      </c>
      <c r="C30" s="21" t="s">
        <v>178</v>
      </c>
      <c r="D30" s="21" t="s">
        <v>179</v>
      </c>
      <c r="E30" s="21">
        <v>34</v>
      </c>
      <c r="F30" s="21">
        <v>294880</v>
      </c>
      <c r="G30" s="42">
        <v>-6.6000000000000003E-2</v>
      </c>
      <c r="H30" s="21" t="s">
        <v>181</v>
      </c>
      <c r="I30" s="39" t="str">
        <f ca="1">IFERROR(__xludf.DUMMYFUNCTION("IF(SUM(COUNTIF(artists!A:A, SPLIT(D30, "",""))) &gt; 0, ""UA"", 0)"),"UA")</f>
        <v>UA</v>
      </c>
      <c r="J30" s="40">
        <f ca="1">IFERROR(__xludf.DUMMYFUNCTION("IF(SUM(COUNTIF(artists!C:C, SPLIT(D30, "",""))) &gt; 0, ""RU"", 0)"),0)</f>
        <v>0</v>
      </c>
      <c r="K30" s="39">
        <f ca="1">IFERROR(__xludf.DUMMYFUNCTION("IF(SUM(COUNTIF(artists!E:E, SPLIT(D30, "",""))) &gt; 0, ""OTHER"", 0)"),0)</f>
        <v>0</v>
      </c>
    </row>
    <row r="31" spans="1:11" ht="14.25" customHeight="1">
      <c r="A31" s="21">
        <v>30</v>
      </c>
      <c r="C31" s="21" t="s">
        <v>221</v>
      </c>
      <c r="D31" s="21" t="s">
        <v>222</v>
      </c>
      <c r="E31" s="21">
        <v>1</v>
      </c>
      <c r="F31" s="21">
        <v>287318</v>
      </c>
      <c r="H31" s="21" t="s">
        <v>224</v>
      </c>
      <c r="I31" s="39">
        <f ca="1">IFERROR(__xludf.DUMMYFUNCTION("IF(SUM(COUNTIF(artists!A:A, SPLIT(D31, "",""))) &gt; 0, ""UA"", 0)"),0)</f>
        <v>0</v>
      </c>
      <c r="J31" s="40">
        <f ca="1">IFERROR(__xludf.DUMMYFUNCTION("IF(SUM(COUNTIF(artists!C:C, SPLIT(D31, "",""))) &gt; 0, ""RU"", 0)"),0)</f>
        <v>0</v>
      </c>
      <c r="K31" s="39" t="str">
        <f ca="1">IFERROR(__xludf.DUMMYFUNCTION("IF(SUM(COUNTIF(artists!E:E, SPLIT(D31, "",""))) &gt; 0, ""OTHER"", 0)"),"OTHER")</f>
        <v>OTHER</v>
      </c>
    </row>
    <row r="32" spans="1:11" ht="14.25" customHeight="1">
      <c r="A32" s="21">
        <v>31</v>
      </c>
      <c r="B32" s="21">
        <v>32</v>
      </c>
      <c r="C32" s="21" t="s">
        <v>160</v>
      </c>
      <c r="D32" s="21" t="s">
        <v>161</v>
      </c>
      <c r="E32" s="21">
        <v>24</v>
      </c>
      <c r="F32" s="21">
        <v>274821</v>
      </c>
      <c r="G32" s="42">
        <v>-3.9E-2</v>
      </c>
      <c r="H32" s="21" t="s">
        <v>163</v>
      </c>
      <c r="I32" s="39" t="str">
        <f ca="1">IFERROR(__xludf.DUMMYFUNCTION("IF(SUM(COUNTIF(artists!A:A, SPLIT(D32, "",""))) &gt; 0, ""UA"", 0)"),"UA")</f>
        <v>UA</v>
      </c>
      <c r="J32" s="40">
        <f ca="1">IFERROR(__xludf.DUMMYFUNCTION("IF(SUM(COUNTIF(artists!C:C, SPLIT(D32, "",""))) &gt; 0, ""RU"", 0)"),0)</f>
        <v>0</v>
      </c>
      <c r="K32" s="39">
        <f ca="1">IFERROR(__xludf.DUMMYFUNCTION("IF(SUM(COUNTIF(artists!E:E, SPLIT(D32, "",""))) &gt; 0, ""OTHER"", 0)"),0)</f>
        <v>0</v>
      </c>
    </row>
    <row r="33" spans="1:11" ht="14.25" customHeight="1">
      <c r="A33" s="21">
        <v>32</v>
      </c>
      <c r="B33" s="21">
        <v>26</v>
      </c>
      <c r="C33" s="21" t="s">
        <v>198</v>
      </c>
      <c r="D33" s="21" t="s">
        <v>199</v>
      </c>
      <c r="E33" s="21">
        <v>11</v>
      </c>
      <c r="F33" s="21">
        <v>273084</v>
      </c>
      <c r="G33" s="42">
        <v>-0.188</v>
      </c>
      <c r="H33" s="21" t="s">
        <v>201</v>
      </c>
      <c r="I33" s="39" t="str">
        <f ca="1">IFERROR(__xludf.DUMMYFUNCTION("IF(SUM(COUNTIF(artists!A:A, SPLIT(D33, "",""))) &gt; 0, ""UA"", 0)"),"UA")</f>
        <v>UA</v>
      </c>
      <c r="J33" s="40">
        <f ca="1">IFERROR(__xludf.DUMMYFUNCTION("IF(SUM(COUNTIF(artists!C:C, SPLIT(D33, "",""))) &gt; 0, ""RU"", 0)"),0)</f>
        <v>0</v>
      </c>
      <c r="K33" s="39">
        <f ca="1">IFERROR(__xludf.DUMMYFUNCTION("IF(SUM(COUNTIF(artists!E:E, SPLIT(D33, "",""))) &gt; 0, ""OTHER"", 0)"),0)</f>
        <v>0</v>
      </c>
    </row>
    <row r="34" spans="1:11" ht="14.25" customHeight="1">
      <c r="A34" s="21">
        <v>33</v>
      </c>
      <c r="B34" s="21">
        <v>34</v>
      </c>
      <c r="C34" s="21" t="s">
        <v>255</v>
      </c>
      <c r="D34" s="21" t="s">
        <v>256</v>
      </c>
      <c r="E34" s="21">
        <v>20</v>
      </c>
      <c r="F34" s="21">
        <v>254907</v>
      </c>
      <c r="G34" s="42">
        <v>-7.2999999999999995E-2</v>
      </c>
      <c r="H34" s="21" t="s">
        <v>257</v>
      </c>
      <c r="I34" s="39" t="str">
        <f ca="1">IFERROR(__xludf.DUMMYFUNCTION("IF(SUM(COUNTIF(artists!A:A, SPLIT(D34, "",""))) &gt; 0, ""UA"", 0)"),"UA")</f>
        <v>UA</v>
      </c>
      <c r="J34" s="40">
        <f ca="1">IFERROR(__xludf.DUMMYFUNCTION("IF(SUM(COUNTIF(artists!C:C, SPLIT(D34, "",""))) &gt; 0, ""RU"", 0)"),0)</f>
        <v>0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B35" s="21">
        <v>29</v>
      </c>
      <c r="C35" s="21" t="s">
        <v>247</v>
      </c>
      <c r="D35" s="21" t="s">
        <v>454</v>
      </c>
      <c r="E35" s="21">
        <v>7</v>
      </c>
      <c r="F35" s="21">
        <v>247507</v>
      </c>
      <c r="G35" s="42">
        <v>-0.19700000000000001</v>
      </c>
      <c r="H35" s="21" t="s">
        <v>250</v>
      </c>
      <c r="I35" s="39" t="str">
        <f ca="1">IFERROR(__xludf.DUMMYFUNCTION("IF(SUM(COUNTIF(artists!A:A, SPLIT(D35, "",""))) &gt; 0, ""UA"", 0)"),"UA")</f>
        <v>UA</v>
      </c>
      <c r="J35" s="40">
        <f ca="1">IFERROR(__xludf.DUMMYFUNCTION("IF(SUM(COUNTIF(artists!C:C, SPLIT(D35, "",""))) &gt; 0, ""RU"", 0)"),0)</f>
        <v>0</v>
      </c>
      <c r="K35" s="39">
        <f ca="1">IFERROR(__xludf.DUMMYFUNCTION("IF(SUM(COUNTIF(artists!E:E, SPLIT(D35, "",""))) &gt; 0, ""OTHER"", 0)"),0)</f>
        <v>0</v>
      </c>
    </row>
    <row r="36" spans="1:11" ht="14.25" customHeight="1">
      <c r="A36" s="21">
        <v>35</v>
      </c>
      <c r="B36" s="21">
        <v>35</v>
      </c>
      <c r="C36" s="21" t="s">
        <v>251</v>
      </c>
      <c r="D36" s="21" t="s">
        <v>133</v>
      </c>
      <c r="E36" s="21">
        <v>15</v>
      </c>
      <c r="F36" s="21">
        <v>245901</v>
      </c>
      <c r="G36" s="42">
        <v>-8.6999999999999994E-2</v>
      </c>
      <c r="H36" s="21" t="s">
        <v>252</v>
      </c>
      <c r="I36" s="39" t="str">
        <f ca="1">IFERROR(__xludf.DUMMYFUNCTION("IF(SUM(COUNTIF(artists!A:A, SPLIT(D36, "",""))) &gt; 0, ""UA"", 0)"),"UA")</f>
        <v>UA</v>
      </c>
      <c r="J36" s="40">
        <f ca="1">IFERROR(__xludf.DUMMYFUNCTION("IF(SUM(COUNTIF(artists!C:C, SPLIT(D36, "",""))) &gt; 0, ""RU"", 0)"),0)</f>
        <v>0</v>
      </c>
      <c r="K36" s="39">
        <f ca="1">IFERROR(__xludf.DUMMYFUNCTION("IF(SUM(COUNTIF(artists!E:E, SPLIT(D36, "",""))) &gt; 0, ""OTHER"", 0)"),0)</f>
        <v>0</v>
      </c>
    </row>
    <row r="37" spans="1:11" ht="14.25" customHeight="1">
      <c r="A37" s="21">
        <v>36</v>
      </c>
      <c r="B37" s="21">
        <v>37</v>
      </c>
      <c r="C37" s="21" t="s">
        <v>966</v>
      </c>
      <c r="D37" s="21" t="s">
        <v>584</v>
      </c>
      <c r="E37" s="21">
        <v>2</v>
      </c>
      <c r="F37" s="21">
        <v>243872</v>
      </c>
      <c r="G37" s="43">
        <v>-0.09</v>
      </c>
      <c r="H37" s="21" t="s">
        <v>967</v>
      </c>
      <c r="I37" s="39">
        <f ca="1">IFERROR(__xludf.DUMMYFUNCTION("IF(SUM(COUNTIF(artists!A:A, SPLIT(D37, "",""))) &gt; 0, ""UA"", 0)"),0)</f>
        <v>0</v>
      </c>
      <c r="J37" s="40" t="str">
        <f ca="1">IFERROR(__xludf.DUMMYFUNCTION("IF(SUM(COUNTIF(artists!C:C, SPLIT(D37, "",""))) &gt; 0, ""RU"", 0)"),"RU")</f>
        <v>RU</v>
      </c>
      <c r="K37" s="39">
        <f ca="1">IFERROR(__xludf.DUMMYFUNCTION("IF(SUM(COUNTIF(artists!E:E, SPLIT(D37, "",""))) &gt; 0, ""OTHER"", 0)"),0)</f>
        <v>0</v>
      </c>
    </row>
    <row r="38" spans="1:11" ht="14.25" customHeight="1">
      <c r="A38" s="21">
        <v>37</v>
      </c>
      <c r="B38" s="21">
        <v>39</v>
      </c>
      <c r="C38" s="21" t="s">
        <v>594</v>
      </c>
      <c r="D38" s="21" t="s">
        <v>595</v>
      </c>
      <c r="E38" s="21">
        <v>18</v>
      </c>
      <c r="F38" s="21">
        <v>242931</v>
      </c>
      <c r="G38" s="42">
        <v>-6.2E-2</v>
      </c>
      <c r="H38" s="21" t="s">
        <v>596</v>
      </c>
      <c r="I38" s="39" t="str">
        <f ca="1">IFERROR(__xludf.DUMMYFUNCTION("IF(SUM(COUNTIF(artists!A:A, SPLIT(D38, "",""))) &gt; 0, ""UA"", 0)"),"UA")</f>
        <v>UA</v>
      </c>
      <c r="J38" s="40">
        <f ca="1">IFERROR(__xludf.DUMMYFUNCTION("IF(SUM(COUNTIF(artists!C:C, SPLIT(D38, "",""))) &gt; 0, ""RU"", 0)"),0)</f>
        <v>0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B39" s="21">
        <v>40</v>
      </c>
      <c r="C39" s="21" t="s">
        <v>742</v>
      </c>
      <c r="D39" s="21" t="s">
        <v>743</v>
      </c>
      <c r="E39" s="21">
        <v>12</v>
      </c>
      <c r="F39" s="21">
        <v>240652</v>
      </c>
      <c r="G39" s="42">
        <v>-6.2E-2</v>
      </c>
      <c r="H39" s="21" t="s">
        <v>744</v>
      </c>
      <c r="I39" s="39">
        <f ca="1">IFERROR(__xludf.DUMMYFUNCTION("IF(SUM(COUNTIF(artists!A:A, SPLIT(D39, "",""))) &gt; 0, ""UA"", 0)"),0)</f>
        <v>0</v>
      </c>
      <c r="J39" s="40" t="str">
        <f ca="1">IFERROR(__xludf.DUMMYFUNCTION("IF(SUM(COUNTIF(artists!C:C, SPLIT(D39, "",""))) &gt; 0, ""RU"", 0)"),"RU")</f>
        <v>RU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B40" s="21">
        <v>45</v>
      </c>
      <c r="C40" s="21" t="s">
        <v>932</v>
      </c>
      <c r="D40" s="21" t="s">
        <v>933</v>
      </c>
      <c r="E40" s="21">
        <v>2</v>
      </c>
      <c r="F40" s="21">
        <v>240229</v>
      </c>
      <c r="G40" s="42">
        <v>2.4E-2</v>
      </c>
      <c r="H40" s="21" t="s">
        <v>934</v>
      </c>
      <c r="I40" s="39">
        <f ca="1">IFERROR(__xludf.DUMMYFUNCTION("IF(SUM(COUNTIF(artists!A:A, SPLIT(D40, "",""))) &gt; 0, ""UA"", 0)"),0)</f>
        <v>0</v>
      </c>
      <c r="J40" s="40" t="str">
        <f ca="1">IFERROR(__xludf.DUMMYFUNCTION("IF(SUM(COUNTIF(artists!C:C, SPLIT(D40, "",""))) &gt; 0, ""RU"", 0)"),"RU")</f>
        <v>RU</v>
      </c>
      <c r="K40" s="39">
        <f ca="1">IFERROR(__xludf.DUMMYFUNCTION("IF(SUM(COUNTIF(artists!E:E, SPLIT(D40, "",""))) &gt; 0, ""OTHER"", 0)"),0)</f>
        <v>0</v>
      </c>
    </row>
    <row r="41" spans="1:11" ht="14.25" customHeight="1">
      <c r="A41" s="21">
        <v>40</v>
      </c>
      <c r="B41" s="21">
        <v>36</v>
      </c>
      <c r="C41" s="21" t="s">
        <v>653</v>
      </c>
      <c r="D41" s="21" t="s">
        <v>85</v>
      </c>
      <c r="E41" s="21">
        <v>6</v>
      </c>
      <c r="F41" s="21">
        <v>237642</v>
      </c>
      <c r="G41" s="42">
        <v>-0.11600000000000001</v>
      </c>
      <c r="H41" s="21" t="s">
        <v>655</v>
      </c>
      <c r="I41" s="39" t="str">
        <f ca="1">IFERROR(__xludf.DUMMYFUNCTION("IF(SUM(COUNTIF(artists!A:A, SPLIT(D41, "",""))) &gt; 0, ""UA"", 0)"),"UA")</f>
        <v>UA</v>
      </c>
      <c r="J41" s="40">
        <f ca="1">IFERROR(__xludf.DUMMYFUNCTION("IF(SUM(COUNTIF(artists!C:C, SPLIT(D41, "",""))) &gt; 0, ""RU"", 0)"),0)</f>
        <v>0</v>
      </c>
      <c r="K41" s="39">
        <f ca="1">IFERROR(__xludf.DUMMYFUNCTION("IF(SUM(COUNTIF(artists!E:E, SPLIT(D41, "",""))) &gt; 0, ""OTHER"", 0)"),0)</f>
        <v>0</v>
      </c>
    </row>
    <row r="42" spans="1:11" ht="14.25" customHeight="1">
      <c r="A42" s="21">
        <v>41</v>
      </c>
      <c r="B42" s="21">
        <v>13</v>
      </c>
      <c r="C42" s="21" t="s">
        <v>1018</v>
      </c>
      <c r="D42" s="21" t="s">
        <v>1019</v>
      </c>
      <c r="E42" s="21">
        <v>2</v>
      </c>
      <c r="F42" s="21">
        <v>233676</v>
      </c>
      <c r="G42" s="42">
        <v>-0.51700000000000002</v>
      </c>
      <c r="H42" s="21" t="s">
        <v>1020</v>
      </c>
      <c r="I42" s="39">
        <f ca="1">IFERROR(__xludf.DUMMYFUNCTION("IF(SUM(COUNTIF(artists!A:A, SPLIT(D42, "",""))) &gt; 0, ""UA"", 0)"),0)</f>
        <v>0</v>
      </c>
      <c r="J42" s="40" t="str">
        <f ca="1">IFERROR(__xludf.DUMMYFUNCTION("IF(SUM(COUNTIF(artists!C:C, SPLIT(D42, "",""))) &gt; 0, ""RU"", 0)"),"RU")</f>
        <v>RU</v>
      </c>
      <c r="K42" s="39">
        <f ca="1">IFERROR(__xludf.DUMMYFUNCTION("IF(SUM(COUNTIF(artists!E:E, SPLIT(D42, "",""))) &gt; 0, ""OTHER"", 0)"),0)</f>
        <v>0</v>
      </c>
    </row>
    <row r="43" spans="1:11" ht="14.25" customHeight="1">
      <c r="A43" s="21">
        <v>42</v>
      </c>
      <c r="B43" s="21">
        <v>38</v>
      </c>
      <c r="C43" s="21" t="s">
        <v>700</v>
      </c>
      <c r="D43" s="21" t="s">
        <v>701</v>
      </c>
      <c r="E43" s="21">
        <v>11</v>
      </c>
      <c r="F43" s="21">
        <v>233123</v>
      </c>
      <c r="G43" s="42">
        <v>-0.11600000000000001</v>
      </c>
      <c r="H43" s="21" t="s">
        <v>702</v>
      </c>
      <c r="I43" s="39">
        <f ca="1">IFERROR(__xludf.DUMMYFUNCTION("IF(SUM(COUNTIF(artists!A:A, SPLIT(D43, "",""))) &gt; 0, ""UA"", 0)"),0)</f>
        <v>0</v>
      </c>
      <c r="J43" s="40" t="str">
        <f ca="1">IFERROR(__xludf.DUMMYFUNCTION("IF(SUM(COUNTIF(artists!C:C, SPLIT(D43, "",""))) &gt; 0, ""RU"", 0)"),"RU")</f>
        <v>RU</v>
      </c>
      <c r="K43" s="39">
        <f ca="1">IFERROR(__xludf.DUMMYFUNCTION("IF(SUM(COUNTIF(artists!E:E, SPLIT(D43, "",""))) &gt; 0, ""OTHER"", 0)"),0)</f>
        <v>0</v>
      </c>
    </row>
    <row r="44" spans="1:11" ht="14.25" customHeight="1">
      <c r="A44" s="21">
        <v>43</v>
      </c>
      <c r="B44" s="21">
        <v>48</v>
      </c>
      <c r="C44" s="21" t="s">
        <v>339</v>
      </c>
      <c r="D44" s="21" t="s">
        <v>340</v>
      </c>
      <c r="E44" s="21">
        <v>6</v>
      </c>
      <c r="F44" s="21">
        <v>232367</v>
      </c>
      <c r="G44" s="42">
        <v>1.4999999999999999E-2</v>
      </c>
      <c r="H44" s="21" t="s">
        <v>342</v>
      </c>
      <c r="I44" s="39" t="str">
        <f ca="1">IFERROR(__xludf.DUMMYFUNCTION("IF(SUM(COUNTIF(artists!A:A, SPLIT(D44, "",""))) &gt; 0, ""UA"", 0)"),"UA")</f>
        <v>UA</v>
      </c>
      <c r="J44" s="40">
        <f ca="1">IFERROR(__xludf.DUMMYFUNCTION("IF(SUM(COUNTIF(artists!C:C, SPLIT(D44, "",""))) &gt; 0, ""RU"", 0)"),0)</f>
        <v>0</v>
      </c>
      <c r="K44" s="39">
        <f ca="1">IFERROR(__xludf.DUMMYFUNCTION("IF(SUM(COUNTIF(artists!E:E, SPLIT(D44, "",""))) &gt; 0, ""OTHER"", 0)"),0)</f>
        <v>0</v>
      </c>
    </row>
    <row r="45" spans="1:11" ht="14.25" customHeight="1">
      <c r="A45" s="21">
        <v>44</v>
      </c>
      <c r="B45" s="21">
        <v>42</v>
      </c>
      <c r="C45" s="21" t="s">
        <v>253</v>
      </c>
      <c r="D45" s="21" t="s">
        <v>89</v>
      </c>
      <c r="E45" s="21">
        <v>39</v>
      </c>
      <c r="F45" s="21">
        <v>229733</v>
      </c>
      <c r="G45" s="42">
        <v>-5.7000000000000002E-2</v>
      </c>
      <c r="H45" s="21" t="s">
        <v>254</v>
      </c>
      <c r="I45" s="39" t="str">
        <f ca="1">IFERROR(__xludf.DUMMYFUNCTION("IF(SUM(COUNTIF(artists!A:A, SPLIT(D45, "",""))) &gt; 0, ""UA"", 0)"),"UA")</f>
        <v>UA</v>
      </c>
      <c r="J45" s="40">
        <f ca="1">IFERROR(__xludf.DUMMYFUNCTION("IF(SUM(COUNTIF(artists!C:C, SPLIT(D45, "",""))) &gt; 0, ""RU"", 0)"),0)</f>
        <v>0</v>
      </c>
      <c r="K45" s="39">
        <f ca="1">IFERROR(__xludf.DUMMYFUNCTION("IF(SUM(COUNTIF(artists!E:E, SPLIT(D45, "",""))) &gt; 0, ""OTHER"", 0)"),0)</f>
        <v>0</v>
      </c>
    </row>
    <row r="46" spans="1:11" ht="14.25" customHeight="1">
      <c r="A46" s="21">
        <v>45</v>
      </c>
      <c r="B46" s="21">
        <v>43</v>
      </c>
      <c r="C46" s="21" t="s">
        <v>229</v>
      </c>
      <c r="D46" s="21" t="s">
        <v>230</v>
      </c>
      <c r="E46" s="21">
        <v>37</v>
      </c>
      <c r="F46" s="21">
        <v>227638</v>
      </c>
      <c r="G46" s="42">
        <v>-5.5E-2</v>
      </c>
      <c r="H46" s="21" t="s">
        <v>232</v>
      </c>
      <c r="I46" s="39" t="str">
        <f ca="1">IFERROR(__xludf.DUMMYFUNCTION("IF(SUM(COUNTIF(artists!A:A, SPLIT(D46, "",""))) &gt; 0, ""UA"", 0)"),"UA")</f>
        <v>UA</v>
      </c>
      <c r="J46" s="40">
        <f ca="1">IFERROR(__xludf.DUMMYFUNCTION("IF(SUM(COUNTIF(artists!C:C, SPLIT(D46, "",""))) &gt; 0, ""RU"", 0)"),0)</f>
        <v>0</v>
      </c>
      <c r="K46" s="39">
        <f ca="1">IFERROR(__xludf.DUMMYFUNCTION("IF(SUM(COUNTIF(artists!E:E, SPLIT(D46, "",""))) &gt; 0, ""OTHER"", 0)"),0)</f>
        <v>0</v>
      </c>
    </row>
    <row r="47" spans="1:11" ht="14.25" customHeight="1">
      <c r="A47" s="21">
        <v>46</v>
      </c>
      <c r="C47" s="21" t="s">
        <v>124</v>
      </c>
      <c r="D47" s="21" t="s">
        <v>125</v>
      </c>
      <c r="E47" s="21">
        <v>1</v>
      </c>
      <c r="F47" s="21">
        <v>226610</v>
      </c>
      <c r="H47" s="21" t="s">
        <v>127</v>
      </c>
      <c r="I47" s="39">
        <f ca="1">IFERROR(__xludf.DUMMYFUNCTION("IF(SUM(COUNTIF(artists!A:A, SPLIT(D47, "",""))) &gt; 0, ""UA"", 0)"),0)</f>
        <v>0</v>
      </c>
      <c r="J47" s="40" t="str">
        <f ca="1">IFERROR(__xludf.DUMMYFUNCTION("IF(SUM(COUNTIF(artists!C:C, SPLIT(D47, "",""))) &gt; 0, ""RU"", 0)"),"RU")</f>
        <v>RU</v>
      </c>
      <c r="K47" s="39">
        <f ca="1">IFERROR(__xludf.DUMMYFUNCTION("IF(SUM(COUNTIF(artists!E:E, SPLIT(D47, "",""))) &gt; 0, ""OTHER"", 0)"),0)</f>
        <v>0</v>
      </c>
    </row>
    <row r="48" spans="1:11" ht="14.25" customHeight="1">
      <c r="A48" s="21">
        <v>47</v>
      </c>
      <c r="B48" s="21">
        <v>65</v>
      </c>
      <c r="C48" s="21" t="s">
        <v>402</v>
      </c>
      <c r="D48" s="21" t="s">
        <v>403</v>
      </c>
      <c r="E48" s="21">
        <v>3</v>
      </c>
      <c r="F48" s="21">
        <v>218978</v>
      </c>
      <c r="G48" s="42">
        <v>0.26800000000000002</v>
      </c>
      <c r="H48" s="21" t="s">
        <v>404</v>
      </c>
      <c r="I48" s="39">
        <f ca="1">IFERROR(__xludf.DUMMYFUNCTION("IF(SUM(COUNTIF(artists!A:A, SPLIT(D48, "",""))) &gt; 0, ""UA"", 0)"),0)</f>
        <v>0</v>
      </c>
      <c r="J48" s="40">
        <f ca="1">IFERROR(__xludf.DUMMYFUNCTION("IF(SUM(COUNTIF(artists!C:C, SPLIT(D48, "",""))) &gt; 0, ""RU"", 0)"),0)</f>
        <v>0</v>
      </c>
      <c r="K48" s="39" t="str">
        <f ca="1">IFERROR(__xludf.DUMMYFUNCTION("IF(SUM(COUNTIF(artists!E:E, SPLIT(D48, "",""))) &gt; 0, ""OTHER"", 0)"),"OTHER")</f>
        <v>OTHER</v>
      </c>
    </row>
    <row r="49" spans="1:11" ht="14.25" customHeight="1">
      <c r="A49" s="21">
        <v>48</v>
      </c>
      <c r="B49" s="21">
        <v>41</v>
      </c>
      <c r="C49" s="21" t="s">
        <v>799</v>
      </c>
      <c r="D49" s="21" t="s">
        <v>494</v>
      </c>
      <c r="E49" s="21">
        <v>39</v>
      </c>
      <c r="F49" s="21">
        <v>215494</v>
      </c>
      <c r="G49" s="42">
        <v>-0.11700000000000001</v>
      </c>
      <c r="H49" s="21" t="s">
        <v>800</v>
      </c>
      <c r="I49" s="39" t="str">
        <f ca="1">IFERROR(__xludf.DUMMYFUNCTION("IF(SUM(COUNTIF(artists!A:A, SPLIT(D49, "",""))) &gt; 0, ""UA"", 0)"),"UA")</f>
        <v>UA</v>
      </c>
      <c r="J49" s="40">
        <f ca="1">IFERROR(__xludf.DUMMYFUNCTION("IF(SUM(COUNTIF(artists!C:C, SPLIT(D49, "",""))) &gt; 0, ""RU"", 0)"),0)</f>
        <v>0</v>
      </c>
      <c r="K49" s="39">
        <f ca="1">IFERROR(__xludf.DUMMYFUNCTION("IF(SUM(COUNTIF(artists!E:E, SPLIT(D49, "",""))) &gt; 0, ""OTHER"", 0)"),0)</f>
        <v>0</v>
      </c>
    </row>
    <row r="50" spans="1:11" ht="14.25" customHeight="1">
      <c r="A50" s="21">
        <v>49</v>
      </c>
      <c r="B50" s="21">
        <v>49</v>
      </c>
      <c r="C50" s="21" t="s">
        <v>298</v>
      </c>
      <c r="D50" s="21" t="s">
        <v>299</v>
      </c>
      <c r="E50" s="21">
        <v>7</v>
      </c>
      <c r="F50" s="21">
        <v>214139</v>
      </c>
      <c r="G50" s="42">
        <v>-4.2999999999999997E-2</v>
      </c>
      <c r="H50" s="21" t="s">
        <v>300</v>
      </c>
      <c r="I50" s="39">
        <f ca="1">IFERROR(__xludf.DUMMYFUNCTION("IF(SUM(COUNTIF(artists!A:A, SPLIT(D50, "",""))) &gt; 0, ""UA"", 0)"),0)</f>
        <v>0</v>
      </c>
      <c r="J50" s="40">
        <f ca="1">IFERROR(__xludf.DUMMYFUNCTION("IF(SUM(COUNTIF(artists!C:C, SPLIT(D50, "",""))) &gt; 0, ""RU"", 0)"),0)</f>
        <v>0</v>
      </c>
      <c r="K50" s="39" t="str">
        <f ca="1">IFERROR(__xludf.DUMMYFUNCTION("IF(SUM(COUNTIF(artists!E:E, SPLIT(D50, "",""))) &gt; 0, ""OTHER"", 0)"),"OTHER")</f>
        <v>OTHER</v>
      </c>
    </row>
    <row r="51" spans="1:11" ht="14.25" customHeight="1">
      <c r="A51" s="21">
        <v>50</v>
      </c>
      <c r="B51" s="21">
        <v>51</v>
      </c>
      <c r="C51" s="21" t="s">
        <v>508</v>
      </c>
      <c r="D51" s="21" t="s">
        <v>509</v>
      </c>
      <c r="E51" s="21">
        <v>11</v>
      </c>
      <c r="F51" s="21">
        <v>211201</v>
      </c>
      <c r="G51" s="42">
        <v>-1.4999999999999999E-2</v>
      </c>
      <c r="H51" s="21" t="s">
        <v>510</v>
      </c>
      <c r="I51" s="39">
        <f ca="1">IFERROR(__xludf.DUMMYFUNCTION("IF(SUM(COUNTIF(artists!A:A, SPLIT(D51, "",""))) &gt; 0, ""UA"", 0)"),0)</f>
        <v>0</v>
      </c>
      <c r="J51" s="40" t="str">
        <f ca="1">IFERROR(__xludf.DUMMYFUNCTION("IF(SUM(COUNTIF(artists!C:C, SPLIT(D51, "",""))) &gt; 0, ""RU"", 0)"),"RU")</f>
        <v>RU</v>
      </c>
      <c r="K51" s="39">
        <f ca="1">IFERROR(__xludf.DUMMYFUNCTION("IF(SUM(COUNTIF(artists!E:E, SPLIT(D51, "",""))) &gt; 0, ""OTHER"", 0)"),0)</f>
        <v>0</v>
      </c>
    </row>
    <row r="52" spans="1:11" ht="14.25" customHeight="1">
      <c r="A52" s="21">
        <v>51</v>
      </c>
      <c r="B52" s="21">
        <v>46</v>
      </c>
      <c r="C52" s="21" t="s">
        <v>667</v>
      </c>
      <c r="D52" s="21" t="s">
        <v>668</v>
      </c>
      <c r="E52" s="21">
        <v>11</v>
      </c>
      <c r="F52" s="21">
        <v>207415</v>
      </c>
      <c r="G52" s="42">
        <v>-0.11600000000000001</v>
      </c>
      <c r="H52" s="21" t="s">
        <v>669</v>
      </c>
      <c r="I52" s="39">
        <f ca="1">IFERROR(__xludf.DUMMYFUNCTION("IF(SUM(COUNTIF(artists!A:A, SPLIT(D52, "",""))) &gt; 0, ""UA"", 0)"),0)</f>
        <v>0</v>
      </c>
      <c r="J52" s="40" t="str">
        <f ca="1">IFERROR(__xludf.DUMMYFUNCTION("IF(SUM(COUNTIF(artists!C:C, SPLIT(D52, "",""))) &gt; 0, ""RU"", 0)"),"RU")</f>
        <v>RU</v>
      </c>
      <c r="K52" s="39">
        <f ca="1">IFERROR(__xludf.DUMMYFUNCTION("IF(SUM(COUNTIF(artists!E:E, SPLIT(D52, "",""))) &gt; 0, ""OTHER"", 0)"),0)</f>
        <v>0</v>
      </c>
    </row>
    <row r="53" spans="1:11" ht="14.25" customHeight="1">
      <c r="A53" s="21">
        <v>52</v>
      </c>
      <c r="B53" s="21">
        <v>53</v>
      </c>
      <c r="C53" s="21" t="s">
        <v>373</v>
      </c>
      <c r="D53" s="21" t="s">
        <v>172</v>
      </c>
      <c r="E53" s="21">
        <v>6</v>
      </c>
      <c r="F53" s="21">
        <v>200404</v>
      </c>
      <c r="G53" s="42">
        <v>-1.2999999999999999E-2</v>
      </c>
      <c r="H53" s="21" t="s">
        <v>375</v>
      </c>
      <c r="I53" s="39">
        <f ca="1">IFERROR(__xludf.DUMMYFUNCTION("IF(SUM(COUNTIF(artists!A:A, SPLIT(D53, "",""))) &gt; 0, ""UA"", 0)"),0)</f>
        <v>0</v>
      </c>
      <c r="J53" s="40" t="str">
        <f ca="1">IFERROR(__xludf.DUMMYFUNCTION("IF(SUM(COUNTIF(artists!C:C, SPLIT(D53, "",""))) &gt; 0, ""RU"", 0)"),"RU")</f>
        <v>RU</v>
      </c>
      <c r="K53" s="39">
        <f ca="1">IFERROR(__xludf.DUMMYFUNCTION("IF(SUM(COUNTIF(artists!E:E, SPLIT(D53, "",""))) &gt; 0, ""OTHER"", 0)"),0)</f>
        <v>0</v>
      </c>
    </row>
    <row r="54" spans="1:11" ht="14.25" customHeight="1">
      <c r="A54" s="21">
        <v>53</v>
      </c>
      <c r="C54" s="21" t="s">
        <v>994</v>
      </c>
      <c r="D54" s="21" t="s">
        <v>133</v>
      </c>
      <c r="E54" s="21">
        <v>1</v>
      </c>
      <c r="F54" s="21">
        <v>195982</v>
      </c>
      <c r="H54" s="21" t="s">
        <v>995</v>
      </c>
      <c r="I54" s="39" t="str">
        <f ca="1">IFERROR(__xludf.DUMMYFUNCTION("IF(SUM(COUNTIF(artists!A:A, SPLIT(D54, "",""))) &gt; 0, ""UA"", 0)"),"UA")</f>
        <v>UA</v>
      </c>
      <c r="J54" s="40">
        <f ca="1">IFERROR(__xludf.DUMMYFUNCTION("IF(SUM(COUNTIF(artists!C:C, SPLIT(D54, "",""))) &gt; 0, ""RU"", 0)"),0)</f>
        <v>0</v>
      </c>
      <c r="K54" s="39">
        <f ca="1">IFERROR(__xludf.DUMMYFUNCTION("IF(SUM(COUNTIF(artists!E:E, SPLIT(D54, "",""))) &gt; 0, ""OTHER"", 0)"),0)</f>
        <v>0</v>
      </c>
    </row>
    <row r="55" spans="1:11" ht="14.25" customHeight="1">
      <c r="A55" s="21">
        <v>54</v>
      </c>
      <c r="B55" s="21">
        <v>54</v>
      </c>
      <c r="C55" s="21" t="s">
        <v>616</v>
      </c>
      <c r="D55" s="21" t="s">
        <v>617</v>
      </c>
      <c r="E55" s="21">
        <v>20</v>
      </c>
      <c r="F55" s="21">
        <v>191633</v>
      </c>
      <c r="G55" s="42">
        <v>-5.2999999999999999E-2</v>
      </c>
      <c r="H55" s="21" t="s">
        <v>618</v>
      </c>
      <c r="I55" s="39">
        <f ca="1">IFERROR(__xludf.DUMMYFUNCTION("IF(SUM(COUNTIF(artists!A:A, SPLIT(D55, "",""))) &gt; 0, ""UA"", 0)"),0)</f>
        <v>0</v>
      </c>
      <c r="J55" s="40">
        <f ca="1">IFERROR(__xludf.DUMMYFUNCTION("IF(SUM(COUNTIF(artists!C:C, SPLIT(D55, "",""))) &gt; 0, ""RU"", 0)"),0)</f>
        <v>0</v>
      </c>
      <c r="K55" s="39" t="str">
        <f ca="1">IFERROR(__xludf.DUMMYFUNCTION("IF(SUM(COUNTIF(artists!E:E, SPLIT(D55, "",""))) &gt; 0, ""OTHER"", 0)"),"OTHER")</f>
        <v>OTHER</v>
      </c>
    </row>
    <row r="56" spans="1:11" ht="14.25" customHeight="1">
      <c r="A56" s="21">
        <v>55</v>
      </c>
      <c r="B56" s="21">
        <v>44</v>
      </c>
      <c r="C56" s="21" t="s">
        <v>772</v>
      </c>
      <c r="D56" s="21" t="s">
        <v>773</v>
      </c>
      <c r="E56" s="21">
        <v>8</v>
      </c>
      <c r="F56" s="21">
        <v>190200</v>
      </c>
      <c r="G56" s="42">
        <v>-0.19700000000000001</v>
      </c>
      <c r="H56" s="21" t="s">
        <v>774</v>
      </c>
      <c r="I56" s="39" t="str">
        <f ca="1">IFERROR(__xludf.DUMMYFUNCTION("IF(SUM(COUNTIF(artists!A:A, SPLIT(D56, "",""))) &gt; 0, ""UA"", 0)"),"UA")</f>
        <v>UA</v>
      </c>
      <c r="J56" s="40">
        <f ca="1">IFERROR(__xludf.DUMMYFUNCTION("IF(SUM(COUNTIF(artists!C:C, SPLIT(D56, "",""))) &gt; 0, ""RU"", 0)"),0)</f>
        <v>0</v>
      </c>
      <c r="K56" s="39">
        <f ca="1">IFERROR(__xludf.DUMMYFUNCTION("IF(SUM(COUNTIF(artists!E:E, SPLIT(D56, "",""))) &gt; 0, ""OTHER"", 0)"),0)</f>
        <v>0</v>
      </c>
    </row>
    <row r="57" spans="1:11" ht="14.25" customHeight="1">
      <c r="A57" s="21">
        <v>56</v>
      </c>
      <c r="B57" s="21">
        <v>47</v>
      </c>
      <c r="C57" s="21" t="s">
        <v>579</v>
      </c>
      <c r="D57" s="21" t="s">
        <v>183</v>
      </c>
      <c r="E57" s="21">
        <v>20</v>
      </c>
      <c r="F57" s="21">
        <v>188250</v>
      </c>
      <c r="G57" s="42">
        <v>-0.191</v>
      </c>
      <c r="H57" s="21" t="s">
        <v>580</v>
      </c>
      <c r="I57" s="39" t="str">
        <f ca="1">IFERROR(__xludf.DUMMYFUNCTION("IF(SUM(COUNTIF(artists!A:A, SPLIT(D57, "",""))) &gt; 0, ""UA"", 0)"),"UA")</f>
        <v>UA</v>
      </c>
      <c r="J57" s="40">
        <f ca="1">IFERROR(__xludf.DUMMYFUNCTION("IF(SUM(COUNTIF(artists!C:C, SPLIT(D57, "",""))) &gt; 0, ""RU"", 0)"),0)</f>
        <v>0</v>
      </c>
      <c r="K57" s="39">
        <f ca="1">IFERROR(__xludf.DUMMYFUNCTION("IF(SUM(COUNTIF(artists!E:E, SPLIT(D57, "",""))) &gt; 0, ""OTHER"", 0)"),0)</f>
        <v>0</v>
      </c>
    </row>
    <row r="58" spans="1:11" ht="14.25" customHeight="1">
      <c r="A58" s="21">
        <v>57</v>
      </c>
      <c r="B58" s="21">
        <v>74</v>
      </c>
      <c r="C58" s="21" t="s">
        <v>320</v>
      </c>
      <c r="D58" s="21" t="s">
        <v>321</v>
      </c>
      <c r="E58" s="21">
        <v>2</v>
      </c>
      <c r="F58" s="21">
        <v>182079</v>
      </c>
      <c r="G58" s="42">
        <v>0.17499999999999999</v>
      </c>
      <c r="H58" s="21" t="s">
        <v>323</v>
      </c>
      <c r="I58" s="39">
        <f ca="1">IFERROR(__xludf.DUMMYFUNCTION("IF(SUM(COUNTIF(artists!A:A, SPLIT(D58, "",""))) &gt; 0, ""UA"", 0)"),0)</f>
        <v>0</v>
      </c>
      <c r="J58" s="40">
        <f ca="1">IFERROR(__xludf.DUMMYFUNCTION("IF(SUM(COUNTIF(artists!C:C, SPLIT(D58, "",""))) &gt; 0, ""RU"", 0)"),0)</f>
        <v>0</v>
      </c>
      <c r="K58" s="39" t="str">
        <f ca="1">IFERROR(__xludf.DUMMYFUNCTION("IF(SUM(COUNTIF(artists!E:E, SPLIT(D58, "",""))) &gt; 0, ""OTHER"", 0)"),"OTHER")</f>
        <v>OTHER</v>
      </c>
    </row>
    <row r="59" spans="1:11" ht="14.25" customHeight="1">
      <c r="A59" s="21">
        <v>58</v>
      </c>
      <c r="B59" s="21">
        <v>60</v>
      </c>
      <c r="C59" s="21" t="s">
        <v>527</v>
      </c>
      <c r="D59" s="21" t="s">
        <v>528</v>
      </c>
      <c r="E59" s="21">
        <v>9</v>
      </c>
      <c r="F59" s="21">
        <v>176120</v>
      </c>
      <c r="G59" s="42">
        <v>-2.9000000000000001E-2</v>
      </c>
      <c r="H59" s="21" t="s">
        <v>529</v>
      </c>
      <c r="I59" s="39" t="str">
        <f ca="1">IFERROR(__xludf.DUMMYFUNCTION("IF(SUM(COUNTIF(artists!A:A, SPLIT(D59, "",""))) &gt; 0, ""UA"", 0)"),"UA")</f>
        <v>UA</v>
      </c>
      <c r="J59" s="40">
        <f ca="1">IFERROR(__xludf.DUMMYFUNCTION("IF(SUM(COUNTIF(artists!C:C, SPLIT(D59, "",""))) &gt; 0, ""RU"", 0)"),0)</f>
        <v>0</v>
      </c>
      <c r="K59" s="39">
        <f ca="1">IFERROR(__xludf.DUMMYFUNCTION("IF(SUM(COUNTIF(artists!E:E, SPLIT(D59, "",""))) &gt; 0, ""OTHER"", 0)"),0)</f>
        <v>0</v>
      </c>
    </row>
    <row r="60" spans="1:11" ht="14.25" customHeight="1">
      <c r="A60" s="21">
        <v>59</v>
      </c>
      <c r="B60" s="21">
        <v>62</v>
      </c>
      <c r="C60" s="21" t="s">
        <v>686</v>
      </c>
      <c r="D60" s="21" t="s">
        <v>687</v>
      </c>
      <c r="E60" s="21">
        <v>3</v>
      </c>
      <c r="F60" s="21">
        <v>175826</v>
      </c>
      <c r="G60" s="42">
        <v>-1.7000000000000001E-2</v>
      </c>
      <c r="H60" s="21" t="s">
        <v>920</v>
      </c>
      <c r="I60" s="39">
        <f ca="1">IFERROR(__xludf.DUMMYFUNCTION("IF(SUM(COUNTIF(artists!A:A, SPLIT(D60, "",""))) &gt; 0, ""UA"", 0)"),0)</f>
        <v>0</v>
      </c>
      <c r="J60" s="40" t="str">
        <f ca="1">IFERROR(__xludf.DUMMYFUNCTION("IF(SUM(COUNTIF(artists!C:C, SPLIT(D60, "",""))) &gt; 0, ""RU"", 0)"),"RU")</f>
        <v>RU</v>
      </c>
      <c r="K60" s="39">
        <f ca="1">IFERROR(__xludf.DUMMYFUNCTION("IF(SUM(COUNTIF(artists!E:E, SPLIT(D60, "",""))) &gt; 0, ""OTHER"", 0)"),0)</f>
        <v>0</v>
      </c>
    </row>
    <row r="61" spans="1:11" ht="14.25" customHeight="1">
      <c r="A61" s="21">
        <v>60</v>
      </c>
      <c r="B61" s="21">
        <v>55</v>
      </c>
      <c r="C61" s="21" t="s">
        <v>953</v>
      </c>
      <c r="D61" s="21" t="s">
        <v>954</v>
      </c>
      <c r="E61" s="21">
        <v>8</v>
      </c>
      <c r="F61" s="21">
        <v>175182</v>
      </c>
      <c r="G61" s="42">
        <v>-0.10100000000000001</v>
      </c>
      <c r="H61" s="21" t="s">
        <v>955</v>
      </c>
      <c r="I61" s="39">
        <f ca="1">IFERROR(__xludf.DUMMYFUNCTION("IF(SUM(COUNTIF(artists!A:A, SPLIT(D61, "",""))) &gt; 0, ""UA"", 0)"),0)</f>
        <v>0</v>
      </c>
      <c r="J61" s="40" t="str">
        <f ca="1">IFERROR(__xludf.DUMMYFUNCTION("IF(SUM(COUNTIF(artists!C:C, SPLIT(D61, "",""))) &gt; 0, ""RU"", 0)"),"RU")</f>
        <v>RU</v>
      </c>
      <c r="K61" s="39">
        <f ca="1">IFERROR(__xludf.DUMMYFUNCTION("IF(SUM(COUNTIF(artists!E:E, SPLIT(D61, "",""))) &gt; 0, ""OTHER"", 0)"),0)</f>
        <v>0</v>
      </c>
    </row>
    <row r="62" spans="1:11" ht="14.25" customHeight="1">
      <c r="A62" s="21">
        <v>61</v>
      </c>
      <c r="C62" s="21" t="s">
        <v>924</v>
      </c>
      <c r="D62" s="21" t="s">
        <v>466</v>
      </c>
      <c r="E62" s="21">
        <v>1</v>
      </c>
      <c r="F62" s="21">
        <v>173012</v>
      </c>
      <c r="H62" s="21" t="s">
        <v>925</v>
      </c>
      <c r="I62" s="39" t="str">
        <f ca="1">IFERROR(__xludf.DUMMYFUNCTION("IF(SUM(COUNTIF(artists!A:A, SPLIT(D62, "",""))) &gt; 0, ""UA"", 0)"),"UA")</f>
        <v>UA</v>
      </c>
      <c r="J62" s="40">
        <f ca="1">IFERROR(__xludf.DUMMYFUNCTION("IF(SUM(COUNTIF(artists!C:C, SPLIT(D62, "",""))) &gt; 0, ""RU"", 0)"),0)</f>
        <v>0</v>
      </c>
      <c r="K62" s="39">
        <f ca="1">IFERROR(__xludf.DUMMYFUNCTION("IF(SUM(COUNTIF(artists!E:E, SPLIT(D62, "",""))) &gt; 0, ""OTHER"", 0)"),0)</f>
        <v>0</v>
      </c>
    </row>
    <row r="63" spans="1:11" ht="14.25" customHeight="1">
      <c r="A63" s="21">
        <v>62</v>
      </c>
      <c r="B63" s="21">
        <v>52</v>
      </c>
      <c r="C63" s="21" t="s">
        <v>524</v>
      </c>
      <c r="D63" s="21" t="s">
        <v>525</v>
      </c>
      <c r="E63" s="21">
        <v>14</v>
      </c>
      <c r="F63" s="21">
        <v>169562</v>
      </c>
      <c r="G63" s="42">
        <v>-0.19900000000000001</v>
      </c>
      <c r="H63" s="21" t="s">
        <v>526</v>
      </c>
      <c r="I63" s="39" t="str">
        <f ca="1">IFERROR(__xludf.DUMMYFUNCTION("IF(SUM(COUNTIF(artists!A:A, SPLIT(D63, "",""))) &gt; 0, ""UA"", 0)"),"UA")</f>
        <v>UA</v>
      </c>
      <c r="J63" s="40">
        <f ca="1">IFERROR(__xludf.DUMMYFUNCTION("IF(SUM(COUNTIF(artists!C:C, SPLIT(D63, "",""))) &gt; 0, ""RU"", 0)"),0)</f>
        <v>0</v>
      </c>
      <c r="K63" s="39">
        <f ca="1">IFERROR(__xludf.DUMMYFUNCTION("IF(SUM(COUNTIF(artists!E:E, SPLIT(D63, "",""))) &gt; 0, ""OTHER"", 0)"),0)</f>
        <v>0</v>
      </c>
    </row>
    <row r="64" spans="1:11" ht="14.25" customHeight="1">
      <c r="A64" s="21">
        <v>63</v>
      </c>
      <c r="B64" s="21">
        <v>61</v>
      </c>
      <c r="C64" s="21" t="s">
        <v>602</v>
      </c>
      <c r="D64" s="21" t="s">
        <v>299</v>
      </c>
      <c r="E64" s="21">
        <v>11</v>
      </c>
      <c r="F64" s="21">
        <v>167175</v>
      </c>
      <c r="G64" s="42">
        <v>-7.5999999999999998E-2</v>
      </c>
      <c r="H64" s="21" t="s">
        <v>604</v>
      </c>
      <c r="I64" s="39">
        <f ca="1">IFERROR(__xludf.DUMMYFUNCTION("IF(SUM(COUNTIF(artists!A:A, SPLIT(D64, "",""))) &gt; 0, ""UA"", 0)"),0)</f>
        <v>0</v>
      </c>
      <c r="J64" s="40">
        <f ca="1">IFERROR(__xludf.DUMMYFUNCTION("IF(SUM(COUNTIF(artists!C:C, SPLIT(D64, "",""))) &gt; 0, ""RU"", 0)"),0)</f>
        <v>0</v>
      </c>
      <c r="K64" s="39" t="str">
        <f ca="1">IFERROR(__xludf.DUMMYFUNCTION("IF(SUM(COUNTIF(artists!E:E, SPLIT(D64, "",""))) &gt; 0, ""OTHER"", 0)"),"OTHER")</f>
        <v>OTHER</v>
      </c>
    </row>
    <row r="65" spans="1:11" ht="14.25" customHeight="1">
      <c r="A65" s="21">
        <v>64</v>
      </c>
      <c r="B65" s="21">
        <v>56</v>
      </c>
      <c r="C65" s="21" t="s">
        <v>482</v>
      </c>
      <c r="D65" s="21" t="s">
        <v>210</v>
      </c>
      <c r="E65" s="21">
        <v>9</v>
      </c>
      <c r="F65" s="21">
        <v>165883</v>
      </c>
      <c r="G65" s="42">
        <v>-0.129</v>
      </c>
      <c r="H65" s="21" t="s">
        <v>484</v>
      </c>
      <c r="I65" s="39" t="str">
        <f ca="1">IFERROR(__xludf.DUMMYFUNCTION("IF(SUM(COUNTIF(artists!A:A, SPLIT(D65, "",""))) &gt; 0, ""UA"", 0)"),"UA")</f>
        <v>UA</v>
      </c>
      <c r="J65" s="40">
        <f ca="1">IFERROR(__xludf.DUMMYFUNCTION("IF(SUM(COUNTIF(artists!C:C, SPLIT(D65, "",""))) &gt; 0, ""RU"", 0)"),0)</f>
        <v>0</v>
      </c>
      <c r="K65" s="39">
        <f ca="1">IFERROR(__xludf.DUMMYFUNCTION("IF(SUM(COUNTIF(artists!E:E, SPLIT(D65, "",""))) &gt; 0, ""OTHER"", 0)"),0)</f>
        <v>0</v>
      </c>
    </row>
    <row r="66" spans="1:11" ht="14.25" customHeight="1">
      <c r="A66" s="21">
        <v>65</v>
      </c>
      <c r="B66" s="21">
        <v>67</v>
      </c>
      <c r="C66" s="21" t="s">
        <v>589</v>
      </c>
      <c r="D66" s="21" t="s">
        <v>590</v>
      </c>
      <c r="E66" s="21">
        <v>18</v>
      </c>
      <c r="F66" s="21">
        <v>164450</v>
      </c>
      <c r="G66" s="42">
        <v>-2.7E-2</v>
      </c>
      <c r="H66" s="21" t="s">
        <v>591</v>
      </c>
      <c r="I66" s="39" t="str">
        <f ca="1">IFERROR(__xludf.DUMMYFUNCTION("IF(SUM(COUNTIF(artists!A:A, SPLIT(D66, "",""))) &gt; 0, ""UA"", 0)"),"UA")</f>
        <v>UA</v>
      </c>
      <c r="J66" s="40">
        <f ca="1">IFERROR(__xludf.DUMMYFUNCTION("IF(SUM(COUNTIF(artists!C:C, SPLIT(D66, "",""))) &gt; 0, ""RU"", 0)"),0)</f>
        <v>0</v>
      </c>
      <c r="K66" s="39">
        <f ca="1">IFERROR(__xludf.DUMMYFUNCTION("IF(SUM(COUNTIF(artists!E:E, SPLIT(D66, "",""))) &gt; 0, ""OTHER"", 0)"),0)</f>
        <v>0</v>
      </c>
    </row>
    <row r="67" spans="1:11" ht="14.25" customHeight="1">
      <c r="A67" s="21">
        <v>66</v>
      </c>
      <c r="B67" s="21">
        <v>31</v>
      </c>
      <c r="C67" s="21" t="s">
        <v>1024</v>
      </c>
      <c r="D67" s="21" t="s">
        <v>1025</v>
      </c>
      <c r="E67" s="21">
        <v>2</v>
      </c>
      <c r="F67" s="21">
        <v>158375</v>
      </c>
      <c r="G67" s="42">
        <v>-0.46300000000000002</v>
      </c>
      <c r="H67" s="21" t="s">
        <v>867</v>
      </c>
      <c r="I67" s="39" t="str">
        <f ca="1">IFERROR(__xludf.DUMMYFUNCTION("IF(SUM(COUNTIF(artists!A:A, SPLIT(D67, "",""))) &gt; 0, ""UA"", 0)"),"UA")</f>
        <v>UA</v>
      </c>
      <c r="J67" s="40">
        <f ca="1">IFERROR(__xludf.DUMMYFUNCTION("IF(SUM(COUNTIF(artists!C:C, SPLIT(D67, "",""))) &gt; 0, ""RU"", 0)"),0)</f>
        <v>0</v>
      </c>
      <c r="K67" s="39">
        <f ca="1">IFERROR(__xludf.DUMMYFUNCTION("IF(SUM(COUNTIF(artists!E:E, SPLIT(D67, "",""))) &gt; 0, ""OTHER"", 0)"),0)</f>
        <v>0</v>
      </c>
    </row>
    <row r="68" spans="1:11" ht="14.25" customHeight="1">
      <c r="A68" s="21">
        <v>67</v>
      </c>
      <c r="B68" s="21">
        <v>57</v>
      </c>
      <c r="C68" s="21" t="s">
        <v>765</v>
      </c>
      <c r="D68" s="21" t="s">
        <v>766</v>
      </c>
      <c r="E68" s="21">
        <v>4</v>
      </c>
      <c r="F68" s="21">
        <v>156247</v>
      </c>
      <c r="G68" s="42">
        <v>-0.17499999999999999</v>
      </c>
      <c r="H68" s="21" t="s">
        <v>768</v>
      </c>
      <c r="I68" s="39" t="str">
        <f ca="1">IFERROR(__xludf.DUMMYFUNCTION("IF(SUM(COUNTIF(artists!A:A, SPLIT(D68, "",""))) &gt; 0, ""UA"", 0)"),"UA")</f>
        <v>UA</v>
      </c>
      <c r="J68" s="40">
        <f ca="1">IFERROR(__xludf.DUMMYFUNCTION("IF(SUM(COUNTIF(artists!C:C, SPLIT(D68, "",""))) &gt; 0, ""RU"", 0)"),0)</f>
        <v>0</v>
      </c>
      <c r="K68" s="39">
        <f ca="1">IFERROR(__xludf.DUMMYFUNCTION("IF(SUM(COUNTIF(artists!E:E, SPLIT(D68, "",""))) &gt; 0, ""OTHER"", 0)"),0)</f>
        <v>0</v>
      </c>
    </row>
    <row r="69" spans="1:11" ht="14.25" customHeight="1">
      <c r="A69" s="21">
        <v>68</v>
      </c>
      <c r="C69" s="21" t="s">
        <v>1026</v>
      </c>
      <c r="D69" s="21" t="s">
        <v>1027</v>
      </c>
      <c r="E69" s="21">
        <v>1</v>
      </c>
      <c r="F69" s="21">
        <v>155422</v>
      </c>
      <c r="H69" s="21" t="s">
        <v>1028</v>
      </c>
      <c r="I69" s="39" t="str">
        <f ca="1">IFERROR(__xludf.DUMMYFUNCTION("IF(SUM(COUNTIF(artists!A:A, SPLIT(D69, "",""))) &gt; 0, ""UA"", 0)"),"UA")</f>
        <v>UA</v>
      </c>
      <c r="J69" s="40">
        <f ca="1">IFERROR(__xludf.DUMMYFUNCTION("IF(SUM(COUNTIF(artists!C:C, SPLIT(D69, "",""))) &gt; 0, ""RU"", 0)"),0)</f>
        <v>0</v>
      </c>
      <c r="K69" s="39">
        <f ca="1">IFERROR(__xludf.DUMMYFUNCTION("IF(SUM(COUNTIF(artists!E:E, SPLIT(D69, "",""))) &gt; 0, ""OTHER"", 0)"),0)</f>
        <v>0</v>
      </c>
    </row>
    <row r="70" spans="1:11" ht="14.25" customHeight="1">
      <c r="A70" s="21">
        <v>69</v>
      </c>
      <c r="B70" s="21">
        <v>68</v>
      </c>
      <c r="C70" s="21" t="s">
        <v>971</v>
      </c>
      <c r="D70" s="21" t="s">
        <v>972</v>
      </c>
      <c r="E70" s="21">
        <v>18</v>
      </c>
      <c r="F70" s="21">
        <v>152995</v>
      </c>
      <c r="G70" s="42">
        <v>-6.4000000000000001E-2</v>
      </c>
      <c r="H70" s="21" t="s">
        <v>973</v>
      </c>
      <c r="I70" s="39">
        <f ca="1">IFERROR(__xludf.DUMMYFUNCTION("IF(SUM(COUNTIF(artists!A:A, SPLIT(D70, "",""))) &gt; 0, ""UA"", 0)"),0)</f>
        <v>0</v>
      </c>
      <c r="J70" s="40">
        <f ca="1">IFERROR(__xludf.DUMMYFUNCTION("IF(SUM(COUNTIF(artists!C:C, SPLIT(D70, "",""))) &gt; 0, ""RU"", 0)"),0)</f>
        <v>0</v>
      </c>
      <c r="K70" s="39" t="str">
        <f ca="1">IFERROR(__xludf.DUMMYFUNCTION("IF(SUM(COUNTIF(artists!E:E, SPLIT(D70, "",""))) &gt; 0, ""OTHER"", 0)"),"OTHER")</f>
        <v>OTHER</v>
      </c>
    </row>
    <row r="71" spans="1:11" ht="14.25" customHeight="1">
      <c r="A71" s="21">
        <v>70</v>
      </c>
      <c r="B71" s="21">
        <v>70</v>
      </c>
      <c r="C71" s="21" t="s">
        <v>284</v>
      </c>
      <c r="D71" s="21" t="s">
        <v>15</v>
      </c>
      <c r="E71" s="21">
        <v>17</v>
      </c>
      <c r="F71" s="21">
        <v>152425</v>
      </c>
      <c r="G71" s="42">
        <v>-5.7000000000000002E-2</v>
      </c>
      <c r="H71" s="21" t="s">
        <v>285</v>
      </c>
      <c r="I71" s="39">
        <f ca="1">IFERROR(__xludf.DUMMYFUNCTION("IF(SUM(COUNTIF(artists!A:A, SPLIT(D71, "",""))) &gt; 0, ""UA"", 0)"),0)</f>
        <v>0</v>
      </c>
      <c r="J71" s="40">
        <f ca="1">IFERROR(__xludf.DUMMYFUNCTION("IF(SUM(COUNTIF(artists!C:C, SPLIT(D71, "",""))) &gt; 0, ""RU"", 0)"),0)</f>
        <v>0</v>
      </c>
      <c r="K71" s="39" t="str">
        <f ca="1">IFERROR(__xludf.DUMMYFUNCTION("IF(SUM(COUNTIF(artists!E:E, SPLIT(D71, "",""))) &gt; 0, ""OTHER"", 0)"),"OTHER")</f>
        <v>OTHER</v>
      </c>
    </row>
    <row r="72" spans="1:11" ht="14.25" customHeight="1">
      <c r="A72" s="21">
        <v>71</v>
      </c>
      <c r="B72" s="21">
        <v>84</v>
      </c>
      <c r="C72" s="21" t="s">
        <v>876</v>
      </c>
      <c r="D72" s="21" t="s">
        <v>877</v>
      </c>
      <c r="E72" s="21">
        <v>20</v>
      </c>
      <c r="F72" s="21">
        <v>152224</v>
      </c>
      <c r="G72" s="42">
        <v>0.111</v>
      </c>
      <c r="H72" s="21" t="s">
        <v>878</v>
      </c>
      <c r="I72" s="39">
        <f ca="1">IFERROR(__xludf.DUMMYFUNCTION("IF(SUM(COUNTIF(artists!A:A, SPLIT(D72, "",""))) &gt; 0, ""UA"", 0)"),0)</f>
        <v>0</v>
      </c>
      <c r="J72" s="40">
        <f ca="1">IFERROR(__xludf.DUMMYFUNCTION("IF(SUM(COUNTIF(artists!C:C, SPLIT(D72, "",""))) &gt; 0, ""RU"", 0)"),0)</f>
        <v>0</v>
      </c>
      <c r="K72" s="39" t="str">
        <f ca="1">IFERROR(__xludf.DUMMYFUNCTION("IF(SUM(COUNTIF(artists!E:E, SPLIT(D72, "",""))) &gt; 0, ""OTHER"", 0)"),"OTHER")</f>
        <v>OTHER</v>
      </c>
    </row>
    <row r="73" spans="1:11" ht="14.25" customHeight="1">
      <c r="A73" s="21">
        <v>72</v>
      </c>
      <c r="B73" s="21">
        <v>63</v>
      </c>
      <c r="C73" s="21" t="s">
        <v>545</v>
      </c>
      <c r="D73" s="21" t="s">
        <v>546</v>
      </c>
      <c r="E73" s="21">
        <v>3</v>
      </c>
      <c r="F73" s="21">
        <v>150449</v>
      </c>
      <c r="G73" s="42">
        <v>-0.14599999999999999</v>
      </c>
      <c r="H73" s="21" t="s">
        <v>548</v>
      </c>
      <c r="I73" s="39">
        <f ca="1">IFERROR(__xludf.DUMMYFUNCTION("IF(SUM(COUNTIF(artists!A:A, SPLIT(D73, "",""))) &gt; 0, ""UA"", 0)"),0)</f>
        <v>0</v>
      </c>
      <c r="J73" s="40" t="str">
        <f ca="1">IFERROR(__xludf.DUMMYFUNCTION("IF(SUM(COUNTIF(artists!C:C, SPLIT(D73, "",""))) &gt; 0, ""RU"", 0)"),"RU")</f>
        <v>RU</v>
      </c>
      <c r="K73" s="39">
        <f ca="1">IFERROR(__xludf.DUMMYFUNCTION("IF(SUM(COUNTIF(artists!E:E, SPLIT(D73, "",""))) &gt; 0, ""OTHER"", 0)"),0)</f>
        <v>0</v>
      </c>
    </row>
    <row r="74" spans="1:11" ht="14.25" customHeight="1">
      <c r="A74" s="21">
        <v>73</v>
      </c>
      <c r="C74" s="21" t="s">
        <v>748</v>
      </c>
      <c r="D74" s="21" t="s">
        <v>586</v>
      </c>
      <c r="E74" s="21">
        <v>24</v>
      </c>
      <c r="F74" s="21">
        <v>150358</v>
      </c>
      <c r="H74" s="21" t="s">
        <v>749</v>
      </c>
      <c r="I74" s="39" t="str">
        <f ca="1">IFERROR(__xludf.DUMMYFUNCTION("IF(SUM(COUNTIF(artists!A:A, SPLIT(D74, "",""))) &gt; 0, ""UA"", 0)"),"UA")</f>
        <v>UA</v>
      </c>
      <c r="J74" s="40">
        <f ca="1">IFERROR(__xludf.DUMMYFUNCTION("IF(SUM(COUNTIF(artists!C:C, SPLIT(D74, "",""))) &gt; 0, ""RU"", 0)"),0)</f>
        <v>0</v>
      </c>
      <c r="K74" s="39">
        <f ca="1">IFERROR(__xludf.DUMMYFUNCTION("IF(SUM(COUNTIF(artists!E:E, SPLIT(D74, "",""))) &gt; 0, ""OTHER"", 0)"),0)</f>
        <v>0</v>
      </c>
    </row>
    <row r="75" spans="1:11" ht="14.25" customHeight="1">
      <c r="A75" s="21">
        <v>74</v>
      </c>
      <c r="B75" s="21">
        <v>64</v>
      </c>
      <c r="C75" s="21" t="s">
        <v>418</v>
      </c>
      <c r="D75" s="21" t="s">
        <v>419</v>
      </c>
      <c r="E75" s="21">
        <v>5</v>
      </c>
      <c r="F75" s="21">
        <v>150341</v>
      </c>
      <c r="G75" s="42">
        <v>-0.14299999999999999</v>
      </c>
      <c r="H75" s="21" t="s">
        <v>420</v>
      </c>
      <c r="I75" s="39">
        <f ca="1">IFERROR(__xludf.DUMMYFUNCTION("IF(SUM(COUNTIF(artists!A:A, SPLIT(D75, "",""))) &gt; 0, ""UA"", 0)"),0)</f>
        <v>0</v>
      </c>
      <c r="J75" s="40">
        <f ca="1">IFERROR(__xludf.DUMMYFUNCTION("IF(SUM(COUNTIF(artists!C:C, SPLIT(D75, "",""))) &gt; 0, ""RU"", 0)"),0)</f>
        <v>0</v>
      </c>
      <c r="K75" s="39" t="str">
        <f ca="1">IFERROR(__xludf.DUMMYFUNCTION("IF(SUM(COUNTIF(artists!E:E, SPLIT(D75, "",""))) &gt; 0, ""OTHER"", 0)"),"OTHER")</f>
        <v>OTHER</v>
      </c>
    </row>
    <row r="76" spans="1:11" ht="14.25" customHeight="1">
      <c r="A76" s="21">
        <v>75</v>
      </c>
      <c r="B76" s="21">
        <v>72</v>
      </c>
      <c r="C76" s="21" t="s">
        <v>977</v>
      </c>
      <c r="D76" s="21" t="s">
        <v>978</v>
      </c>
      <c r="E76" s="21">
        <v>4</v>
      </c>
      <c r="F76" s="21">
        <v>148435</v>
      </c>
      <c r="G76" s="42">
        <v>-7.8E-2</v>
      </c>
      <c r="H76" s="21" t="s">
        <v>979</v>
      </c>
      <c r="I76" s="39" t="str">
        <f ca="1">IFERROR(__xludf.DUMMYFUNCTION("IF(SUM(COUNTIF(artists!A:A, SPLIT(D76, "",""))) &gt; 0, ""UA"", 0)"),"UA")</f>
        <v>UA</v>
      </c>
      <c r="J76" s="40">
        <f ca="1">IFERROR(__xludf.DUMMYFUNCTION("IF(SUM(COUNTIF(artists!C:C, SPLIT(D76, "",""))) &gt; 0, ""RU"", 0)"),0)</f>
        <v>0</v>
      </c>
      <c r="K76" s="39">
        <f ca="1">IFERROR(__xludf.DUMMYFUNCTION("IF(SUM(COUNTIF(artists!E:E, SPLIT(D76, "",""))) &gt; 0, ""OTHER"", 0)"),0)</f>
        <v>0</v>
      </c>
    </row>
    <row r="77" spans="1:11" ht="14.25" customHeight="1">
      <c r="A77" s="21">
        <v>76</v>
      </c>
      <c r="B77" s="21">
        <v>73</v>
      </c>
      <c r="C77" s="21" t="s">
        <v>980</v>
      </c>
      <c r="D77" s="21" t="s">
        <v>981</v>
      </c>
      <c r="E77" s="21">
        <v>5</v>
      </c>
      <c r="F77" s="21">
        <v>144093</v>
      </c>
      <c r="G77" s="42">
        <v>-8.1000000000000003E-2</v>
      </c>
      <c r="H77" s="21" t="s">
        <v>982</v>
      </c>
      <c r="I77" s="39">
        <f ca="1">IFERROR(__xludf.DUMMYFUNCTION("IF(SUM(COUNTIF(artists!A:A, SPLIT(D77, "",""))) &gt; 0, ""UA"", 0)"),0)</f>
        <v>0</v>
      </c>
      <c r="J77" s="40" t="str">
        <f ca="1">IFERROR(__xludf.DUMMYFUNCTION("IF(SUM(COUNTIF(artists!C:C, SPLIT(D77, "",""))) &gt; 0, ""RU"", 0)"),"RU")</f>
        <v>RU</v>
      </c>
      <c r="K77" s="39">
        <f ca="1">IFERROR(__xludf.DUMMYFUNCTION("IF(SUM(COUNTIF(artists!E:E, SPLIT(D77, "",""))) &gt; 0, ""OTHER"", 0)"),0)</f>
        <v>0</v>
      </c>
    </row>
    <row r="78" spans="1:11" ht="14.25" customHeight="1">
      <c r="A78" s="21">
        <v>77</v>
      </c>
      <c r="C78" s="21" t="s">
        <v>958</v>
      </c>
      <c r="D78" s="21" t="s">
        <v>959</v>
      </c>
      <c r="E78" s="21">
        <v>1</v>
      </c>
      <c r="F78" s="21">
        <v>140326</v>
      </c>
      <c r="H78" s="21" t="s">
        <v>960</v>
      </c>
      <c r="I78" s="39">
        <f ca="1">IFERROR(__xludf.DUMMYFUNCTION("IF(SUM(COUNTIF(artists!A:A, SPLIT(D78, "",""))) &gt; 0, ""UA"", 0)"),0)</f>
        <v>0</v>
      </c>
      <c r="J78" s="40" t="str">
        <f ca="1">IFERROR(__xludf.DUMMYFUNCTION("IF(SUM(COUNTIF(artists!C:C, SPLIT(D78, "",""))) &gt; 0, ""RU"", 0)"),"RU")</f>
        <v>RU</v>
      </c>
      <c r="K78" s="39">
        <f ca="1">IFERROR(__xludf.DUMMYFUNCTION("IF(SUM(COUNTIF(artists!E:E, SPLIT(D78, "",""))) &gt; 0, ""OTHER"", 0)"),0)</f>
        <v>0</v>
      </c>
    </row>
    <row r="79" spans="1:11" ht="14.25" customHeight="1">
      <c r="A79" s="21">
        <v>78</v>
      </c>
      <c r="B79" s="21">
        <v>82</v>
      </c>
      <c r="C79" s="21" t="s">
        <v>868</v>
      </c>
      <c r="D79" s="21" t="s">
        <v>869</v>
      </c>
      <c r="E79" s="21">
        <v>14</v>
      </c>
      <c r="F79" s="21">
        <v>136667</v>
      </c>
      <c r="G79" s="42">
        <v>-2.7E-2</v>
      </c>
      <c r="H79" s="21" t="s">
        <v>870</v>
      </c>
      <c r="I79" s="39">
        <f ca="1">IFERROR(__xludf.DUMMYFUNCTION("IF(SUM(COUNTIF(artists!A:A, SPLIT(D79, "",""))) &gt; 0, ""UA"", 0)"),0)</f>
        <v>0</v>
      </c>
      <c r="J79" s="40" t="str">
        <f ca="1">IFERROR(__xludf.DUMMYFUNCTION("IF(SUM(COUNTIF(artists!C:C, SPLIT(D79, "",""))) &gt; 0, ""RU"", 0)"),"RU")</f>
        <v>RU</v>
      </c>
      <c r="K79" s="39">
        <f ca="1">IFERROR(__xludf.DUMMYFUNCTION("IF(SUM(COUNTIF(artists!E:E, SPLIT(D79, "",""))) &gt; 0, ""OTHER"", 0)"),0)</f>
        <v>0</v>
      </c>
    </row>
    <row r="80" spans="1:11" ht="14.25" customHeight="1">
      <c r="A80" s="21">
        <v>79</v>
      </c>
      <c r="B80" s="21">
        <v>80</v>
      </c>
      <c r="C80" s="21" t="s">
        <v>690</v>
      </c>
      <c r="D80" s="21" t="s">
        <v>691</v>
      </c>
      <c r="E80" s="21">
        <v>4</v>
      </c>
      <c r="F80" s="21">
        <v>136058</v>
      </c>
      <c r="G80" s="42">
        <v>-5.5E-2</v>
      </c>
      <c r="H80" s="21" t="s">
        <v>692</v>
      </c>
      <c r="I80" s="39">
        <f ca="1">IFERROR(__xludf.DUMMYFUNCTION("IF(SUM(COUNTIF(artists!A:A, SPLIT(D80, "",""))) &gt; 0, ""UA"", 0)"),0)</f>
        <v>0</v>
      </c>
      <c r="J80" s="40" t="str">
        <f ca="1">IFERROR(__xludf.DUMMYFUNCTION("IF(SUM(COUNTIF(artists!C:C, SPLIT(D80, "",""))) &gt; 0, ""RU"", 0)"),"RU")</f>
        <v>RU</v>
      </c>
      <c r="K80" s="39">
        <f ca="1">IFERROR(__xludf.DUMMYFUNCTION("IF(SUM(COUNTIF(artists!E:E, SPLIT(D80, "",""))) &gt; 0, ""OTHER"", 0)"),0)</f>
        <v>0</v>
      </c>
    </row>
    <row r="81" spans="1:11" ht="14.25" customHeight="1">
      <c r="A81" s="21">
        <v>80</v>
      </c>
      <c r="B81" s="21">
        <v>97</v>
      </c>
      <c r="C81" s="21" t="s">
        <v>961</v>
      </c>
      <c r="D81" s="21" t="s">
        <v>137</v>
      </c>
      <c r="E81" s="21">
        <v>3</v>
      </c>
      <c r="F81" s="21">
        <v>135782</v>
      </c>
      <c r="G81" s="42">
        <v>8.1000000000000003E-2</v>
      </c>
      <c r="H81" s="21" t="s">
        <v>962</v>
      </c>
      <c r="I81" s="39" t="str">
        <f ca="1">IFERROR(__xludf.DUMMYFUNCTION("IF(SUM(COUNTIF(artists!A:A, SPLIT(D81, "",""))) &gt; 0, ""UA"", 0)"),"UA")</f>
        <v>UA</v>
      </c>
      <c r="J81" s="40">
        <f ca="1">IFERROR(__xludf.DUMMYFUNCTION("IF(SUM(COUNTIF(artists!C:C, SPLIT(D81, "",""))) &gt; 0, ""RU"", 0)"),0)</f>
        <v>0</v>
      </c>
      <c r="K81" s="39">
        <f ca="1">IFERROR(__xludf.DUMMYFUNCTION("IF(SUM(COUNTIF(artists!E:E, SPLIT(D81, "",""))) &gt; 0, ""OTHER"", 0)"),0)</f>
        <v>0</v>
      </c>
    </row>
    <row r="82" spans="1:11" ht="14.25" customHeight="1">
      <c r="A82" s="21">
        <v>81</v>
      </c>
      <c r="B82" s="21">
        <v>59</v>
      </c>
      <c r="C82" s="21" t="s">
        <v>1029</v>
      </c>
      <c r="D82" s="21" t="s">
        <v>1030</v>
      </c>
      <c r="E82" s="21">
        <v>12</v>
      </c>
      <c r="F82" s="21">
        <v>134219</v>
      </c>
      <c r="G82" s="42">
        <v>-0.26700000000000002</v>
      </c>
      <c r="H82" s="21" t="s">
        <v>1031</v>
      </c>
      <c r="I82" s="39" t="str">
        <f ca="1">IFERROR(__xludf.DUMMYFUNCTION("IF(SUM(COUNTIF(artists!A:A, SPLIT(D82, "",""))) &gt; 0, ""UA"", 0)"),"UA")</f>
        <v>UA</v>
      </c>
      <c r="J82" s="40">
        <f ca="1">IFERROR(__xludf.DUMMYFUNCTION("IF(SUM(COUNTIF(artists!C:C, SPLIT(D82, "",""))) &gt; 0, ""RU"", 0)"),0)</f>
        <v>0</v>
      </c>
      <c r="K82" s="39">
        <f ca="1">IFERROR(__xludf.DUMMYFUNCTION("IF(SUM(COUNTIF(artists!E:E, SPLIT(D82, "",""))) &gt; 0, ""OTHER"", 0)"),0)</f>
        <v>0</v>
      </c>
    </row>
    <row r="83" spans="1:11" ht="14.25" customHeight="1">
      <c r="A83" s="21">
        <v>82</v>
      </c>
      <c r="C83" s="21" t="s">
        <v>706</v>
      </c>
      <c r="D83" s="21" t="s">
        <v>199</v>
      </c>
      <c r="E83" s="21">
        <v>21</v>
      </c>
      <c r="F83" s="21">
        <v>134184</v>
      </c>
      <c r="H83" s="21" t="s">
        <v>707</v>
      </c>
      <c r="I83" s="39" t="str">
        <f ca="1">IFERROR(__xludf.DUMMYFUNCTION("IF(SUM(COUNTIF(artists!A:A, SPLIT(D83, "",""))) &gt; 0, ""UA"", 0)"),"UA")</f>
        <v>UA</v>
      </c>
      <c r="J83" s="40">
        <f ca="1">IFERROR(__xludf.DUMMYFUNCTION("IF(SUM(COUNTIF(artists!C:C, SPLIT(D83, "",""))) &gt; 0, ""RU"", 0)"),0)</f>
        <v>0</v>
      </c>
      <c r="K83" s="39">
        <f ca="1">IFERROR(__xludf.DUMMYFUNCTION("IF(SUM(COUNTIF(artists!E:E, SPLIT(D83, "",""))) &gt; 0, ""OTHER"", 0)"),0)</f>
        <v>0</v>
      </c>
    </row>
    <row r="84" spans="1:11" ht="14.25" customHeight="1">
      <c r="A84" s="21">
        <v>83</v>
      </c>
      <c r="B84" s="21">
        <v>90</v>
      </c>
      <c r="C84" s="21" t="s">
        <v>1013</v>
      </c>
      <c r="D84" s="21" t="s">
        <v>1014</v>
      </c>
      <c r="E84" s="21">
        <v>8</v>
      </c>
      <c r="F84" s="21">
        <v>134129</v>
      </c>
      <c r="G84" s="42">
        <v>8.9999999999999993E-3</v>
      </c>
      <c r="H84" s="21" t="s">
        <v>1015</v>
      </c>
      <c r="I84" s="39" t="str">
        <f ca="1">IFERROR(__xludf.DUMMYFUNCTION("IF(SUM(COUNTIF(artists!A:A, SPLIT(D84, "",""))) &gt; 0, ""UA"", 0)"),"UA")</f>
        <v>UA</v>
      </c>
      <c r="J84" s="40">
        <f ca="1">IFERROR(__xludf.DUMMYFUNCTION("IF(SUM(COUNTIF(artists!C:C, SPLIT(D84, "",""))) &gt; 0, ""RU"", 0)"),0)</f>
        <v>0</v>
      </c>
      <c r="K84" s="39">
        <f ca="1">IFERROR(__xludf.DUMMYFUNCTION("IF(SUM(COUNTIF(artists!E:E, SPLIT(D84, "",""))) &gt; 0, ""OTHER"", 0)"),0)</f>
        <v>0</v>
      </c>
    </row>
    <row r="85" spans="1:11" ht="14.25" customHeight="1">
      <c r="A85" s="21">
        <v>84</v>
      </c>
      <c r="B85" s="21">
        <v>88</v>
      </c>
      <c r="C85" s="21" t="s">
        <v>358</v>
      </c>
      <c r="D85" s="21" t="s">
        <v>359</v>
      </c>
      <c r="E85" s="21">
        <v>8</v>
      </c>
      <c r="F85" s="21">
        <v>133189</v>
      </c>
      <c r="G85" s="42">
        <v>-8.9999999999999993E-3</v>
      </c>
      <c r="H85" s="21" t="s">
        <v>361</v>
      </c>
      <c r="I85" s="39">
        <f ca="1">IFERROR(__xludf.DUMMYFUNCTION("IF(SUM(COUNTIF(artists!A:A, SPLIT(D85, "",""))) &gt; 0, ""UA"", 0)"),0)</f>
        <v>0</v>
      </c>
      <c r="J85" s="40">
        <f ca="1">IFERROR(__xludf.DUMMYFUNCTION("IF(SUM(COUNTIF(artists!C:C, SPLIT(D85, "",""))) &gt; 0, ""RU"", 0)"),0)</f>
        <v>0</v>
      </c>
      <c r="K85" s="39" t="str">
        <f ca="1">IFERROR(__xludf.DUMMYFUNCTION("IF(SUM(COUNTIF(artists!E:E, SPLIT(D85, "",""))) &gt; 0, ""OTHER"", 0)"),"OTHER")</f>
        <v>OTHER</v>
      </c>
    </row>
    <row r="86" spans="1:11" ht="14.25" customHeight="1">
      <c r="A86" s="21">
        <v>85</v>
      </c>
      <c r="B86" s="21">
        <v>85</v>
      </c>
      <c r="C86" s="21" t="s">
        <v>963</v>
      </c>
      <c r="D86" s="21" t="s">
        <v>964</v>
      </c>
      <c r="E86" s="21">
        <v>9</v>
      </c>
      <c r="F86" s="21">
        <v>132654</v>
      </c>
      <c r="G86" s="42">
        <v>-2.8000000000000001E-2</v>
      </c>
      <c r="H86" s="21" t="s">
        <v>965</v>
      </c>
      <c r="I86" s="39" t="str">
        <f ca="1">IFERROR(__xludf.DUMMYFUNCTION("IF(SUM(COUNTIF(artists!A:A, SPLIT(D86, "",""))) &gt; 0, ""UA"", 0)"),"UA")</f>
        <v>UA</v>
      </c>
      <c r="J86" s="40">
        <f ca="1">IFERROR(__xludf.DUMMYFUNCTION("IF(SUM(COUNTIF(artists!C:C, SPLIT(D86, "",""))) &gt; 0, ""RU"", 0)"),0)</f>
        <v>0</v>
      </c>
      <c r="K86" s="39">
        <f ca="1">IFERROR(__xludf.DUMMYFUNCTION("IF(SUM(COUNTIF(artists!E:E, SPLIT(D86, "",""))) &gt; 0, ""OTHER"", 0)"),0)</f>
        <v>0</v>
      </c>
    </row>
    <row r="87" spans="1:11" ht="14.25" customHeight="1">
      <c r="A87" s="21">
        <v>86</v>
      </c>
      <c r="C87" s="21" t="s">
        <v>989</v>
      </c>
      <c r="D87" s="21" t="s">
        <v>990</v>
      </c>
      <c r="E87" s="21">
        <v>1</v>
      </c>
      <c r="F87" s="21">
        <v>132488</v>
      </c>
      <c r="H87" s="21" t="s">
        <v>991</v>
      </c>
      <c r="I87" s="39" t="str">
        <f ca="1">IFERROR(__xludf.DUMMYFUNCTION("IF(SUM(COUNTIF(artists!A:A, SPLIT(D87, "",""))) &gt; 0, ""UA"", 0)"),"UA")</f>
        <v>UA</v>
      </c>
      <c r="J87" s="40">
        <f ca="1">IFERROR(__xludf.DUMMYFUNCTION("IF(SUM(COUNTIF(artists!C:C, SPLIT(D87, "",""))) &gt; 0, ""RU"", 0)"),0)</f>
        <v>0</v>
      </c>
      <c r="K87" s="39">
        <f ca="1">IFERROR(__xludf.DUMMYFUNCTION("IF(SUM(COUNTIF(artists!E:E, SPLIT(D87, "",""))) &gt; 0, ""OTHER"", 0)"),0)</f>
        <v>0</v>
      </c>
    </row>
    <row r="88" spans="1:11" ht="14.25" customHeight="1">
      <c r="A88" s="21">
        <v>87</v>
      </c>
      <c r="B88" s="21">
        <v>81</v>
      </c>
      <c r="C88" s="21" t="s">
        <v>264</v>
      </c>
      <c r="D88" s="21" t="s">
        <v>265</v>
      </c>
      <c r="E88" s="21">
        <v>8</v>
      </c>
      <c r="F88" s="21">
        <v>131890</v>
      </c>
      <c r="G88" s="42">
        <v>-8.1000000000000003E-2</v>
      </c>
      <c r="H88" s="21" t="s">
        <v>267</v>
      </c>
      <c r="I88" s="39">
        <f ca="1">IFERROR(__xludf.DUMMYFUNCTION("IF(SUM(COUNTIF(artists!A:A, SPLIT(D88, "",""))) &gt; 0, ""UA"", 0)"),0)</f>
        <v>0</v>
      </c>
      <c r="J88" s="40">
        <f ca="1">IFERROR(__xludf.DUMMYFUNCTION("IF(SUM(COUNTIF(artists!C:C, SPLIT(D88, "",""))) &gt; 0, ""RU"", 0)"),0)</f>
        <v>0</v>
      </c>
      <c r="K88" s="39" t="str">
        <f ca="1">IFERROR(__xludf.DUMMYFUNCTION("IF(SUM(COUNTIF(artists!E:E, SPLIT(D88, "",""))) &gt; 0, ""OTHER"", 0)"),"OTHER")</f>
        <v>OTHER</v>
      </c>
    </row>
    <row r="89" spans="1:11" ht="14.25" customHeight="1">
      <c r="A89" s="21">
        <v>88</v>
      </c>
      <c r="B89" s="21">
        <v>94</v>
      </c>
      <c r="C89" s="21" t="s">
        <v>313</v>
      </c>
      <c r="D89" s="21" t="s">
        <v>310</v>
      </c>
      <c r="E89" s="21">
        <v>8</v>
      </c>
      <c r="F89" s="21">
        <v>131524</v>
      </c>
      <c r="G89" s="42">
        <v>1.0999999999999999E-2</v>
      </c>
      <c r="H89" s="21" t="s">
        <v>398</v>
      </c>
      <c r="I89" s="39">
        <f ca="1">IFERROR(__xludf.DUMMYFUNCTION("IF(SUM(COUNTIF(artists!A:A, SPLIT(D89, "",""))) &gt; 0, ""UA"", 0)"),0)</f>
        <v>0</v>
      </c>
      <c r="J89" s="40">
        <f ca="1">IFERROR(__xludf.DUMMYFUNCTION("IF(SUM(COUNTIF(artists!C:C, SPLIT(D89, "",""))) &gt; 0, ""RU"", 0)"),0)</f>
        <v>0</v>
      </c>
      <c r="K89" s="39" t="str">
        <f ca="1">IFERROR(__xludf.DUMMYFUNCTION("IF(SUM(COUNTIF(artists!E:E, SPLIT(D89, "",""))) &gt; 0, ""OTHER"", 0)"),"OTHER")</f>
        <v>OTHER</v>
      </c>
    </row>
    <row r="90" spans="1:11" ht="14.25" customHeight="1">
      <c r="A90" s="21">
        <v>89</v>
      </c>
      <c r="C90" s="21" t="s">
        <v>1002</v>
      </c>
      <c r="D90" s="21" t="s">
        <v>1003</v>
      </c>
      <c r="E90" s="21">
        <v>3</v>
      </c>
      <c r="F90" s="21">
        <v>130705</v>
      </c>
      <c r="H90" s="21" t="s">
        <v>1004</v>
      </c>
      <c r="I90" s="39" t="str">
        <f ca="1">IFERROR(__xludf.DUMMYFUNCTION("IF(SUM(COUNTIF(artists!A:A, SPLIT(D90, "",""))) &gt; 0, ""UA"", 0)"),"UA")</f>
        <v>UA</v>
      </c>
      <c r="J90" s="40">
        <f ca="1">IFERROR(__xludf.DUMMYFUNCTION("IF(SUM(COUNTIF(artists!C:C, SPLIT(D90, "",""))) &gt; 0, ""RU"", 0)"),0)</f>
        <v>0</v>
      </c>
      <c r="K90" s="39">
        <f ca="1">IFERROR(__xludf.DUMMYFUNCTION("IF(SUM(COUNTIF(artists!E:E, SPLIT(D90, "",""))) &gt; 0, ""OTHER"", 0)"),0)</f>
        <v>0</v>
      </c>
    </row>
    <row r="91" spans="1:11" ht="14.25" customHeight="1">
      <c r="A91" s="21">
        <v>90</v>
      </c>
      <c r="B91" s="21">
        <v>75</v>
      </c>
      <c r="C91" s="21" t="s">
        <v>605</v>
      </c>
      <c r="D91" s="21" t="s">
        <v>299</v>
      </c>
      <c r="E91" s="21">
        <v>11</v>
      </c>
      <c r="F91" s="21">
        <v>129717</v>
      </c>
      <c r="G91" s="42">
        <v>-0.128</v>
      </c>
      <c r="H91" s="21" t="s">
        <v>607</v>
      </c>
      <c r="I91" s="39">
        <f ca="1">IFERROR(__xludf.DUMMYFUNCTION("IF(SUM(COUNTIF(artists!A:A, SPLIT(D91, "",""))) &gt; 0, ""UA"", 0)"),0)</f>
        <v>0</v>
      </c>
      <c r="J91" s="40">
        <f ca="1">IFERROR(__xludf.DUMMYFUNCTION("IF(SUM(COUNTIF(artists!C:C, SPLIT(D91, "",""))) &gt; 0, ""RU"", 0)"),0)</f>
        <v>0</v>
      </c>
      <c r="K91" s="39" t="str">
        <f ca="1">IFERROR(__xludf.DUMMYFUNCTION("IF(SUM(COUNTIF(artists!E:E, SPLIT(D91, "",""))) &gt; 0, ""OTHER"", 0)"),"OTHER")</f>
        <v>OTHER</v>
      </c>
    </row>
    <row r="92" spans="1:11" ht="14.25" customHeight="1">
      <c r="A92" s="21">
        <v>91</v>
      </c>
      <c r="B92" s="21">
        <v>71</v>
      </c>
      <c r="C92" s="21" t="s">
        <v>497</v>
      </c>
      <c r="D92" s="21" t="s">
        <v>860</v>
      </c>
      <c r="E92" s="21">
        <v>10</v>
      </c>
      <c r="F92" s="21">
        <v>129432</v>
      </c>
      <c r="G92" s="42">
        <v>-0.19900000000000001</v>
      </c>
      <c r="H92" s="21" t="s">
        <v>499</v>
      </c>
      <c r="I92" s="39" t="str">
        <f ca="1">IFERROR(__xludf.DUMMYFUNCTION("IF(SUM(COUNTIF(artists!A:A, SPLIT(D92, "",""))) &gt; 0, ""UA"", 0)"),"UA")</f>
        <v>UA</v>
      </c>
      <c r="J92" s="40">
        <f ca="1">IFERROR(__xludf.DUMMYFUNCTION("IF(SUM(COUNTIF(artists!C:C, SPLIT(D92, "",""))) &gt; 0, ""RU"", 0)"),0)</f>
        <v>0</v>
      </c>
      <c r="K92" s="39">
        <f ca="1">IFERROR(__xludf.DUMMYFUNCTION("IF(SUM(COUNTIF(artists!E:E, SPLIT(D92, "",""))) &gt; 0, ""OTHER"", 0)"),0)</f>
        <v>0</v>
      </c>
    </row>
    <row r="93" spans="1:11" ht="14.25" customHeight="1">
      <c r="A93" s="21">
        <v>92</v>
      </c>
      <c r="B93" s="21">
        <v>83</v>
      </c>
      <c r="C93" s="21" t="s">
        <v>1021</v>
      </c>
      <c r="D93" s="21" t="s">
        <v>1022</v>
      </c>
      <c r="E93" s="21">
        <v>10</v>
      </c>
      <c r="F93" s="21">
        <v>128650</v>
      </c>
      <c r="G93" s="42">
        <v>-7.2999999999999995E-2</v>
      </c>
      <c r="H93" s="21" t="s">
        <v>1023</v>
      </c>
      <c r="I93" s="39">
        <f ca="1">IFERROR(__xludf.DUMMYFUNCTION("IF(SUM(COUNTIF(artists!A:A, SPLIT(D93, "",""))) &gt; 0, ""UA"", 0)"),0)</f>
        <v>0</v>
      </c>
      <c r="J93" s="40">
        <f ca="1">IFERROR(__xludf.DUMMYFUNCTION("IF(SUM(COUNTIF(artists!C:C, SPLIT(D93, "",""))) &gt; 0, ""RU"", 0)"),0)</f>
        <v>0</v>
      </c>
      <c r="K93" s="39" t="str">
        <f ca="1">IFERROR(__xludf.DUMMYFUNCTION("IF(SUM(COUNTIF(artists!E:E, SPLIT(D93, "",""))) &gt; 0, ""OTHER"", 0)"),"OTHER")</f>
        <v>OTHER</v>
      </c>
    </row>
    <row r="94" spans="1:11" ht="14.25" customHeight="1">
      <c r="A94" s="21">
        <v>93</v>
      </c>
      <c r="B94" s="21">
        <v>76</v>
      </c>
      <c r="C94" s="21" t="s">
        <v>282</v>
      </c>
      <c r="D94" s="21" t="s">
        <v>85</v>
      </c>
      <c r="E94" s="21">
        <v>2</v>
      </c>
      <c r="F94" s="21">
        <v>127222</v>
      </c>
      <c r="G94" s="42">
        <v>-0.13200000000000001</v>
      </c>
      <c r="H94" s="21" t="s">
        <v>283</v>
      </c>
      <c r="I94" s="39" t="str">
        <f ca="1">IFERROR(__xludf.DUMMYFUNCTION("IF(SUM(COUNTIF(artists!A:A, SPLIT(D94, "",""))) &gt; 0, ""UA"", 0)"),"UA")</f>
        <v>UA</v>
      </c>
      <c r="J94" s="40">
        <f ca="1">IFERROR(__xludf.DUMMYFUNCTION("IF(SUM(COUNTIF(artists!C:C, SPLIT(D94, "",""))) &gt; 0, ""RU"", 0)"),0)</f>
        <v>0</v>
      </c>
      <c r="K94" s="39">
        <f ca="1">IFERROR(__xludf.DUMMYFUNCTION("IF(SUM(COUNTIF(artists!E:E, SPLIT(D94, "",""))) &gt; 0, ""OTHER"", 0)"),0)</f>
        <v>0</v>
      </c>
    </row>
    <row r="95" spans="1:11" ht="14.25" customHeight="1">
      <c r="A95" s="21">
        <v>94</v>
      </c>
      <c r="C95" s="21" t="s">
        <v>309</v>
      </c>
      <c r="D95" s="21" t="s">
        <v>310</v>
      </c>
      <c r="E95" s="21">
        <v>8</v>
      </c>
      <c r="F95" s="21">
        <v>126729</v>
      </c>
      <c r="H95" s="21" t="s">
        <v>312</v>
      </c>
      <c r="I95" s="39">
        <f ca="1">IFERROR(__xludf.DUMMYFUNCTION("IF(SUM(COUNTIF(artists!A:A, SPLIT(D95, "",""))) &gt; 0, ""UA"", 0)"),0)</f>
        <v>0</v>
      </c>
      <c r="J95" s="40">
        <f ca="1">IFERROR(__xludf.DUMMYFUNCTION("IF(SUM(COUNTIF(artists!C:C, SPLIT(D95, "",""))) &gt; 0, ""RU"", 0)"),0)</f>
        <v>0</v>
      </c>
      <c r="K95" s="39" t="str">
        <f ca="1">IFERROR(__xludf.DUMMYFUNCTION("IF(SUM(COUNTIF(artists!E:E, SPLIT(D95, "",""))) &gt; 0, ""OTHER"", 0)"),"OTHER")</f>
        <v>OTHER</v>
      </c>
    </row>
    <row r="96" spans="1:11" ht="14.25" customHeight="1">
      <c r="A96" s="21">
        <v>95</v>
      </c>
      <c r="B96" s="21">
        <v>87</v>
      </c>
      <c r="C96" s="21" t="s">
        <v>682</v>
      </c>
      <c r="D96" s="21" t="s">
        <v>125</v>
      </c>
      <c r="E96" s="21">
        <v>11</v>
      </c>
      <c r="F96" s="21">
        <v>124887</v>
      </c>
      <c r="G96" s="42">
        <v>-7.1999999999999995E-2</v>
      </c>
      <c r="H96" s="21" t="s">
        <v>684</v>
      </c>
      <c r="I96" s="39">
        <f ca="1">IFERROR(__xludf.DUMMYFUNCTION("IF(SUM(COUNTIF(artists!A:A, SPLIT(D96, "",""))) &gt; 0, ""UA"", 0)"),0)</f>
        <v>0</v>
      </c>
      <c r="J96" s="40" t="str">
        <f ca="1">IFERROR(__xludf.DUMMYFUNCTION("IF(SUM(COUNTIF(artists!C:C, SPLIT(D96, "",""))) &gt; 0, ""RU"", 0)"),"RU")</f>
        <v>RU</v>
      </c>
      <c r="K96" s="39">
        <f ca="1">IFERROR(__xludf.DUMMYFUNCTION("IF(SUM(COUNTIF(artists!E:E, SPLIT(D96, "",""))) &gt; 0, ""OTHER"", 0)"),0)</f>
        <v>0</v>
      </c>
    </row>
    <row r="97" spans="1:11" ht="14.25" customHeight="1">
      <c r="A97" s="21">
        <v>96</v>
      </c>
      <c r="C97" s="21" t="s">
        <v>983</v>
      </c>
      <c r="D97" s="21" t="s">
        <v>984</v>
      </c>
      <c r="E97" s="21">
        <v>1</v>
      </c>
      <c r="F97" s="21">
        <v>119659</v>
      </c>
      <c r="H97" s="21" t="s">
        <v>985</v>
      </c>
      <c r="I97" s="39" t="str">
        <f ca="1">IFERROR(__xludf.DUMMYFUNCTION("IF(SUM(COUNTIF(artists!A:A, SPLIT(D97, "",""))) &gt; 0, ""UA"", 0)"),"UA")</f>
        <v>UA</v>
      </c>
      <c r="J97" s="40">
        <f ca="1">IFERROR(__xludf.DUMMYFUNCTION("IF(SUM(COUNTIF(artists!C:C, SPLIT(D97, "",""))) &gt; 0, ""RU"", 0)"),0)</f>
        <v>0</v>
      </c>
      <c r="K97" s="39">
        <f ca="1">IFERROR(__xludf.DUMMYFUNCTION("IF(SUM(COUNTIF(artists!E:E, SPLIT(D97, "",""))) &gt; 0, ""OTHER"", 0)"),0)</f>
        <v>0</v>
      </c>
    </row>
    <row r="98" spans="1:11" ht="14.25" customHeight="1">
      <c r="A98" s="21">
        <v>97</v>
      </c>
      <c r="B98" s="21">
        <v>66</v>
      </c>
      <c r="C98" s="21" t="s">
        <v>258</v>
      </c>
      <c r="D98" s="21" t="s">
        <v>259</v>
      </c>
      <c r="E98" s="21">
        <v>3</v>
      </c>
      <c r="F98" s="21">
        <v>116100</v>
      </c>
      <c r="G98" s="42">
        <v>-0.31900000000000001</v>
      </c>
      <c r="H98" s="21" t="s">
        <v>260</v>
      </c>
      <c r="I98" s="39" t="str">
        <f ca="1">IFERROR(__xludf.DUMMYFUNCTION("IF(SUM(COUNTIF(artists!A:A, SPLIT(D98, "",""))) &gt; 0, ""UA"", 0)"),"UA")</f>
        <v>UA</v>
      </c>
      <c r="J98" s="40">
        <f ca="1">IFERROR(__xludf.DUMMYFUNCTION("IF(SUM(COUNTIF(artists!C:C, SPLIT(D98, "",""))) &gt; 0, ""RU"", 0)"),0)</f>
        <v>0</v>
      </c>
      <c r="K98" s="39">
        <f ca="1">IFERROR(__xludf.DUMMYFUNCTION("IF(SUM(COUNTIF(artists!E:E, SPLIT(D98, "",""))) &gt; 0, ""OTHER"", 0)"),0)</f>
        <v>0</v>
      </c>
    </row>
    <row r="99" spans="1:11" ht="14.25" customHeight="1">
      <c r="A99" s="21">
        <v>98</v>
      </c>
      <c r="B99" s="21">
        <v>95</v>
      </c>
      <c r="C99" s="21" t="s">
        <v>1032</v>
      </c>
      <c r="D99" s="21" t="s">
        <v>1033</v>
      </c>
      <c r="E99" s="21">
        <v>8</v>
      </c>
      <c r="F99" s="21">
        <v>114876</v>
      </c>
      <c r="G99" s="42">
        <v>-0.104</v>
      </c>
      <c r="H99" s="21" t="s">
        <v>1034</v>
      </c>
      <c r="I99" s="39" t="str">
        <f ca="1">IFERROR(__xludf.DUMMYFUNCTION("IF(SUM(COUNTIF(artists!A:A, SPLIT(D99, "",""))) &gt; 0, ""UA"", 0)"),"UA")</f>
        <v>UA</v>
      </c>
      <c r="J99" s="40">
        <f ca="1">IFERROR(__xludf.DUMMYFUNCTION("IF(SUM(COUNTIF(artists!C:C, SPLIT(D99, "",""))) &gt; 0, ""RU"", 0)"),0)</f>
        <v>0</v>
      </c>
      <c r="K99" s="39">
        <f ca="1">IFERROR(__xludf.DUMMYFUNCTION("IF(SUM(COUNTIF(artists!E:E, SPLIT(D99, "",""))) &gt; 0, ""OTHER"", 0)"),0)</f>
        <v>0</v>
      </c>
    </row>
    <row r="100" spans="1:11" ht="14.25" customHeight="1">
      <c r="A100" s="21">
        <v>99</v>
      </c>
      <c r="B100" s="21">
        <v>93</v>
      </c>
      <c r="C100" s="21" t="s">
        <v>1035</v>
      </c>
      <c r="D100" s="21" t="s">
        <v>1036</v>
      </c>
      <c r="E100" s="21">
        <v>4</v>
      </c>
      <c r="F100" s="21">
        <v>112206</v>
      </c>
      <c r="G100" s="42">
        <v>-0.14799999999999999</v>
      </c>
      <c r="H100" s="21" t="s">
        <v>1037</v>
      </c>
      <c r="I100" s="39" t="str">
        <f ca="1">IFERROR(__xludf.DUMMYFUNCTION("IF(SUM(COUNTIF(artists!A:A, SPLIT(D100, "",""))) &gt; 0, ""UA"", 0)"),"UA")</f>
        <v>UA</v>
      </c>
      <c r="J100" s="40">
        <f ca="1">IFERROR(__xludf.DUMMYFUNCTION("IF(SUM(COUNTIF(artists!C:C, SPLIT(D100, "",""))) &gt; 0, ""RU"", 0)"),0)</f>
        <v>0</v>
      </c>
      <c r="K100" s="39">
        <f ca="1">IFERROR(__xludf.DUMMYFUNCTION("IF(SUM(COUNTIF(artists!E:E, SPLIT(D100, "",""))) &gt; 0, ""OTHER"", 0)"),0)</f>
        <v>0</v>
      </c>
    </row>
    <row r="101" spans="1:11" ht="14.25" customHeight="1">
      <c r="A101" s="21">
        <v>100</v>
      </c>
      <c r="C101" s="21" t="s">
        <v>1038</v>
      </c>
      <c r="D101" s="21" t="s">
        <v>1039</v>
      </c>
      <c r="E101" s="21">
        <v>11</v>
      </c>
      <c r="F101" s="21">
        <v>111431</v>
      </c>
      <c r="H101" s="21" t="s">
        <v>1040</v>
      </c>
      <c r="I101" s="39">
        <f ca="1">IFERROR(__xludf.DUMMYFUNCTION("IF(SUM(COUNTIF(artists!A:A, SPLIT(D101, "",""))) &gt; 0, ""UA"", 0)"),0)</f>
        <v>0</v>
      </c>
      <c r="J101" s="40">
        <f ca="1">IFERROR(__xludf.DUMMYFUNCTION("IF(SUM(COUNTIF(artists!C:C, SPLIT(D101, "",""))) &gt; 0, ""RU"", 0)"),0)</f>
        <v>0</v>
      </c>
      <c r="K101" s="39" t="str">
        <f ca="1">IFERROR(__xludf.DUMMYFUNCTION("IF(SUM(COUNTIF(artists!E:E, SPLIT(D101, "",""))) &gt; 0, ""OTHER"", 0)"),"OTHER")</f>
        <v>OTHER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95" priority="1">
      <formula>AND($I2=0, $J2=0, $K2=0)</formula>
    </cfRule>
    <cfRule type="expression" dxfId="94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Аркуш16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3" width="8.6640625" customWidth="1"/>
    <col min="4" max="4" width="13.109375" customWidth="1"/>
    <col min="5" max="5" width="8.6640625" hidden="1" customWidth="1"/>
    <col min="6" max="6" width="8.6640625" customWidth="1"/>
    <col min="7" max="7" width="13.10937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B2" s="21">
        <v>1</v>
      </c>
      <c r="C2" s="21" t="s">
        <v>88</v>
      </c>
      <c r="D2" s="21" t="s">
        <v>89</v>
      </c>
      <c r="E2" s="21">
        <v>17</v>
      </c>
      <c r="F2" s="21">
        <v>1003506</v>
      </c>
      <c r="G2" s="43">
        <v>-0.16</v>
      </c>
      <c r="H2" s="21" t="s">
        <v>90</v>
      </c>
      <c r="I2" s="39" t="str">
        <f ca="1">IFERROR(__xludf.DUMMYFUNCTION("IF(SUM(COUNTIF(artists!A:A, SPLIT(D2, "",""))) &gt; 0, ""UA"", 0)"),"UA")</f>
        <v>UA</v>
      </c>
      <c r="J2" s="40">
        <f ca="1">IFERROR(__xludf.DUMMYFUNCTION("IF(SUM(COUNTIF(artists!C:C, SPLIT(D2, "",""))) &gt; 0, ""RU"", 0)"),0)</f>
        <v>0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B3" s="21">
        <v>2</v>
      </c>
      <c r="C3" s="21" t="s">
        <v>95</v>
      </c>
      <c r="D3" s="21" t="s">
        <v>96</v>
      </c>
      <c r="E3" s="21">
        <v>2</v>
      </c>
      <c r="F3" s="21">
        <v>818701</v>
      </c>
      <c r="G3" s="42">
        <v>-0.29899999999999999</v>
      </c>
      <c r="H3" s="21" t="s">
        <v>98</v>
      </c>
      <c r="I3" s="39" t="str">
        <f ca="1">IFERROR(__xludf.DUMMYFUNCTION("IF(SUM(COUNTIF(artists!A:A, SPLIT(D3, "",""))) &gt; 0, ""UA"", 0)"),"UA")</f>
        <v>UA</v>
      </c>
      <c r="J3" s="40">
        <f ca="1">IFERROR(__xludf.DUMMYFUNCTION("IF(SUM(COUNTIF(artists!C:C, SPLIT(D3, "",""))) &gt; 0, ""RU"", 0)"),0)</f>
        <v>0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C4" s="21" t="s">
        <v>775</v>
      </c>
      <c r="D4" s="21" t="s">
        <v>776</v>
      </c>
      <c r="E4" s="21">
        <v>1</v>
      </c>
      <c r="F4" s="21">
        <v>695806</v>
      </c>
      <c r="H4" s="21" t="s">
        <v>777</v>
      </c>
      <c r="I4" s="39" t="str">
        <f ca="1">IFERROR(__xludf.DUMMYFUNCTION("IF(SUM(COUNTIF(artists!A:A, SPLIT(D4, "",""))) &gt; 0, ""UA"", 0)"),"UA")</f>
        <v>UA</v>
      </c>
      <c r="J4" s="40">
        <f ca="1">IFERROR(__xludf.DUMMYFUNCTION("IF(SUM(COUNTIF(artists!C:C, SPLIT(D4, "",""))) &gt; 0, ""RU"", 0)"),0)</f>
        <v>0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B5" s="21">
        <v>4</v>
      </c>
      <c r="C5" s="21" t="s">
        <v>128</v>
      </c>
      <c r="D5" s="21" t="s">
        <v>129</v>
      </c>
      <c r="E5" s="21">
        <v>25</v>
      </c>
      <c r="F5" s="21">
        <v>586452</v>
      </c>
      <c r="G5" s="43">
        <v>-0.09</v>
      </c>
      <c r="H5" s="21" t="s">
        <v>131</v>
      </c>
      <c r="I5" s="39" t="str">
        <f ca="1">IFERROR(__xludf.DUMMYFUNCTION("IF(SUM(COUNTIF(artists!A:A, SPLIT(D5, "",""))) &gt; 0, ""UA"", 0)"),"UA")</f>
        <v>UA</v>
      </c>
      <c r="J5" s="40">
        <f ca="1">IFERROR(__xludf.DUMMYFUNCTION("IF(SUM(COUNTIF(artists!C:C, SPLIT(D5, "",""))) &gt; 0, ""RU"", 0)"),0)</f>
        <v>0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B6" s="21">
        <v>7</v>
      </c>
      <c r="C6" s="21" t="s">
        <v>132</v>
      </c>
      <c r="D6" s="21" t="s">
        <v>133</v>
      </c>
      <c r="E6" s="21">
        <v>29</v>
      </c>
      <c r="F6" s="21">
        <v>565774</v>
      </c>
      <c r="G6" s="42">
        <v>-7.1999999999999995E-2</v>
      </c>
      <c r="H6" s="21" t="s">
        <v>135</v>
      </c>
      <c r="I6" s="39" t="str">
        <f ca="1">IFERROR(__xludf.DUMMYFUNCTION("IF(SUM(COUNTIF(artists!A:A, SPLIT(D6, "",""))) &gt; 0, ""UA"", 0)"),"UA")</f>
        <v>UA</v>
      </c>
      <c r="J6" s="40">
        <f ca="1">IFERROR(__xludf.DUMMYFUNCTION("IF(SUM(COUNTIF(artists!C:C, SPLIT(D6, "",""))) &gt; 0, ""RU"", 0)"),0)</f>
        <v>0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B7" s="21">
        <v>3</v>
      </c>
      <c r="C7" s="21" t="s">
        <v>351</v>
      </c>
      <c r="D7" s="21" t="s">
        <v>352</v>
      </c>
      <c r="E7" s="21">
        <v>5</v>
      </c>
      <c r="F7" s="21">
        <v>545932</v>
      </c>
      <c r="G7" s="42">
        <v>-0.25700000000000001</v>
      </c>
      <c r="H7" s="21" t="s">
        <v>354</v>
      </c>
      <c r="I7" s="39" t="str">
        <f ca="1">IFERROR(__xludf.DUMMYFUNCTION("IF(SUM(COUNTIF(artists!A:A, SPLIT(D7, "",""))) &gt; 0, ""UA"", 0)"),"UA")</f>
        <v>UA</v>
      </c>
      <c r="J7" s="40">
        <f ca="1">IFERROR(__xludf.DUMMYFUNCTION("IF(SUM(COUNTIF(artists!C:C, SPLIT(D7, "",""))) &gt; 0, ""RU"", 0)"),0)</f>
        <v>0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B8" s="21">
        <v>6</v>
      </c>
      <c r="C8" s="21" t="s">
        <v>645</v>
      </c>
      <c r="D8" s="21" t="s">
        <v>352</v>
      </c>
      <c r="E8" s="21">
        <v>42</v>
      </c>
      <c r="F8" s="21">
        <v>540911</v>
      </c>
      <c r="G8" s="43">
        <v>-0.13</v>
      </c>
      <c r="H8" s="21" t="s">
        <v>647</v>
      </c>
      <c r="I8" s="39" t="str">
        <f ca="1">IFERROR(__xludf.DUMMYFUNCTION("IF(SUM(COUNTIF(artists!A:A, SPLIT(D8, "",""))) &gt; 0, ""UA"", 0)"),"UA")</f>
        <v>UA</v>
      </c>
      <c r="J8" s="40">
        <f ca="1">IFERROR(__xludf.DUMMYFUNCTION("IF(SUM(COUNTIF(artists!C:C, SPLIT(D8, "",""))) &gt; 0, ""RU"", 0)"),0)</f>
        <v>0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B9" s="21">
        <v>5</v>
      </c>
      <c r="C9" s="21" t="s">
        <v>115</v>
      </c>
      <c r="D9" s="21" t="s">
        <v>116</v>
      </c>
      <c r="E9" s="21">
        <v>19</v>
      </c>
      <c r="F9" s="21">
        <v>521226</v>
      </c>
      <c r="G9" s="42">
        <v>-0.17100000000000001</v>
      </c>
      <c r="H9" s="21" t="s">
        <v>117</v>
      </c>
      <c r="I9" s="39" t="str">
        <f ca="1">IFERROR(__xludf.DUMMYFUNCTION("IF(SUM(COUNTIF(artists!A:A, SPLIT(D9, "",""))) &gt; 0, ""UA"", 0)"),"UA")</f>
        <v>UA</v>
      </c>
      <c r="J9" s="40">
        <f ca="1">IFERROR(__xludf.DUMMYFUNCTION("IF(SUM(COUNTIF(artists!C:C, SPLIT(D9, "",""))) &gt; 0, ""RU"", 0)"),0)</f>
        <v>0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B10" s="21">
        <v>17</v>
      </c>
      <c r="C10" s="21" t="s">
        <v>168</v>
      </c>
      <c r="D10" s="21" t="s">
        <v>137</v>
      </c>
      <c r="E10" s="21">
        <v>20</v>
      </c>
      <c r="F10" s="21">
        <v>515742</v>
      </c>
      <c r="G10" s="42">
        <v>0.17699999999999999</v>
      </c>
      <c r="H10" s="21" t="s">
        <v>170</v>
      </c>
      <c r="I10" s="39" t="str">
        <f ca="1">IFERROR(__xludf.DUMMYFUNCTION("IF(SUM(COUNTIF(artists!A:A, SPLIT(D10, "",""))) &gt; 0, ""UA"", 0)"),"UA")</f>
        <v>UA</v>
      </c>
      <c r="J10" s="40">
        <f ca="1">IFERROR(__xludf.DUMMYFUNCTION("IF(SUM(COUNTIF(artists!C:C, SPLIT(D10, "",""))) &gt; 0, ""RU"", 0)"),0)</f>
        <v>0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B11" s="21">
        <v>11</v>
      </c>
      <c r="C11" s="21" t="s">
        <v>182</v>
      </c>
      <c r="D11" s="21" t="s">
        <v>183</v>
      </c>
      <c r="E11" s="21">
        <v>25</v>
      </c>
      <c r="F11" s="21">
        <v>501673</v>
      </c>
      <c r="G11" s="43">
        <v>-0.05</v>
      </c>
      <c r="H11" s="21" t="s">
        <v>185</v>
      </c>
      <c r="I11" s="39" t="str">
        <f ca="1">IFERROR(__xludf.DUMMYFUNCTION("IF(SUM(COUNTIF(artists!A:A, SPLIT(D11, "",""))) &gt; 0, ""UA"", 0)"),"UA")</f>
        <v>UA</v>
      </c>
      <c r="J11" s="40">
        <f ca="1">IFERROR(__xludf.DUMMYFUNCTION("IF(SUM(COUNTIF(artists!C:C, SPLIT(D11, "",""))) &gt; 0, ""RU"", 0)"),0)</f>
        <v>0</v>
      </c>
      <c r="K11" s="39">
        <f ca="1">IFERROR(__xludf.DUMMYFUNCTION("IF(SUM(COUNTIF(artists!E:E, SPLIT(D11, "",""))) &gt; 0, ""OTHER"", 0)"),0)</f>
        <v>0</v>
      </c>
    </row>
    <row r="12" spans="1:11" ht="14.25" customHeight="1">
      <c r="A12" s="21">
        <v>11</v>
      </c>
      <c r="B12" s="21">
        <v>8</v>
      </c>
      <c r="C12" s="21" t="s">
        <v>145</v>
      </c>
      <c r="D12" s="21" t="s">
        <v>146</v>
      </c>
      <c r="E12" s="21">
        <v>23</v>
      </c>
      <c r="F12" s="21">
        <v>501119</v>
      </c>
      <c r="G12" s="42">
        <v>-0.154</v>
      </c>
      <c r="H12" s="21" t="s">
        <v>148</v>
      </c>
      <c r="I12" s="39" t="str">
        <f ca="1">IFERROR(__xludf.DUMMYFUNCTION("IF(SUM(COUNTIF(artists!A:A, SPLIT(D12, "",""))) &gt; 0, ""UA"", 0)"),"UA")</f>
        <v>UA</v>
      </c>
      <c r="J12" s="40">
        <f ca="1">IFERROR(__xludf.DUMMYFUNCTION("IF(SUM(COUNTIF(artists!C:C, SPLIT(D12, "",""))) &gt; 0, ""RU"", 0)"),0)</f>
        <v>0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B13" s="21">
        <v>10</v>
      </c>
      <c r="C13" s="21" t="s">
        <v>175</v>
      </c>
      <c r="D13" s="21" t="s">
        <v>89</v>
      </c>
      <c r="E13" s="21">
        <v>29</v>
      </c>
      <c r="F13" s="21">
        <v>500496</v>
      </c>
      <c r="G13" s="42">
        <v>-9.2999999999999999E-2</v>
      </c>
      <c r="H13" s="21" t="s">
        <v>177</v>
      </c>
      <c r="I13" s="39" t="str">
        <f ca="1">IFERROR(__xludf.DUMMYFUNCTION("IF(SUM(COUNTIF(artists!A:A, SPLIT(D13, "",""))) &gt; 0, ""UA"", 0)"),"UA")</f>
        <v>UA</v>
      </c>
      <c r="J13" s="40">
        <f ca="1">IFERROR(__xludf.DUMMYFUNCTION("IF(SUM(COUNTIF(artists!C:C, SPLIT(D13, "",""))) &gt; 0, ""RU"", 0)"),0)</f>
        <v>0</v>
      </c>
      <c r="K13" s="39">
        <f ca="1">IFERROR(__xludf.DUMMYFUNCTION("IF(SUM(COUNTIF(artists!E:E, SPLIT(D13, "",""))) &gt; 0, ""OTHER"", 0)"),0)</f>
        <v>0</v>
      </c>
    </row>
    <row r="14" spans="1:11" ht="14.25" customHeight="1">
      <c r="A14" s="21">
        <v>13</v>
      </c>
      <c r="C14" s="21" t="s">
        <v>1018</v>
      </c>
      <c r="D14" s="21" t="s">
        <v>1019</v>
      </c>
      <c r="E14" s="21">
        <v>1</v>
      </c>
      <c r="F14" s="21">
        <v>483498</v>
      </c>
      <c r="H14" s="21" t="s">
        <v>1020</v>
      </c>
      <c r="I14" s="39">
        <f ca="1">IFERROR(__xludf.DUMMYFUNCTION("IF(SUM(COUNTIF(artists!A:A, SPLIT(D14, "",""))) &gt; 0, ""UA"", 0)"),0)</f>
        <v>0</v>
      </c>
      <c r="J14" s="40" t="str">
        <f ca="1">IFERROR(__xludf.DUMMYFUNCTION("IF(SUM(COUNTIF(artists!C:C, SPLIT(D14, "",""))) &gt; 0, ""RU"", 0)"),"RU")</f>
        <v>RU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B15" s="21">
        <v>13</v>
      </c>
      <c r="C15" s="21" t="s">
        <v>149</v>
      </c>
      <c r="D15" s="21" t="s">
        <v>150</v>
      </c>
      <c r="E15" s="21">
        <v>22</v>
      </c>
      <c r="F15" s="21">
        <v>476448</v>
      </c>
      <c r="G15" s="42">
        <v>-5.8999999999999997E-2</v>
      </c>
      <c r="H15" s="21" t="s">
        <v>152</v>
      </c>
      <c r="I15" s="39" t="str">
        <f ca="1">IFERROR(__xludf.DUMMYFUNCTION("IF(SUM(COUNTIF(artists!A:A, SPLIT(D15, "",""))) &gt; 0, ""UA"", 0)"),"UA")</f>
        <v>UA</v>
      </c>
      <c r="J15" s="40">
        <f ca="1">IFERROR(__xludf.DUMMYFUNCTION("IF(SUM(COUNTIF(artists!C:C, SPLIT(D15, "",""))) &gt; 0, ""RU"", 0)"),0)</f>
        <v>0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C16" s="21" t="s">
        <v>1041</v>
      </c>
      <c r="D16" s="21" t="s">
        <v>1042</v>
      </c>
      <c r="E16" s="21">
        <v>1</v>
      </c>
      <c r="F16" s="21">
        <v>463363</v>
      </c>
      <c r="H16" s="21" t="s">
        <v>1043</v>
      </c>
      <c r="I16" s="39">
        <f ca="1">IFERROR(__xludf.DUMMYFUNCTION("IF(SUM(COUNTIF(artists!A:A, SPLIT(D16, "",""))) &gt; 0, ""UA"", 0)"),0)</f>
        <v>0</v>
      </c>
      <c r="J16" s="40" t="str">
        <f ca="1">IFERROR(__xludf.DUMMYFUNCTION("IF(SUM(COUNTIF(artists!C:C, SPLIT(D16, "",""))) &gt; 0, ""RU"", 0)"),"RU")</f>
        <v>RU</v>
      </c>
      <c r="K16" s="39">
        <f ca="1">IFERROR(__xludf.DUMMYFUNCTION("IF(SUM(COUNTIF(artists!E:E, SPLIT(D16, "",""))) &gt; 0, ""OTHER"", 0)"),0)</f>
        <v>0</v>
      </c>
    </row>
    <row r="17" spans="1:11" ht="14.25" customHeight="1">
      <c r="A17" s="21">
        <v>16</v>
      </c>
      <c r="B17" s="21">
        <v>9</v>
      </c>
      <c r="C17" s="21" t="s">
        <v>186</v>
      </c>
      <c r="D17" s="21" t="s">
        <v>187</v>
      </c>
      <c r="E17" s="21">
        <v>33</v>
      </c>
      <c r="F17" s="21">
        <v>450578</v>
      </c>
      <c r="G17" s="42">
        <v>-0.221</v>
      </c>
      <c r="H17" s="21" t="s">
        <v>189</v>
      </c>
      <c r="I17" s="39" t="str">
        <f ca="1">IFERROR(__xludf.DUMMYFUNCTION("IF(SUM(COUNTIF(artists!A:A, SPLIT(D17, "",""))) &gt; 0, ""UA"", 0)"),"UA")</f>
        <v>UA</v>
      </c>
      <c r="J17" s="40">
        <f ca="1">IFERROR(__xludf.DUMMYFUNCTION("IF(SUM(COUNTIF(artists!C:C, SPLIT(D17, "",""))) &gt; 0, ""RU"", 0)"),0)</f>
        <v>0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B18" s="21">
        <v>86</v>
      </c>
      <c r="C18" s="21" t="s">
        <v>268</v>
      </c>
      <c r="D18" s="21" t="s">
        <v>466</v>
      </c>
      <c r="E18" s="21">
        <v>2</v>
      </c>
      <c r="F18" s="21">
        <v>441781</v>
      </c>
      <c r="G18" s="42">
        <v>2.129</v>
      </c>
      <c r="H18" s="21" t="s">
        <v>270</v>
      </c>
      <c r="I18" s="39" t="str">
        <f ca="1">IFERROR(__xludf.DUMMYFUNCTION("IF(SUM(COUNTIF(artists!A:A, SPLIT(D18, "",""))) &gt; 0, ""UA"", 0)"),"UA")</f>
        <v>UA</v>
      </c>
      <c r="J18" s="40">
        <f ca="1">IFERROR(__xludf.DUMMYFUNCTION("IF(SUM(COUNTIF(artists!C:C, SPLIT(D18, "",""))) &gt; 0, ""RU"", 0)"),0)</f>
        <v>0</v>
      </c>
      <c r="K18" s="39">
        <f ca="1">IFERROR(__xludf.DUMMYFUNCTION("IF(SUM(COUNTIF(artists!E:E, SPLIT(D18, "",""))) &gt; 0, ""OTHER"", 0)"),0)</f>
        <v>0</v>
      </c>
    </row>
    <row r="19" spans="1:11" ht="14.25" customHeight="1">
      <c r="A19" s="21">
        <v>18</v>
      </c>
      <c r="B19" s="21">
        <v>15</v>
      </c>
      <c r="C19" s="21" t="s">
        <v>202</v>
      </c>
      <c r="D19" s="21" t="s">
        <v>835</v>
      </c>
      <c r="E19" s="21">
        <v>19</v>
      </c>
      <c r="F19" s="21">
        <v>433942</v>
      </c>
      <c r="G19" s="42">
        <v>-6.9000000000000006E-2</v>
      </c>
      <c r="H19" s="21" t="s">
        <v>204</v>
      </c>
      <c r="I19" s="39" t="str">
        <f ca="1">IFERROR(__xludf.DUMMYFUNCTION("IF(SUM(COUNTIF(artists!A:A, SPLIT(D19, "",""))) &gt; 0, ""UA"", 0)"),"UA")</f>
        <v>UA</v>
      </c>
      <c r="J19" s="40">
        <f ca="1">IFERROR(__xludf.DUMMYFUNCTION("IF(SUM(COUNTIF(artists!C:C, SPLIT(D19, "",""))) &gt; 0, ""RU"", 0)"),0)</f>
        <v>0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B20" s="21">
        <v>14</v>
      </c>
      <c r="C20" s="21" t="s">
        <v>286</v>
      </c>
      <c r="D20" s="21" t="s">
        <v>287</v>
      </c>
      <c r="E20" s="21">
        <v>4</v>
      </c>
      <c r="F20" s="21">
        <v>407917</v>
      </c>
      <c r="G20" s="42">
        <v>-0.14799999999999999</v>
      </c>
      <c r="H20" s="21" t="s">
        <v>289</v>
      </c>
      <c r="I20" s="39">
        <f ca="1">IFERROR(__xludf.DUMMYFUNCTION("IF(SUM(COUNTIF(artists!A:A, SPLIT(D20, "",""))) &gt; 0, ""UA"", 0)"),0)</f>
        <v>0</v>
      </c>
      <c r="J20" s="40" t="str">
        <f ca="1">IFERROR(__xludf.DUMMYFUNCTION("IF(SUM(COUNTIF(artists!C:C, SPLIT(D20, "",""))) &gt; 0, ""RU"", 0)"),"RU")</f>
        <v>RU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C21" s="21" t="s">
        <v>294</v>
      </c>
      <c r="D21" s="21" t="s">
        <v>295</v>
      </c>
      <c r="E21" s="21">
        <v>1</v>
      </c>
      <c r="F21" s="21">
        <v>406722</v>
      </c>
      <c r="H21" s="21" t="s">
        <v>297</v>
      </c>
      <c r="I21" s="39">
        <f ca="1">IFERROR(__xludf.DUMMYFUNCTION("IF(SUM(COUNTIF(artists!A:A, SPLIT(D21, "",""))) &gt; 0, ""UA"", 0)"),0)</f>
        <v>0</v>
      </c>
      <c r="J21" s="40" t="str">
        <f ca="1">IFERROR(__xludf.DUMMYFUNCTION("IF(SUM(COUNTIF(artists!C:C, SPLIT(D21, "",""))) &gt; 0, ""RU"", 0)"),"RU")</f>
        <v>RU</v>
      </c>
      <c r="K21" s="39">
        <f ca="1">IFERROR(__xludf.DUMMYFUNCTION("IF(SUM(COUNTIF(artists!E:E, SPLIT(D21, "",""))) &gt; 0, ""OTHER"", 0)"),0)</f>
        <v>0</v>
      </c>
    </row>
    <row r="22" spans="1:11" ht="14.25" customHeight="1">
      <c r="A22" s="21">
        <v>21</v>
      </c>
      <c r="B22" s="21">
        <v>18</v>
      </c>
      <c r="C22" s="21" t="s">
        <v>194</v>
      </c>
      <c r="D22" s="21" t="s">
        <v>195</v>
      </c>
      <c r="E22" s="21">
        <v>32</v>
      </c>
      <c r="F22" s="21">
        <v>392085</v>
      </c>
      <c r="G22" s="42">
        <v>-6.5000000000000002E-2</v>
      </c>
      <c r="H22" s="21" t="s">
        <v>197</v>
      </c>
      <c r="I22" s="39" t="str">
        <f ca="1">IFERROR(__xludf.DUMMYFUNCTION("IF(SUM(COUNTIF(artists!A:A, SPLIT(D22, "",""))) &gt; 0, ""UA"", 0)"),"UA")</f>
        <v>UA</v>
      </c>
      <c r="J22" s="40">
        <f ca="1">IFERROR(__xludf.DUMMYFUNCTION("IF(SUM(COUNTIF(artists!C:C, SPLIT(D22, "",""))) &gt; 0, ""RU"", 0)"),0)</f>
        <v>0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B23" s="21">
        <v>12</v>
      </c>
      <c r="C23" s="21" t="s">
        <v>500</v>
      </c>
      <c r="D23" s="21" t="s">
        <v>501</v>
      </c>
      <c r="E23" s="21">
        <v>8</v>
      </c>
      <c r="F23" s="21">
        <v>387264</v>
      </c>
      <c r="G23" s="42">
        <v>-0.26500000000000001</v>
      </c>
      <c r="H23" s="21" t="s">
        <v>503</v>
      </c>
      <c r="I23" s="39">
        <f ca="1">IFERROR(__xludf.DUMMYFUNCTION("IF(SUM(COUNTIF(artists!A:A, SPLIT(D23, "",""))) &gt; 0, ""UA"", 0)"),0)</f>
        <v>0</v>
      </c>
      <c r="J23" s="40" t="str">
        <f ca="1">IFERROR(__xludf.DUMMYFUNCTION("IF(SUM(COUNTIF(artists!C:C, SPLIT(D23, "",""))) &gt; 0, ""RU"", 0)"),"RU")</f>
        <v>RU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B24" s="21">
        <v>16</v>
      </c>
      <c r="C24" s="21" t="s">
        <v>171</v>
      </c>
      <c r="D24" s="21" t="s">
        <v>172</v>
      </c>
      <c r="E24" s="21">
        <v>24</v>
      </c>
      <c r="F24" s="21">
        <v>374297</v>
      </c>
      <c r="G24" s="42">
        <v>-0.14899999999999999</v>
      </c>
      <c r="H24" s="21" t="s">
        <v>174</v>
      </c>
      <c r="I24" s="39">
        <f ca="1">IFERROR(__xludf.DUMMYFUNCTION("IF(SUM(COUNTIF(artists!A:A, SPLIT(D24, "",""))) &gt; 0, ""UA"", 0)"),0)</f>
        <v>0</v>
      </c>
      <c r="J24" s="40" t="str">
        <f ca="1">IFERROR(__xludf.DUMMYFUNCTION("IF(SUM(COUNTIF(artists!C:C, SPLIT(D24, "",""))) &gt; 0, ""RU"", 0)"),"RU")</f>
        <v>RU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B25" s="21">
        <v>22</v>
      </c>
      <c r="C25" s="21" t="s">
        <v>190</v>
      </c>
      <c r="D25" s="21" t="s">
        <v>191</v>
      </c>
      <c r="E25" s="21">
        <v>4</v>
      </c>
      <c r="F25" s="21">
        <v>356323</v>
      </c>
      <c r="G25" s="42">
        <v>-9.6000000000000002E-2</v>
      </c>
      <c r="H25" s="21" t="s">
        <v>193</v>
      </c>
      <c r="I25" s="39" t="str">
        <f ca="1">IFERROR(__xludf.DUMMYFUNCTION("IF(SUM(COUNTIF(artists!A:A, SPLIT(D25, "",""))) &gt; 0, ""UA"", 0)"),"UA")</f>
        <v>UA</v>
      </c>
      <c r="J25" s="40">
        <f ca="1">IFERROR(__xludf.DUMMYFUNCTION("IF(SUM(COUNTIF(artists!C:C, SPLIT(D25, "",""))) &gt; 0, ""RU"", 0)"),0)</f>
        <v>0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B26" s="21">
        <v>24</v>
      </c>
      <c r="C26" s="21" t="s">
        <v>209</v>
      </c>
      <c r="D26" s="21" t="s">
        <v>210</v>
      </c>
      <c r="E26" s="21">
        <v>22</v>
      </c>
      <c r="F26" s="21">
        <v>348482</v>
      </c>
      <c r="G26" s="42">
        <v>-8.6999999999999994E-2</v>
      </c>
      <c r="H26" s="21" t="s">
        <v>212</v>
      </c>
      <c r="I26" s="39" t="str">
        <f ca="1">IFERROR(__xludf.DUMMYFUNCTION("IF(SUM(COUNTIF(artists!A:A, SPLIT(D26, "",""))) &gt; 0, ""UA"", 0)"),"UA")</f>
        <v>UA</v>
      </c>
      <c r="J26" s="40">
        <f ca="1">IFERROR(__xludf.DUMMYFUNCTION("IF(SUM(COUNTIF(artists!C:C, SPLIT(D26, "",""))) &gt; 0, ""RU"", 0)"),0)</f>
        <v>0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B27" s="21">
        <v>21</v>
      </c>
      <c r="C27" s="21" t="s">
        <v>198</v>
      </c>
      <c r="D27" s="21" t="s">
        <v>199</v>
      </c>
      <c r="E27" s="21">
        <v>10</v>
      </c>
      <c r="F27" s="21">
        <v>336440</v>
      </c>
      <c r="G27" s="42">
        <v>-0.154</v>
      </c>
      <c r="H27" s="21" t="s">
        <v>201</v>
      </c>
      <c r="I27" s="39" t="str">
        <f ca="1">IFERROR(__xludf.DUMMYFUNCTION("IF(SUM(COUNTIF(artists!A:A, SPLIT(D27, "",""))) &gt; 0, ""UA"", 0)"),"UA")</f>
        <v>UA</v>
      </c>
      <c r="J27" s="40">
        <f ca="1">IFERROR(__xludf.DUMMYFUNCTION("IF(SUM(COUNTIF(artists!C:C, SPLIT(D27, "",""))) &gt; 0, ""RU"", 0)"),0)</f>
        <v>0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B28" s="21">
        <v>20</v>
      </c>
      <c r="C28" s="21" t="s">
        <v>844</v>
      </c>
      <c r="D28" s="21" t="s">
        <v>457</v>
      </c>
      <c r="E28" s="21">
        <v>9</v>
      </c>
      <c r="F28" s="21">
        <v>334081</v>
      </c>
      <c r="G28" s="42">
        <v>-0.19500000000000001</v>
      </c>
      <c r="H28" s="21" t="s">
        <v>459</v>
      </c>
      <c r="I28" s="39">
        <f ca="1">IFERROR(__xludf.DUMMYFUNCTION("IF(SUM(COUNTIF(artists!A:A, SPLIT(D28, "",""))) &gt; 0, ""UA"", 0)"),0)</f>
        <v>0</v>
      </c>
      <c r="J28" s="40">
        <f ca="1">IFERROR(__xludf.DUMMYFUNCTION("IF(SUM(COUNTIF(artists!C:C, SPLIT(D28, "",""))) &gt; 0, ""RU"", 0)"),0)</f>
        <v>0</v>
      </c>
      <c r="K28" s="39" t="str">
        <f ca="1">IFERROR(__xludf.DUMMYFUNCTION("IF(SUM(COUNTIF(artists!E:E, SPLIT(D28, "",""))) &gt; 0, ""OTHER"", 0)"),"OTHER")</f>
        <v>OTHER</v>
      </c>
    </row>
    <row r="29" spans="1:11" ht="14.25" customHeight="1">
      <c r="A29" s="21">
        <v>28</v>
      </c>
      <c r="B29" s="21">
        <v>25</v>
      </c>
      <c r="C29" s="21" t="s">
        <v>178</v>
      </c>
      <c r="D29" s="21" t="s">
        <v>179</v>
      </c>
      <c r="E29" s="21">
        <v>33</v>
      </c>
      <c r="F29" s="21">
        <v>315622</v>
      </c>
      <c r="G29" s="42">
        <v>-0.14599999999999999</v>
      </c>
      <c r="H29" s="21" t="s">
        <v>181</v>
      </c>
      <c r="I29" s="39" t="str">
        <f ca="1">IFERROR(__xludf.DUMMYFUNCTION("IF(SUM(COUNTIF(artists!A:A, SPLIT(D29, "",""))) &gt; 0, ""UA"", 0)"),"UA")</f>
        <v>UA</v>
      </c>
      <c r="J29" s="40">
        <f ca="1">IFERROR(__xludf.DUMMYFUNCTION("IF(SUM(COUNTIF(artists!C:C, SPLIT(D29, "",""))) &gt; 0, ""RU"", 0)"),0)</f>
        <v>0</v>
      </c>
      <c r="K29" s="39">
        <f ca="1">IFERROR(__xludf.DUMMYFUNCTION("IF(SUM(COUNTIF(artists!E:E, SPLIT(D29, "",""))) &gt; 0, ""OTHER"", 0)"),0)</f>
        <v>0</v>
      </c>
    </row>
    <row r="30" spans="1:11" ht="14.25" customHeight="1">
      <c r="A30" s="21">
        <v>29</v>
      </c>
      <c r="B30" s="21">
        <v>23</v>
      </c>
      <c r="C30" s="21" t="s">
        <v>247</v>
      </c>
      <c r="D30" s="21" t="s">
        <v>454</v>
      </c>
      <c r="E30" s="21">
        <v>6</v>
      </c>
      <c r="F30" s="21">
        <v>308121</v>
      </c>
      <c r="G30" s="42">
        <v>-0.19800000000000001</v>
      </c>
      <c r="H30" s="21" t="s">
        <v>250</v>
      </c>
      <c r="I30" s="39" t="str">
        <f ca="1">IFERROR(__xludf.DUMMYFUNCTION("IF(SUM(COUNTIF(artists!A:A, SPLIT(D30, "",""))) &gt; 0, ""UA"", 0)"),"UA")</f>
        <v>UA</v>
      </c>
      <c r="J30" s="40">
        <f ca="1">IFERROR(__xludf.DUMMYFUNCTION("IF(SUM(COUNTIF(artists!C:C, SPLIT(D30, "",""))) &gt; 0, ""RU"", 0)"),0)</f>
        <v>0</v>
      </c>
      <c r="K30" s="39">
        <f ca="1">IFERROR(__xludf.DUMMYFUNCTION("IF(SUM(COUNTIF(artists!E:E, SPLIT(D30, "",""))) &gt; 0, ""OTHER"", 0)"),0)</f>
        <v>0</v>
      </c>
    </row>
    <row r="31" spans="1:11" ht="14.25" customHeight="1">
      <c r="A31" s="21">
        <v>30</v>
      </c>
      <c r="B31" s="21">
        <v>27</v>
      </c>
      <c r="C31" s="21" t="s">
        <v>841</v>
      </c>
      <c r="D31" s="21" t="s">
        <v>842</v>
      </c>
      <c r="E31" s="21">
        <v>34</v>
      </c>
      <c r="F31" s="21">
        <v>299812</v>
      </c>
      <c r="G31" s="42">
        <v>-0.14199999999999999</v>
      </c>
      <c r="H31" s="21" t="s">
        <v>843</v>
      </c>
      <c r="I31" s="39">
        <f ca="1">IFERROR(__xludf.DUMMYFUNCTION("IF(SUM(COUNTIF(artists!A:A, SPLIT(D31, "",""))) &gt; 0, ""UA"", 0)"),0)</f>
        <v>0</v>
      </c>
      <c r="J31" s="40">
        <f ca="1">IFERROR(__xludf.DUMMYFUNCTION("IF(SUM(COUNTIF(artists!C:C, SPLIT(D31, "",""))) &gt; 0, ""RU"", 0)"),0)</f>
        <v>0</v>
      </c>
      <c r="K31" s="39" t="str">
        <f ca="1">IFERROR(__xludf.DUMMYFUNCTION("IF(SUM(COUNTIF(artists!E:E, SPLIT(D31, "",""))) &gt; 0, ""OTHER"", 0)"),"OTHER")</f>
        <v>OTHER</v>
      </c>
    </row>
    <row r="32" spans="1:11" ht="14.25" customHeight="1">
      <c r="A32" s="21">
        <v>31</v>
      </c>
      <c r="C32" s="21" t="s">
        <v>1024</v>
      </c>
      <c r="D32" s="21" t="s">
        <v>1025</v>
      </c>
      <c r="E32" s="21">
        <v>1</v>
      </c>
      <c r="F32" s="21">
        <v>295097</v>
      </c>
      <c r="H32" s="21" t="s">
        <v>867</v>
      </c>
      <c r="I32" s="39" t="str">
        <f ca="1">IFERROR(__xludf.DUMMYFUNCTION("IF(SUM(COUNTIF(artists!A:A, SPLIT(D32, "",""))) &gt; 0, ""UA"", 0)"),"UA")</f>
        <v>UA</v>
      </c>
      <c r="J32" s="40">
        <f ca="1">IFERROR(__xludf.DUMMYFUNCTION("IF(SUM(COUNTIF(artists!C:C, SPLIT(D32, "",""))) &gt; 0, ""RU"", 0)"),0)</f>
        <v>0</v>
      </c>
      <c r="K32" s="39">
        <f ca="1">IFERROR(__xludf.DUMMYFUNCTION("IF(SUM(COUNTIF(artists!E:E, SPLIT(D32, "",""))) &gt; 0, ""OTHER"", 0)"),0)</f>
        <v>0</v>
      </c>
    </row>
    <row r="33" spans="1:11" ht="14.25" customHeight="1">
      <c r="A33" s="21">
        <v>32</v>
      </c>
      <c r="B33" s="21">
        <v>30</v>
      </c>
      <c r="C33" s="21" t="s">
        <v>160</v>
      </c>
      <c r="D33" s="21" t="s">
        <v>161</v>
      </c>
      <c r="E33" s="21">
        <v>23</v>
      </c>
      <c r="F33" s="21">
        <v>286012</v>
      </c>
      <c r="G33" s="43">
        <v>-0.06</v>
      </c>
      <c r="H33" s="21" t="s">
        <v>163</v>
      </c>
      <c r="I33" s="39" t="str">
        <f ca="1">IFERROR(__xludf.DUMMYFUNCTION("IF(SUM(COUNTIF(artists!A:A, SPLIT(D33, "",""))) &gt; 0, ""UA"", 0)"),"UA")</f>
        <v>UA</v>
      </c>
      <c r="J33" s="40">
        <f ca="1">IFERROR(__xludf.DUMMYFUNCTION("IF(SUM(COUNTIF(artists!C:C, SPLIT(D33, "",""))) &gt; 0, ""RU"", 0)"),0)</f>
        <v>0</v>
      </c>
      <c r="K33" s="39">
        <f ca="1">IFERROR(__xludf.DUMMYFUNCTION("IF(SUM(COUNTIF(artists!E:E, SPLIT(D33, "",""))) &gt; 0, ""OTHER"", 0)"),0)</f>
        <v>0</v>
      </c>
    </row>
    <row r="34" spans="1:11" ht="14.25" customHeight="1">
      <c r="A34" s="21">
        <v>33</v>
      </c>
      <c r="B34" s="21">
        <v>29</v>
      </c>
      <c r="C34" s="21" t="s">
        <v>968</v>
      </c>
      <c r="D34" s="21" t="s">
        <v>969</v>
      </c>
      <c r="E34" s="21">
        <v>49</v>
      </c>
      <c r="F34" s="21">
        <v>278219</v>
      </c>
      <c r="G34" s="42">
        <v>-0.14899999999999999</v>
      </c>
      <c r="H34" s="21" t="s">
        <v>970</v>
      </c>
      <c r="I34" s="39" t="str">
        <f ca="1">IFERROR(__xludf.DUMMYFUNCTION("IF(SUM(COUNTIF(artists!A:A, SPLIT(D34, "",""))) &gt; 0, ""UA"", 0)"),"UA")</f>
        <v>UA</v>
      </c>
      <c r="J34" s="40">
        <f ca="1">IFERROR(__xludf.DUMMYFUNCTION("IF(SUM(COUNTIF(artists!C:C, SPLIT(D34, "",""))) &gt; 0, ""RU"", 0)"),0)</f>
        <v>0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B35" s="21">
        <v>26</v>
      </c>
      <c r="C35" s="21" t="s">
        <v>255</v>
      </c>
      <c r="D35" s="21" t="s">
        <v>256</v>
      </c>
      <c r="E35" s="21">
        <v>19</v>
      </c>
      <c r="F35" s="21">
        <v>275010</v>
      </c>
      <c r="G35" s="42">
        <v>-0.221</v>
      </c>
      <c r="H35" s="21" t="s">
        <v>257</v>
      </c>
      <c r="I35" s="39" t="str">
        <f ca="1">IFERROR(__xludf.DUMMYFUNCTION("IF(SUM(COUNTIF(artists!A:A, SPLIT(D35, "",""))) &gt; 0, ""UA"", 0)"),"UA")</f>
        <v>UA</v>
      </c>
      <c r="J35" s="40">
        <f ca="1">IFERROR(__xludf.DUMMYFUNCTION("IF(SUM(COUNTIF(artists!C:C, SPLIT(D35, "",""))) &gt; 0, ""RU"", 0)"),0)</f>
        <v>0</v>
      </c>
      <c r="K35" s="39">
        <f ca="1">IFERROR(__xludf.DUMMYFUNCTION("IF(SUM(COUNTIF(artists!E:E, SPLIT(D35, "",""))) &gt; 0, ""OTHER"", 0)"),0)</f>
        <v>0</v>
      </c>
    </row>
    <row r="36" spans="1:11" ht="14.25" customHeight="1">
      <c r="A36" s="21">
        <v>35</v>
      </c>
      <c r="B36" s="21">
        <v>31</v>
      </c>
      <c r="C36" s="21" t="s">
        <v>251</v>
      </c>
      <c r="D36" s="21" t="s">
        <v>133</v>
      </c>
      <c r="E36" s="21">
        <v>14</v>
      </c>
      <c r="F36" s="21">
        <v>269398</v>
      </c>
      <c r="G36" s="42">
        <v>-0.111</v>
      </c>
      <c r="H36" s="21" t="s">
        <v>252</v>
      </c>
      <c r="I36" s="39" t="str">
        <f ca="1">IFERROR(__xludf.DUMMYFUNCTION("IF(SUM(COUNTIF(artists!A:A, SPLIT(D36, "",""))) &gt; 0, ""UA"", 0)"),"UA")</f>
        <v>UA</v>
      </c>
      <c r="J36" s="40">
        <f ca="1">IFERROR(__xludf.DUMMYFUNCTION("IF(SUM(COUNTIF(artists!C:C, SPLIT(D36, "",""))) &gt; 0, ""RU"", 0)"),0)</f>
        <v>0</v>
      </c>
      <c r="K36" s="39">
        <f ca="1">IFERROR(__xludf.DUMMYFUNCTION("IF(SUM(COUNTIF(artists!E:E, SPLIT(D36, "",""))) &gt; 0, ""OTHER"", 0)"),0)</f>
        <v>0</v>
      </c>
    </row>
    <row r="37" spans="1:11" ht="14.25" customHeight="1">
      <c r="A37" s="21">
        <v>36</v>
      </c>
      <c r="B37" s="21">
        <v>34</v>
      </c>
      <c r="C37" s="21" t="s">
        <v>653</v>
      </c>
      <c r="D37" s="21" t="s">
        <v>85</v>
      </c>
      <c r="E37" s="21">
        <v>5</v>
      </c>
      <c r="F37" s="21">
        <v>268944</v>
      </c>
      <c r="G37" s="42">
        <v>-6.3E-2</v>
      </c>
      <c r="H37" s="21" t="s">
        <v>655</v>
      </c>
      <c r="I37" s="39" t="str">
        <f ca="1">IFERROR(__xludf.DUMMYFUNCTION("IF(SUM(COUNTIF(artists!A:A, SPLIT(D37, "",""))) &gt; 0, ""UA"", 0)"),"UA")</f>
        <v>UA</v>
      </c>
      <c r="J37" s="40">
        <f ca="1">IFERROR(__xludf.DUMMYFUNCTION("IF(SUM(COUNTIF(artists!C:C, SPLIT(D37, "",""))) &gt; 0, ""RU"", 0)"),0)</f>
        <v>0</v>
      </c>
      <c r="K37" s="39">
        <f ca="1">IFERROR(__xludf.DUMMYFUNCTION("IF(SUM(COUNTIF(artists!E:E, SPLIT(D37, "",""))) &gt; 0, ""OTHER"", 0)"),0)</f>
        <v>0</v>
      </c>
    </row>
    <row r="38" spans="1:11" ht="14.25" customHeight="1">
      <c r="A38" s="21">
        <v>37</v>
      </c>
      <c r="C38" s="21" t="s">
        <v>966</v>
      </c>
      <c r="D38" s="21" t="s">
        <v>584</v>
      </c>
      <c r="E38" s="21">
        <v>1</v>
      </c>
      <c r="F38" s="21">
        <v>267923</v>
      </c>
      <c r="H38" s="21" t="s">
        <v>967</v>
      </c>
      <c r="I38" s="39">
        <f ca="1">IFERROR(__xludf.DUMMYFUNCTION("IF(SUM(COUNTIF(artists!A:A, SPLIT(D38, "",""))) &gt; 0, ""UA"", 0)"),0)</f>
        <v>0</v>
      </c>
      <c r="J38" s="40" t="str">
        <f ca="1">IFERROR(__xludf.DUMMYFUNCTION("IF(SUM(COUNTIF(artists!C:C, SPLIT(D38, "",""))) &gt; 0, ""RU"", 0)"),"RU")</f>
        <v>RU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B39" s="21">
        <v>28</v>
      </c>
      <c r="C39" s="21" t="s">
        <v>700</v>
      </c>
      <c r="D39" s="21" t="s">
        <v>701</v>
      </c>
      <c r="E39" s="21">
        <v>10</v>
      </c>
      <c r="F39" s="21">
        <v>263708</v>
      </c>
      <c r="G39" s="42">
        <v>-0.20100000000000001</v>
      </c>
      <c r="H39" s="21" t="s">
        <v>702</v>
      </c>
      <c r="I39" s="39">
        <f ca="1">IFERROR(__xludf.DUMMYFUNCTION("IF(SUM(COUNTIF(artists!A:A, SPLIT(D39, "",""))) &gt; 0, ""UA"", 0)"),0)</f>
        <v>0</v>
      </c>
      <c r="J39" s="40" t="str">
        <f ca="1">IFERROR(__xludf.DUMMYFUNCTION("IF(SUM(COUNTIF(artists!C:C, SPLIT(D39, "",""))) &gt; 0, ""RU"", 0)"),"RU")</f>
        <v>RU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B40" s="21">
        <v>43</v>
      </c>
      <c r="C40" s="21" t="s">
        <v>594</v>
      </c>
      <c r="D40" s="21" t="s">
        <v>595</v>
      </c>
      <c r="E40" s="21">
        <v>17</v>
      </c>
      <c r="F40" s="21">
        <v>259048</v>
      </c>
      <c r="G40" s="42">
        <v>-2.1999999999999999E-2</v>
      </c>
      <c r="H40" s="21" t="s">
        <v>596</v>
      </c>
      <c r="I40" s="39" t="str">
        <f ca="1">IFERROR(__xludf.DUMMYFUNCTION("IF(SUM(COUNTIF(artists!A:A, SPLIT(D40, "",""))) &gt; 0, ""UA"", 0)"),"UA")</f>
        <v>UA</v>
      </c>
      <c r="J40" s="40">
        <f ca="1">IFERROR(__xludf.DUMMYFUNCTION("IF(SUM(COUNTIF(artists!C:C, SPLIT(D40, "",""))) &gt; 0, ""RU"", 0)"),0)</f>
        <v>0</v>
      </c>
      <c r="K40" s="39">
        <f ca="1">IFERROR(__xludf.DUMMYFUNCTION("IF(SUM(COUNTIF(artists!E:E, SPLIT(D40, "",""))) &gt; 0, ""OTHER"", 0)"),0)</f>
        <v>0</v>
      </c>
    </row>
    <row r="41" spans="1:11" ht="14.25" customHeight="1">
      <c r="A41" s="21">
        <v>40</v>
      </c>
      <c r="B41" s="21">
        <v>33</v>
      </c>
      <c r="C41" s="21" t="s">
        <v>742</v>
      </c>
      <c r="D41" s="21" t="s">
        <v>743</v>
      </c>
      <c r="E41" s="21">
        <v>11</v>
      </c>
      <c r="F41" s="21">
        <v>256584</v>
      </c>
      <c r="G41" s="42">
        <v>-0.113</v>
      </c>
      <c r="H41" s="21" t="s">
        <v>744</v>
      </c>
      <c r="I41" s="39">
        <f ca="1">IFERROR(__xludf.DUMMYFUNCTION("IF(SUM(COUNTIF(artists!A:A, SPLIT(D41, "",""))) &gt; 0, ""UA"", 0)"),0)</f>
        <v>0</v>
      </c>
      <c r="J41" s="40" t="str">
        <f ca="1">IFERROR(__xludf.DUMMYFUNCTION("IF(SUM(COUNTIF(artists!C:C, SPLIT(D41, "",""))) &gt; 0, ""RU"", 0)"),"RU")</f>
        <v>RU</v>
      </c>
      <c r="K41" s="39">
        <f ca="1">IFERROR(__xludf.DUMMYFUNCTION("IF(SUM(COUNTIF(artists!E:E, SPLIT(D41, "",""))) &gt; 0, ""OTHER"", 0)"),0)</f>
        <v>0</v>
      </c>
    </row>
    <row r="42" spans="1:11" ht="14.25" customHeight="1">
      <c r="A42" s="21">
        <v>41</v>
      </c>
      <c r="B42" s="21">
        <v>44</v>
      </c>
      <c r="C42" s="21" t="s">
        <v>799</v>
      </c>
      <c r="D42" s="21" t="s">
        <v>494</v>
      </c>
      <c r="E42" s="21">
        <v>38</v>
      </c>
      <c r="F42" s="21">
        <v>244139</v>
      </c>
      <c r="G42" s="42">
        <v>-7.0999999999999994E-2</v>
      </c>
      <c r="H42" s="21" t="s">
        <v>800</v>
      </c>
      <c r="I42" s="39" t="str">
        <f ca="1">IFERROR(__xludf.DUMMYFUNCTION("IF(SUM(COUNTIF(artists!A:A, SPLIT(D42, "",""))) &gt; 0, ""UA"", 0)"),"UA")</f>
        <v>UA</v>
      </c>
      <c r="J42" s="40">
        <f ca="1">IFERROR(__xludf.DUMMYFUNCTION("IF(SUM(COUNTIF(artists!C:C, SPLIT(D42, "",""))) &gt; 0, ""RU"", 0)"),0)</f>
        <v>0</v>
      </c>
      <c r="K42" s="39">
        <f ca="1">IFERROR(__xludf.DUMMYFUNCTION("IF(SUM(COUNTIF(artists!E:E, SPLIT(D42, "",""))) &gt; 0, ""OTHER"", 0)"),0)</f>
        <v>0</v>
      </c>
    </row>
    <row r="43" spans="1:11" ht="14.25" customHeight="1">
      <c r="A43" s="21">
        <v>42</v>
      </c>
      <c r="B43" s="21">
        <v>41</v>
      </c>
      <c r="C43" s="21" t="s">
        <v>253</v>
      </c>
      <c r="D43" s="21" t="s">
        <v>89</v>
      </c>
      <c r="E43" s="21">
        <v>38</v>
      </c>
      <c r="F43" s="21">
        <v>243498</v>
      </c>
      <c r="G43" s="42">
        <v>-9.9000000000000005E-2</v>
      </c>
      <c r="H43" s="21" t="s">
        <v>254</v>
      </c>
      <c r="I43" s="39" t="str">
        <f ca="1">IFERROR(__xludf.DUMMYFUNCTION("IF(SUM(COUNTIF(artists!A:A, SPLIT(D43, "",""))) &gt; 0, ""UA"", 0)"),"UA")</f>
        <v>UA</v>
      </c>
      <c r="J43" s="40">
        <f ca="1">IFERROR(__xludf.DUMMYFUNCTION("IF(SUM(COUNTIF(artists!C:C, SPLIT(D43, "",""))) &gt; 0, ""RU"", 0)"),0)</f>
        <v>0</v>
      </c>
      <c r="K43" s="39">
        <f ca="1">IFERROR(__xludf.DUMMYFUNCTION("IF(SUM(COUNTIF(artists!E:E, SPLIT(D43, "",""))) &gt; 0, ""OTHER"", 0)"),0)</f>
        <v>0</v>
      </c>
    </row>
    <row r="44" spans="1:11" ht="14.25" customHeight="1">
      <c r="A44" s="21">
        <v>43</v>
      </c>
      <c r="B44" s="21">
        <v>38</v>
      </c>
      <c r="C44" s="21" t="s">
        <v>229</v>
      </c>
      <c r="D44" s="21" t="s">
        <v>230</v>
      </c>
      <c r="E44" s="21">
        <v>36</v>
      </c>
      <c r="F44" s="21">
        <v>241002</v>
      </c>
      <c r="G44" s="43">
        <v>-0.12</v>
      </c>
      <c r="H44" s="21" t="s">
        <v>232</v>
      </c>
      <c r="I44" s="39" t="str">
        <f ca="1">IFERROR(__xludf.DUMMYFUNCTION("IF(SUM(COUNTIF(artists!A:A, SPLIT(D44, "",""))) &gt; 0, ""UA"", 0)"),"UA")</f>
        <v>UA</v>
      </c>
      <c r="J44" s="40">
        <f ca="1">IFERROR(__xludf.DUMMYFUNCTION("IF(SUM(COUNTIF(artists!C:C, SPLIT(D44, "",""))) &gt; 0, ""RU"", 0)"),0)</f>
        <v>0</v>
      </c>
      <c r="K44" s="39">
        <f ca="1">IFERROR(__xludf.DUMMYFUNCTION("IF(SUM(COUNTIF(artists!E:E, SPLIT(D44, "",""))) &gt; 0, ""OTHER"", 0)"),0)</f>
        <v>0</v>
      </c>
    </row>
    <row r="45" spans="1:11" ht="14.25" customHeight="1">
      <c r="A45" s="21">
        <v>44</v>
      </c>
      <c r="B45" s="21">
        <v>37</v>
      </c>
      <c r="C45" s="21" t="s">
        <v>772</v>
      </c>
      <c r="D45" s="21" t="s">
        <v>773</v>
      </c>
      <c r="E45" s="21">
        <v>7</v>
      </c>
      <c r="F45" s="21">
        <v>236784</v>
      </c>
      <c r="G45" s="42">
        <v>-0.13900000000000001</v>
      </c>
      <c r="H45" s="21" t="s">
        <v>774</v>
      </c>
      <c r="I45" s="39" t="str">
        <f ca="1">IFERROR(__xludf.DUMMYFUNCTION("IF(SUM(COUNTIF(artists!A:A, SPLIT(D45, "",""))) &gt; 0, ""UA"", 0)"),"UA")</f>
        <v>UA</v>
      </c>
      <c r="J45" s="40">
        <f ca="1">IFERROR(__xludf.DUMMYFUNCTION("IF(SUM(COUNTIF(artists!C:C, SPLIT(D45, "",""))) &gt; 0, ""RU"", 0)"),0)</f>
        <v>0</v>
      </c>
      <c r="K45" s="39">
        <f ca="1">IFERROR(__xludf.DUMMYFUNCTION("IF(SUM(COUNTIF(artists!E:E, SPLIT(D45, "",""))) &gt; 0, ""OTHER"", 0)"),0)</f>
        <v>0</v>
      </c>
    </row>
    <row r="46" spans="1:11" ht="14.25" customHeight="1">
      <c r="A46" s="21">
        <v>45</v>
      </c>
      <c r="C46" s="21" t="s">
        <v>932</v>
      </c>
      <c r="D46" s="21" t="s">
        <v>933</v>
      </c>
      <c r="E46" s="21">
        <v>1</v>
      </c>
      <c r="F46" s="21">
        <v>234677</v>
      </c>
      <c r="H46" s="21" t="s">
        <v>934</v>
      </c>
      <c r="I46" s="39">
        <f ca="1">IFERROR(__xludf.DUMMYFUNCTION("IF(SUM(COUNTIF(artists!A:A, SPLIT(D46, "",""))) &gt; 0, ""UA"", 0)"),0)</f>
        <v>0</v>
      </c>
      <c r="J46" s="40" t="str">
        <f ca="1">IFERROR(__xludf.DUMMYFUNCTION("IF(SUM(COUNTIF(artists!C:C, SPLIT(D46, "",""))) &gt; 0, ""RU"", 0)"),"RU")</f>
        <v>RU</v>
      </c>
      <c r="K46" s="39">
        <f ca="1">IFERROR(__xludf.DUMMYFUNCTION("IF(SUM(COUNTIF(artists!E:E, SPLIT(D46, "",""))) &gt; 0, ""OTHER"", 0)"),0)</f>
        <v>0</v>
      </c>
    </row>
    <row r="47" spans="1:11" ht="14.25" customHeight="1">
      <c r="A47" s="21">
        <v>46</v>
      </c>
      <c r="B47" s="21">
        <v>35</v>
      </c>
      <c r="C47" s="21" t="s">
        <v>667</v>
      </c>
      <c r="D47" s="21" t="s">
        <v>668</v>
      </c>
      <c r="E47" s="21">
        <v>10</v>
      </c>
      <c r="F47" s="21">
        <v>234584</v>
      </c>
      <c r="G47" s="42">
        <v>-0.16500000000000001</v>
      </c>
      <c r="H47" s="21" t="s">
        <v>669</v>
      </c>
      <c r="I47" s="39">
        <f ca="1">IFERROR(__xludf.DUMMYFUNCTION("IF(SUM(COUNTIF(artists!A:A, SPLIT(D47, "",""))) &gt; 0, ""UA"", 0)"),0)</f>
        <v>0</v>
      </c>
      <c r="J47" s="40" t="str">
        <f ca="1">IFERROR(__xludf.DUMMYFUNCTION("IF(SUM(COUNTIF(artists!C:C, SPLIT(D47, "",""))) &gt; 0, ""RU"", 0)"),"RU")</f>
        <v>RU</v>
      </c>
      <c r="K47" s="39">
        <f ca="1">IFERROR(__xludf.DUMMYFUNCTION("IF(SUM(COUNTIF(artists!E:E, SPLIT(D47, "",""))) &gt; 0, ""OTHER"", 0)"),0)</f>
        <v>0</v>
      </c>
    </row>
    <row r="48" spans="1:11" ht="14.25" customHeight="1">
      <c r="A48" s="21">
        <v>47</v>
      </c>
      <c r="B48" s="21">
        <v>32</v>
      </c>
      <c r="C48" s="21" t="s">
        <v>579</v>
      </c>
      <c r="D48" s="21" t="s">
        <v>183</v>
      </c>
      <c r="E48" s="21">
        <v>19</v>
      </c>
      <c r="F48" s="21">
        <v>232788</v>
      </c>
      <c r="G48" s="42">
        <v>-0.19700000000000001</v>
      </c>
      <c r="H48" s="21" t="s">
        <v>580</v>
      </c>
      <c r="I48" s="39" t="str">
        <f ca="1">IFERROR(__xludf.DUMMYFUNCTION("IF(SUM(COUNTIF(artists!A:A, SPLIT(D48, "",""))) &gt; 0, ""UA"", 0)"),"UA")</f>
        <v>UA</v>
      </c>
      <c r="J48" s="40">
        <f ca="1">IFERROR(__xludf.DUMMYFUNCTION("IF(SUM(COUNTIF(artists!C:C, SPLIT(D48, "",""))) &gt; 0, ""RU"", 0)"),0)</f>
        <v>0</v>
      </c>
      <c r="K48" s="39">
        <f ca="1">IFERROR(__xludf.DUMMYFUNCTION("IF(SUM(COUNTIF(artists!E:E, SPLIT(D48, "",""))) &gt; 0, ""OTHER"", 0)"),0)</f>
        <v>0</v>
      </c>
    </row>
    <row r="49" spans="1:11" ht="14.25" customHeight="1">
      <c r="A49" s="21">
        <v>48</v>
      </c>
      <c r="B49" s="21">
        <v>40</v>
      </c>
      <c r="C49" s="21" t="s">
        <v>339</v>
      </c>
      <c r="D49" s="21" t="s">
        <v>340</v>
      </c>
      <c r="E49" s="21">
        <v>5</v>
      </c>
      <c r="F49" s="21">
        <v>228829</v>
      </c>
      <c r="G49" s="42">
        <v>-0.16400000000000001</v>
      </c>
      <c r="H49" s="21" t="s">
        <v>342</v>
      </c>
      <c r="I49" s="39" t="str">
        <f ca="1">IFERROR(__xludf.DUMMYFUNCTION("IF(SUM(COUNTIF(artists!A:A, SPLIT(D49, "",""))) &gt; 0, ""UA"", 0)"),"UA")</f>
        <v>UA</v>
      </c>
      <c r="J49" s="40">
        <f ca="1">IFERROR(__xludf.DUMMYFUNCTION("IF(SUM(COUNTIF(artists!C:C, SPLIT(D49, "",""))) &gt; 0, ""RU"", 0)"),0)</f>
        <v>0</v>
      </c>
      <c r="K49" s="39">
        <f ca="1">IFERROR(__xludf.DUMMYFUNCTION("IF(SUM(COUNTIF(artists!E:E, SPLIT(D49, "",""))) &gt; 0, ""OTHER"", 0)"),0)</f>
        <v>0</v>
      </c>
    </row>
    <row r="50" spans="1:11" ht="14.25" customHeight="1">
      <c r="A50" s="21">
        <v>49</v>
      </c>
      <c r="B50" s="21">
        <v>39</v>
      </c>
      <c r="C50" s="21" t="s">
        <v>298</v>
      </c>
      <c r="D50" s="21" t="s">
        <v>299</v>
      </c>
      <c r="E50" s="21">
        <v>6</v>
      </c>
      <c r="F50" s="21">
        <v>223728</v>
      </c>
      <c r="G50" s="42">
        <v>-0.183</v>
      </c>
      <c r="H50" s="21" t="s">
        <v>300</v>
      </c>
      <c r="I50" s="39">
        <f ca="1">IFERROR(__xludf.DUMMYFUNCTION("IF(SUM(COUNTIF(artists!A:A, SPLIT(D50, "",""))) &gt; 0, ""UA"", 0)"),0)</f>
        <v>0</v>
      </c>
      <c r="J50" s="40">
        <f ca="1">IFERROR(__xludf.DUMMYFUNCTION("IF(SUM(COUNTIF(artists!C:C, SPLIT(D50, "",""))) &gt; 0, ""RU"", 0)"),0)</f>
        <v>0</v>
      </c>
      <c r="K50" s="39" t="str">
        <f ca="1">IFERROR(__xludf.DUMMYFUNCTION("IF(SUM(COUNTIF(artists!E:E, SPLIT(D50, "",""))) &gt; 0, ""OTHER"", 0)"),"OTHER")</f>
        <v>OTHER</v>
      </c>
    </row>
    <row r="51" spans="1:11" ht="14.25" customHeight="1">
      <c r="A51" s="21">
        <v>50</v>
      </c>
      <c r="B51" s="21">
        <v>42</v>
      </c>
      <c r="C51" s="21" t="s">
        <v>929</v>
      </c>
      <c r="D51" s="21" t="s">
        <v>930</v>
      </c>
      <c r="E51" s="21">
        <v>22</v>
      </c>
      <c r="F51" s="21">
        <v>215554</v>
      </c>
      <c r="G51" s="42">
        <v>-0.188</v>
      </c>
      <c r="H51" s="21" t="s">
        <v>931</v>
      </c>
      <c r="I51" s="39" t="str">
        <f ca="1">IFERROR(__xludf.DUMMYFUNCTION("IF(SUM(COUNTIF(artists!A:A, SPLIT(D51, "",""))) &gt; 0, ""UA"", 0)"),"UA")</f>
        <v>UA</v>
      </c>
      <c r="J51" s="40">
        <f ca="1">IFERROR(__xludf.DUMMYFUNCTION("IF(SUM(COUNTIF(artists!C:C, SPLIT(D51, "",""))) &gt; 0, ""RU"", 0)"),0)</f>
        <v>0</v>
      </c>
      <c r="K51" s="39">
        <f ca="1">IFERROR(__xludf.DUMMYFUNCTION("IF(SUM(COUNTIF(artists!E:E, SPLIT(D51, "",""))) &gt; 0, ""OTHER"", 0)"),0)</f>
        <v>0</v>
      </c>
    </row>
    <row r="52" spans="1:11" ht="14.25" customHeight="1">
      <c r="A52" s="21">
        <v>51</v>
      </c>
      <c r="B52" s="21">
        <v>45</v>
      </c>
      <c r="C52" s="21" t="s">
        <v>508</v>
      </c>
      <c r="D52" s="21" t="s">
        <v>509</v>
      </c>
      <c r="E52" s="21">
        <v>10</v>
      </c>
      <c r="F52" s="21">
        <v>214409</v>
      </c>
      <c r="G52" s="42">
        <v>-0.14599999999999999</v>
      </c>
      <c r="H52" s="21" t="s">
        <v>510</v>
      </c>
      <c r="I52" s="39">
        <f ca="1">IFERROR(__xludf.DUMMYFUNCTION("IF(SUM(COUNTIF(artists!A:A, SPLIT(D52, "",""))) &gt; 0, ""UA"", 0)"),0)</f>
        <v>0</v>
      </c>
      <c r="J52" s="40" t="str">
        <f ca="1">IFERROR(__xludf.DUMMYFUNCTION("IF(SUM(COUNTIF(artists!C:C, SPLIT(D52, "",""))) &gt; 0, ""RU"", 0)"),"RU")</f>
        <v>RU</v>
      </c>
      <c r="K52" s="39">
        <f ca="1">IFERROR(__xludf.DUMMYFUNCTION("IF(SUM(COUNTIF(artists!E:E, SPLIT(D52, "",""))) &gt; 0, ""OTHER"", 0)"),0)</f>
        <v>0</v>
      </c>
    </row>
    <row r="53" spans="1:11" ht="14.25" customHeight="1">
      <c r="A53" s="21">
        <v>52</v>
      </c>
      <c r="B53" s="21">
        <v>51</v>
      </c>
      <c r="C53" s="21" t="s">
        <v>524</v>
      </c>
      <c r="D53" s="21" t="s">
        <v>525</v>
      </c>
      <c r="E53" s="21">
        <v>13</v>
      </c>
      <c r="F53" s="21">
        <v>211820</v>
      </c>
      <c r="G53" s="42">
        <v>-0.10100000000000001</v>
      </c>
      <c r="H53" s="21" t="s">
        <v>526</v>
      </c>
      <c r="I53" s="39" t="str">
        <f ca="1">IFERROR(__xludf.DUMMYFUNCTION("IF(SUM(COUNTIF(artists!A:A, SPLIT(D53, "",""))) &gt; 0, ""UA"", 0)"),"UA")</f>
        <v>UA</v>
      </c>
      <c r="J53" s="40">
        <f ca="1">IFERROR(__xludf.DUMMYFUNCTION("IF(SUM(COUNTIF(artists!C:C, SPLIT(D53, "",""))) &gt; 0, ""RU"", 0)"),0)</f>
        <v>0</v>
      </c>
      <c r="K53" s="39">
        <f ca="1">IFERROR(__xludf.DUMMYFUNCTION("IF(SUM(COUNTIF(artists!E:E, SPLIT(D53, "",""))) &gt; 0, ""OTHER"", 0)"),0)</f>
        <v>0</v>
      </c>
    </row>
    <row r="54" spans="1:11" ht="14.25" customHeight="1">
      <c r="A54" s="21">
        <v>53</v>
      </c>
      <c r="B54" s="21">
        <v>48</v>
      </c>
      <c r="C54" s="21" t="s">
        <v>373</v>
      </c>
      <c r="D54" s="21" t="s">
        <v>172</v>
      </c>
      <c r="E54" s="21">
        <v>5</v>
      </c>
      <c r="F54" s="21">
        <v>202984</v>
      </c>
      <c r="G54" s="42">
        <v>-0.17699999999999999</v>
      </c>
      <c r="H54" s="21" t="s">
        <v>375</v>
      </c>
      <c r="I54" s="39">
        <f ca="1">IFERROR(__xludf.DUMMYFUNCTION("IF(SUM(COUNTIF(artists!A:A, SPLIT(D54, "",""))) &gt; 0, ""UA"", 0)"),0)</f>
        <v>0</v>
      </c>
      <c r="J54" s="40" t="str">
        <f ca="1">IFERROR(__xludf.DUMMYFUNCTION("IF(SUM(COUNTIF(artists!C:C, SPLIT(D54, "",""))) &gt; 0, ""RU"", 0)"),"RU")</f>
        <v>RU</v>
      </c>
      <c r="K54" s="39">
        <f ca="1">IFERROR(__xludf.DUMMYFUNCTION("IF(SUM(COUNTIF(artists!E:E, SPLIT(D54, "",""))) &gt; 0, ""OTHER"", 0)"),0)</f>
        <v>0</v>
      </c>
    </row>
    <row r="55" spans="1:11" ht="14.25" customHeight="1">
      <c r="A55" s="21">
        <v>54</v>
      </c>
      <c r="B55" s="21">
        <v>46</v>
      </c>
      <c r="C55" s="21" t="s">
        <v>616</v>
      </c>
      <c r="D55" s="21" t="s">
        <v>617</v>
      </c>
      <c r="E55" s="21">
        <v>19</v>
      </c>
      <c r="F55" s="21">
        <v>202281</v>
      </c>
      <c r="G55" s="42">
        <v>-0.185</v>
      </c>
      <c r="H55" s="21" t="s">
        <v>618</v>
      </c>
      <c r="I55" s="39">
        <f ca="1">IFERROR(__xludf.DUMMYFUNCTION("IF(SUM(COUNTIF(artists!A:A, SPLIT(D55, "",""))) &gt; 0, ""UA"", 0)"),0)</f>
        <v>0</v>
      </c>
      <c r="J55" s="40">
        <f ca="1">IFERROR(__xludf.DUMMYFUNCTION("IF(SUM(COUNTIF(artists!C:C, SPLIT(D55, "",""))) &gt; 0, ""RU"", 0)"),0)</f>
        <v>0</v>
      </c>
      <c r="K55" s="39" t="str">
        <f ca="1">IFERROR(__xludf.DUMMYFUNCTION("IF(SUM(COUNTIF(artists!E:E, SPLIT(D55, "",""))) &gt; 0, ""OTHER"", 0)"),"OTHER")</f>
        <v>OTHER</v>
      </c>
    </row>
    <row r="56" spans="1:11" ht="14.25" customHeight="1">
      <c r="A56" s="21">
        <v>55</v>
      </c>
      <c r="B56" s="21">
        <v>52</v>
      </c>
      <c r="C56" s="21" t="s">
        <v>953</v>
      </c>
      <c r="D56" s="21" t="s">
        <v>954</v>
      </c>
      <c r="E56" s="21">
        <v>7</v>
      </c>
      <c r="F56" s="21">
        <v>194882</v>
      </c>
      <c r="G56" s="43">
        <v>-0.17</v>
      </c>
      <c r="H56" s="21" t="s">
        <v>955</v>
      </c>
      <c r="I56" s="39">
        <f ca="1">IFERROR(__xludf.DUMMYFUNCTION("IF(SUM(COUNTIF(artists!A:A, SPLIT(D56, "",""))) &gt; 0, ""UA"", 0)"),0)</f>
        <v>0</v>
      </c>
      <c r="J56" s="40" t="str">
        <f ca="1">IFERROR(__xludf.DUMMYFUNCTION("IF(SUM(COUNTIF(artists!C:C, SPLIT(D56, "",""))) &gt; 0, ""RU"", 0)"),"RU")</f>
        <v>RU</v>
      </c>
      <c r="K56" s="39">
        <f ca="1">IFERROR(__xludf.DUMMYFUNCTION("IF(SUM(COUNTIF(artists!E:E, SPLIT(D56, "",""))) &gt; 0, ""OTHER"", 0)"),0)</f>
        <v>0</v>
      </c>
    </row>
    <row r="57" spans="1:11" ht="14.25" customHeight="1">
      <c r="A57" s="21">
        <v>56</v>
      </c>
      <c r="B57" s="21">
        <v>58</v>
      </c>
      <c r="C57" s="21" t="s">
        <v>482</v>
      </c>
      <c r="D57" s="21" t="s">
        <v>210</v>
      </c>
      <c r="E57" s="21">
        <v>8</v>
      </c>
      <c r="F57" s="21">
        <v>190384</v>
      </c>
      <c r="G57" s="42">
        <v>-7.4999999999999997E-2</v>
      </c>
      <c r="H57" s="21" t="s">
        <v>484</v>
      </c>
      <c r="I57" s="39" t="str">
        <f ca="1">IFERROR(__xludf.DUMMYFUNCTION("IF(SUM(COUNTIF(artists!A:A, SPLIT(D57, "",""))) &gt; 0, ""UA"", 0)"),"UA")</f>
        <v>UA</v>
      </c>
      <c r="J57" s="40">
        <f ca="1">IFERROR(__xludf.DUMMYFUNCTION("IF(SUM(COUNTIF(artists!C:C, SPLIT(D57, "",""))) &gt; 0, ""RU"", 0)"),0)</f>
        <v>0</v>
      </c>
      <c r="K57" s="39">
        <f ca="1">IFERROR(__xludf.DUMMYFUNCTION("IF(SUM(COUNTIF(artists!E:E, SPLIT(D57, "",""))) &gt; 0, ""OTHER"", 0)"),0)</f>
        <v>0</v>
      </c>
    </row>
    <row r="58" spans="1:11" ht="14.25" customHeight="1">
      <c r="A58" s="21">
        <v>57</v>
      </c>
      <c r="B58" s="21">
        <v>59</v>
      </c>
      <c r="C58" s="21" t="s">
        <v>765</v>
      </c>
      <c r="D58" s="21" t="s">
        <v>766</v>
      </c>
      <c r="E58" s="21">
        <v>3</v>
      </c>
      <c r="F58" s="21">
        <v>189304</v>
      </c>
      <c r="G58" s="42">
        <v>-5.6000000000000001E-2</v>
      </c>
      <c r="H58" s="21" t="s">
        <v>768</v>
      </c>
      <c r="I58" s="39" t="str">
        <f ca="1">IFERROR(__xludf.DUMMYFUNCTION("IF(SUM(COUNTIF(artists!A:A, SPLIT(D58, "",""))) &gt; 0, ""UA"", 0)"),"UA")</f>
        <v>UA</v>
      </c>
      <c r="J58" s="40">
        <f ca="1">IFERROR(__xludf.DUMMYFUNCTION("IF(SUM(COUNTIF(artists!C:C, SPLIT(D58, "",""))) &gt; 0, ""RU"", 0)"),0)</f>
        <v>0</v>
      </c>
      <c r="K58" s="39">
        <f ca="1">IFERROR(__xludf.DUMMYFUNCTION("IF(SUM(COUNTIF(artists!E:E, SPLIT(D58, "",""))) &gt; 0, ""OTHER"", 0)"),0)</f>
        <v>0</v>
      </c>
    </row>
    <row r="59" spans="1:11" ht="14.25" customHeight="1">
      <c r="A59" s="21">
        <v>58</v>
      </c>
      <c r="C59" s="21" t="s">
        <v>1044</v>
      </c>
      <c r="D59" s="21" t="s">
        <v>187</v>
      </c>
      <c r="E59" s="21">
        <v>1</v>
      </c>
      <c r="F59" s="21">
        <v>185532</v>
      </c>
      <c r="H59" s="21" t="s">
        <v>1045</v>
      </c>
      <c r="I59" s="39" t="str">
        <f ca="1">IFERROR(__xludf.DUMMYFUNCTION("IF(SUM(COUNTIF(artists!A:A, SPLIT(D59, "",""))) &gt; 0, ""UA"", 0)"),"UA")</f>
        <v>UA</v>
      </c>
      <c r="J59" s="40">
        <f ca="1">IFERROR(__xludf.DUMMYFUNCTION("IF(SUM(COUNTIF(artists!C:C, SPLIT(D59, "",""))) &gt; 0, ""RU"", 0)"),0)</f>
        <v>0</v>
      </c>
      <c r="K59" s="39">
        <f ca="1">IFERROR(__xludf.DUMMYFUNCTION("IF(SUM(COUNTIF(artists!E:E, SPLIT(D59, "",""))) &gt; 0, ""OTHER"", 0)"),0)</f>
        <v>0</v>
      </c>
    </row>
    <row r="60" spans="1:11" ht="14.25" customHeight="1">
      <c r="A60" s="21">
        <v>59</v>
      </c>
      <c r="B60" s="21">
        <v>80</v>
      </c>
      <c r="C60" s="21" t="s">
        <v>1029</v>
      </c>
      <c r="D60" s="21" t="s">
        <v>1030</v>
      </c>
      <c r="E60" s="21">
        <v>11</v>
      </c>
      <c r="F60" s="21">
        <v>183164</v>
      </c>
      <c r="G60" s="42">
        <v>0.214</v>
      </c>
      <c r="H60" s="21" t="s">
        <v>1031</v>
      </c>
      <c r="I60" s="39" t="str">
        <f ca="1">IFERROR(__xludf.DUMMYFUNCTION("IF(SUM(COUNTIF(artists!A:A, SPLIT(D60, "",""))) &gt; 0, ""UA"", 0)"),"UA")</f>
        <v>UA</v>
      </c>
      <c r="J60" s="40">
        <f ca="1">IFERROR(__xludf.DUMMYFUNCTION("IF(SUM(COUNTIF(artists!C:C, SPLIT(D60, "",""))) &gt; 0, ""RU"", 0)"),0)</f>
        <v>0</v>
      </c>
      <c r="K60" s="39">
        <f ca="1">IFERROR(__xludf.DUMMYFUNCTION("IF(SUM(COUNTIF(artists!E:E, SPLIT(D60, "",""))) &gt; 0, ""OTHER"", 0)"),0)</f>
        <v>0</v>
      </c>
    </row>
    <row r="61" spans="1:11" ht="14.25" customHeight="1">
      <c r="A61" s="21">
        <v>60</v>
      </c>
      <c r="B61" s="21">
        <v>55</v>
      </c>
      <c r="C61" s="21" t="s">
        <v>527</v>
      </c>
      <c r="D61" s="21" t="s">
        <v>528</v>
      </c>
      <c r="E61" s="21">
        <v>8</v>
      </c>
      <c r="F61" s="21">
        <v>181423</v>
      </c>
      <c r="G61" s="42">
        <v>-0.14199999999999999</v>
      </c>
      <c r="H61" s="21" t="s">
        <v>529</v>
      </c>
      <c r="I61" s="39" t="str">
        <f ca="1">IFERROR(__xludf.DUMMYFUNCTION("IF(SUM(COUNTIF(artists!A:A, SPLIT(D61, "",""))) &gt; 0, ""UA"", 0)"),"UA")</f>
        <v>UA</v>
      </c>
      <c r="J61" s="40">
        <f ca="1">IFERROR(__xludf.DUMMYFUNCTION("IF(SUM(COUNTIF(artists!C:C, SPLIT(D61, "",""))) &gt; 0, ""RU"", 0)"),0)</f>
        <v>0</v>
      </c>
      <c r="K61" s="39">
        <f ca="1">IFERROR(__xludf.DUMMYFUNCTION("IF(SUM(COUNTIF(artists!E:E, SPLIT(D61, "",""))) &gt; 0, ""OTHER"", 0)"),0)</f>
        <v>0</v>
      </c>
    </row>
    <row r="62" spans="1:11" ht="14.25" customHeight="1">
      <c r="A62" s="21">
        <v>61</v>
      </c>
      <c r="B62" s="21">
        <v>57</v>
      </c>
      <c r="C62" s="21" t="s">
        <v>602</v>
      </c>
      <c r="D62" s="21" t="s">
        <v>299</v>
      </c>
      <c r="E62" s="21">
        <v>10</v>
      </c>
      <c r="F62" s="21">
        <v>181000</v>
      </c>
      <c r="G62" s="42">
        <v>-0.126</v>
      </c>
      <c r="H62" s="21" t="s">
        <v>604</v>
      </c>
      <c r="I62" s="39">
        <f ca="1">IFERROR(__xludf.DUMMYFUNCTION("IF(SUM(COUNTIF(artists!A:A, SPLIT(D62, "",""))) &gt; 0, ""UA"", 0)"),0)</f>
        <v>0</v>
      </c>
      <c r="J62" s="40">
        <f ca="1">IFERROR(__xludf.DUMMYFUNCTION("IF(SUM(COUNTIF(artists!C:C, SPLIT(D62, "",""))) &gt; 0, ""RU"", 0)"),0)</f>
        <v>0</v>
      </c>
      <c r="K62" s="39" t="str">
        <f ca="1">IFERROR(__xludf.DUMMYFUNCTION("IF(SUM(COUNTIF(artists!E:E, SPLIT(D62, "",""))) &gt; 0, ""OTHER"", 0)"),"OTHER")</f>
        <v>OTHER</v>
      </c>
    </row>
    <row r="63" spans="1:11" ht="14.25" customHeight="1">
      <c r="A63" s="21">
        <v>62</v>
      </c>
      <c r="B63" s="21">
        <v>65</v>
      </c>
      <c r="C63" s="21" t="s">
        <v>686</v>
      </c>
      <c r="D63" s="21" t="s">
        <v>687</v>
      </c>
      <c r="E63" s="21">
        <v>2</v>
      </c>
      <c r="F63" s="21">
        <v>178780</v>
      </c>
      <c r="G63" s="42">
        <v>4.1000000000000002E-2</v>
      </c>
      <c r="H63" s="21" t="s">
        <v>920</v>
      </c>
      <c r="I63" s="39">
        <f ca="1">IFERROR(__xludf.DUMMYFUNCTION("IF(SUM(COUNTIF(artists!A:A, SPLIT(D63, "",""))) &gt; 0, ""UA"", 0)"),0)</f>
        <v>0</v>
      </c>
      <c r="J63" s="40" t="str">
        <f ca="1">IFERROR(__xludf.DUMMYFUNCTION("IF(SUM(COUNTIF(artists!C:C, SPLIT(D63, "",""))) &gt; 0, ""RU"", 0)"),"RU")</f>
        <v>RU</v>
      </c>
      <c r="K63" s="39">
        <f ca="1">IFERROR(__xludf.DUMMYFUNCTION("IF(SUM(COUNTIF(artists!E:E, SPLIT(D63, "",""))) &gt; 0, ""OTHER"", 0)"),0)</f>
        <v>0</v>
      </c>
    </row>
    <row r="64" spans="1:11" ht="14.25" customHeight="1">
      <c r="A64" s="21">
        <v>63</v>
      </c>
      <c r="B64" s="21">
        <v>75</v>
      </c>
      <c r="C64" s="21" t="s">
        <v>545</v>
      </c>
      <c r="D64" s="21" t="s">
        <v>546</v>
      </c>
      <c r="E64" s="21">
        <v>2</v>
      </c>
      <c r="F64" s="21">
        <v>176093</v>
      </c>
      <c r="G64" s="42">
        <v>0.107</v>
      </c>
      <c r="H64" s="21" t="s">
        <v>548</v>
      </c>
      <c r="I64" s="39">
        <f ca="1">IFERROR(__xludf.DUMMYFUNCTION("IF(SUM(COUNTIF(artists!A:A, SPLIT(D64, "",""))) &gt; 0, ""UA"", 0)"),0)</f>
        <v>0</v>
      </c>
      <c r="J64" s="40" t="str">
        <f ca="1">IFERROR(__xludf.DUMMYFUNCTION("IF(SUM(COUNTIF(artists!C:C, SPLIT(D64, "",""))) &gt; 0, ""RU"", 0)"),"RU")</f>
        <v>RU</v>
      </c>
      <c r="K64" s="39">
        <f ca="1">IFERROR(__xludf.DUMMYFUNCTION("IF(SUM(COUNTIF(artists!E:E, SPLIT(D64, "",""))) &gt; 0, ""OTHER"", 0)"),0)</f>
        <v>0</v>
      </c>
    </row>
    <row r="65" spans="1:11" ht="14.25" customHeight="1">
      <c r="A65" s="21">
        <v>64</v>
      </c>
      <c r="B65" s="21">
        <v>64</v>
      </c>
      <c r="C65" s="21" t="s">
        <v>418</v>
      </c>
      <c r="D65" s="21" t="s">
        <v>419</v>
      </c>
      <c r="E65" s="21">
        <v>4</v>
      </c>
      <c r="F65" s="21">
        <v>175529</v>
      </c>
      <c r="G65" s="42">
        <v>-1.4999999999999999E-2</v>
      </c>
      <c r="H65" s="21" t="s">
        <v>420</v>
      </c>
      <c r="I65" s="39">
        <f ca="1">IFERROR(__xludf.DUMMYFUNCTION("IF(SUM(COUNTIF(artists!A:A, SPLIT(D65, "",""))) &gt; 0, ""UA"", 0)"),0)</f>
        <v>0</v>
      </c>
      <c r="J65" s="40">
        <f ca="1">IFERROR(__xludf.DUMMYFUNCTION("IF(SUM(COUNTIF(artists!C:C, SPLIT(D65, "",""))) &gt; 0, ""RU"", 0)"),0)</f>
        <v>0</v>
      </c>
      <c r="K65" s="39" t="str">
        <f ca="1">IFERROR(__xludf.DUMMYFUNCTION("IF(SUM(COUNTIF(artists!E:E, SPLIT(D65, "",""))) &gt; 0, ""OTHER"", 0)"),"OTHER")</f>
        <v>OTHER</v>
      </c>
    </row>
    <row r="66" spans="1:11" ht="14.25" customHeight="1">
      <c r="A66" s="21">
        <v>65</v>
      </c>
      <c r="B66" s="21">
        <v>95</v>
      </c>
      <c r="C66" s="21" t="s">
        <v>402</v>
      </c>
      <c r="D66" s="21" t="s">
        <v>403</v>
      </c>
      <c r="E66" s="21">
        <v>2</v>
      </c>
      <c r="F66" s="21">
        <v>172630</v>
      </c>
      <c r="G66" s="42">
        <v>0.32600000000000001</v>
      </c>
      <c r="H66" s="21" t="s">
        <v>404</v>
      </c>
      <c r="I66" s="39">
        <f ca="1">IFERROR(__xludf.DUMMYFUNCTION("IF(SUM(COUNTIF(artists!A:A, SPLIT(D66, "",""))) &gt; 0, ""UA"", 0)"),0)</f>
        <v>0</v>
      </c>
      <c r="J66" s="40">
        <f ca="1">IFERROR(__xludf.DUMMYFUNCTION("IF(SUM(COUNTIF(artists!C:C, SPLIT(D66, "",""))) &gt; 0, ""RU"", 0)"),0)</f>
        <v>0</v>
      </c>
      <c r="K66" s="39" t="str">
        <f ca="1">IFERROR(__xludf.DUMMYFUNCTION("IF(SUM(COUNTIF(artists!E:E, SPLIT(D66, "",""))) &gt; 0, ""OTHER"", 0)"),"OTHER")</f>
        <v>OTHER</v>
      </c>
    </row>
    <row r="67" spans="1:11" ht="14.25" customHeight="1">
      <c r="A67" s="21">
        <v>66</v>
      </c>
      <c r="B67" s="21">
        <v>36</v>
      </c>
      <c r="C67" s="21" t="s">
        <v>258</v>
      </c>
      <c r="D67" s="21" t="s">
        <v>259</v>
      </c>
      <c r="E67" s="21">
        <v>2</v>
      </c>
      <c r="F67" s="21">
        <v>170578</v>
      </c>
      <c r="G67" s="42">
        <v>-0.38500000000000001</v>
      </c>
      <c r="H67" s="21" t="s">
        <v>260</v>
      </c>
      <c r="I67" s="39" t="str">
        <f ca="1">IFERROR(__xludf.DUMMYFUNCTION("IF(SUM(COUNTIF(artists!A:A, SPLIT(D67, "",""))) &gt; 0, ""UA"", 0)"),"UA")</f>
        <v>UA</v>
      </c>
      <c r="J67" s="40">
        <f ca="1">IFERROR(__xludf.DUMMYFUNCTION("IF(SUM(COUNTIF(artists!C:C, SPLIT(D67, "",""))) &gt; 0, ""RU"", 0)"),0)</f>
        <v>0</v>
      </c>
      <c r="K67" s="39">
        <f ca="1">IFERROR(__xludf.DUMMYFUNCTION("IF(SUM(COUNTIF(artists!E:E, SPLIT(D67, "",""))) &gt; 0, ""OTHER"", 0)"),0)</f>
        <v>0</v>
      </c>
    </row>
    <row r="68" spans="1:11" ht="14.25" customHeight="1">
      <c r="A68" s="21">
        <v>67</v>
      </c>
      <c r="B68" s="21">
        <v>60</v>
      </c>
      <c r="C68" s="21" t="s">
        <v>589</v>
      </c>
      <c r="D68" s="21" t="s">
        <v>590</v>
      </c>
      <c r="E68" s="21">
        <v>17</v>
      </c>
      <c r="F68" s="21">
        <v>169024</v>
      </c>
      <c r="G68" s="43">
        <v>-0.15</v>
      </c>
      <c r="H68" s="21" t="s">
        <v>591</v>
      </c>
      <c r="I68" s="39" t="str">
        <f ca="1">IFERROR(__xludf.DUMMYFUNCTION("IF(SUM(COUNTIF(artists!A:A, SPLIT(D68, "",""))) &gt; 0, ""UA"", 0)"),"UA")</f>
        <v>UA</v>
      </c>
      <c r="J68" s="40">
        <f ca="1">IFERROR(__xludf.DUMMYFUNCTION("IF(SUM(COUNTIF(artists!C:C, SPLIT(D68, "",""))) &gt; 0, ""RU"", 0)"),0)</f>
        <v>0</v>
      </c>
      <c r="K68" s="39">
        <f ca="1">IFERROR(__xludf.DUMMYFUNCTION("IF(SUM(COUNTIF(artists!E:E, SPLIT(D68, "",""))) &gt; 0, ""OTHER"", 0)"),0)</f>
        <v>0</v>
      </c>
    </row>
    <row r="69" spans="1:11" ht="14.25" customHeight="1">
      <c r="A69" s="21">
        <v>68</v>
      </c>
      <c r="B69" s="21">
        <v>63</v>
      </c>
      <c r="C69" s="21" t="s">
        <v>971</v>
      </c>
      <c r="D69" s="21" t="s">
        <v>972</v>
      </c>
      <c r="E69" s="21">
        <v>17</v>
      </c>
      <c r="F69" s="21">
        <v>163399</v>
      </c>
      <c r="G69" s="42">
        <v>-0.13800000000000001</v>
      </c>
      <c r="H69" s="21" t="s">
        <v>973</v>
      </c>
      <c r="I69" s="39">
        <f ca="1">IFERROR(__xludf.DUMMYFUNCTION("IF(SUM(COUNTIF(artists!A:A, SPLIT(D69, "",""))) &gt; 0, ""UA"", 0)"),0)</f>
        <v>0</v>
      </c>
      <c r="J69" s="40">
        <f ca="1">IFERROR(__xludf.DUMMYFUNCTION("IF(SUM(COUNTIF(artists!C:C, SPLIT(D69, "",""))) &gt; 0, ""RU"", 0)"),0)</f>
        <v>0</v>
      </c>
      <c r="K69" s="39" t="str">
        <f ca="1">IFERROR(__xludf.DUMMYFUNCTION("IF(SUM(COUNTIF(artists!E:E, SPLIT(D69, "",""))) &gt; 0, ""OTHER"", 0)"),"OTHER")</f>
        <v>OTHER</v>
      </c>
    </row>
    <row r="70" spans="1:11" ht="14.25" customHeight="1">
      <c r="A70" s="21">
        <v>69</v>
      </c>
      <c r="B70" s="21">
        <v>62</v>
      </c>
      <c r="C70" s="21" t="s">
        <v>462</v>
      </c>
      <c r="D70" s="21" t="s">
        <v>463</v>
      </c>
      <c r="E70" s="21">
        <v>20</v>
      </c>
      <c r="F70" s="21">
        <v>162030</v>
      </c>
      <c r="G70" s="42">
        <v>-0.153</v>
      </c>
      <c r="H70" s="21" t="s">
        <v>465</v>
      </c>
      <c r="I70" s="39" t="str">
        <f ca="1">IFERROR(__xludf.DUMMYFUNCTION("IF(SUM(COUNTIF(artists!A:A, SPLIT(D70, "",""))) &gt; 0, ""UA"", 0)"),"UA")</f>
        <v>UA</v>
      </c>
      <c r="J70" s="40">
        <f ca="1">IFERROR(__xludf.DUMMYFUNCTION("IF(SUM(COUNTIF(artists!C:C, SPLIT(D70, "",""))) &gt; 0, ""RU"", 0)"),0)</f>
        <v>0</v>
      </c>
      <c r="K70" s="39">
        <f ca="1">IFERROR(__xludf.DUMMYFUNCTION("IF(SUM(COUNTIF(artists!E:E, SPLIT(D70, "",""))) &gt; 0, ""OTHER"", 0)"),0)</f>
        <v>0</v>
      </c>
    </row>
    <row r="71" spans="1:11" ht="14.25" customHeight="1">
      <c r="A71" s="21">
        <v>70</v>
      </c>
      <c r="B71" s="21">
        <v>56</v>
      </c>
      <c r="C71" s="21" t="s">
        <v>284</v>
      </c>
      <c r="D71" s="21" t="s">
        <v>15</v>
      </c>
      <c r="E71" s="21">
        <v>16</v>
      </c>
      <c r="F71" s="21">
        <v>161642</v>
      </c>
      <c r="G71" s="42">
        <v>-0.22500000000000001</v>
      </c>
      <c r="H71" s="21" t="s">
        <v>285</v>
      </c>
      <c r="I71" s="39">
        <f ca="1">IFERROR(__xludf.DUMMYFUNCTION("IF(SUM(COUNTIF(artists!A:A, SPLIT(D71, "",""))) &gt; 0, ""UA"", 0)"),0)</f>
        <v>0</v>
      </c>
      <c r="J71" s="40">
        <f ca="1">IFERROR(__xludf.DUMMYFUNCTION("IF(SUM(COUNTIF(artists!C:C, SPLIT(D71, "",""))) &gt; 0, ""RU"", 0)"),0)</f>
        <v>0</v>
      </c>
      <c r="K71" s="39" t="str">
        <f ca="1">IFERROR(__xludf.DUMMYFUNCTION("IF(SUM(COUNTIF(artists!E:E, SPLIT(D71, "",""))) &gt; 0, ""OTHER"", 0)"),"OTHER")</f>
        <v>OTHER</v>
      </c>
    </row>
    <row r="72" spans="1:11" ht="14.25" customHeight="1">
      <c r="A72" s="21">
        <v>71</v>
      </c>
      <c r="B72" s="21">
        <v>74</v>
      </c>
      <c r="C72" s="21" t="s">
        <v>497</v>
      </c>
      <c r="D72" s="21" t="s">
        <v>860</v>
      </c>
      <c r="E72" s="21">
        <v>9</v>
      </c>
      <c r="F72" s="21">
        <v>161627</v>
      </c>
      <c r="G72" s="42">
        <v>1.0999999999999999E-2</v>
      </c>
      <c r="H72" s="21" t="s">
        <v>499</v>
      </c>
      <c r="I72" s="39" t="str">
        <f ca="1">IFERROR(__xludf.DUMMYFUNCTION("IF(SUM(COUNTIF(artists!A:A, SPLIT(D72, "",""))) &gt; 0, ""UA"", 0)"),"UA")</f>
        <v>UA</v>
      </c>
      <c r="J72" s="40">
        <f ca="1">IFERROR(__xludf.DUMMYFUNCTION("IF(SUM(COUNTIF(artists!C:C, SPLIT(D72, "",""))) &gt; 0, ""RU"", 0)"),0)</f>
        <v>0</v>
      </c>
      <c r="K72" s="39">
        <f ca="1">IFERROR(__xludf.DUMMYFUNCTION("IF(SUM(COUNTIF(artists!E:E, SPLIT(D72, "",""))) &gt; 0, ""OTHER"", 0)"),0)</f>
        <v>0</v>
      </c>
    </row>
    <row r="73" spans="1:11" ht="14.25" customHeight="1">
      <c r="A73" s="21">
        <v>72</v>
      </c>
      <c r="B73" s="21">
        <v>68</v>
      </c>
      <c r="C73" s="21" t="s">
        <v>977</v>
      </c>
      <c r="D73" s="21" t="s">
        <v>978</v>
      </c>
      <c r="E73" s="21">
        <v>3</v>
      </c>
      <c r="F73" s="21">
        <v>161007</v>
      </c>
      <c r="G73" s="43">
        <v>-0.02</v>
      </c>
      <c r="H73" s="21" t="s">
        <v>979</v>
      </c>
      <c r="I73" s="39" t="str">
        <f ca="1">IFERROR(__xludf.DUMMYFUNCTION("IF(SUM(COUNTIF(artists!A:A, SPLIT(D73, "",""))) &gt; 0, ""UA"", 0)"),"UA")</f>
        <v>UA</v>
      </c>
      <c r="J73" s="40">
        <f ca="1">IFERROR(__xludf.DUMMYFUNCTION("IF(SUM(COUNTIF(artists!C:C, SPLIT(D73, "",""))) &gt; 0, ""RU"", 0)"),0)</f>
        <v>0</v>
      </c>
      <c r="K73" s="39">
        <f ca="1">IFERROR(__xludf.DUMMYFUNCTION("IF(SUM(COUNTIF(artists!E:E, SPLIT(D73, "",""))) &gt; 0, ""OTHER"", 0)"),0)</f>
        <v>0</v>
      </c>
    </row>
    <row r="74" spans="1:11" ht="14.25" customHeight="1">
      <c r="A74" s="21">
        <v>73</v>
      </c>
      <c r="B74" s="21">
        <v>61</v>
      </c>
      <c r="C74" s="21" t="s">
        <v>980</v>
      </c>
      <c r="D74" s="21" t="s">
        <v>981</v>
      </c>
      <c r="E74" s="21">
        <v>4</v>
      </c>
      <c r="F74" s="21">
        <v>156802</v>
      </c>
      <c r="G74" s="42">
        <v>-0.20699999999999999</v>
      </c>
      <c r="H74" s="21" t="s">
        <v>982</v>
      </c>
      <c r="I74" s="39">
        <f ca="1">IFERROR(__xludf.DUMMYFUNCTION("IF(SUM(COUNTIF(artists!A:A, SPLIT(D74, "",""))) &gt; 0, ""UA"", 0)"),0)</f>
        <v>0</v>
      </c>
      <c r="J74" s="40" t="str">
        <f ca="1">IFERROR(__xludf.DUMMYFUNCTION("IF(SUM(COUNTIF(artists!C:C, SPLIT(D74, "",""))) &gt; 0, ""RU"", 0)"),"RU")</f>
        <v>RU</v>
      </c>
      <c r="K74" s="39">
        <f ca="1">IFERROR(__xludf.DUMMYFUNCTION("IF(SUM(COUNTIF(artists!E:E, SPLIT(D74, "",""))) &gt; 0, ""OTHER"", 0)"),0)</f>
        <v>0</v>
      </c>
    </row>
    <row r="75" spans="1:11" ht="14.25" customHeight="1">
      <c r="A75" s="21">
        <v>74</v>
      </c>
      <c r="C75" s="21" t="s">
        <v>320</v>
      </c>
      <c r="D75" s="21" t="s">
        <v>321</v>
      </c>
      <c r="E75" s="21">
        <v>1</v>
      </c>
      <c r="F75" s="21">
        <v>154972</v>
      </c>
      <c r="H75" s="21" t="s">
        <v>323</v>
      </c>
      <c r="I75" s="39">
        <f ca="1">IFERROR(__xludf.DUMMYFUNCTION("IF(SUM(COUNTIF(artists!A:A, SPLIT(D75, "",""))) &gt; 0, ""UA"", 0)"),0)</f>
        <v>0</v>
      </c>
      <c r="J75" s="40">
        <f ca="1">IFERROR(__xludf.DUMMYFUNCTION("IF(SUM(COUNTIF(artists!C:C, SPLIT(D75, "",""))) &gt; 0, ""RU"", 0)"),0)</f>
        <v>0</v>
      </c>
      <c r="K75" s="39" t="str">
        <f ca="1">IFERROR(__xludf.DUMMYFUNCTION("IF(SUM(COUNTIF(artists!E:E, SPLIT(D75, "",""))) &gt; 0, ""OTHER"", 0)"),"OTHER")</f>
        <v>OTHER</v>
      </c>
    </row>
    <row r="76" spans="1:11" ht="14.25" customHeight="1">
      <c r="A76" s="21">
        <v>75</v>
      </c>
      <c r="B76" s="21">
        <v>77</v>
      </c>
      <c r="C76" s="21" t="s">
        <v>605</v>
      </c>
      <c r="D76" s="21" t="s">
        <v>299</v>
      </c>
      <c r="E76" s="21">
        <v>10</v>
      </c>
      <c r="F76" s="21">
        <v>148749</v>
      </c>
      <c r="G76" s="43">
        <v>-0.05</v>
      </c>
      <c r="H76" s="21" t="s">
        <v>607</v>
      </c>
      <c r="I76" s="39">
        <f ca="1">IFERROR(__xludf.DUMMYFUNCTION("IF(SUM(COUNTIF(artists!A:A, SPLIT(D76, "",""))) &gt; 0, ""UA"", 0)"),0)</f>
        <v>0</v>
      </c>
      <c r="J76" s="40">
        <f ca="1">IFERROR(__xludf.DUMMYFUNCTION("IF(SUM(COUNTIF(artists!C:C, SPLIT(D76, "",""))) &gt; 0, ""RU"", 0)"),0)</f>
        <v>0</v>
      </c>
      <c r="K76" s="39" t="str">
        <f ca="1">IFERROR(__xludf.DUMMYFUNCTION("IF(SUM(COUNTIF(artists!E:E, SPLIT(D76, "",""))) &gt; 0, ""OTHER"", 0)"),"OTHER")</f>
        <v>OTHER</v>
      </c>
    </row>
    <row r="77" spans="1:11" ht="14.25" customHeight="1">
      <c r="A77" s="21">
        <v>76</v>
      </c>
      <c r="C77" s="21" t="s">
        <v>282</v>
      </c>
      <c r="D77" s="21" t="s">
        <v>85</v>
      </c>
      <c r="E77" s="21">
        <v>1</v>
      </c>
      <c r="F77" s="21">
        <v>146641</v>
      </c>
      <c r="H77" s="21" t="s">
        <v>283</v>
      </c>
      <c r="I77" s="39" t="str">
        <f ca="1">IFERROR(__xludf.DUMMYFUNCTION("IF(SUM(COUNTIF(artists!A:A, SPLIT(D77, "",""))) &gt; 0, ""UA"", 0)"),"UA")</f>
        <v>UA</v>
      </c>
      <c r="J77" s="40">
        <f ca="1">IFERROR(__xludf.DUMMYFUNCTION("IF(SUM(COUNTIF(artists!C:C, SPLIT(D77, "",""))) &gt; 0, ""RU"", 0)"),0)</f>
        <v>0</v>
      </c>
      <c r="K77" s="39">
        <f ca="1">IFERROR(__xludf.DUMMYFUNCTION("IF(SUM(COUNTIF(artists!E:E, SPLIT(D77, "",""))) &gt; 0, ""OTHER"", 0)"),0)</f>
        <v>0</v>
      </c>
    </row>
    <row r="78" spans="1:11" ht="14.25" customHeight="1">
      <c r="A78" s="21">
        <v>77</v>
      </c>
      <c r="C78" s="21" t="s">
        <v>1046</v>
      </c>
      <c r="D78" s="21" t="s">
        <v>1047</v>
      </c>
      <c r="E78" s="21">
        <v>1</v>
      </c>
      <c r="F78" s="21">
        <v>145888</v>
      </c>
      <c r="H78" s="21" t="s">
        <v>1048</v>
      </c>
      <c r="I78" s="39" t="str">
        <f ca="1">IFERROR(__xludf.DUMMYFUNCTION("IF(SUM(COUNTIF(artists!A:A, SPLIT(D78, "",""))) &gt; 0, ""UA"", 0)"),"UA")</f>
        <v>UA</v>
      </c>
      <c r="J78" s="40">
        <f ca="1">IFERROR(__xludf.DUMMYFUNCTION("IF(SUM(COUNTIF(artists!C:C, SPLIT(D78, "",""))) &gt; 0, ""RU"", 0)"),0)</f>
        <v>0</v>
      </c>
      <c r="K78" s="39">
        <f ca="1">IFERROR(__xludf.DUMMYFUNCTION("IF(SUM(COUNTIF(artists!E:E, SPLIT(D78, "",""))) &gt; 0, ""OTHER"", 0)"),0)</f>
        <v>0</v>
      </c>
    </row>
    <row r="79" spans="1:11" ht="14.25" customHeight="1">
      <c r="A79" s="21">
        <v>78</v>
      </c>
      <c r="B79" s="21">
        <v>19</v>
      </c>
      <c r="C79" s="21" t="s">
        <v>1049</v>
      </c>
      <c r="D79" s="21" t="s">
        <v>1050</v>
      </c>
      <c r="E79" s="21">
        <v>2</v>
      </c>
      <c r="F79" s="21">
        <v>145105</v>
      </c>
      <c r="G79" s="42">
        <v>-0.65300000000000002</v>
      </c>
      <c r="H79" s="21" t="s">
        <v>1051</v>
      </c>
      <c r="I79" s="39">
        <f ca="1">IFERROR(__xludf.DUMMYFUNCTION("IF(SUM(COUNTIF(artists!A:A, SPLIT(D79, "",""))) &gt; 0, ""UA"", 0)"),0)</f>
        <v>0</v>
      </c>
      <c r="J79" s="40" t="str">
        <f ca="1">IFERROR(__xludf.DUMMYFUNCTION("IF(SUM(COUNTIF(artists!C:C, SPLIT(D79, "",""))) &gt; 0, ""RU"", 0)"),"RU")</f>
        <v>RU</v>
      </c>
      <c r="K79" s="39">
        <f ca="1">IFERROR(__xludf.DUMMYFUNCTION("IF(SUM(COUNTIF(artists!E:E, SPLIT(D79, "",""))) &gt; 0, ""OTHER"", 0)"),0)</f>
        <v>0</v>
      </c>
    </row>
    <row r="80" spans="1:11" ht="14.25" customHeight="1">
      <c r="A80" s="21">
        <v>79</v>
      </c>
      <c r="C80" s="21" t="s">
        <v>1052</v>
      </c>
      <c r="D80" s="21" t="s">
        <v>1053</v>
      </c>
      <c r="E80" s="21">
        <v>1</v>
      </c>
      <c r="F80" s="21">
        <v>145104</v>
      </c>
      <c r="H80" s="21" t="s">
        <v>1054</v>
      </c>
      <c r="I80" s="39">
        <f ca="1">IFERROR(__xludf.DUMMYFUNCTION("IF(SUM(COUNTIF(artists!A:A, SPLIT(D80, "",""))) &gt; 0, ""UA"", 0)"),0)</f>
        <v>0</v>
      </c>
      <c r="J80" s="40">
        <f ca="1">IFERROR(__xludf.DUMMYFUNCTION("IF(SUM(COUNTIF(artists!C:C, SPLIT(D80, "",""))) &gt; 0, ""RU"", 0)"),0)</f>
        <v>0</v>
      </c>
      <c r="K80" s="39" t="str">
        <f ca="1">IFERROR(__xludf.DUMMYFUNCTION("IF(SUM(COUNTIF(artists!E:E, SPLIT(D80, "",""))) &gt; 0, ""OTHER"", 0)"),"OTHER")</f>
        <v>OTHER</v>
      </c>
    </row>
    <row r="81" spans="1:11" ht="14.25" customHeight="1">
      <c r="A81" s="21">
        <v>80</v>
      </c>
      <c r="B81" s="21">
        <v>67</v>
      </c>
      <c r="C81" s="21" t="s">
        <v>690</v>
      </c>
      <c r="D81" s="21" t="s">
        <v>691</v>
      </c>
      <c r="E81" s="21">
        <v>3</v>
      </c>
      <c r="F81" s="21">
        <v>143973</v>
      </c>
      <c r="G81" s="42">
        <v>-0.13200000000000001</v>
      </c>
      <c r="H81" s="21" t="s">
        <v>692</v>
      </c>
      <c r="I81" s="39">
        <f ca="1">IFERROR(__xludf.DUMMYFUNCTION("IF(SUM(COUNTIF(artists!A:A, SPLIT(D81, "",""))) &gt; 0, ""UA"", 0)"),0)</f>
        <v>0</v>
      </c>
      <c r="J81" s="40" t="str">
        <f ca="1">IFERROR(__xludf.DUMMYFUNCTION("IF(SUM(COUNTIF(artists!C:C, SPLIT(D81, "",""))) &gt; 0, ""RU"", 0)"),"RU")</f>
        <v>RU</v>
      </c>
      <c r="K81" s="39">
        <f ca="1">IFERROR(__xludf.DUMMYFUNCTION("IF(SUM(COUNTIF(artists!E:E, SPLIT(D81, "",""))) &gt; 0, ""OTHER"", 0)"),0)</f>
        <v>0</v>
      </c>
    </row>
    <row r="82" spans="1:11" ht="14.25" customHeight="1">
      <c r="A82" s="21">
        <v>81</v>
      </c>
      <c r="B82" s="21">
        <v>66</v>
      </c>
      <c r="C82" s="21" t="s">
        <v>264</v>
      </c>
      <c r="D82" s="21" t="s">
        <v>265</v>
      </c>
      <c r="E82" s="21">
        <v>7</v>
      </c>
      <c r="F82" s="21">
        <v>143499</v>
      </c>
      <c r="G82" s="42">
        <v>-0.155</v>
      </c>
      <c r="H82" s="21" t="s">
        <v>267</v>
      </c>
      <c r="I82" s="39">
        <f ca="1">IFERROR(__xludf.DUMMYFUNCTION("IF(SUM(COUNTIF(artists!A:A, SPLIT(D82, "",""))) &gt; 0, ""UA"", 0)"),0)</f>
        <v>0</v>
      </c>
      <c r="J82" s="40">
        <f ca="1">IFERROR(__xludf.DUMMYFUNCTION("IF(SUM(COUNTIF(artists!C:C, SPLIT(D82, "",""))) &gt; 0, ""RU"", 0)"),0)</f>
        <v>0</v>
      </c>
      <c r="K82" s="39" t="str">
        <f ca="1">IFERROR(__xludf.DUMMYFUNCTION("IF(SUM(COUNTIF(artists!E:E, SPLIT(D82, "",""))) &gt; 0, ""OTHER"", 0)"),"OTHER")</f>
        <v>OTHER</v>
      </c>
    </row>
    <row r="83" spans="1:11" ht="14.25" customHeight="1">
      <c r="A83" s="21">
        <v>82</v>
      </c>
      <c r="B83" s="21">
        <v>90</v>
      </c>
      <c r="C83" s="21" t="s">
        <v>868</v>
      </c>
      <c r="D83" s="21" t="s">
        <v>869</v>
      </c>
      <c r="E83" s="21">
        <v>13</v>
      </c>
      <c r="F83" s="21">
        <v>140434</v>
      </c>
      <c r="G83" s="42">
        <v>1.9E-2</v>
      </c>
      <c r="H83" s="21" t="s">
        <v>870</v>
      </c>
      <c r="I83" s="39">
        <f ca="1">IFERROR(__xludf.DUMMYFUNCTION("IF(SUM(COUNTIF(artists!A:A, SPLIT(D83, "",""))) &gt; 0, ""UA"", 0)"),0)</f>
        <v>0</v>
      </c>
      <c r="J83" s="40" t="str">
        <f ca="1">IFERROR(__xludf.DUMMYFUNCTION("IF(SUM(COUNTIF(artists!C:C, SPLIT(D83, "",""))) &gt; 0, ""RU"", 0)"),"RU")</f>
        <v>RU</v>
      </c>
      <c r="K83" s="39">
        <f ca="1">IFERROR(__xludf.DUMMYFUNCTION("IF(SUM(COUNTIF(artists!E:E, SPLIT(D83, "",""))) &gt; 0, ""OTHER"", 0)"),0)</f>
        <v>0</v>
      </c>
    </row>
    <row r="84" spans="1:11" ht="14.25" customHeight="1">
      <c r="A84" s="21">
        <v>83</v>
      </c>
      <c r="B84" s="21">
        <v>71</v>
      </c>
      <c r="C84" s="21" t="s">
        <v>1021</v>
      </c>
      <c r="D84" s="21" t="s">
        <v>1022</v>
      </c>
      <c r="E84" s="21">
        <v>9</v>
      </c>
      <c r="F84" s="21">
        <v>138802</v>
      </c>
      <c r="G84" s="42">
        <v>-0.14399999999999999</v>
      </c>
      <c r="H84" s="21" t="s">
        <v>1023</v>
      </c>
      <c r="I84" s="39">
        <f ca="1">IFERROR(__xludf.DUMMYFUNCTION("IF(SUM(COUNTIF(artists!A:A, SPLIT(D84, "",""))) &gt; 0, ""UA"", 0)"),0)</f>
        <v>0</v>
      </c>
      <c r="J84" s="40">
        <f ca="1">IFERROR(__xludf.DUMMYFUNCTION("IF(SUM(COUNTIF(artists!C:C, SPLIT(D84, "",""))) &gt; 0, ""RU"", 0)"),0)</f>
        <v>0</v>
      </c>
      <c r="K84" s="39" t="str">
        <f ca="1">IFERROR(__xludf.DUMMYFUNCTION("IF(SUM(COUNTIF(artists!E:E, SPLIT(D84, "",""))) &gt; 0, ""OTHER"", 0)"),"OTHER")</f>
        <v>OTHER</v>
      </c>
    </row>
    <row r="85" spans="1:11" ht="14.25" customHeight="1">
      <c r="A85" s="21">
        <v>84</v>
      </c>
      <c r="C85" s="21" t="s">
        <v>876</v>
      </c>
      <c r="D85" s="21" t="s">
        <v>877</v>
      </c>
      <c r="E85" s="21">
        <v>19</v>
      </c>
      <c r="F85" s="21">
        <v>136961</v>
      </c>
      <c r="H85" s="21" t="s">
        <v>878</v>
      </c>
      <c r="I85" s="39">
        <f ca="1">IFERROR(__xludf.DUMMYFUNCTION("IF(SUM(COUNTIF(artists!A:A, SPLIT(D85, "",""))) &gt; 0, ""UA"", 0)"),0)</f>
        <v>0</v>
      </c>
      <c r="J85" s="40">
        <f ca="1">IFERROR(__xludf.DUMMYFUNCTION("IF(SUM(COUNTIF(artists!C:C, SPLIT(D85, "",""))) &gt; 0, ""RU"", 0)"),0)</f>
        <v>0</v>
      </c>
      <c r="K85" s="39" t="str">
        <f ca="1">IFERROR(__xludf.DUMMYFUNCTION("IF(SUM(COUNTIF(artists!E:E, SPLIT(D85, "",""))) &gt; 0, ""OTHER"", 0)"),"OTHER")</f>
        <v>OTHER</v>
      </c>
    </row>
    <row r="86" spans="1:11" ht="14.25" customHeight="1">
      <c r="A86" s="21">
        <v>85</v>
      </c>
      <c r="B86" s="21">
        <v>72</v>
      </c>
      <c r="C86" s="21" t="s">
        <v>963</v>
      </c>
      <c r="D86" s="21" t="s">
        <v>964</v>
      </c>
      <c r="E86" s="21">
        <v>8</v>
      </c>
      <c r="F86" s="21">
        <v>136506</v>
      </c>
      <c r="G86" s="42">
        <v>-0.152</v>
      </c>
      <c r="H86" s="21" t="s">
        <v>965</v>
      </c>
      <c r="I86" s="39" t="str">
        <f ca="1">IFERROR(__xludf.DUMMYFUNCTION("IF(SUM(COUNTIF(artists!A:A, SPLIT(D86, "",""))) &gt; 0, ""UA"", 0)"),"UA")</f>
        <v>UA</v>
      </c>
      <c r="J86" s="40">
        <f ca="1">IFERROR(__xludf.DUMMYFUNCTION("IF(SUM(COUNTIF(artists!C:C, SPLIT(D86, "",""))) &gt; 0, ""RU"", 0)"),0)</f>
        <v>0</v>
      </c>
      <c r="K86" s="39">
        <f ca="1">IFERROR(__xludf.DUMMYFUNCTION("IF(SUM(COUNTIF(artists!E:E, SPLIT(D86, "",""))) &gt; 0, ""OTHER"", 0)"),0)</f>
        <v>0</v>
      </c>
    </row>
    <row r="87" spans="1:11" ht="14.25" customHeight="1">
      <c r="A87" s="21">
        <v>86</v>
      </c>
      <c r="B87" s="21">
        <v>70</v>
      </c>
      <c r="C87" s="21" t="s">
        <v>520</v>
      </c>
      <c r="D87" s="21" t="s">
        <v>521</v>
      </c>
      <c r="E87" s="21">
        <v>20</v>
      </c>
      <c r="F87" s="21">
        <v>134859</v>
      </c>
      <c r="G87" s="43">
        <v>-0.17</v>
      </c>
      <c r="H87" s="21" t="s">
        <v>522</v>
      </c>
      <c r="I87" s="39" t="str">
        <f ca="1">IFERROR(__xludf.DUMMYFUNCTION("IF(SUM(COUNTIF(artists!A:A, SPLIT(D87, "",""))) &gt; 0, ""UA"", 0)"),"UA")</f>
        <v>UA</v>
      </c>
      <c r="J87" s="40">
        <f ca="1">IFERROR(__xludf.DUMMYFUNCTION("IF(SUM(COUNTIF(artists!C:C, SPLIT(D87, "",""))) &gt; 0, ""RU"", 0)"),0)</f>
        <v>0</v>
      </c>
      <c r="K87" s="39">
        <f ca="1">IFERROR(__xludf.DUMMYFUNCTION("IF(SUM(COUNTIF(artists!E:E, SPLIT(D87, "",""))) &gt; 0, ""OTHER"", 0)"),0)</f>
        <v>0</v>
      </c>
    </row>
    <row r="88" spans="1:11" ht="14.25" customHeight="1">
      <c r="A88" s="21">
        <v>87</v>
      </c>
      <c r="B88" s="21">
        <v>47</v>
      </c>
      <c r="C88" s="21" t="s">
        <v>682</v>
      </c>
      <c r="D88" s="21" t="s">
        <v>125</v>
      </c>
      <c r="E88" s="21">
        <v>10</v>
      </c>
      <c r="F88" s="21">
        <v>134544</v>
      </c>
      <c r="G88" s="42">
        <v>-0.45600000000000002</v>
      </c>
      <c r="H88" s="21" t="s">
        <v>684</v>
      </c>
      <c r="I88" s="39">
        <f ca="1">IFERROR(__xludf.DUMMYFUNCTION("IF(SUM(COUNTIF(artists!A:A, SPLIT(D88, "",""))) &gt; 0, ""UA"", 0)"),0)</f>
        <v>0</v>
      </c>
      <c r="J88" s="40" t="str">
        <f ca="1">IFERROR(__xludf.DUMMYFUNCTION("IF(SUM(COUNTIF(artists!C:C, SPLIT(D88, "",""))) &gt; 0, ""RU"", 0)"),"RU")</f>
        <v>RU</v>
      </c>
      <c r="K88" s="39">
        <f ca="1">IFERROR(__xludf.DUMMYFUNCTION("IF(SUM(COUNTIF(artists!E:E, SPLIT(D88, "",""))) &gt; 0, ""OTHER"", 0)"),0)</f>
        <v>0</v>
      </c>
    </row>
    <row r="89" spans="1:11" ht="14.25" customHeight="1">
      <c r="A89" s="21">
        <v>88</v>
      </c>
      <c r="B89" s="21">
        <v>82</v>
      </c>
      <c r="C89" s="21" t="s">
        <v>358</v>
      </c>
      <c r="D89" s="21" t="s">
        <v>359</v>
      </c>
      <c r="E89" s="21">
        <v>7</v>
      </c>
      <c r="F89" s="21">
        <v>134366</v>
      </c>
      <c r="G89" s="42">
        <v>-0.108</v>
      </c>
      <c r="H89" s="21" t="s">
        <v>361</v>
      </c>
      <c r="I89" s="39">
        <f ca="1">IFERROR(__xludf.DUMMYFUNCTION("IF(SUM(COUNTIF(artists!A:A, SPLIT(D89, "",""))) &gt; 0, ""UA"", 0)"),0)</f>
        <v>0</v>
      </c>
      <c r="J89" s="40">
        <f ca="1">IFERROR(__xludf.DUMMYFUNCTION("IF(SUM(COUNTIF(artists!C:C, SPLIT(D89, "",""))) &gt; 0, ""RU"", 0)"),0)</f>
        <v>0</v>
      </c>
      <c r="K89" s="39" t="str">
        <f ca="1">IFERROR(__xludf.DUMMYFUNCTION("IF(SUM(COUNTIF(artists!E:E, SPLIT(D89, "",""))) &gt; 0, ""OTHER"", 0)"),"OTHER")</f>
        <v>OTHER</v>
      </c>
    </row>
    <row r="90" spans="1:11" ht="14.25" customHeight="1">
      <c r="A90" s="21">
        <v>89</v>
      </c>
      <c r="C90" s="21" t="s">
        <v>1055</v>
      </c>
      <c r="D90" s="21" t="s">
        <v>776</v>
      </c>
      <c r="E90" s="21">
        <v>21</v>
      </c>
      <c r="F90" s="21">
        <v>133254</v>
      </c>
      <c r="H90" s="21" t="s">
        <v>1056</v>
      </c>
      <c r="I90" s="39" t="str">
        <f ca="1">IFERROR(__xludf.DUMMYFUNCTION("IF(SUM(COUNTIF(artists!A:A, SPLIT(D90, "",""))) &gt; 0, ""UA"", 0)"),"UA")</f>
        <v>UA</v>
      </c>
      <c r="J90" s="40">
        <f ca="1">IFERROR(__xludf.DUMMYFUNCTION("IF(SUM(COUNTIF(artists!C:C, SPLIT(D90, "",""))) &gt; 0, ""RU"", 0)"),0)</f>
        <v>0</v>
      </c>
      <c r="K90" s="39">
        <f ca="1">IFERROR(__xludf.DUMMYFUNCTION("IF(SUM(COUNTIF(artists!E:E, SPLIT(D90, "",""))) &gt; 0, ""OTHER"", 0)"),0)</f>
        <v>0</v>
      </c>
    </row>
    <row r="91" spans="1:11" ht="14.25" customHeight="1">
      <c r="A91" s="21">
        <v>90</v>
      </c>
      <c r="B91" s="21">
        <v>78</v>
      </c>
      <c r="C91" s="21" t="s">
        <v>1013</v>
      </c>
      <c r="D91" s="21" t="s">
        <v>1014</v>
      </c>
      <c r="E91" s="21">
        <v>7</v>
      </c>
      <c r="F91" s="21">
        <v>132894</v>
      </c>
      <c r="G91" s="42">
        <v>-0.14399999999999999</v>
      </c>
      <c r="H91" s="21" t="s">
        <v>1015</v>
      </c>
      <c r="I91" s="39" t="str">
        <f ca="1">IFERROR(__xludf.DUMMYFUNCTION("IF(SUM(COUNTIF(artists!A:A, SPLIT(D91, "",""))) &gt; 0, ""UA"", 0)"),"UA")</f>
        <v>UA</v>
      </c>
      <c r="J91" s="40">
        <f ca="1">IFERROR(__xludf.DUMMYFUNCTION("IF(SUM(COUNTIF(artists!C:C, SPLIT(D91, "",""))) &gt; 0, ""RU"", 0)"),0)</f>
        <v>0</v>
      </c>
      <c r="K91" s="39">
        <f ca="1">IFERROR(__xludf.DUMMYFUNCTION("IF(SUM(COUNTIF(artists!E:E, SPLIT(D91, "",""))) &gt; 0, ""OTHER"", 0)"),0)</f>
        <v>0</v>
      </c>
    </row>
    <row r="92" spans="1:11" ht="14.25" customHeight="1">
      <c r="A92" s="21">
        <v>91</v>
      </c>
      <c r="C92" s="21" t="s">
        <v>1057</v>
      </c>
      <c r="D92" s="21" t="s">
        <v>1058</v>
      </c>
      <c r="E92" s="21">
        <v>1</v>
      </c>
      <c r="F92" s="21">
        <v>132545</v>
      </c>
      <c r="H92" s="21" t="s">
        <v>1059</v>
      </c>
      <c r="I92" s="39">
        <f ca="1">IFERROR(__xludf.DUMMYFUNCTION("IF(SUM(COUNTIF(artists!A:A, SPLIT(D92, "",""))) &gt; 0, ""UA"", 0)"),0)</f>
        <v>0</v>
      </c>
      <c r="J92" s="40" t="str">
        <f ca="1">IFERROR(__xludf.DUMMYFUNCTION("IF(SUM(COUNTIF(artists!C:C, SPLIT(D92, "",""))) &gt; 0, ""RU"", 0)"),"RU")</f>
        <v>RU</v>
      </c>
      <c r="K92" s="39">
        <f ca="1">IFERROR(__xludf.DUMMYFUNCTION("IF(SUM(COUNTIF(artists!E:E, SPLIT(D92, "",""))) &gt; 0, ""OTHER"", 0)"),0)</f>
        <v>0</v>
      </c>
    </row>
    <row r="93" spans="1:11" ht="14.25" customHeight="1">
      <c r="A93" s="21">
        <v>92</v>
      </c>
      <c r="B93" s="21">
        <v>76</v>
      </c>
      <c r="C93" s="21" t="s">
        <v>1060</v>
      </c>
      <c r="D93" s="21" t="s">
        <v>981</v>
      </c>
      <c r="E93" s="21">
        <v>4</v>
      </c>
      <c r="F93" s="21">
        <v>131809</v>
      </c>
      <c r="G93" s="42">
        <v>-0.159</v>
      </c>
      <c r="H93" s="21" t="s">
        <v>1061</v>
      </c>
      <c r="I93" s="39">
        <f ca="1">IFERROR(__xludf.DUMMYFUNCTION("IF(SUM(COUNTIF(artists!A:A, SPLIT(D93, "",""))) &gt; 0, ""UA"", 0)"),0)</f>
        <v>0</v>
      </c>
      <c r="J93" s="40" t="str">
        <f ca="1">IFERROR(__xludf.DUMMYFUNCTION("IF(SUM(COUNTIF(artists!C:C, SPLIT(D93, "",""))) &gt; 0, ""RU"", 0)"),"RU")</f>
        <v>RU</v>
      </c>
      <c r="K93" s="39">
        <f ca="1">IFERROR(__xludf.DUMMYFUNCTION("IF(SUM(COUNTIF(artists!E:E, SPLIT(D93, "",""))) &gt; 0, ""OTHER"", 0)"),0)</f>
        <v>0</v>
      </c>
    </row>
    <row r="94" spans="1:11" ht="14.25" customHeight="1">
      <c r="A94" s="21">
        <v>93</v>
      </c>
      <c r="B94" s="21">
        <v>50</v>
      </c>
      <c r="C94" s="21" t="s">
        <v>1035</v>
      </c>
      <c r="D94" s="21" t="s">
        <v>1036</v>
      </c>
      <c r="E94" s="21">
        <v>3</v>
      </c>
      <c r="F94" s="21">
        <v>131632</v>
      </c>
      <c r="G94" s="42">
        <v>-0.46200000000000002</v>
      </c>
      <c r="H94" s="21" t="s">
        <v>1037</v>
      </c>
      <c r="I94" s="39" t="str">
        <f ca="1">IFERROR(__xludf.DUMMYFUNCTION("IF(SUM(COUNTIF(artists!A:A, SPLIT(D94, "",""))) &gt; 0, ""UA"", 0)"),"UA")</f>
        <v>UA</v>
      </c>
      <c r="J94" s="40">
        <f ca="1">IFERROR(__xludf.DUMMYFUNCTION("IF(SUM(COUNTIF(artists!C:C, SPLIT(D94, "",""))) &gt; 0, ""RU"", 0)"),0)</f>
        <v>0</v>
      </c>
      <c r="K94" s="39">
        <f ca="1">IFERROR(__xludf.DUMMYFUNCTION("IF(SUM(COUNTIF(artists!E:E, SPLIT(D94, "",""))) &gt; 0, ""OTHER"", 0)"),0)</f>
        <v>0</v>
      </c>
    </row>
    <row r="95" spans="1:11" ht="14.25" customHeight="1">
      <c r="A95" s="21">
        <v>94</v>
      </c>
      <c r="B95" s="21">
        <v>83</v>
      </c>
      <c r="C95" s="21" t="s">
        <v>313</v>
      </c>
      <c r="D95" s="21" t="s">
        <v>310</v>
      </c>
      <c r="E95" s="21">
        <v>7</v>
      </c>
      <c r="F95" s="21">
        <v>130033</v>
      </c>
      <c r="G95" s="42">
        <v>-0.107</v>
      </c>
      <c r="H95" s="21" t="s">
        <v>398</v>
      </c>
      <c r="I95" s="39">
        <f ca="1">IFERROR(__xludf.DUMMYFUNCTION("IF(SUM(COUNTIF(artists!A:A, SPLIT(D95, "",""))) &gt; 0, ""UA"", 0)"),0)</f>
        <v>0</v>
      </c>
      <c r="J95" s="40">
        <f ca="1">IFERROR(__xludf.DUMMYFUNCTION("IF(SUM(COUNTIF(artists!C:C, SPLIT(D95, "",""))) &gt; 0, ""RU"", 0)"),0)</f>
        <v>0</v>
      </c>
      <c r="K95" s="39" t="str">
        <f ca="1">IFERROR(__xludf.DUMMYFUNCTION("IF(SUM(COUNTIF(artists!E:E, SPLIT(D95, "",""))) &gt; 0, ""OTHER"", 0)"),"OTHER")</f>
        <v>OTHER</v>
      </c>
    </row>
    <row r="96" spans="1:11" ht="14.25" customHeight="1">
      <c r="A96" s="21">
        <v>95</v>
      </c>
      <c r="B96" s="21">
        <v>73</v>
      </c>
      <c r="C96" s="21" t="s">
        <v>1032</v>
      </c>
      <c r="D96" s="21" t="s">
        <v>1033</v>
      </c>
      <c r="E96" s="21">
        <v>7</v>
      </c>
      <c r="F96" s="21">
        <v>128151</v>
      </c>
      <c r="G96" s="43">
        <v>-0.2</v>
      </c>
      <c r="H96" s="21" t="s">
        <v>1034</v>
      </c>
      <c r="I96" s="39" t="str">
        <f ca="1">IFERROR(__xludf.DUMMYFUNCTION("IF(SUM(COUNTIF(artists!A:A, SPLIT(D96, "",""))) &gt; 0, ""UA"", 0)"),"UA")</f>
        <v>UA</v>
      </c>
      <c r="J96" s="40">
        <f ca="1">IFERROR(__xludf.DUMMYFUNCTION("IF(SUM(COUNTIF(artists!C:C, SPLIT(D96, "",""))) &gt; 0, ""RU"", 0)"),0)</f>
        <v>0</v>
      </c>
      <c r="K96" s="39">
        <f ca="1">IFERROR(__xludf.DUMMYFUNCTION("IF(SUM(COUNTIF(artists!E:E, SPLIT(D96, "",""))) &gt; 0, ""OTHER"", 0)"),0)</f>
        <v>0</v>
      </c>
    </row>
    <row r="97" spans="1:11" ht="14.25" customHeight="1">
      <c r="A97" s="21">
        <v>96</v>
      </c>
      <c r="B97" s="21">
        <v>87</v>
      </c>
      <c r="C97" s="21" t="s">
        <v>343</v>
      </c>
      <c r="D97" s="21" t="s">
        <v>344</v>
      </c>
      <c r="E97" s="21">
        <v>10</v>
      </c>
      <c r="F97" s="21">
        <v>126195</v>
      </c>
      <c r="G97" s="42">
        <v>-9.6000000000000002E-2</v>
      </c>
      <c r="H97" s="21" t="s">
        <v>346</v>
      </c>
      <c r="I97" s="39" t="str">
        <f ca="1">IFERROR(__xludf.DUMMYFUNCTION("IF(SUM(COUNTIF(artists!A:A, SPLIT(D97, "",""))) &gt; 0, ""UA"", 0)"),"UA")</f>
        <v>UA</v>
      </c>
      <c r="J97" s="40">
        <f ca="1">IFERROR(__xludf.DUMMYFUNCTION("IF(SUM(COUNTIF(artists!C:C, SPLIT(D97, "",""))) &gt; 0, ""RU"", 0)"),0)</f>
        <v>0</v>
      </c>
      <c r="K97" s="39">
        <f ca="1">IFERROR(__xludf.DUMMYFUNCTION("IF(SUM(COUNTIF(artists!E:E, SPLIT(D97, "",""))) &gt; 0, ""OTHER"", 0)"),0)</f>
        <v>0</v>
      </c>
    </row>
    <row r="98" spans="1:11" ht="14.25" customHeight="1">
      <c r="A98" s="21">
        <v>97</v>
      </c>
      <c r="B98" s="21">
        <v>96</v>
      </c>
      <c r="C98" s="21" t="s">
        <v>961</v>
      </c>
      <c r="D98" s="21" t="s">
        <v>137</v>
      </c>
      <c r="E98" s="21">
        <v>2</v>
      </c>
      <c r="F98" s="21">
        <v>125554</v>
      </c>
      <c r="G98" s="42">
        <v>-3.4000000000000002E-2</v>
      </c>
      <c r="H98" s="21" t="s">
        <v>962</v>
      </c>
      <c r="I98" s="39" t="str">
        <f ca="1">IFERROR(__xludf.DUMMYFUNCTION("IF(SUM(COUNTIF(artists!A:A, SPLIT(D98, "",""))) &gt; 0, ""UA"", 0)"),"UA")</f>
        <v>UA</v>
      </c>
      <c r="J98" s="40">
        <f ca="1">IFERROR(__xludf.DUMMYFUNCTION("IF(SUM(COUNTIF(artists!C:C, SPLIT(D98, "",""))) &gt; 0, ""RU"", 0)"),0)</f>
        <v>0</v>
      </c>
      <c r="K98" s="39">
        <f ca="1">IFERROR(__xludf.DUMMYFUNCTION("IF(SUM(COUNTIF(artists!E:E, SPLIT(D98, "",""))) &gt; 0, ""OTHER"", 0)"),0)</f>
        <v>0</v>
      </c>
    </row>
    <row r="99" spans="1:11" ht="14.25" customHeight="1">
      <c r="A99" s="21">
        <v>98</v>
      </c>
      <c r="B99" s="21">
        <v>88</v>
      </c>
      <c r="C99" s="21" t="s">
        <v>1062</v>
      </c>
      <c r="D99" s="21" t="s">
        <v>1063</v>
      </c>
      <c r="E99" s="21">
        <v>14</v>
      </c>
      <c r="F99" s="21">
        <v>123384</v>
      </c>
      <c r="G99" s="42">
        <v>-0.114</v>
      </c>
      <c r="H99" s="21" t="s">
        <v>1064</v>
      </c>
      <c r="I99" s="39" t="str">
        <f ca="1">IFERROR(__xludf.DUMMYFUNCTION("IF(SUM(COUNTIF(artists!A:A, SPLIT(D99, "",""))) &gt; 0, ""UA"", 0)"),"UA")</f>
        <v>UA</v>
      </c>
      <c r="J99" s="40">
        <f ca="1">IFERROR(__xludf.DUMMYFUNCTION("IF(SUM(COUNTIF(artists!C:C, SPLIT(D99, "",""))) &gt; 0, ""RU"", 0)"),0)</f>
        <v>0</v>
      </c>
      <c r="K99" s="39">
        <f ca="1">IFERROR(__xludf.DUMMYFUNCTION("IF(SUM(COUNTIF(artists!E:E, SPLIT(D99, "",""))) &gt; 0, ""OTHER"", 0)"),0)</f>
        <v>0</v>
      </c>
    </row>
    <row r="100" spans="1:11" ht="14.25" customHeight="1">
      <c r="A100" s="21">
        <v>99</v>
      </c>
      <c r="C100" s="21" t="s">
        <v>900</v>
      </c>
      <c r="D100" s="21" t="s">
        <v>901</v>
      </c>
      <c r="E100" s="21">
        <v>15</v>
      </c>
      <c r="F100" s="21">
        <v>122109</v>
      </c>
      <c r="H100" s="21" t="s">
        <v>902</v>
      </c>
      <c r="I100" s="39">
        <f ca="1">IFERROR(__xludf.DUMMYFUNCTION("IF(SUM(COUNTIF(artists!A:A, SPLIT(D100, "",""))) &gt; 0, ""UA"", 0)"),0)</f>
        <v>0</v>
      </c>
      <c r="J100" s="40">
        <f ca="1">IFERROR(__xludf.DUMMYFUNCTION("IF(SUM(COUNTIF(artists!C:C, SPLIT(D100, "",""))) &gt; 0, ""RU"", 0)"),0)</f>
        <v>0</v>
      </c>
      <c r="K100" s="39" t="str">
        <f ca="1">IFERROR(__xludf.DUMMYFUNCTION("IF(SUM(COUNTIF(artists!E:E, SPLIT(D100, "",""))) &gt; 0, ""OTHER"", 0)"),"OTHER")</f>
        <v>OTHER</v>
      </c>
    </row>
    <row r="101" spans="1:11" ht="14.25" customHeight="1">
      <c r="A101" s="21">
        <v>100</v>
      </c>
      <c r="B101" s="21">
        <v>53</v>
      </c>
      <c r="C101" s="21" t="s">
        <v>1065</v>
      </c>
      <c r="D101" s="21" t="s">
        <v>352</v>
      </c>
      <c r="E101" s="21">
        <v>3</v>
      </c>
      <c r="F101" s="21">
        <v>120901</v>
      </c>
      <c r="G101" s="42">
        <v>-0.44600000000000001</v>
      </c>
      <c r="H101" s="21" t="s">
        <v>1066</v>
      </c>
      <c r="I101" s="39" t="str">
        <f ca="1">IFERROR(__xludf.DUMMYFUNCTION("IF(SUM(COUNTIF(artists!A:A, SPLIT(D101, "",""))) &gt; 0, ""UA"", 0)"),"UA")</f>
        <v>UA</v>
      </c>
      <c r="J101" s="40">
        <f ca="1">IFERROR(__xludf.DUMMYFUNCTION("IF(SUM(COUNTIF(artists!C:C, SPLIT(D101, "",""))) &gt; 0, ""RU"", 0)"),0)</f>
        <v>0</v>
      </c>
      <c r="K101" s="39">
        <f ca="1">IFERROR(__xludf.DUMMYFUNCTION("IF(SUM(COUNTIF(artists!E:E, SPLIT(D101, "",""))) &gt; 0, ""OTHER"", 0)"),0)</f>
        <v>0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93" priority="1">
      <formula>AND($I2=0, $J2=0, $K2=0)</formula>
    </cfRule>
    <cfRule type="expression" dxfId="92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Аркуш17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3" width="8.6640625" customWidth="1"/>
    <col min="4" max="4" width="12.6640625" customWidth="1"/>
    <col min="5" max="5" width="8.6640625" hidden="1" customWidth="1"/>
    <col min="6" max="6" width="8.6640625" customWidth="1"/>
    <col min="7" max="7" width="13.10937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B2" s="21">
        <v>1</v>
      </c>
      <c r="C2" s="21" t="s">
        <v>88</v>
      </c>
      <c r="D2" s="21" t="s">
        <v>89</v>
      </c>
      <c r="E2" s="21">
        <v>16</v>
      </c>
      <c r="F2" s="21">
        <v>1194887</v>
      </c>
      <c r="G2" s="42">
        <v>-3.2000000000000001E-2</v>
      </c>
      <c r="H2" s="21" t="s">
        <v>90</v>
      </c>
      <c r="I2" s="39" t="str">
        <f ca="1">IFERROR(__xludf.DUMMYFUNCTION("IF(SUM(COUNTIF(artists!A:A, SPLIT(D2, "",""))) &gt; 0, ""UA"", 0)"),"UA")</f>
        <v>UA</v>
      </c>
      <c r="J2" s="40">
        <f ca="1">IFERROR(__xludf.DUMMYFUNCTION("IF(SUM(COUNTIF(artists!C:C, SPLIT(D2, "",""))) &gt; 0, ""RU"", 0)"),0)</f>
        <v>0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C3" s="21" t="s">
        <v>95</v>
      </c>
      <c r="D3" s="21" t="s">
        <v>96</v>
      </c>
      <c r="E3" s="21">
        <v>1</v>
      </c>
      <c r="F3" s="21">
        <v>1168387</v>
      </c>
      <c r="H3" s="21" t="s">
        <v>98</v>
      </c>
      <c r="I3" s="39" t="str">
        <f ca="1">IFERROR(__xludf.DUMMYFUNCTION("IF(SUM(COUNTIF(artists!A:A, SPLIT(D3, "",""))) &gt; 0, ""UA"", 0)"),"UA")</f>
        <v>UA</v>
      </c>
      <c r="J3" s="40">
        <f ca="1">IFERROR(__xludf.DUMMYFUNCTION("IF(SUM(COUNTIF(artists!C:C, SPLIT(D3, "",""))) &gt; 0, ""RU"", 0)"),0)</f>
        <v>0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B4" s="21">
        <v>2</v>
      </c>
      <c r="C4" s="21" t="s">
        <v>351</v>
      </c>
      <c r="D4" s="21" t="s">
        <v>352</v>
      </c>
      <c r="E4" s="21">
        <v>4</v>
      </c>
      <c r="F4" s="21">
        <v>735011</v>
      </c>
      <c r="G4" s="42">
        <v>-0.16600000000000001</v>
      </c>
      <c r="H4" s="21" t="s">
        <v>354</v>
      </c>
      <c r="I4" s="39" t="str">
        <f ca="1">IFERROR(__xludf.DUMMYFUNCTION("IF(SUM(COUNTIF(artists!A:A, SPLIT(D4, "",""))) &gt; 0, ""UA"", 0)"),"UA")</f>
        <v>UA</v>
      </c>
      <c r="J4" s="40">
        <f ca="1">IFERROR(__xludf.DUMMYFUNCTION("IF(SUM(COUNTIF(artists!C:C, SPLIT(D4, "",""))) &gt; 0, ""RU"", 0)"),0)</f>
        <v>0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B5" s="21">
        <v>5</v>
      </c>
      <c r="C5" s="21" t="s">
        <v>128</v>
      </c>
      <c r="D5" s="21" t="s">
        <v>129</v>
      </c>
      <c r="E5" s="21">
        <v>24</v>
      </c>
      <c r="F5" s="21">
        <v>644214</v>
      </c>
      <c r="G5" s="42">
        <v>-9.8000000000000004E-2</v>
      </c>
      <c r="H5" s="21" t="s">
        <v>131</v>
      </c>
      <c r="I5" s="39" t="str">
        <f ca="1">IFERROR(__xludf.DUMMYFUNCTION("IF(SUM(COUNTIF(artists!A:A, SPLIT(D5, "",""))) &gt; 0, ""UA"", 0)"),"UA")</f>
        <v>UA</v>
      </c>
      <c r="J5" s="40">
        <f ca="1">IFERROR(__xludf.DUMMYFUNCTION("IF(SUM(COUNTIF(artists!C:C, SPLIT(D5, "",""))) &gt; 0, ""RU"", 0)"),0)</f>
        <v>0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B6" s="21">
        <v>3</v>
      </c>
      <c r="C6" s="21" t="s">
        <v>115</v>
      </c>
      <c r="D6" s="21" t="s">
        <v>116</v>
      </c>
      <c r="E6" s="21">
        <v>18</v>
      </c>
      <c r="F6" s="21">
        <v>629076</v>
      </c>
      <c r="G6" s="42">
        <v>-0.14599999999999999</v>
      </c>
      <c r="H6" s="21" t="s">
        <v>117</v>
      </c>
      <c r="I6" s="39" t="str">
        <f ca="1">IFERROR(__xludf.DUMMYFUNCTION("IF(SUM(COUNTIF(artists!A:A, SPLIT(D6, "",""))) &gt; 0, ""UA"", 0)"),"UA")</f>
        <v>UA</v>
      </c>
      <c r="J6" s="40">
        <f ca="1">IFERROR(__xludf.DUMMYFUNCTION("IF(SUM(COUNTIF(artists!C:C, SPLIT(D6, "",""))) &gt; 0, ""RU"", 0)"),0)</f>
        <v>0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B7" s="21">
        <v>6</v>
      </c>
      <c r="C7" s="21" t="s">
        <v>645</v>
      </c>
      <c r="D7" s="21" t="s">
        <v>352</v>
      </c>
      <c r="E7" s="21">
        <v>41</v>
      </c>
      <c r="F7" s="21">
        <v>621914</v>
      </c>
      <c r="G7" s="42">
        <v>-0.106</v>
      </c>
      <c r="H7" s="21" t="s">
        <v>647</v>
      </c>
      <c r="I7" s="39" t="str">
        <f ca="1">IFERROR(__xludf.DUMMYFUNCTION("IF(SUM(COUNTIF(artists!A:A, SPLIT(D7, "",""))) &gt; 0, ""UA"", 0)"),"UA")</f>
        <v>UA</v>
      </c>
      <c r="J7" s="40">
        <f ca="1">IFERROR(__xludf.DUMMYFUNCTION("IF(SUM(COUNTIF(artists!C:C, SPLIT(D7, "",""))) &gt; 0, ""RU"", 0)"),0)</f>
        <v>0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B8" s="21">
        <v>8</v>
      </c>
      <c r="C8" s="21" t="s">
        <v>132</v>
      </c>
      <c r="D8" s="21" t="s">
        <v>133</v>
      </c>
      <c r="E8" s="21">
        <v>28</v>
      </c>
      <c r="F8" s="21">
        <v>609362</v>
      </c>
      <c r="G8" s="42">
        <v>-1E-3</v>
      </c>
      <c r="H8" s="21" t="s">
        <v>135</v>
      </c>
      <c r="I8" s="39" t="str">
        <f ca="1">IFERROR(__xludf.DUMMYFUNCTION("IF(SUM(COUNTIF(artists!A:A, SPLIT(D8, "",""))) &gt; 0, ""UA"", 0)"),"UA")</f>
        <v>UA</v>
      </c>
      <c r="J8" s="40">
        <f ca="1">IFERROR(__xludf.DUMMYFUNCTION("IF(SUM(COUNTIF(artists!C:C, SPLIT(D8, "",""))) &gt; 0, ""RU"", 0)"),0)</f>
        <v>0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B9" s="21">
        <v>4</v>
      </c>
      <c r="C9" s="21" t="s">
        <v>145</v>
      </c>
      <c r="D9" s="21" t="s">
        <v>146</v>
      </c>
      <c r="E9" s="21">
        <v>22</v>
      </c>
      <c r="F9" s="21">
        <v>592028</v>
      </c>
      <c r="G9" s="43">
        <v>-0.19</v>
      </c>
      <c r="H9" s="21" t="s">
        <v>148</v>
      </c>
      <c r="I9" s="39" t="str">
        <f ca="1">IFERROR(__xludf.DUMMYFUNCTION("IF(SUM(COUNTIF(artists!A:A, SPLIT(D9, "",""))) &gt; 0, ""UA"", 0)"),"UA")</f>
        <v>UA</v>
      </c>
      <c r="J9" s="40">
        <f ca="1">IFERROR(__xludf.DUMMYFUNCTION("IF(SUM(COUNTIF(artists!C:C, SPLIT(D9, "",""))) &gt; 0, ""RU"", 0)"),0)</f>
        <v>0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B10" s="21">
        <v>12</v>
      </c>
      <c r="C10" s="21" t="s">
        <v>186</v>
      </c>
      <c r="D10" s="21" t="s">
        <v>187</v>
      </c>
      <c r="E10" s="21">
        <v>32</v>
      </c>
      <c r="F10" s="21">
        <v>578533</v>
      </c>
      <c r="G10" s="42">
        <v>6.2E-2</v>
      </c>
      <c r="H10" s="21" t="s">
        <v>189</v>
      </c>
      <c r="I10" s="39" t="str">
        <f ca="1">IFERROR(__xludf.DUMMYFUNCTION("IF(SUM(COUNTIF(artists!A:A, SPLIT(D10, "",""))) &gt; 0, ""UA"", 0)"),"UA")</f>
        <v>UA</v>
      </c>
      <c r="J10" s="40">
        <f ca="1">IFERROR(__xludf.DUMMYFUNCTION("IF(SUM(COUNTIF(artists!C:C, SPLIT(D10, "",""))) &gt; 0, ""RU"", 0)"),0)</f>
        <v>0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B11" s="21">
        <v>10</v>
      </c>
      <c r="C11" s="21" t="s">
        <v>175</v>
      </c>
      <c r="D11" s="21" t="s">
        <v>89</v>
      </c>
      <c r="E11" s="21">
        <v>28</v>
      </c>
      <c r="F11" s="21">
        <v>551770</v>
      </c>
      <c r="G11" s="42">
        <v>-2.3E-2</v>
      </c>
      <c r="H11" s="21" t="s">
        <v>177</v>
      </c>
      <c r="I11" s="39" t="str">
        <f ca="1">IFERROR(__xludf.DUMMYFUNCTION("IF(SUM(COUNTIF(artists!A:A, SPLIT(D11, "",""))) &gt; 0, ""UA"", 0)"),"UA")</f>
        <v>UA</v>
      </c>
      <c r="J11" s="40">
        <f ca="1">IFERROR(__xludf.DUMMYFUNCTION("IF(SUM(COUNTIF(artists!C:C, SPLIT(D11, "",""))) &gt; 0, ""RU"", 0)"),0)</f>
        <v>0</v>
      </c>
      <c r="K11" s="39">
        <f ca="1">IFERROR(__xludf.DUMMYFUNCTION("IF(SUM(COUNTIF(artists!E:E, SPLIT(D11, "",""))) &gt; 0, ""OTHER"", 0)"),0)</f>
        <v>0</v>
      </c>
    </row>
    <row r="12" spans="1:11" ht="14.25" customHeight="1">
      <c r="A12" s="21">
        <v>11</v>
      </c>
      <c r="B12" s="21">
        <v>9</v>
      </c>
      <c r="C12" s="21" t="s">
        <v>182</v>
      </c>
      <c r="D12" s="21" t="s">
        <v>183</v>
      </c>
      <c r="E12" s="21">
        <v>24</v>
      </c>
      <c r="F12" s="21">
        <v>528252</v>
      </c>
      <c r="G12" s="42">
        <v>-9.8000000000000004E-2</v>
      </c>
      <c r="H12" s="21" t="s">
        <v>185</v>
      </c>
      <c r="I12" s="39" t="str">
        <f ca="1">IFERROR(__xludf.DUMMYFUNCTION("IF(SUM(COUNTIF(artists!A:A, SPLIT(D12, "",""))) &gt; 0, ""UA"", 0)"),"UA")</f>
        <v>UA</v>
      </c>
      <c r="J12" s="40">
        <f ca="1">IFERROR(__xludf.DUMMYFUNCTION("IF(SUM(COUNTIF(artists!C:C, SPLIT(D12, "",""))) &gt; 0, ""RU"", 0)"),0)</f>
        <v>0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B13" s="21">
        <v>7</v>
      </c>
      <c r="C13" s="21" t="s">
        <v>500</v>
      </c>
      <c r="D13" s="21" t="s">
        <v>501</v>
      </c>
      <c r="E13" s="21">
        <v>7</v>
      </c>
      <c r="F13" s="21">
        <v>527097</v>
      </c>
      <c r="G13" s="42">
        <v>-0.17799999999999999</v>
      </c>
      <c r="H13" s="21" t="s">
        <v>503</v>
      </c>
      <c r="I13" s="39">
        <f ca="1">IFERROR(__xludf.DUMMYFUNCTION("IF(SUM(COUNTIF(artists!A:A, SPLIT(D13, "",""))) &gt; 0, ""UA"", 0)"),0)</f>
        <v>0</v>
      </c>
      <c r="J13" s="40" t="str">
        <f ca="1">IFERROR(__xludf.DUMMYFUNCTION("IF(SUM(COUNTIF(artists!C:C, SPLIT(D13, "",""))) &gt; 0, ""RU"", 0)"),"RU")</f>
        <v>RU</v>
      </c>
      <c r="K13" s="39">
        <f ca="1">IFERROR(__xludf.DUMMYFUNCTION("IF(SUM(COUNTIF(artists!E:E, SPLIT(D13, "",""))) &gt; 0, ""OTHER"", 0)"),0)</f>
        <v>0</v>
      </c>
    </row>
    <row r="14" spans="1:11" ht="14.25" customHeight="1">
      <c r="A14" s="21">
        <v>13</v>
      </c>
      <c r="B14" s="21">
        <v>13</v>
      </c>
      <c r="C14" s="21" t="s">
        <v>149</v>
      </c>
      <c r="D14" s="21" t="s">
        <v>150</v>
      </c>
      <c r="E14" s="21">
        <v>21</v>
      </c>
      <c r="F14" s="21">
        <v>506081</v>
      </c>
      <c r="G14" s="42">
        <v>-3.4000000000000002E-2</v>
      </c>
      <c r="H14" s="21" t="s">
        <v>152</v>
      </c>
      <c r="I14" s="39" t="str">
        <f ca="1">IFERROR(__xludf.DUMMYFUNCTION("IF(SUM(COUNTIF(artists!A:A, SPLIT(D14, "",""))) &gt; 0, ""UA"", 0)"),"UA")</f>
        <v>UA</v>
      </c>
      <c r="J14" s="40">
        <f ca="1">IFERROR(__xludf.DUMMYFUNCTION("IF(SUM(COUNTIF(artists!C:C, SPLIT(D14, "",""))) &gt; 0, ""RU"", 0)"),0)</f>
        <v>0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B15" s="21">
        <v>21</v>
      </c>
      <c r="C15" s="21" t="s">
        <v>286</v>
      </c>
      <c r="D15" s="21" t="s">
        <v>287</v>
      </c>
      <c r="E15" s="21">
        <v>3</v>
      </c>
      <c r="F15" s="21">
        <v>478849</v>
      </c>
      <c r="G15" s="42">
        <v>0.128</v>
      </c>
      <c r="H15" s="21" t="s">
        <v>289</v>
      </c>
      <c r="I15" s="39">
        <f ca="1">IFERROR(__xludf.DUMMYFUNCTION("IF(SUM(COUNTIF(artists!A:A, SPLIT(D15, "",""))) &gt; 0, ""UA"", 0)"),0)</f>
        <v>0</v>
      </c>
      <c r="J15" s="40" t="str">
        <f ca="1">IFERROR(__xludf.DUMMYFUNCTION("IF(SUM(COUNTIF(artists!C:C, SPLIT(D15, "",""))) &gt; 0, ""RU"", 0)"),"RU")</f>
        <v>RU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B16" s="21">
        <v>11</v>
      </c>
      <c r="C16" s="21" t="s">
        <v>202</v>
      </c>
      <c r="D16" s="21" t="s">
        <v>835</v>
      </c>
      <c r="E16" s="21">
        <v>18</v>
      </c>
      <c r="F16" s="21">
        <v>465950</v>
      </c>
      <c r="G16" s="42">
        <v>-0.17199999999999999</v>
      </c>
      <c r="H16" s="21" t="s">
        <v>204</v>
      </c>
      <c r="I16" s="39" t="str">
        <f ca="1">IFERROR(__xludf.DUMMYFUNCTION("IF(SUM(COUNTIF(artists!A:A, SPLIT(D16, "",""))) &gt; 0, ""UA"", 0)"),"UA")</f>
        <v>UA</v>
      </c>
      <c r="J16" s="40">
        <f ca="1">IFERROR(__xludf.DUMMYFUNCTION("IF(SUM(COUNTIF(artists!C:C, SPLIT(D16, "",""))) &gt; 0, ""RU"", 0)"),0)</f>
        <v>0</v>
      </c>
      <c r="K16" s="39">
        <f ca="1">IFERROR(__xludf.DUMMYFUNCTION("IF(SUM(COUNTIF(artists!E:E, SPLIT(D16, "",""))) &gt; 0, ""OTHER"", 0)"),0)</f>
        <v>0</v>
      </c>
    </row>
    <row r="17" spans="1:11" ht="14.25" customHeight="1">
      <c r="A17" s="21">
        <v>16</v>
      </c>
      <c r="B17" s="21">
        <v>14</v>
      </c>
      <c r="C17" s="21" t="s">
        <v>171</v>
      </c>
      <c r="D17" s="21" t="s">
        <v>172</v>
      </c>
      <c r="E17" s="21">
        <v>23</v>
      </c>
      <c r="F17" s="21">
        <v>440077</v>
      </c>
      <c r="G17" s="42">
        <v>-0.159</v>
      </c>
      <c r="H17" s="21" t="s">
        <v>174</v>
      </c>
      <c r="I17" s="39">
        <f ca="1">IFERROR(__xludf.DUMMYFUNCTION("IF(SUM(COUNTIF(artists!A:A, SPLIT(D17, "",""))) &gt; 0, ""UA"", 0)"),0)</f>
        <v>0</v>
      </c>
      <c r="J17" s="40" t="str">
        <f ca="1">IFERROR(__xludf.DUMMYFUNCTION("IF(SUM(COUNTIF(artists!C:C, SPLIT(D17, "",""))) &gt; 0, ""RU"", 0)"),"RU")</f>
        <v>RU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B18" s="21">
        <v>26</v>
      </c>
      <c r="C18" s="21" t="s">
        <v>168</v>
      </c>
      <c r="D18" s="21" t="s">
        <v>137</v>
      </c>
      <c r="E18" s="21">
        <v>19</v>
      </c>
      <c r="F18" s="21">
        <v>438232</v>
      </c>
      <c r="G18" s="42">
        <v>0.17799999999999999</v>
      </c>
      <c r="H18" s="21" t="s">
        <v>170</v>
      </c>
      <c r="I18" s="39" t="str">
        <f ca="1">IFERROR(__xludf.DUMMYFUNCTION("IF(SUM(COUNTIF(artists!A:A, SPLIT(D18, "",""))) &gt; 0, ""UA"", 0)"),"UA")</f>
        <v>UA</v>
      </c>
      <c r="J18" s="40">
        <f ca="1">IFERROR(__xludf.DUMMYFUNCTION("IF(SUM(COUNTIF(artists!C:C, SPLIT(D18, "",""))) &gt; 0, ""RU"", 0)"),0)</f>
        <v>0</v>
      </c>
      <c r="K18" s="39">
        <f ca="1">IFERROR(__xludf.DUMMYFUNCTION("IF(SUM(COUNTIF(artists!E:E, SPLIT(D18, "",""))) &gt; 0, ""OTHER"", 0)"),0)</f>
        <v>0</v>
      </c>
    </row>
    <row r="19" spans="1:11" ht="14.25" customHeight="1">
      <c r="A19" s="21">
        <v>18</v>
      </c>
      <c r="B19" s="21">
        <v>18</v>
      </c>
      <c r="C19" s="21" t="s">
        <v>194</v>
      </c>
      <c r="D19" s="21" t="s">
        <v>195</v>
      </c>
      <c r="E19" s="21">
        <v>31</v>
      </c>
      <c r="F19" s="21">
        <v>419557</v>
      </c>
      <c r="G19" s="42">
        <v>-9.1999999999999998E-2</v>
      </c>
      <c r="H19" s="21" t="s">
        <v>197</v>
      </c>
      <c r="I19" s="39" t="str">
        <f ca="1">IFERROR(__xludf.DUMMYFUNCTION("IF(SUM(COUNTIF(artists!A:A, SPLIT(D19, "",""))) &gt; 0, ""UA"", 0)"),"UA")</f>
        <v>UA</v>
      </c>
      <c r="J19" s="40">
        <f ca="1">IFERROR(__xludf.DUMMYFUNCTION("IF(SUM(COUNTIF(artists!C:C, SPLIT(D19, "",""))) &gt; 0, ""RU"", 0)"),0)</f>
        <v>0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C20" s="21" t="s">
        <v>1049</v>
      </c>
      <c r="D20" s="21" t="s">
        <v>1050</v>
      </c>
      <c r="E20" s="21">
        <v>1</v>
      </c>
      <c r="F20" s="21">
        <v>418452</v>
      </c>
      <c r="H20" s="21" t="s">
        <v>1051</v>
      </c>
      <c r="I20" s="39">
        <f ca="1">IFERROR(__xludf.DUMMYFUNCTION("IF(SUM(COUNTIF(artists!A:A, SPLIT(D20, "",""))) &gt; 0, ""UA"", 0)"),0)</f>
        <v>0</v>
      </c>
      <c r="J20" s="40" t="str">
        <f ca="1">IFERROR(__xludf.DUMMYFUNCTION("IF(SUM(COUNTIF(artists!C:C, SPLIT(D20, "",""))) &gt; 0, ""RU"", 0)"),"RU")</f>
        <v>RU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B21" s="21">
        <v>17</v>
      </c>
      <c r="C21" s="21" t="s">
        <v>844</v>
      </c>
      <c r="D21" s="21" t="s">
        <v>457</v>
      </c>
      <c r="E21" s="21">
        <v>8</v>
      </c>
      <c r="F21" s="21">
        <v>415060</v>
      </c>
      <c r="G21" s="42">
        <v>-0.10199999999999999</v>
      </c>
      <c r="H21" s="21" t="s">
        <v>459</v>
      </c>
      <c r="I21" s="39">
        <f ca="1">IFERROR(__xludf.DUMMYFUNCTION("IF(SUM(COUNTIF(artists!A:A, SPLIT(D21, "",""))) &gt; 0, ""UA"", 0)"),0)</f>
        <v>0</v>
      </c>
      <c r="J21" s="40">
        <f ca="1">IFERROR(__xludf.DUMMYFUNCTION("IF(SUM(COUNTIF(artists!C:C, SPLIT(D21, "",""))) &gt; 0, ""RU"", 0)"),0)</f>
        <v>0</v>
      </c>
      <c r="K21" s="39" t="str">
        <f ca="1">IFERROR(__xludf.DUMMYFUNCTION("IF(SUM(COUNTIF(artists!E:E, SPLIT(D21, "",""))) &gt; 0, ""OTHER"", 0)"),"OTHER")</f>
        <v>OTHER</v>
      </c>
    </row>
    <row r="22" spans="1:11" ht="14.25" customHeight="1">
      <c r="A22" s="21">
        <v>21</v>
      </c>
      <c r="B22" s="21">
        <v>20</v>
      </c>
      <c r="C22" s="21" t="s">
        <v>198</v>
      </c>
      <c r="D22" s="21" t="s">
        <v>199</v>
      </c>
      <c r="E22" s="21">
        <v>9</v>
      </c>
      <c r="F22" s="21">
        <v>397697</v>
      </c>
      <c r="G22" s="42">
        <v>-8.7999999999999995E-2</v>
      </c>
      <c r="H22" s="21" t="s">
        <v>201</v>
      </c>
      <c r="I22" s="39" t="str">
        <f ca="1">IFERROR(__xludf.DUMMYFUNCTION("IF(SUM(COUNTIF(artists!A:A, SPLIT(D22, "",""))) &gt; 0, ""UA"", 0)"),"UA")</f>
        <v>UA</v>
      </c>
      <c r="J22" s="40">
        <f ca="1">IFERROR(__xludf.DUMMYFUNCTION("IF(SUM(COUNTIF(artists!C:C, SPLIT(D22, "",""))) &gt; 0, ""RU"", 0)"),0)</f>
        <v>0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B23" s="21">
        <v>28</v>
      </c>
      <c r="C23" s="21" t="s">
        <v>190</v>
      </c>
      <c r="D23" s="21" t="s">
        <v>191</v>
      </c>
      <c r="E23" s="21">
        <v>3</v>
      </c>
      <c r="F23" s="21">
        <v>394308</v>
      </c>
      <c r="G23" s="42">
        <v>0.14299999999999999</v>
      </c>
      <c r="H23" s="21" t="s">
        <v>193</v>
      </c>
      <c r="I23" s="39" t="str">
        <f ca="1">IFERROR(__xludf.DUMMYFUNCTION("IF(SUM(COUNTIF(artists!A:A, SPLIT(D23, "",""))) &gt; 0, ""UA"", 0)"),"UA")</f>
        <v>UA</v>
      </c>
      <c r="J23" s="40">
        <f ca="1">IFERROR(__xludf.DUMMYFUNCTION("IF(SUM(COUNTIF(artists!C:C, SPLIT(D23, "",""))) &gt; 0, ""RU"", 0)"),0)</f>
        <v>0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B24" s="21">
        <v>16</v>
      </c>
      <c r="C24" s="21" t="s">
        <v>247</v>
      </c>
      <c r="D24" s="21" t="s">
        <v>454</v>
      </c>
      <c r="E24" s="21">
        <v>5</v>
      </c>
      <c r="F24" s="21">
        <v>384351</v>
      </c>
      <c r="G24" s="42">
        <v>-0.186</v>
      </c>
      <c r="H24" s="21" t="s">
        <v>250</v>
      </c>
      <c r="I24" s="39" t="str">
        <f ca="1">IFERROR(__xludf.DUMMYFUNCTION("IF(SUM(COUNTIF(artists!A:A, SPLIT(D24, "",""))) &gt; 0, ""UA"", 0)"),"UA")</f>
        <v>UA</v>
      </c>
      <c r="J24" s="40">
        <f ca="1">IFERROR(__xludf.DUMMYFUNCTION("IF(SUM(COUNTIF(artists!C:C, SPLIT(D24, "",""))) &gt; 0, ""RU"", 0)"),0)</f>
        <v>0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B25" s="21">
        <v>19</v>
      </c>
      <c r="C25" s="21" t="s">
        <v>209</v>
      </c>
      <c r="D25" s="21" t="s">
        <v>210</v>
      </c>
      <c r="E25" s="21">
        <v>21</v>
      </c>
      <c r="F25" s="21">
        <v>381758</v>
      </c>
      <c r="G25" s="43">
        <v>-0.13</v>
      </c>
      <c r="H25" s="21" t="s">
        <v>212</v>
      </c>
      <c r="I25" s="39" t="str">
        <f ca="1">IFERROR(__xludf.DUMMYFUNCTION("IF(SUM(COUNTIF(artists!A:A, SPLIT(D25, "",""))) &gt; 0, ""UA"", 0)"),"UA")</f>
        <v>UA</v>
      </c>
      <c r="J25" s="40">
        <f ca="1">IFERROR(__xludf.DUMMYFUNCTION("IF(SUM(COUNTIF(artists!C:C, SPLIT(D25, "",""))) &gt; 0, ""RU"", 0)"),0)</f>
        <v>0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B26" s="21">
        <v>23</v>
      </c>
      <c r="C26" s="21" t="s">
        <v>178</v>
      </c>
      <c r="D26" s="21" t="s">
        <v>179</v>
      </c>
      <c r="E26" s="21">
        <v>32</v>
      </c>
      <c r="F26" s="21">
        <v>369668</v>
      </c>
      <c r="G26" s="42">
        <v>-7.2999999999999995E-2</v>
      </c>
      <c r="H26" s="21" t="s">
        <v>181</v>
      </c>
      <c r="I26" s="39" t="str">
        <f ca="1">IFERROR(__xludf.DUMMYFUNCTION("IF(SUM(COUNTIF(artists!A:A, SPLIT(D26, "",""))) &gt; 0, ""UA"", 0)"),"UA")</f>
        <v>UA</v>
      </c>
      <c r="J26" s="40">
        <f ca="1">IFERROR(__xludf.DUMMYFUNCTION("IF(SUM(COUNTIF(artists!C:C, SPLIT(D26, "",""))) &gt; 0, ""RU"", 0)"),0)</f>
        <v>0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B27" s="21">
        <v>24</v>
      </c>
      <c r="C27" s="21" t="s">
        <v>255</v>
      </c>
      <c r="D27" s="21" t="s">
        <v>256</v>
      </c>
      <c r="E27" s="21">
        <v>18</v>
      </c>
      <c r="F27" s="21">
        <v>353049</v>
      </c>
      <c r="G27" s="42">
        <v>-9.9000000000000005E-2</v>
      </c>
      <c r="H27" s="21" t="s">
        <v>257</v>
      </c>
      <c r="I27" s="39" t="str">
        <f ca="1">IFERROR(__xludf.DUMMYFUNCTION("IF(SUM(COUNTIF(artists!A:A, SPLIT(D27, "",""))) &gt; 0, ""UA"", 0)"),"UA")</f>
        <v>UA</v>
      </c>
      <c r="J27" s="40">
        <f ca="1">IFERROR(__xludf.DUMMYFUNCTION("IF(SUM(COUNTIF(artists!C:C, SPLIT(D27, "",""))) &gt; 0, ""RU"", 0)"),0)</f>
        <v>0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B28" s="21">
        <v>32</v>
      </c>
      <c r="C28" s="21" t="s">
        <v>841</v>
      </c>
      <c r="D28" s="21" t="s">
        <v>842</v>
      </c>
      <c r="E28" s="21">
        <v>33</v>
      </c>
      <c r="F28" s="21">
        <v>349514</v>
      </c>
      <c r="G28" s="42">
        <v>9.5000000000000001E-2</v>
      </c>
      <c r="H28" s="21" t="s">
        <v>843</v>
      </c>
      <c r="I28" s="39">
        <f ca="1">IFERROR(__xludf.DUMMYFUNCTION("IF(SUM(COUNTIF(artists!A:A, SPLIT(D28, "",""))) &gt; 0, ""UA"", 0)"),0)</f>
        <v>0</v>
      </c>
      <c r="J28" s="40">
        <f ca="1">IFERROR(__xludf.DUMMYFUNCTION("IF(SUM(COUNTIF(artists!C:C, SPLIT(D28, "",""))) &gt; 0, ""RU"", 0)"),0)</f>
        <v>0</v>
      </c>
      <c r="K28" s="39" t="str">
        <f ca="1">IFERROR(__xludf.DUMMYFUNCTION("IF(SUM(COUNTIF(artists!E:E, SPLIT(D28, "",""))) &gt; 0, ""OTHER"", 0)"),"OTHER")</f>
        <v>OTHER</v>
      </c>
    </row>
    <row r="29" spans="1:11" ht="14.25" customHeight="1">
      <c r="A29" s="21">
        <v>28</v>
      </c>
      <c r="B29" s="21">
        <v>22</v>
      </c>
      <c r="C29" s="21" t="s">
        <v>700</v>
      </c>
      <c r="D29" s="21" t="s">
        <v>701</v>
      </c>
      <c r="E29" s="21">
        <v>9</v>
      </c>
      <c r="F29" s="21">
        <v>330024</v>
      </c>
      <c r="G29" s="42">
        <v>-0.19500000000000001</v>
      </c>
      <c r="H29" s="21" t="s">
        <v>702</v>
      </c>
      <c r="I29" s="39">
        <f ca="1">IFERROR(__xludf.DUMMYFUNCTION("IF(SUM(COUNTIF(artists!A:A, SPLIT(D29, "",""))) &gt; 0, ""UA"", 0)"),0)</f>
        <v>0</v>
      </c>
      <c r="J29" s="40" t="str">
        <f ca="1">IFERROR(__xludf.DUMMYFUNCTION("IF(SUM(COUNTIF(artists!C:C, SPLIT(D29, "",""))) &gt; 0, ""RU"", 0)"),"RU")</f>
        <v>RU</v>
      </c>
      <c r="K29" s="39">
        <f ca="1">IFERROR(__xludf.DUMMYFUNCTION("IF(SUM(COUNTIF(artists!E:E, SPLIT(D29, "",""))) &gt; 0, ""OTHER"", 0)"),0)</f>
        <v>0</v>
      </c>
    </row>
    <row r="30" spans="1:11" ht="14.25" customHeight="1">
      <c r="A30" s="21">
        <v>29</v>
      </c>
      <c r="B30" s="21">
        <v>27</v>
      </c>
      <c r="C30" s="21" t="s">
        <v>968</v>
      </c>
      <c r="D30" s="21" t="s">
        <v>969</v>
      </c>
      <c r="E30" s="21">
        <v>48</v>
      </c>
      <c r="F30" s="21">
        <v>326796</v>
      </c>
      <c r="G30" s="42">
        <v>-9.4E-2</v>
      </c>
      <c r="H30" s="21" t="s">
        <v>970</v>
      </c>
      <c r="I30" s="39" t="str">
        <f ca="1">IFERROR(__xludf.DUMMYFUNCTION("IF(SUM(COUNTIF(artists!A:A, SPLIT(D30, "",""))) &gt; 0, ""UA"", 0)"),"UA")</f>
        <v>UA</v>
      </c>
      <c r="J30" s="40">
        <f ca="1">IFERROR(__xludf.DUMMYFUNCTION("IF(SUM(COUNTIF(artists!C:C, SPLIT(D30, "",""))) &gt; 0, ""RU"", 0)"),0)</f>
        <v>0</v>
      </c>
      <c r="K30" s="39">
        <f ca="1">IFERROR(__xludf.DUMMYFUNCTION("IF(SUM(COUNTIF(artists!E:E, SPLIT(D30, "",""))) &gt; 0, ""OTHER"", 0)"),0)</f>
        <v>0</v>
      </c>
    </row>
    <row r="31" spans="1:11" ht="14.25" customHeight="1">
      <c r="A31" s="21">
        <v>30</v>
      </c>
      <c r="B31" s="21">
        <v>25</v>
      </c>
      <c r="C31" s="21" t="s">
        <v>160</v>
      </c>
      <c r="D31" s="21" t="s">
        <v>161</v>
      </c>
      <c r="E31" s="21">
        <v>22</v>
      </c>
      <c r="F31" s="21">
        <v>304191</v>
      </c>
      <c r="G31" s="42">
        <v>-0.186</v>
      </c>
      <c r="H31" s="21" t="s">
        <v>163</v>
      </c>
      <c r="I31" s="39" t="str">
        <f ca="1">IFERROR(__xludf.DUMMYFUNCTION("IF(SUM(COUNTIF(artists!A:A, SPLIT(D31, "",""))) &gt; 0, ""UA"", 0)"),"UA")</f>
        <v>UA</v>
      </c>
      <c r="J31" s="40">
        <f ca="1">IFERROR(__xludf.DUMMYFUNCTION("IF(SUM(COUNTIF(artists!C:C, SPLIT(D31, "",""))) &gt; 0, ""RU"", 0)"),0)</f>
        <v>0</v>
      </c>
      <c r="K31" s="39">
        <f ca="1">IFERROR(__xludf.DUMMYFUNCTION("IF(SUM(COUNTIF(artists!E:E, SPLIT(D31, "",""))) &gt; 0, ""OTHER"", 0)"),0)</f>
        <v>0</v>
      </c>
    </row>
    <row r="32" spans="1:11" ht="14.25" customHeight="1">
      <c r="A32" s="21">
        <v>31</v>
      </c>
      <c r="B32" s="21">
        <v>35</v>
      </c>
      <c r="C32" s="21" t="s">
        <v>251</v>
      </c>
      <c r="D32" s="21" t="s">
        <v>133</v>
      </c>
      <c r="E32" s="21">
        <v>13</v>
      </c>
      <c r="F32" s="21">
        <v>302990</v>
      </c>
      <c r="G32" s="42">
        <v>-2.1000000000000001E-2</v>
      </c>
      <c r="H32" s="21" t="s">
        <v>252</v>
      </c>
      <c r="I32" s="39" t="str">
        <f ca="1">IFERROR(__xludf.DUMMYFUNCTION("IF(SUM(COUNTIF(artists!A:A, SPLIT(D32, "",""))) &gt; 0, ""UA"", 0)"),"UA")</f>
        <v>UA</v>
      </c>
      <c r="J32" s="40">
        <f ca="1">IFERROR(__xludf.DUMMYFUNCTION("IF(SUM(COUNTIF(artists!C:C, SPLIT(D32, "",""))) &gt; 0, ""RU"", 0)"),0)</f>
        <v>0</v>
      </c>
      <c r="K32" s="39">
        <f ca="1">IFERROR(__xludf.DUMMYFUNCTION("IF(SUM(COUNTIF(artists!E:E, SPLIT(D32, "",""))) &gt; 0, ""OTHER"", 0)"),0)</f>
        <v>0</v>
      </c>
    </row>
    <row r="33" spans="1:11" ht="14.25" customHeight="1">
      <c r="A33" s="21">
        <v>32</v>
      </c>
      <c r="B33" s="21">
        <v>29</v>
      </c>
      <c r="C33" s="21" t="s">
        <v>579</v>
      </c>
      <c r="D33" s="21" t="s">
        <v>183</v>
      </c>
      <c r="E33" s="21">
        <v>18</v>
      </c>
      <c r="F33" s="21">
        <v>289735</v>
      </c>
      <c r="G33" s="42">
        <v>-0.13600000000000001</v>
      </c>
      <c r="H33" s="21" t="s">
        <v>580</v>
      </c>
      <c r="I33" s="39" t="str">
        <f ca="1">IFERROR(__xludf.DUMMYFUNCTION("IF(SUM(COUNTIF(artists!A:A, SPLIT(D33, "",""))) &gt; 0, ""UA"", 0)"),"UA")</f>
        <v>UA</v>
      </c>
      <c r="J33" s="40">
        <f ca="1">IFERROR(__xludf.DUMMYFUNCTION("IF(SUM(COUNTIF(artists!C:C, SPLIT(D33, "",""))) &gt; 0, ""RU"", 0)"),0)</f>
        <v>0</v>
      </c>
      <c r="K33" s="39">
        <f ca="1">IFERROR(__xludf.DUMMYFUNCTION("IF(SUM(COUNTIF(artists!E:E, SPLIT(D33, "",""))) &gt; 0, ""OTHER"", 0)"),0)</f>
        <v>0</v>
      </c>
    </row>
    <row r="34" spans="1:11" ht="14.25" customHeight="1">
      <c r="A34" s="21">
        <v>33</v>
      </c>
      <c r="B34" s="21">
        <v>30</v>
      </c>
      <c r="C34" s="21" t="s">
        <v>742</v>
      </c>
      <c r="D34" s="21" t="s">
        <v>743</v>
      </c>
      <c r="E34" s="21">
        <v>10</v>
      </c>
      <c r="F34" s="21">
        <v>289316</v>
      </c>
      <c r="G34" s="42">
        <v>-0.126</v>
      </c>
      <c r="H34" s="21" t="s">
        <v>744</v>
      </c>
      <c r="I34" s="39">
        <f ca="1">IFERROR(__xludf.DUMMYFUNCTION("IF(SUM(COUNTIF(artists!A:A, SPLIT(D34, "",""))) &gt; 0, ""UA"", 0)"),0)</f>
        <v>0</v>
      </c>
      <c r="J34" s="40" t="str">
        <f ca="1">IFERROR(__xludf.DUMMYFUNCTION("IF(SUM(COUNTIF(artists!C:C, SPLIT(D34, "",""))) &gt; 0, ""RU"", 0)"),"RU")</f>
        <v>RU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B35" s="21">
        <v>43</v>
      </c>
      <c r="C35" s="21" t="s">
        <v>653</v>
      </c>
      <c r="D35" s="21" t="s">
        <v>85</v>
      </c>
      <c r="E35" s="21">
        <v>4</v>
      </c>
      <c r="F35" s="21">
        <v>286897</v>
      </c>
      <c r="G35" s="42">
        <v>1E-3</v>
      </c>
      <c r="H35" s="21" t="s">
        <v>655</v>
      </c>
      <c r="I35" s="39" t="str">
        <f ca="1">IFERROR(__xludf.DUMMYFUNCTION("IF(SUM(COUNTIF(artists!A:A, SPLIT(D35, "",""))) &gt; 0, ""UA"", 0)"),"UA")</f>
        <v>UA</v>
      </c>
      <c r="J35" s="40">
        <f ca="1">IFERROR(__xludf.DUMMYFUNCTION("IF(SUM(COUNTIF(artists!C:C, SPLIT(D35, "",""))) &gt; 0, ""RU"", 0)"),0)</f>
        <v>0</v>
      </c>
      <c r="K35" s="39">
        <f ca="1">IFERROR(__xludf.DUMMYFUNCTION("IF(SUM(COUNTIF(artists!E:E, SPLIT(D35, "",""))) &gt; 0, ""OTHER"", 0)"),0)</f>
        <v>0</v>
      </c>
    </row>
    <row r="36" spans="1:11" ht="14.25" customHeight="1">
      <c r="A36" s="21">
        <v>35</v>
      </c>
      <c r="B36" s="21">
        <v>38</v>
      </c>
      <c r="C36" s="21" t="s">
        <v>667</v>
      </c>
      <c r="D36" s="21" t="s">
        <v>668</v>
      </c>
      <c r="E36" s="21">
        <v>9</v>
      </c>
      <c r="F36" s="21">
        <v>281023</v>
      </c>
      <c r="G36" s="43">
        <v>-7.0000000000000007E-2</v>
      </c>
      <c r="H36" s="21" t="s">
        <v>669</v>
      </c>
      <c r="I36" s="39">
        <f ca="1">IFERROR(__xludf.DUMMYFUNCTION("IF(SUM(COUNTIF(artists!A:A, SPLIT(D36, "",""))) &gt; 0, ""UA"", 0)"),0)</f>
        <v>0</v>
      </c>
      <c r="J36" s="40" t="str">
        <f ca="1">IFERROR(__xludf.DUMMYFUNCTION("IF(SUM(COUNTIF(artists!C:C, SPLIT(D36, "",""))) &gt; 0, ""RU"", 0)"),"RU")</f>
        <v>RU</v>
      </c>
      <c r="K36" s="39">
        <f ca="1">IFERROR(__xludf.DUMMYFUNCTION("IF(SUM(COUNTIF(artists!E:E, SPLIT(D36, "",""))) &gt; 0, ""OTHER"", 0)"),0)</f>
        <v>0</v>
      </c>
    </row>
    <row r="37" spans="1:11" ht="14.25" customHeight="1">
      <c r="A37" s="21">
        <v>36</v>
      </c>
      <c r="C37" s="21" t="s">
        <v>258</v>
      </c>
      <c r="D37" s="21" t="s">
        <v>259</v>
      </c>
      <c r="E37" s="21">
        <v>1</v>
      </c>
      <c r="F37" s="21">
        <v>277174</v>
      </c>
      <c r="H37" s="21" t="s">
        <v>260</v>
      </c>
      <c r="I37" s="39" t="str">
        <f ca="1">IFERROR(__xludf.DUMMYFUNCTION("IF(SUM(COUNTIF(artists!A:A, SPLIT(D37, "",""))) &gt; 0, ""UA"", 0)"),"UA")</f>
        <v>UA</v>
      </c>
      <c r="J37" s="40">
        <f ca="1">IFERROR(__xludf.DUMMYFUNCTION("IF(SUM(COUNTIF(artists!C:C, SPLIT(D37, "",""))) &gt; 0, ""RU"", 0)"),0)</f>
        <v>0</v>
      </c>
      <c r="K37" s="39">
        <f ca="1">IFERROR(__xludf.DUMMYFUNCTION("IF(SUM(COUNTIF(artists!E:E, SPLIT(D37, "",""))) &gt; 0, ""OTHER"", 0)"),0)</f>
        <v>0</v>
      </c>
    </row>
    <row r="38" spans="1:11" ht="14.25" customHeight="1">
      <c r="A38" s="21">
        <v>37</v>
      </c>
      <c r="B38" s="21">
        <v>33</v>
      </c>
      <c r="C38" s="21" t="s">
        <v>772</v>
      </c>
      <c r="D38" s="21" t="s">
        <v>773</v>
      </c>
      <c r="E38" s="21">
        <v>6</v>
      </c>
      <c r="F38" s="21">
        <v>275046</v>
      </c>
      <c r="G38" s="42">
        <v>-0.129</v>
      </c>
      <c r="H38" s="21" t="s">
        <v>774</v>
      </c>
      <c r="I38" s="39" t="str">
        <f ca="1">IFERROR(__xludf.DUMMYFUNCTION("IF(SUM(COUNTIF(artists!A:A, SPLIT(D38, "",""))) &gt; 0, ""UA"", 0)"),"UA")</f>
        <v>UA</v>
      </c>
      <c r="J38" s="40">
        <f ca="1">IFERROR(__xludf.DUMMYFUNCTION("IF(SUM(COUNTIF(artists!C:C, SPLIT(D38, "",""))) &gt; 0, ""RU"", 0)"),0)</f>
        <v>0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B39" s="21">
        <v>36</v>
      </c>
      <c r="C39" s="21" t="s">
        <v>229</v>
      </c>
      <c r="D39" s="21" t="s">
        <v>230</v>
      </c>
      <c r="E39" s="21">
        <v>35</v>
      </c>
      <c r="F39" s="21">
        <v>274005</v>
      </c>
      <c r="G39" s="42">
        <v>-0.112</v>
      </c>
      <c r="H39" s="21" t="s">
        <v>232</v>
      </c>
      <c r="I39" s="39" t="str">
        <f ca="1">IFERROR(__xludf.DUMMYFUNCTION("IF(SUM(COUNTIF(artists!A:A, SPLIT(D39, "",""))) &gt; 0, ""UA"", 0)"),"UA")</f>
        <v>UA</v>
      </c>
      <c r="J39" s="40">
        <f ca="1">IFERROR(__xludf.DUMMYFUNCTION("IF(SUM(COUNTIF(artists!C:C, SPLIT(D39, "",""))) &gt; 0, ""RU"", 0)"),0)</f>
        <v>0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B40" s="21">
        <v>40</v>
      </c>
      <c r="C40" s="21" t="s">
        <v>298</v>
      </c>
      <c r="D40" s="21" t="s">
        <v>299</v>
      </c>
      <c r="E40" s="21">
        <v>5</v>
      </c>
      <c r="F40" s="21">
        <v>273897</v>
      </c>
      <c r="G40" s="42">
        <v>-6.9000000000000006E-2</v>
      </c>
      <c r="H40" s="21" t="s">
        <v>300</v>
      </c>
      <c r="I40" s="39">
        <f ca="1">IFERROR(__xludf.DUMMYFUNCTION("IF(SUM(COUNTIF(artists!A:A, SPLIT(D40, "",""))) &gt; 0, ""UA"", 0)"),0)</f>
        <v>0</v>
      </c>
      <c r="J40" s="40">
        <f ca="1">IFERROR(__xludf.DUMMYFUNCTION("IF(SUM(COUNTIF(artists!C:C, SPLIT(D40, "",""))) &gt; 0, ""RU"", 0)"),0)</f>
        <v>0</v>
      </c>
      <c r="K40" s="39" t="str">
        <f ca="1">IFERROR(__xludf.DUMMYFUNCTION("IF(SUM(COUNTIF(artists!E:E, SPLIT(D40, "",""))) &gt; 0, ""OTHER"", 0)"),"OTHER")</f>
        <v>OTHER</v>
      </c>
    </row>
    <row r="41" spans="1:11" ht="14.25" customHeight="1">
      <c r="A41" s="21">
        <v>40</v>
      </c>
      <c r="B41" s="21">
        <v>82</v>
      </c>
      <c r="C41" s="21" t="s">
        <v>339</v>
      </c>
      <c r="D41" s="21" t="s">
        <v>340</v>
      </c>
      <c r="E41" s="21">
        <v>4</v>
      </c>
      <c r="F41" s="21">
        <v>273672</v>
      </c>
      <c r="G41" s="42">
        <v>0.68200000000000005</v>
      </c>
      <c r="H41" s="21" t="s">
        <v>342</v>
      </c>
      <c r="I41" s="39" t="str">
        <f ca="1">IFERROR(__xludf.DUMMYFUNCTION("IF(SUM(COUNTIF(artists!A:A, SPLIT(D41, "",""))) &gt; 0, ""UA"", 0)"),"UA")</f>
        <v>UA</v>
      </c>
      <c r="J41" s="40">
        <f ca="1">IFERROR(__xludf.DUMMYFUNCTION("IF(SUM(COUNTIF(artists!C:C, SPLIT(D41, "",""))) &gt; 0, ""RU"", 0)"),0)</f>
        <v>0</v>
      </c>
      <c r="K41" s="39">
        <f ca="1">IFERROR(__xludf.DUMMYFUNCTION("IF(SUM(COUNTIF(artists!E:E, SPLIT(D41, "",""))) &gt; 0, ""OTHER"", 0)"),0)</f>
        <v>0</v>
      </c>
    </row>
    <row r="42" spans="1:11" ht="14.25" customHeight="1">
      <c r="A42" s="21">
        <v>41</v>
      </c>
      <c r="B42" s="21">
        <v>41</v>
      </c>
      <c r="C42" s="21" t="s">
        <v>253</v>
      </c>
      <c r="D42" s="21" t="s">
        <v>89</v>
      </c>
      <c r="E42" s="21">
        <v>37</v>
      </c>
      <c r="F42" s="21">
        <v>270105</v>
      </c>
      <c r="G42" s="43">
        <v>-0.08</v>
      </c>
      <c r="H42" s="21" t="s">
        <v>254</v>
      </c>
      <c r="I42" s="39" t="str">
        <f ca="1">IFERROR(__xludf.DUMMYFUNCTION("IF(SUM(COUNTIF(artists!A:A, SPLIT(D42, "",""))) &gt; 0, ""UA"", 0)"),"UA")</f>
        <v>UA</v>
      </c>
      <c r="J42" s="40">
        <f ca="1">IFERROR(__xludf.DUMMYFUNCTION("IF(SUM(COUNTIF(artists!C:C, SPLIT(D42, "",""))) &gt; 0, ""RU"", 0)"),0)</f>
        <v>0</v>
      </c>
      <c r="K42" s="39">
        <f ca="1">IFERROR(__xludf.DUMMYFUNCTION("IF(SUM(COUNTIF(artists!E:E, SPLIT(D42, "",""))) &gt; 0, ""OTHER"", 0)"),0)</f>
        <v>0</v>
      </c>
    </row>
    <row r="43" spans="1:11" ht="14.25" customHeight="1">
      <c r="A43" s="21">
        <v>42</v>
      </c>
      <c r="B43" s="21">
        <v>42</v>
      </c>
      <c r="C43" s="21" t="s">
        <v>929</v>
      </c>
      <c r="D43" s="21" t="s">
        <v>930</v>
      </c>
      <c r="E43" s="21">
        <v>21</v>
      </c>
      <c r="F43" s="21">
        <v>265315</v>
      </c>
      <c r="G43" s="42">
        <v>-8.2000000000000003E-2</v>
      </c>
      <c r="H43" s="21" t="s">
        <v>931</v>
      </c>
      <c r="I43" s="39" t="str">
        <f ca="1">IFERROR(__xludf.DUMMYFUNCTION("IF(SUM(COUNTIF(artists!A:A, SPLIT(D43, "",""))) &gt; 0, ""UA"", 0)"),"UA")</f>
        <v>UA</v>
      </c>
      <c r="J43" s="40">
        <f ca="1">IFERROR(__xludf.DUMMYFUNCTION("IF(SUM(COUNTIF(artists!C:C, SPLIT(D43, "",""))) &gt; 0, ""RU"", 0)"),0)</f>
        <v>0</v>
      </c>
      <c r="K43" s="39">
        <f ca="1">IFERROR(__xludf.DUMMYFUNCTION("IF(SUM(COUNTIF(artists!E:E, SPLIT(D43, "",""))) &gt; 0, ""OTHER"", 0)"),0)</f>
        <v>0</v>
      </c>
    </row>
    <row r="44" spans="1:11" ht="14.25" customHeight="1">
      <c r="A44" s="21">
        <v>43</v>
      </c>
      <c r="B44" s="21">
        <v>37</v>
      </c>
      <c r="C44" s="21" t="s">
        <v>594</v>
      </c>
      <c r="D44" s="21" t="s">
        <v>595</v>
      </c>
      <c r="E44" s="21">
        <v>16</v>
      </c>
      <c r="F44" s="21">
        <v>264882</v>
      </c>
      <c r="G44" s="43">
        <v>-0.14000000000000001</v>
      </c>
      <c r="H44" s="21" t="s">
        <v>596</v>
      </c>
      <c r="I44" s="39" t="str">
        <f ca="1">IFERROR(__xludf.DUMMYFUNCTION("IF(SUM(COUNTIF(artists!A:A, SPLIT(D44, "",""))) &gt; 0, ""UA"", 0)"),"UA")</f>
        <v>UA</v>
      </c>
      <c r="J44" s="40">
        <f ca="1">IFERROR(__xludf.DUMMYFUNCTION("IF(SUM(COUNTIF(artists!C:C, SPLIT(D44, "",""))) &gt; 0, ""RU"", 0)"),0)</f>
        <v>0</v>
      </c>
      <c r="K44" s="39">
        <f ca="1">IFERROR(__xludf.DUMMYFUNCTION("IF(SUM(COUNTIF(artists!E:E, SPLIT(D44, "",""))) &gt; 0, ""OTHER"", 0)"),0)</f>
        <v>0</v>
      </c>
    </row>
    <row r="45" spans="1:11" ht="14.25" customHeight="1">
      <c r="A45" s="21">
        <v>44</v>
      </c>
      <c r="B45" s="21">
        <v>44</v>
      </c>
      <c r="C45" s="21" t="s">
        <v>799</v>
      </c>
      <c r="D45" s="21" t="s">
        <v>494</v>
      </c>
      <c r="E45" s="21">
        <v>37</v>
      </c>
      <c r="F45" s="21">
        <v>262889</v>
      </c>
      <c r="G45" s="43">
        <v>-0.08</v>
      </c>
      <c r="H45" s="21" t="s">
        <v>800</v>
      </c>
      <c r="I45" s="39" t="str">
        <f ca="1">IFERROR(__xludf.DUMMYFUNCTION("IF(SUM(COUNTIF(artists!A:A, SPLIT(D45, "",""))) &gt; 0, ""UA"", 0)"),"UA")</f>
        <v>UA</v>
      </c>
      <c r="J45" s="40">
        <f ca="1">IFERROR(__xludf.DUMMYFUNCTION("IF(SUM(COUNTIF(artists!C:C, SPLIT(D45, "",""))) &gt; 0, ""RU"", 0)"),0)</f>
        <v>0</v>
      </c>
      <c r="K45" s="39">
        <f ca="1">IFERROR(__xludf.DUMMYFUNCTION("IF(SUM(COUNTIF(artists!E:E, SPLIT(D45, "",""))) &gt; 0, ""OTHER"", 0)"),0)</f>
        <v>0</v>
      </c>
    </row>
    <row r="46" spans="1:11" ht="14.25" customHeight="1">
      <c r="A46" s="21">
        <v>45</v>
      </c>
      <c r="B46" s="21">
        <v>45</v>
      </c>
      <c r="C46" s="21" t="s">
        <v>508</v>
      </c>
      <c r="D46" s="21" t="s">
        <v>509</v>
      </c>
      <c r="E46" s="21">
        <v>9</v>
      </c>
      <c r="F46" s="21">
        <v>251162</v>
      </c>
      <c r="G46" s="42">
        <v>-0.112</v>
      </c>
      <c r="H46" s="21" t="s">
        <v>510</v>
      </c>
      <c r="I46" s="39">
        <f ca="1">IFERROR(__xludf.DUMMYFUNCTION("IF(SUM(COUNTIF(artists!A:A, SPLIT(D46, "",""))) &gt; 0, ""UA"", 0)"),0)</f>
        <v>0</v>
      </c>
      <c r="J46" s="40" t="str">
        <f ca="1">IFERROR(__xludf.DUMMYFUNCTION("IF(SUM(COUNTIF(artists!C:C, SPLIT(D46, "",""))) &gt; 0, ""RU"", 0)"),"RU")</f>
        <v>RU</v>
      </c>
      <c r="K46" s="39">
        <f ca="1">IFERROR(__xludf.DUMMYFUNCTION("IF(SUM(COUNTIF(artists!E:E, SPLIT(D46, "",""))) &gt; 0, ""OTHER"", 0)"),0)</f>
        <v>0</v>
      </c>
    </row>
    <row r="47" spans="1:11" ht="14.25" customHeight="1">
      <c r="A47" s="21">
        <v>46</v>
      </c>
      <c r="B47" s="21">
        <v>49</v>
      </c>
      <c r="C47" s="21" t="s">
        <v>616</v>
      </c>
      <c r="D47" s="21" t="s">
        <v>617</v>
      </c>
      <c r="E47" s="21">
        <v>18</v>
      </c>
      <c r="F47" s="21">
        <v>248092</v>
      </c>
      <c r="G47" s="43">
        <v>-0.02</v>
      </c>
      <c r="H47" s="21" t="s">
        <v>618</v>
      </c>
      <c r="I47" s="39">
        <f ca="1">IFERROR(__xludf.DUMMYFUNCTION("IF(SUM(COUNTIF(artists!A:A, SPLIT(D47, "",""))) &gt; 0, ""UA"", 0)"),0)</f>
        <v>0</v>
      </c>
      <c r="J47" s="40">
        <f ca="1">IFERROR(__xludf.DUMMYFUNCTION("IF(SUM(COUNTIF(artists!C:C, SPLIT(D47, "",""))) &gt; 0, ""RU"", 0)"),0)</f>
        <v>0</v>
      </c>
      <c r="K47" s="39" t="str">
        <f ca="1">IFERROR(__xludf.DUMMYFUNCTION("IF(SUM(COUNTIF(artists!E:E, SPLIT(D47, "",""))) &gt; 0, ""OTHER"", 0)"),"OTHER")</f>
        <v>OTHER</v>
      </c>
    </row>
    <row r="48" spans="1:11" ht="14.25" customHeight="1">
      <c r="A48" s="21">
        <v>47</v>
      </c>
      <c r="B48" s="21">
        <v>34</v>
      </c>
      <c r="C48" s="21" t="s">
        <v>682</v>
      </c>
      <c r="D48" s="21" t="s">
        <v>125</v>
      </c>
      <c r="E48" s="21">
        <v>9</v>
      </c>
      <c r="F48" s="21">
        <v>247342</v>
      </c>
      <c r="G48" s="42">
        <v>-0.20200000000000001</v>
      </c>
      <c r="H48" s="21" t="s">
        <v>684</v>
      </c>
      <c r="I48" s="39">
        <f ca="1">IFERROR(__xludf.DUMMYFUNCTION("IF(SUM(COUNTIF(artists!A:A, SPLIT(D48, "",""))) &gt; 0, ""UA"", 0)"),0)</f>
        <v>0</v>
      </c>
      <c r="J48" s="40" t="str">
        <f ca="1">IFERROR(__xludf.DUMMYFUNCTION("IF(SUM(COUNTIF(artists!C:C, SPLIT(D48, "",""))) &gt; 0, ""RU"", 0)"),"RU")</f>
        <v>RU</v>
      </c>
      <c r="K48" s="39">
        <f ca="1">IFERROR(__xludf.DUMMYFUNCTION("IF(SUM(COUNTIF(artists!E:E, SPLIT(D48, "",""))) &gt; 0, ""OTHER"", 0)"),0)</f>
        <v>0</v>
      </c>
    </row>
    <row r="49" spans="1:11" ht="14.25" customHeight="1">
      <c r="A49" s="21">
        <v>48</v>
      </c>
      <c r="B49" s="21">
        <v>31</v>
      </c>
      <c r="C49" s="21" t="s">
        <v>373</v>
      </c>
      <c r="D49" s="21" t="s">
        <v>172</v>
      </c>
      <c r="E49" s="21">
        <v>4</v>
      </c>
      <c r="F49" s="21">
        <v>246757</v>
      </c>
      <c r="G49" s="42">
        <v>-0.23699999999999999</v>
      </c>
      <c r="H49" s="21" t="s">
        <v>375</v>
      </c>
      <c r="I49" s="39">
        <f ca="1">IFERROR(__xludf.DUMMYFUNCTION("IF(SUM(COUNTIF(artists!A:A, SPLIT(D49, "",""))) &gt; 0, ""UA"", 0)"),0)</f>
        <v>0</v>
      </c>
      <c r="J49" s="40" t="str">
        <f ca="1">IFERROR(__xludf.DUMMYFUNCTION("IF(SUM(COUNTIF(artists!C:C, SPLIT(D49, "",""))) &gt; 0, ""RU"", 0)"),"RU")</f>
        <v>RU</v>
      </c>
      <c r="K49" s="39">
        <f ca="1">IFERROR(__xludf.DUMMYFUNCTION("IF(SUM(COUNTIF(artists!E:E, SPLIT(D49, "",""))) &gt; 0, ""OTHER"", 0)"),0)</f>
        <v>0</v>
      </c>
    </row>
    <row r="50" spans="1:11" ht="14.25" customHeight="1">
      <c r="A50" s="21">
        <v>49</v>
      </c>
      <c r="B50" s="21">
        <v>46</v>
      </c>
      <c r="C50" s="21" t="s">
        <v>516</v>
      </c>
      <c r="D50" s="21" t="s">
        <v>517</v>
      </c>
      <c r="E50" s="21">
        <v>26</v>
      </c>
      <c r="F50" s="21">
        <v>244993</v>
      </c>
      <c r="G50" s="42">
        <v>-8.8999999999999996E-2</v>
      </c>
      <c r="H50" s="21" t="s">
        <v>518</v>
      </c>
      <c r="I50" s="39">
        <f ca="1">IFERROR(__xludf.DUMMYFUNCTION("IF(SUM(COUNTIF(artists!A:A, SPLIT(D50, "",""))) &gt; 0, ""UA"", 0)"),0)</f>
        <v>0</v>
      </c>
      <c r="J50" s="40">
        <f ca="1">IFERROR(__xludf.DUMMYFUNCTION("IF(SUM(COUNTIF(artists!C:C, SPLIT(D50, "",""))) &gt; 0, ""RU"", 0)"),0)</f>
        <v>0</v>
      </c>
      <c r="K50" s="39" t="str">
        <f ca="1">IFERROR(__xludf.DUMMYFUNCTION("IF(SUM(COUNTIF(artists!E:E, SPLIT(D50, "",""))) &gt; 0, ""OTHER"", 0)"),"OTHER")</f>
        <v>OTHER</v>
      </c>
    </row>
    <row r="51" spans="1:11" ht="14.25" customHeight="1">
      <c r="A51" s="21">
        <v>50</v>
      </c>
      <c r="B51" s="21">
        <v>53</v>
      </c>
      <c r="C51" s="21" t="s">
        <v>1035</v>
      </c>
      <c r="D51" s="21" t="s">
        <v>1036</v>
      </c>
      <c r="E51" s="21">
        <v>2</v>
      </c>
      <c r="F51" s="21">
        <v>244526</v>
      </c>
      <c r="G51" s="42">
        <v>2.7E-2</v>
      </c>
      <c r="H51" s="21" t="s">
        <v>1037</v>
      </c>
      <c r="I51" s="39" t="str">
        <f ca="1">IFERROR(__xludf.DUMMYFUNCTION("IF(SUM(COUNTIF(artists!A:A, SPLIT(D51, "",""))) &gt; 0, ""UA"", 0)"),"UA")</f>
        <v>UA</v>
      </c>
      <c r="J51" s="40">
        <f ca="1">IFERROR(__xludf.DUMMYFUNCTION("IF(SUM(COUNTIF(artists!C:C, SPLIT(D51, "",""))) &gt; 0, ""RU"", 0)"),0)</f>
        <v>0</v>
      </c>
      <c r="K51" s="39">
        <f ca="1">IFERROR(__xludf.DUMMYFUNCTION("IF(SUM(COUNTIF(artists!E:E, SPLIT(D51, "",""))) &gt; 0, ""OTHER"", 0)"),0)</f>
        <v>0</v>
      </c>
    </row>
    <row r="52" spans="1:11" ht="14.25" customHeight="1">
      <c r="A52" s="21">
        <v>51</v>
      </c>
      <c r="B52" s="21">
        <v>57</v>
      </c>
      <c r="C52" s="21" t="s">
        <v>524</v>
      </c>
      <c r="D52" s="21" t="s">
        <v>525</v>
      </c>
      <c r="E52" s="21">
        <v>12</v>
      </c>
      <c r="F52" s="21">
        <v>235741</v>
      </c>
      <c r="G52" s="42">
        <v>4.4999999999999998E-2</v>
      </c>
      <c r="H52" s="21" t="s">
        <v>526</v>
      </c>
      <c r="I52" s="39" t="str">
        <f ca="1">IFERROR(__xludf.DUMMYFUNCTION("IF(SUM(COUNTIF(artists!A:A, SPLIT(D52, "",""))) &gt; 0, ""UA"", 0)"),"UA")</f>
        <v>UA</v>
      </c>
      <c r="J52" s="40">
        <f ca="1">IFERROR(__xludf.DUMMYFUNCTION("IF(SUM(COUNTIF(artists!C:C, SPLIT(D52, "",""))) &gt; 0, ""RU"", 0)"),0)</f>
        <v>0</v>
      </c>
      <c r="K52" s="39">
        <f ca="1">IFERROR(__xludf.DUMMYFUNCTION("IF(SUM(COUNTIF(artists!E:E, SPLIT(D52, "",""))) &gt; 0, ""OTHER"", 0)"),0)</f>
        <v>0</v>
      </c>
    </row>
    <row r="53" spans="1:11" ht="14.25" customHeight="1">
      <c r="A53" s="21">
        <v>52</v>
      </c>
      <c r="B53" s="21">
        <v>87</v>
      </c>
      <c r="C53" s="21" t="s">
        <v>953</v>
      </c>
      <c r="D53" s="21" t="s">
        <v>954</v>
      </c>
      <c r="E53" s="21">
        <v>6</v>
      </c>
      <c r="F53" s="21">
        <v>234761</v>
      </c>
      <c r="G53" s="42">
        <v>0.502</v>
      </c>
      <c r="H53" s="21" t="s">
        <v>955</v>
      </c>
      <c r="I53" s="39">
        <f ca="1">IFERROR(__xludf.DUMMYFUNCTION("IF(SUM(COUNTIF(artists!A:A, SPLIT(D53, "",""))) &gt; 0, ""UA"", 0)"),0)</f>
        <v>0</v>
      </c>
      <c r="J53" s="40" t="str">
        <f ca="1">IFERROR(__xludf.DUMMYFUNCTION("IF(SUM(COUNTIF(artists!C:C, SPLIT(D53, "",""))) &gt; 0, ""RU"", 0)"),"RU")</f>
        <v>RU</v>
      </c>
      <c r="K53" s="39">
        <f ca="1">IFERROR(__xludf.DUMMYFUNCTION("IF(SUM(COUNTIF(artists!E:E, SPLIT(D53, "",""))) &gt; 0, ""OTHER"", 0)"),0)</f>
        <v>0</v>
      </c>
    </row>
    <row r="54" spans="1:11" ht="14.25" customHeight="1">
      <c r="A54" s="21">
        <v>53</v>
      </c>
      <c r="B54" s="21">
        <v>15</v>
      </c>
      <c r="C54" s="21" t="s">
        <v>1065</v>
      </c>
      <c r="D54" s="21" t="s">
        <v>352</v>
      </c>
      <c r="E54" s="21">
        <v>2</v>
      </c>
      <c r="F54" s="21">
        <v>218121</v>
      </c>
      <c r="G54" s="42">
        <v>-0.55600000000000005</v>
      </c>
      <c r="H54" s="21" t="s">
        <v>1066</v>
      </c>
      <c r="I54" s="39" t="str">
        <f ca="1">IFERROR(__xludf.DUMMYFUNCTION("IF(SUM(COUNTIF(artists!A:A, SPLIT(D54, "",""))) &gt; 0, ""UA"", 0)"),"UA")</f>
        <v>UA</v>
      </c>
      <c r="J54" s="40">
        <f ca="1">IFERROR(__xludf.DUMMYFUNCTION("IF(SUM(COUNTIF(artists!C:C, SPLIT(D54, "",""))) &gt; 0, ""RU"", 0)"),0)</f>
        <v>0</v>
      </c>
      <c r="K54" s="39">
        <f ca="1">IFERROR(__xludf.DUMMYFUNCTION("IF(SUM(COUNTIF(artists!E:E, SPLIT(D54, "",""))) &gt; 0, ""OTHER"", 0)"),0)</f>
        <v>0</v>
      </c>
    </row>
    <row r="55" spans="1:11" ht="14.25" customHeight="1">
      <c r="A55" s="21">
        <v>54</v>
      </c>
      <c r="B55" s="21">
        <v>55</v>
      </c>
      <c r="C55" s="21" t="s">
        <v>921</v>
      </c>
      <c r="D55" s="21" t="s">
        <v>922</v>
      </c>
      <c r="E55" s="21">
        <v>20</v>
      </c>
      <c r="F55" s="21">
        <v>213181</v>
      </c>
      <c r="G55" s="43">
        <v>-0.08</v>
      </c>
      <c r="H55" s="21" t="s">
        <v>923</v>
      </c>
      <c r="I55" s="39" t="str">
        <f ca="1">IFERROR(__xludf.DUMMYFUNCTION("IF(SUM(COUNTIF(artists!A:A, SPLIT(D55, "",""))) &gt; 0, ""UA"", 0)"),"UA")</f>
        <v>UA</v>
      </c>
      <c r="J55" s="40">
        <f ca="1">IFERROR(__xludf.DUMMYFUNCTION("IF(SUM(COUNTIF(artists!C:C, SPLIT(D55, "",""))) &gt; 0, ""RU"", 0)"),0)</f>
        <v>0</v>
      </c>
      <c r="K55" s="39">
        <f ca="1">IFERROR(__xludf.DUMMYFUNCTION("IF(SUM(COUNTIF(artists!E:E, SPLIT(D55, "",""))) &gt; 0, ""OTHER"", 0)"),0)</f>
        <v>0</v>
      </c>
    </row>
    <row r="56" spans="1:11" ht="14.25" customHeight="1">
      <c r="A56" s="21">
        <v>55</v>
      </c>
      <c r="B56" s="21">
        <v>48</v>
      </c>
      <c r="C56" s="21" t="s">
        <v>527</v>
      </c>
      <c r="D56" s="21" t="s">
        <v>528</v>
      </c>
      <c r="E56" s="21">
        <v>7</v>
      </c>
      <c r="F56" s="21">
        <v>211508</v>
      </c>
      <c r="G56" s="42">
        <v>-0.16700000000000001</v>
      </c>
      <c r="H56" s="21" t="s">
        <v>529</v>
      </c>
      <c r="I56" s="39" t="str">
        <f ca="1">IFERROR(__xludf.DUMMYFUNCTION("IF(SUM(COUNTIF(artists!A:A, SPLIT(D56, "",""))) &gt; 0, ""UA"", 0)"),"UA")</f>
        <v>UA</v>
      </c>
      <c r="J56" s="40">
        <f ca="1">IFERROR(__xludf.DUMMYFUNCTION("IF(SUM(COUNTIF(artists!C:C, SPLIT(D56, "",""))) &gt; 0, ""RU"", 0)"),0)</f>
        <v>0</v>
      </c>
      <c r="K56" s="39">
        <f ca="1">IFERROR(__xludf.DUMMYFUNCTION("IF(SUM(COUNTIF(artists!E:E, SPLIT(D56, "",""))) &gt; 0, ""OTHER"", 0)"),0)</f>
        <v>0</v>
      </c>
    </row>
    <row r="57" spans="1:11" ht="14.25" customHeight="1">
      <c r="A57" s="21">
        <v>56</v>
      </c>
      <c r="B57" s="21">
        <v>63</v>
      </c>
      <c r="C57" s="21" t="s">
        <v>284</v>
      </c>
      <c r="D57" s="21" t="s">
        <v>15</v>
      </c>
      <c r="E57" s="21">
        <v>15</v>
      </c>
      <c r="F57" s="21">
        <v>208520</v>
      </c>
      <c r="G57" s="42">
        <v>0.13800000000000001</v>
      </c>
      <c r="H57" s="21" t="s">
        <v>285</v>
      </c>
      <c r="I57" s="39">
        <f ca="1">IFERROR(__xludf.DUMMYFUNCTION("IF(SUM(COUNTIF(artists!A:A, SPLIT(D57, "",""))) &gt; 0, ""UA"", 0)"),0)</f>
        <v>0</v>
      </c>
      <c r="J57" s="40">
        <f ca="1">IFERROR(__xludf.DUMMYFUNCTION("IF(SUM(COUNTIF(artists!C:C, SPLIT(D57, "",""))) &gt; 0, ""RU"", 0)"),0)</f>
        <v>0</v>
      </c>
      <c r="K57" s="39" t="str">
        <f ca="1">IFERROR(__xludf.DUMMYFUNCTION("IF(SUM(COUNTIF(artists!E:E, SPLIT(D57, "",""))) &gt; 0, ""OTHER"", 0)"),"OTHER")</f>
        <v>OTHER</v>
      </c>
    </row>
    <row r="58" spans="1:11" ht="14.25" customHeight="1">
      <c r="A58" s="21">
        <v>57</v>
      </c>
      <c r="B58" s="21">
        <v>51</v>
      </c>
      <c r="C58" s="21" t="s">
        <v>602</v>
      </c>
      <c r="D58" s="21" t="s">
        <v>299</v>
      </c>
      <c r="E58" s="21">
        <v>9</v>
      </c>
      <c r="F58" s="21">
        <v>207200</v>
      </c>
      <c r="G58" s="43">
        <v>-0.17</v>
      </c>
      <c r="H58" s="21" t="s">
        <v>604</v>
      </c>
      <c r="I58" s="39">
        <f ca="1">IFERROR(__xludf.DUMMYFUNCTION("IF(SUM(COUNTIF(artists!A:A, SPLIT(D58, "",""))) &gt; 0, ""UA"", 0)"),0)</f>
        <v>0</v>
      </c>
      <c r="J58" s="40">
        <f ca="1">IFERROR(__xludf.DUMMYFUNCTION("IF(SUM(COUNTIF(artists!C:C, SPLIT(D58, "",""))) &gt; 0, ""RU"", 0)"),0)</f>
        <v>0</v>
      </c>
      <c r="K58" s="39" t="str">
        <f ca="1">IFERROR(__xludf.DUMMYFUNCTION("IF(SUM(COUNTIF(artists!E:E, SPLIT(D58, "",""))) &gt; 0, ""OTHER"", 0)"),"OTHER")</f>
        <v>OTHER</v>
      </c>
    </row>
    <row r="59" spans="1:11" ht="14.25" customHeight="1">
      <c r="A59" s="21">
        <v>58</v>
      </c>
      <c r="B59" s="21">
        <v>50</v>
      </c>
      <c r="C59" s="21" t="s">
        <v>482</v>
      </c>
      <c r="D59" s="21" t="s">
        <v>210</v>
      </c>
      <c r="E59" s="21">
        <v>7</v>
      </c>
      <c r="F59" s="21">
        <v>205786</v>
      </c>
      <c r="G59" s="43">
        <v>-0.18</v>
      </c>
      <c r="H59" s="21" t="s">
        <v>484</v>
      </c>
      <c r="I59" s="39" t="str">
        <f ca="1">IFERROR(__xludf.DUMMYFUNCTION("IF(SUM(COUNTIF(artists!A:A, SPLIT(D59, "",""))) &gt; 0, ""UA"", 0)"),"UA")</f>
        <v>UA</v>
      </c>
      <c r="J59" s="40">
        <f ca="1">IFERROR(__xludf.DUMMYFUNCTION("IF(SUM(COUNTIF(artists!C:C, SPLIT(D59, "",""))) &gt; 0, ""RU"", 0)"),0)</f>
        <v>0</v>
      </c>
      <c r="K59" s="39">
        <f ca="1">IFERROR(__xludf.DUMMYFUNCTION("IF(SUM(COUNTIF(artists!E:E, SPLIT(D59, "",""))) &gt; 0, ""OTHER"", 0)"),0)</f>
        <v>0</v>
      </c>
    </row>
    <row r="60" spans="1:11" ht="14.25" customHeight="1">
      <c r="A60" s="21">
        <v>59</v>
      </c>
      <c r="B60" s="21">
        <v>60</v>
      </c>
      <c r="C60" s="21" t="s">
        <v>765</v>
      </c>
      <c r="D60" s="21" t="s">
        <v>766</v>
      </c>
      <c r="E60" s="21">
        <v>2</v>
      </c>
      <c r="F60" s="21">
        <v>200585</v>
      </c>
      <c r="G60" s="42">
        <v>8.9999999999999993E-3</v>
      </c>
      <c r="H60" s="21" t="s">
        <v>768</v>
      </c>
      <c r="I60" s="39" t="str">
        <f ca="1">IFERROR(__xludf.DUMMYFUNCTION("IF(SUM(COUNTIF(artists!A:A, SPLIT(D60, "",""))) &gt; 0, ""UA"", 0)"),"UA")</f>
        <v>UA</v>
      </c>
      <c r="J60" s="40">
        <f ca="1">IFERROR(__xludf.DUMMYFUNCTION("IF(SUM(COUNTIF(artists!C:C, SPLIT(D60, "",""))) &gt; 0, ""RU"", 0)"),0)</f>
        <v>0</v>
      </c>
      <c r="K60" s="39">
        <f ca="1">IFERROR(__xludf.DUMMYFUNCTION("IF(SUM(COUNTIF(artists!E:E, SPLIT(D60, "",""))) &gt; 0, ""OTHER"", 0)"),0)</f>
        <v>0</v>
      </c>
    </row>
    <row r="61" spans="1:11" ht="14.25" customHeight="1">
      <c r="A61" s="21">
        <v>60</v>
      </c>
      <c r="B61" s="21">
        <v>58</v>
      </c>
      <c r="C61" s="21" t="s">
        <v>589</v>
      </c>
      <c r="D61" s="21" t="s">
        <v>590</v>
      </c>
      <c r="E61" s="21">
        <v>16</v>
      </c>
      <c r="F61" s="21">
        <v>198758</v>
      </c>
      <c r="G61" s="43">
        <v>-0.11</v>
      </c>
      <c r="H61" s="21" t="s">
        <v>591</v>
      </c>
      <c r="I61" s="39" t="str">
        <f ca="1">IFERROR(__xludf.DUMMYFUNCTION("IF(SUM(COUNTIF(artists!A:A, SPLIT(D61, "",""))) &gt; 0, ""UA"", 0)"),"UA")</f>
        <v>UA</v>
      </c>
      <c r="J61" s="40">
        <f ca="1">IFERROR(__xludf.DUMMYFUNCTION("IF(SUM(COUNTIF(artists!C:C, SPLIT(D61, "",""))) &gt; 0, ""RU"", 0)"),0)</f>
        <v>0</v>
      </c>
      <c r="K61" s="39">
        <f ca="1">IFERROR(__xludf.DUMMYFUNCTION("IF(SUM(COUNTIF(artists!E:E, SPLIT(D61, "",""))) &gt; 0, ""OTHER"", 0)"),0)</f>
        <v>0</v>
      </c>
    </row>
    <row r="62" spans="1:11" ht="14.25" customHeight="1">
      <c r="A62" s="21">
        <v>61</v>
      </c>
      <c r="B62" s="21">
        <v>39</v>
      </c>
      <c r="C62" s="21" t="s">
        <v>980</v>
      </c>
      <c r="D62" s="21" t="s">
        <v>981</v>
      </c>
      <c r="E62" s="21">
        <v>3</v>
      </c>
      <c r="F62" s="21">
        <v>197790</v>
      </c>
      <c r="G62" s="43">
        <v>-0.34</v>
      </c>
      <c r="H62" s="21" t="s">
        <v>982</v>
      </c>
      <c r="I62" s="39">
        <f ca="1">IFERROR(__xludf.DUMMYFUNCTION("IF(SUM(COUNTIF(artists!A:A, SPLIT(D62, "",""))) &gt; 0, ""UA"", 0)"),0)</f>
        <v>0</v>
      </c>
      <c r="J62" s="40" t="str">
        <f ca="1">IFERROR(__xludf.DUMMYFUNCTION("IF(SUM(COUNTIF(artists!C:C, SPLIT(D62, "",""))) &gt; 0, ""RU"", 0)"),"RU")</f>
        <v>RU</v>
      </c>
      <c r="K62" s="39">
        <f ca="1">IFERROR(__xludf.DUMMYFUNCTION("IF(SUM(COUNTIF(artists!E:E, SPLIT(D62, "",""))) &gt; 0, ""OTHER"", 0)"),0)</f>
        <v>0</v>
      </c>
    </row>
    <row r="63" spans="1:11" ht="14.25" customHeight="1">
      <c r="A63" s="21">
        <v>62</v>
      </c>
      <c r="B63" s="21">
        <v>59</v>
      </c>
      <c r="C63" s="21" t="s">
        <v>462</v>
      </c>
      <c r="D63" s="21" t="s">
        <v>463</v>
      </c>
      <c r="E63" s="21">
        <v>19</v>
      </c>
      <c r="F63" s="21">
        <v>191215</v>
      </c>
      <c r="G63" s="42">
        <v>-8.2000000000000003E-2</v>
      </c>
      <c r="H63" s="21" t="s">
        <v>465</v>
      </c>
      <c r="I63" s="39" t="str">
        <f ca="1">IFERROR(__xludf.DUMMYFUNCTION("IF(SUM(COUNTIF(artists!A:A, SPLIT(D63, "",""))) &gt; 0, ""UA"", 0)"),"UA")</f>
        <v>UA</v>
      </c>
      <c r="J63" s="40">
        <f ca="1">IFERROR(__xludf.DUMMYFUNCTION("IF(SUM(COUNTIF(artists!C:C, SPLIT(D63, "",""))) &gt; 0, ""RU"", 0)"),0)</f>
        <v>0</v>
      </c>
      <c r="K63" s="39">
        <f ca="1">IFERROR(__xludf.DUMMYFUNCTION("IF(SUM(COUNTIF(artists!E:E, SPLIT(D63, "",""))) &gt; 0, ""OTHER"", 0)"),0)</f>
        <v>0</v>
      </c>
    </row>
    <row r="64" spans="1:11" ht="14.25" customHeight="1">
      <c r="A64" s="21">
        <v>63</v>
      </c>
      <c r="B64" s="21">
        <v>54</v>
      </c>
      <c r="C64" s="21" t="s">
        <v>971</v>
      </c>
      <c r="D64" s="21" t="s">
        <v>972</v>
      </c>
      <c r="E64" s="21">
        <v>16</v>
      </c>
      <c r="F64" s="21">
        <v>189603</v>
      </c>
      <c r="G64" s="42">
        <v>-0.19500000000000001</v>
      </c>
      <c r="H64" s="21" t="s">
        <v>973</v>
      </c>
      <c r="I64" s="39">
        <f ca="1">IFERROR(__xludf.DUMMYFUNCTION("IF(SUM(COUNTIF(artists!A:A, SPLIT(D64, "",""))) &gt; 0, ""UA"", 0)"),0)</f>
        <v>0</v>
      </c>
      <c r="J64" s="40">
        <f ca="1">IFERROR(__xludf.DUMMYFUNCTION("IF(SUM(COUNTIF(artists!C:C, SPLIT(D64, "",""))) &gt; 0, ""RU"", 0)"),0)</f>
        <v>0</v>
      </c>
      <c r="K64" s="39" t="str">
        <f ca="1">IFERROR(__xludf.DUMMYFUNCTION("IF(SUM(COUNTIF(artists!E:E, SPLIT(D64, "",""))) &gt; 0, ""OTHER"", 0)"),"OTHER")</f>
        <v>OTHER</v>
      </c>
    </row>
    <row r="65" spans="1:11" ht="14.25" customHeight="1">
      <c r="A65" s="21">
        <v>64</v>
      </c>
      <c r="B65" s="21">
        <v>69</v>
      </c>
      <c r="C65" s="21" t="s">
        <v>418</v>
      </c>
      <c r="D65" s="21" t="s">
        <v>419</v>
      </c>
      <c r="E65" s="21">
        <v>3</v>
      </c>
      <c r="F65" s="21">
        <v>178258</v>
      </c>
      <c r="G65" s="42">
        <v>-1.6E-2</v>
      </c>
      <c r="H65" s="21" t="s">
        <v>420</v>
      </c>
      <c r="I65" s="39">
        <f ca="1">IFERROR(__xludf.DUMMYFUNCTION("IF(SUM(COUNTIF(artists!A:A, SPLIT(D65, "",""))) &gt; 0, ""UA"", 0)"),0)</f>
        <v>0</v>
      </c>
      <c r="J65" s="40">
        <f ca="1">IFERROR(__xludf.DUMMYFUNCTION("IF(SUM(COUNTIF(artists!C:C, SPLIT(D65, "",""))) &gt; 0, ""RU"", 0)"),0)</f>
        <v>0</v>
      </c>
      <c r="K65" s="39" t="str">
        <f ca="1">IFERROR(__xludf.DUMMYFUNCTION("IF(SUM(COUNTIF(artists!E:E, SPLIT(D65, "",""))) &gt; 0, ""OTHER"", 0)"),"OTHER")</f>
        <v>OTHER</v>
      </c>
    </row>
    <row r="66" spans="1:11" ht="14.25" customHeight="1">
      <c r="A66" s="21">
        <v>65</v>
      </c>
      <c r="C66" s="21" t="s">
        <v>686</v>
      </c>
      <c r="D66" s="21" t="s">
        <v>687</v>
      </c>
      <c r="E66" s="21">
        <v>1</v>
      </c>
      <c r="F66" s="21">
        <v>171792</v>
      </c>
      <c r="H66" s="21" t="s">
        <v>920</v>
      </c>
      <c r="I66" s="39">
        <f ca="1">IFERROR(__xludf.DUMMYFUNCTION("IF(SUM(COUNTIF(artists!A:A, SPLIT(D66, "",""))) &gt; 0, ""UA"", 0)"),0)</f>
        <v>0</v>
      </c>
      <c r="J66" s="40" t="str">
        <f ca="1">IFERROR(__xludf.DUMMYFUNCTION("IF(SUM(COUNTIF(artists!C:C, SPLIT(D66, "",""))) &gt; 0, ""RU"", 0)"),"RU")</f>
        <v>RU</v>
      </c>
      <c r="K66" s="39">
        <f ca="1">IFERROR(__xludf.DUMMYFUNCTION("IF(SUM(COUNTIF(artists!E:E, SPLIT(D66, "",""))) &gt; 0, ""OTHER"", 0)"),0)</f>
        <v>0</v>
      </c>
    </row>
    <row r="67" spans="1:11" ht="14.25" customHeight="1">
      <c r="A67" s="21">
        <v>66</v>
      </c>
      <c r="B67" s="21">
        <v>75</v>
      </c>
      <c r="C67" s="21" t="s">
        <v>264</v>
      </c>
      <c r="D67" s="21" t="s">
        <v>265</v>
      </c>
      <c r="E67" s="21">
        <v>6</v>
      </c>
      <c r="F67" s="21">
        <v>169764</v>
      </c>
      <c r="G67" s="42">
        <v>-2.9000000000000001E-2</v>
      </c>
      <c r="H67" s="21" t="s">
        <v>267</v>
      </c>
      <c r="I67" s="39">
        <f ca="1">IFERROR(__xludf.DUMMYFUNCTION("IF(SUM(COUNTIF(artists!A:A, SPLIT(D67, "",""))) &gt; 0, ""UA"", 0)"),0)</f>
        <v>0</v>
      </c>
      <c r="J67" s="40">
        <f ca="1">IFERROR(__xludf.DUMMYFUNCTION("IF(SUM(COUNTIF(artists!C:C, SPLIT(D67, "",""))) &gt; 0, ""RU"", 0)"),0)</f>
        <v>0</v>
      </c>
      <c r="K67" s="39" t="str">
        <f ca="1">IFERROR(__xludf.DUMMYFUNCTION("IF(SUM(COUNTIF(artists!E:E, SPLIT(D67, "",""))) &gt; 0, ""OTHER"", 0)"),"OTHER")</f>
        <v>OTHER</v>
      </c>
    </row>
    <row r="68" spans="1:11" ht="14.25" customHeight="1">
      <c r="A68" s="21">
        <v>67</v>
      </c>
      <c r="B68" s="21">
        <v>80</v>
      </c>
      <c r="C68" s="21" t="s">
        <v>690</v>
      </c>
      <c r="D68" s="21" t="s">
        <v>691</v>
      </c>
      <c r="E68" s="21">
        <v>2</v>
      </c>
      <c r="F68" s="21">
        <v>165791</v>
      </c>
      <c r="G68" s="42">
        <v>1E-3</v>
      </c>
      <c r="H68" s="21" t="s">
        <v>692</v>
      </c>
      <c r="I68" s="39">
        <f ca="1">IFERROR(__xludf.DUMMYFUNCTION("IF(SUM(COUNTIF(artists!A:A, SPLIT(D68, "",""))) &gt; 0, ""UA"", 0)"),0)</f>
        <v>0</v>
      </c>
      <c r="J68" s="40" t="str">
        <f ca="1">IFERROR(__xludf.DUMMYFUNCTION("IF(SUM(COUNTIF(artists!C:C, SPLIT(D68, "",""))) &gt; 0, ""RU"", 0)"),"RU")</f>
        <v>RU</v>
      </c>
      <c r="K68" s="39">
        <f ca="1">IFERROR(__xludf.DUMMYFUNCTION("IF(SUM(COUNTIF(artists!E:E, SPLIT(D68, "",""))) &gt; 0, ""OTHER"", 0)"),0)</f>
        <v>0</v>
      </c>
    </row>
    <row r="69" spans="1:11" ht="14.25" customHeight="1">
      <c r="A69" s="21">
        <v>68</v>
      </c>
      <c r="B69" s="21">
        <v>94</v>
      </c>
      <c r="C69" s="21" t="s">
        <v>977</v>
      </c>
      <c r="D69" s="21" t="s">
        <v>978</v>
      </c>
      <c r="E69" s="21">
        <v>2</v>
      </c>
      <c r="F69" s="21">
        <v>164238</v>
      </c>
      <c r="G69" s="42">
        <v>0.14599999999999999</v>
      </c>
      <c r="H69" s="21" t="s">
        <v>979</v>
      </c>
      <c r="I69" s="39" t="str">
        <f ca="1">IFERROR(__xludf.DUMMYFUNCTION("IF(SUM(COUNTIF(artists!A:A, SPLIT(D69, "",""))) &gt; 0, ""UA"", 0)"),"UA")</f>
        <v>UA</v>
      </c>
      <c r="J69" s="40">
        <f ca="1">IFERROR(__xludf.DUMMYFUNCTION("IF(SUM(COUNTIF(artists!C:C, SPLIT(D69, "",""))) &gt; 0, ""RU"", 0)"),0)</f>
        <v>0</v>
      </c>
      <c r="K69" s="39">
        <f ca="1">IFERROR(__xludf.DUMMYFUNCTION("IF(SUM(COUNTIF(artists!E:E, SPLIT(D69, "",""))) &gt; 0, ""OTHER"", 0)"),0)</f>
        <v>0</v>
      </c>
    </row>
    <row r="70" spans="1:11" ht="14.25" customHeight="1">
      <c r="A70" s="21">
        <v>69</v>
      </c>
      <c r="B70" s="21">
        <v>76</v>
      </c>
      <c r="C70" s="21" t="s">
        <v>903</v>
      </c>
      <c r="D70" s="21" t="s">
        <v>904</v>
      </c>
      <c r="E70" s="21">
        <v>20</v>
      </c>
      <c r="F70" s="21">
        <v>163048</v>
      </c>
      <c r="G70" s="42">
        <v>-5.3999999999999999E-2</v>
      </c>
      <c r="H70" s="21" t="s">
        <v>905</v>
      </c>
      <c r="I70" s="39" t="str">
        <f ca="1">IFERROR(__xludf.DUMMYFUNCTION("IF(SUM(COUNTIF(artists!A:A, SPLIT(D70, "",""))) &gt; 0, ""UA"", 0)"),"UA")</f>
        <v>UA</v>
      </c>
      <c r="J70" s="40">
        <f ca="1">IFERROR(__xludf.DUMMYFUNCTION("IF(SUM(COUNTIF(artists!C:C, SPLIT(D70, "",""))) &gt; 0, ""RU"", 0)"),0)</f>
        <v>0</v>
      </c>
      <c r="K70" s="39">
        <f ca="1">IFERROR(__xludf.DUMMYFUNCTION("IF(SUM(COUNTIF(artists!E:E, SPLIT(D70, "",""))) &gt; 0, ""OTHER"", 0)"),0)</f>
        <v>0</v>
      </c>
    </row>
    <row r="71" spans="1:11" ht="14.25" customHeight="1">
      <c r="A71" s="21">
        <v>70</v>
      </c>
      <c r="B71" s="21">
        <v>62</v>
      </c>
      <c r="C71" s="21" t="s">
        <v>520</v>
      </c>
      <c r="D71" s="21" t="s">
        <v>521</v>
      </c>
      <c r="E71" s="21">
        <v>19</v>
      </c>
      <c r="F71" s="21">
        <v>162468</v>
      </c>
      <c r="G71" s="42">
        <v>-0.126</v>
      </c>
      <c r="H71" s="21" t="s">
        <v>522</v>
      </c>
      <c r="I71" s="39" t="str">
        <f ca="1">IFERROR(__xludf.DUMMYFUNCTION("IF(SUM(COUNTIF(artists!A:A, SPLIT(D71, "",""))) &gt; 0, ""UA"", 0)"),"UA")</f>
        <v>UA</v>
      </c>
      <c r="J71" s="40">
        <f ca="1">IFERROR(__xludf.DUMMYFUNCTION("IF(SUM(COUNTIF(artists!C:C, SPLIT(D71, "",""))) &gt; 0, ""RU"", 0)"),0)</f>
        <v>0</v>
      </c>
      <c r="K71" s="39">
        <f ca="1">IFERROR(__xludf.DUMMYFUNCTION("IF(SUM(COUNTIF(artists!E:E, SPLIT(D71, "",""))) &gt; 0, ""OTHER"", 0)"),0)</f>
        <v>0</v>
      </c>
    </row>
    <row r="72" spans="1:11" ht="14.25" customHeight="1">
      <c r="A72" s="21">
        <v>71</v>
      </c>
      <c r="B72" s="21">
        <v>67</v>
      </c>
      <c r="C72" s="21" t="s">
        <v>1021</v>
      </c>
      <c r="D72" s="21" t="s">
        <v>1022</v>
      </c>
      <c r="E72" s="21">
        <v>8</v>
      </c>
      <c r="F72" s="21">
        <v>162167</v>
      </c>
      <c r="G72" s="42">
        <v>-0.106</v>
      </c>
      <c r="H72" s="21" t="s">
        <v>1023</v>
      </c>
      <c r="I72" s="39">
        <f ca="1">IFERROR(__xludf.DUMMYFUNCTION("IF(SUM(COUNTIF(artists!A:A, SPLIT(D72, "",""))) &gt; 0, ""UA"", 0)"),0)</f>
        <v>0</v>
      </c>
      <c r="J72" s="40">
        <f ca="1">IFERROR(__xludf.DUMMYFUNCTION("IF(SUM(COUNTIF(artists!C:C, SPLIT(D72, "",""))) &gt; 0, ""RU"", 0)"),0)</f>
        <v>0</v>
      </c>
      <c r="K72" s="39" t="str">
        <f ca="1">IFERROR(__xludf.DUMMYFUNCTION("IF(SUM(COUNTIF(artists!E:E, SPLIT(D72, "",""))) &gt; 0, ""OTHER"", 0)"),"OTHER")</f>
        <v>OTHER</v>
      </c>
    </row>
    <row r="73" spans="1:11" ht="14.25" customHeight="1">
      <c r="A73" s="21">
        <v>72</v>
      </c>
      <c r="B73" s="21">
        <v>78</v>
      </c>
      <c r="C73" s="21" t="s">
        <v>963</v>
      </c>
      <c r="D73" s="21" t="s">
        <v>964</v>
      </c>
      <c r="E73" s="21">
        <v>7</v>
      </c>
      <c r="F73" s="21">
        <v>160941</v>
      </c>
      <c r="G73" s="42">
        <v>-5.1999999999999998E-2</v>
      </c>
      <c r="H73" s="21" t="s">
        <v>965</v>
      </c>
      <c r="I73" s="39" t="str">
        <f ca="1">IFERROR(__xludf.DUMMYFUNCTION("IF(SUM(COUNTIF(artists!A:A, SPLIT(D73, "",""))) &gt; 0, ""UA"", 0)"),"UA")</f>
        <v>UA</v>
      </c>
      <c r="J73" s="40">
        <f ca="1">IFERROR(__xludf.DUMMYFUNCTION("IF(SUM(COUNTIF(artists!C:C, SPLIT(D73, "",""))) &gt; 0, ""RU"", 0)"),0)</f>
        <v>0</v>
      </c>
      <c r="K73" s="39">
        <f ca="1">IFERROR(__xludf.DUMMYFUNCTION("IF(SUM(COUNTIF(artists!E:E, SPLIT(D73, "",""))) &gt; 0, ""OTHER"", 0)"),0)</f>
        <v>0</v>
      </c>
    </row>
    <row r="74" spans="1:11" ht="14.25" customHeight="1">
      <c r="A74" s="21">
        <v>73</v>
      </c>
      <c r="C74" s="21" t="s">
        <v>1032</v>
      </c>
      <c r="D74" s="21" t="s">
        <v>1033</v>
      </c>
      <c r="E74" s="21">
        <v>6</v>
      </c>
      <c r="F74" s="21">
        <v>160161</v>
      </c>
      <c r="H74" s="21" t="s">
        <v>1034</v>
      </c>
      <c r="I74" s="39" t="str">
        <f ca="1">IFERROR(__xludf.DUMMYFUNCTION("IF(SUM(COUNTIF(artists!A:A, SPLIT(D74, "",""))) &gt; 0, ""UA"", 0)"),"UA")</f>
        <v>UA</v>
      </c>
      <c r="J74" s="40">
        <f ca="1">IFERROR(__xludf.DUMMYFUNCTION("IF(SUM(COUNTIF(artists!C:C, SPLIT(D74, "",""))) &gt; 0, ""RU"", 0)"),0)</f>
        <v>0</v>
      </c>
      <c r="K74" s="39">
        <f ca="1">IFERROR(__xludf.DUMMYFUNCTION("IF(SUM(COUNTIF(artists!E:E, SPLIT(D74, "",""))) &gt; 0, ""OTHER"", 0)"),0)</f>
        <v>0</v>
      </c>
    </row>
    <row r="75" spans="1:11" ht="14.25" customHeight="1">
      <c r="A75" s="21">
        <v>74</v>
      </c>
      <c r="B75" s="21">
        <v>65</v>
      </c>
      <c r="C75" s="21" t="s">
        <v>497</v>
      </c>
      <c r="D75" s="21" t="s">
        <v>860</v>
      </c>
      <c r="E75" s="21">
        <v>8</v>
      </c>
      <c r="F75" s="21">
        <v>159943</v>
      </c>
      <c r="G75" s="42">
        <v>-0.124</v>
      </c>
      <c r="H75" s="21" t="s">
        <v>499</v>
      </c>
      <c r="I75" s="39" t="str">
        <f ca="1">IFERROR(__xludf.DUMMYFUNCTION("IF(SUM(COUNTIF(artists!A:A, SPLIT(D75, "",""))) &gt; 0, ""UA"", 0)"),"UA")</f>
        <v>UA</v>
      </c>
      <c r="J75" s="40">
        <f ca="1">IFERROR(__xludf.DUMMYFUNCTION("IF(SUM(COUNTIF(artists!C:C, SPLIT(D75, "",""))) &gt; 0, ""RU"", 0)"),0)</f>
        <v>0</v>
      </c>
      <c r="K75" s="39">
        <f ca="1">IFERROR(__xludf.DUMMYFUNCTION("IF(SUM(COUNTIF(artists!E:E, SPLIT(D75, "",""))) &gt; 0, ""OTHER"", 0)"),0)</f>
        <v>0</v>
      </c>
    </row>
    <row r="76" spans="1:11" ht="14.25" customHeight="1">
      <c r="A76" s="21">
        <v>75</v>
      </c>
      <c r="C76" s="21" t="s">
        <v>545</v>
      </c>
      <c r="D76" s="21" t="s">
        <v>546</v>
      </c>
      <c r="E76" s="21">
        <v>1</v>
      </c>
      <c r="F76" s="21">
        <v>159016</v>
      </c>
      <c r="H76" s="21" t="s">
        <v>548</v>
      </c>
      <c r="I76" s="39">
        <f ca="1">IFERROR(__xludf.DUMMYFUNCTION("IF(SUM(COUNTIF(artists!A:A, SPLIT(D76, "",""))) &gt; 0, ""UA"", 0)"),0)</f>
        <v>0</v>
      </c>
      <c r="J76" s="40" t="str">
        <f ca="1">IFERROR(__xludf.DUMMYFUNCTION("IF(SUM(COUNTIF(artists!C:C, SPLIT(D76, "",""))) &gt; 0, ""RU"", 0)"),"RU")</f>
        <v>RU</v>
      </c>
      <c r="K76" s="39">
        <f ca="1">IFERROR(__xludf.DUMMYFUNCTION("IF(SUM(COUNTIF(artists!E:E, SPLIT(D76, "",""))) &gt; 0, ""OTHER"", 0)"),0)</f>
        <v>0</v>
      </c>
    </row>
    <row r="77" spans="1:11" ht="14.25" customHeight="1">
      <c r="A77" s="21">
        <v>76</v>
      </c>
      <c r="B77" s="21">
        <v>56</v>
      </c>
      <c r="C77" s="21" t="s">
        <v>1060</v>
      </c>
      <c r="D77" s="21" t="s">
        <v>981</v>
      </c>
      <c r="E77" s="21">
        <v>3</v>
      </c>
      <c r="F77" s="21">
        <v>156738</v>
      </c>
      <c r="G77" s="42">
        <v>-0.32200000000000001</v>
      </c>
      <c r="H77" s="21" t="s">
        <v>1061</v>
      </c>
      <c r="I77" s="39">
        <f ca="1">IFERROR(__xludf.DUMMYFUNCTION("IF(SUM(COUNTIF(artists!A:A, SPLIT(D77, "",""))) &gt; 0, ""UA"", 0)"),0)</f>
        <v>0</v>
      </c>
      <c r="J77" s="40" t="str">
        <f ca="1">IFERROR(__xludf.DUMMYFUNCTION("IF(SUM(COUNTIF(artists!C:C, SPLIT(D77, "",""))) &gt; 0, ""RU"", 0)"),"RU")</f>
        <v>RU</v>
      </c>
      <c r="K77" s="39">
        <f ca="1">IFERROR(__xludf.DUMMYFUNCTION("IF(SUM(COUNTIF(artists!E:E, SPLIT(D77, "",""))) &gt; 0, ""OTHER"", 0)"),0)</f>
        <v>0</v>
      </c>
    </row>
    <row r="78" spans="1:11" ht="14.25" customHeight="1">
      <c r="A78" s="21">
        <v>77</v>
      </c>
      <c r="B78" s="21">
        <v>66</v>
      </c>
      <c r="C78" s="21" t="s">
        <v>605</v>
      </c>
      <c r="D78" s="21" t="s">
        <v>299</v>
      </c>
      <c r="E78" s="21">
        <v>9</v>
      </c>
      <c r="F78" s="21">
        <v>156613</v>
      </c>
      <c r="G78" s="42">
        <v>-0.13700000000000001</v>
      </c>
      <c r="H78" s="21" t="s">
        <v>607</v>
      </c>
      <c r="I78" s="39">
        <f ca="1">IFERROR(__xludf.DUMMYFUNCTION("IF(SUM(COUNTIF(artists!A:A, SPLIT(D78, "",""))) &gt; 0, ""UA"", 0)"),0)</f>
        <v>0</v>
      </c>
      <c r="J78" s="40">
        <f ca="1">IFERROR(__xludf.DUMMYFUNCTION("IF(SUM(COUNTIF(artists!C:C, SPLIT(D78, "",""))) &gt; 0, ""RU"", 0)"),0)</f>
        <v>0</v>
      </c>
      <c r="K78" s="39" t="str">
        <f ca="1">IFERROR(__xludf.DUMMYFUNCTION("IF(SUM(COUNTIF(artists!E:E, SPLIT(D78, "",""))) &gt; 0, ""OTHER"", 0)"),"OTHER")</f>
        <v>OTHER</v>
      </c>
    </row>
    <row r="79" spans="1:11" ht="14.25" customHeight="1">
      <c r="A79" s="21">
        <v>78</v>
      </c>
      <c r="B79" s="21">
        <v>70</v>
      </c>
      <c r="C79" s="21" t="s">
        <v>1013</v>
      </c>
      <c r="D79" s="21" t="s">
        <v>1014</v>
      </c>
      <c r="E79" s="21">
        <v>6</v>
      </c>
      <c r="F79" s="21">
        <v>155276</v>
      </c>
      <c r="G79" s="43">
        <v>-0.13</v>
      </c>
      <c r="H79" s="21" t="s">
        <v>1015</v>
      </c>
      <c r="I79" s="39" t="str">
        <f ca="1">IFERROR(__xludf.DUMMYFUNCTION("IF(SUM(COUNTIF(artists!A:A, SPLIT(D79, "",""))) &gt; 0, ""UA"", 0)"),"UA")</f>
        <v>UA</v>
      </c>
      <c r="J79" s="40">
        <f ca="1">IFERROR(__xludf.DUMMYFUNCTION("IF(SUM(COUNTIF(artists!C:C, SPLIT(D79, "",""))) &gt; 0, ""RU"", 0)"),0)</f>
        <v>0</v>
      </c>
      <c r="K79" s="39">
        <f ca="1">IFERROR(__xludf.DUMMYFUNCTION("IF(SUM(COUNTIF(artists!E:E, SPLIT(D79, "",""))) &gt; 0, ""OTHER"", 0)"),0)</f>
        <v>0</v>
      </c>
    </row>
    <row r="80" spans="1:11" ht="14.25" customHeight="1">
      <c r="A80" s="21">
        <v>79</v>
      </c>
      <c r="C80" s="21" t="s">
        <v>1067</v>
      </c>
      <c r="D80" s="21" t="s">
        <v>1068</v>
      </c>
      <c r="E80" s="21">
        <v>1</v>
      </c>
      <c r="F80" s="21">
        <v>153425</v>
      </c>
      <c r="H80" s="21" t="s">
        <v>1069</v>
      </c>
      <c r="I80" s="39" t="str">
        <f ca="1">IFERROR(__xludf.DUMMYFUNCTION("IF(SUM(COUNTIF(artists!A:A, SPLIT(D80, "",""))) &gt; 0, ""UA"", 0)"),"UA")</f>
        <v>UA</v>
      </c>
      <c r="J80" s="40">
        <f ca="1">IFERROR(__xludf.DUMMYFUNCTION("IF(SUM(COUNTIF(artists!C:C, SPLIT(D80, "",""))) &gt; 0, ""RU"", 0)"),0)</f>
        <v>0</v>
      </c>
      <c r="K80" s="39">
        <f ca="1">IFERROR(__xludf.DUMMYFUNCTION("IF(SUM(COUNTIF(artists!E:E, SPLIT(D80, "",""))) &gt; 0, ""OTHER"", 0)"),0)</f>
        <v>0</v>
      </c>
    </row>
    <row r="81" spans="1:11" ht="14.25" customHeight="1">
      <c r="A81" s="21">
        <v>80</v>
      </c>
      <c r="B81" s="21">
        <v>84</v>
      </c>
      <c r="C81" s="21" t="s">
        <v>1029</v>
      </c>
      <c r="D81" s="21" t="s">
        <v>1030</v>
      </c>
      <c r="E81" s="21">
        <v>10</v>
      </c>
      <c r="F81" s="21">
        <v>150884</v>
      </c>
      <c r="G81" s="42">
        <v>-7.0999999999999994E-2</v>
      </c>
      <c r="H81" s="21" t="s">
        <v>1031</v>
      </c>
      <c r="I81" s="39" t="str">
        <f ca="1">IFERROR(__xludf.DUMMYFUNCTION("IF(SUM(COUNTIF(artists!A:A, SPLIT(D81, "",""))) &gt; 0, ""UA"", 0)"),"UA")</f>
        <v>UA</v>
      </c>
      <c r="J81" s="40">
        <f ca="1">IFERROR(__xludf.DUMMYFUNCTION("IF(SUM(COUNTIF(artists!C:C, SPLIT(D81, "",""))) &gt; 0, ""RU"", 0)"),0)</f>
        <v>0</v>
      </c>
      <c r="K81" s="39">
        <f ca="1">IFERROR(__xludf.DUMMYFUNCTION("IF(SUM(COUNTIF(artists!E:E, SPLIT(D81, "",""))) &gt; 0, ""OTHER"", 0)"),0)</f>
        <v>0</v>
      </c>
    </row>
    <row r="82" spans="1:11" ht="14.25" customHeight="1">
      <c r="A82" s="21">
        <v>81</v>
      </c>
      <c r="C82" s="21" t="s">
        <v>1070</v>
      </c>
      <c r="D82" s="21" t="s">
        <v>1071</v>
      </c>
      <c r="E82" s="21">
        <v>1</v>
      </c>
      <c r="F82" s="21">
        <v>150652</v>
      </c>
      <c r="H82" s="21" t="s">
        <v>1072</v>
      </c>
      <c r="I82" s="39">
        <f ca="1">IFERROR(__xludf.DUMMYFUNCTION("IF(SUM(COUNTIF(artists!A:A, SPLIT(D82, "",""))) &gt; 0, ""UA"", 0)"),0)</f>
        <v>0</v>
      </c>
      <c r="J82" s="40" t="str">
        <f ca="1">IFERROR(__xludf.DUMMYFUNCTION("IF(SUM(COUNTIF(artists!C:C, SPLIT(D82, "",""))) &gt; 0, ""RU"", 0)"),"RU")</f>
        <v>RU</v>
      </c>
      <c r="K82" s="39">
        <f ca="1">IFERROR(__xludf.DUMMYFUNCTION("IF(SUM(COUNTIF(artists!E:E, SPLIT(D82, "",""))) &gt; 0, ""OTHER"", 0)"),0)</f>
        <v>0</v>
      </c>
    </row>
    <row r="83" spans="1:11" ht="14.25" customHeight="1">
      <c r="A83" s="21">
        <v>82</v>
      </c>
      <c r="B83" s="21">
        <v>73</v>
      </c>
      <c r="C83" s="21" t="s">
        <v>358</v>
      </c>
      <c r="D83" s="21" t="s">
        <v>359</v>
      </c>
      <c r="E83" s="21">
        <v>6</v>
      </c>
      <c r="F83" s="21">
        <v>150601</v>
      </c>
      <c r="G83" s="42">
        <v>-0.14899999999999999</v>
      </c>
      <c r="H83" s="21" t="s">
        <v>361</v>
      </c>
      <c r="I83" s="39">
        <f ca="1">IFERROR(__xludf.DUMMYFUNCTION("IF(SUM(COUNTIF(artists!A:A, SPLIT(D83, "",""))) &gt; 0, ""UA"", 0)"),0)</f>
        <v>0</v>
      </c>
      <c r="J83" s="40">
        <f ca="1">IFERROR(__xludf.DUMMYFUNCTION("IF(SUM(COUNTIF(artists!C:C, SPLIT(D83, "",""))) &gt; 0, ""RU"", 0)"),0)</f>
        <v>0</v>
      </c>
      <c r="K83" s="39" t="str">
        <f ca="1">IFERROR(__xludf.DUMMYFUNCTION("IF(SUM(COUNTIF(artists!E:E, SPLIT(D83, "",""))) &gt; 0, ""OTHER"", 0)"),"OTHER")</f>
        <v>OTHER</v>
      </c>
    </row>
    <row r="84" spans="1:11" ht="14.25" customHeight="1">
      <c r="A84" s="21">
        <v>83</v>
      </c>
      <c r="B84" s="21">
        <v>93</v>
      </c>
      <c r="C84" s="21" t="s">
        <v>313</v>
      </c>
      <c r="D84" s="21" t="s">
        <v>310</v>
      </c>
      <c r="E84" s="21">
        <v>6</v>
      </c>
      <c r="F84" s="21">
        <v>145586</v>
      </c>
      <c r="G84" s="42">
        <v>-1E-3</v>
      </c>
      <c r="H84" s="21" t="s">
        <v>398</v>
      </c>
      <c r="I84" s="39">
        <f ca="1">IFERROR(__xludf.DUMMYFUNCTION("IF(SUM(COUNTIF(artists!A:A, SPLIT(D84, "",""))) &gt; 0, ""UA"", 0)"),0)</f>
        <v>0</v>
      </c>
      <c r="J84" s="40">
        <f ca="1">IFERROR(__xludf.DUMMYFUNCTION("IF(SUM(COUNTIF(artists!C:C, SPLIT(D84, "",""))) &gt; 0, ""RU"", 0)"),0)</f>
        <v>0</v>
      </c>
      <c r="K84" s="39" t="str">
        <f ca="1">IFERROR(__xludf.DUMMYFUNCTION("IF(SUM(COUNTIF(artists!E:E, SPLIT(D84, "",""))) &gt; 0, ""OTHER"", 0)"),"OTHER")</f>
        <v>OTHER</v>
      </c>
    </row>
    <row r="85" spans="1:11" ht="14.25" customHeight="1">
      <c r="A85" s="21">
        <v>84</v>
      </c>
      <c r="B85" s="21">
        <v>81</v>
      </c>
      <c r="C85" s="21" t="s">
        <v>1073</v>
      </c>
      <c r="D85" s="21" t="s">
        <v>1074</v>
      </c>
      <c r="E85" s="21">
        <v>14</v>
      </c>
      <c r="F85" s="21">
        <v>144169</v>
      </c>
      <c r="G85" s="42">
        <v>-0.11700000000000001</v>
      </c>
      <c r="H85" s="21" t="s">
        <v>1075</v>
      </c>
      <c r="I85" s="39" t="str">
        <f ca="1">IFERROR(__xludf.DUMMYFUNCTION("IF(SUM(COUNTIF(artists!A:A, SPLIT(D85, "",""))) &gt; 0, ""UA"", 0)"),"UA")</f>
        <v>UA</v>
      </c>
      <c r="J85" s="40">
        <f ca="1">IFERROR(__xludf.DUMMYFUNCTION("IF(SUM(COUNTIF(artists!C:C, SPLIT(D85, "",""))) &gt; 0, ""RU"", 0)"),0)</f>
        <v>0</v>
      </c>
      <c r="K85" s="39">
        <f ca="1">IFERROR(__xludf.DUMMYFUNCTION("IF(SUM(COUNTIF(artists!E:E, SPLIT(D85, "",""))) &gt; 0, ""OTHER"", 0)"),0)</f>
        <v>0</v>
      </c>
    </row>
    <row r="86" spans="1:11" ht="14.25" customHeight="1">
      <c r="A86" s="21">
        <v>85</v>
      </c>
      <c r="B86" s="21">
        <v>72</v>
      </c>
      <c r="C86" s="21" t="s">
        <v>1002</v>
      </c>
      <c r="D86" s="21" t="s">
        <v>1003</v>
      </c>
      <c r="E86" s="21">
        <v>2</v>
      </c>
      <c r="F86" s="21">
        <v>141768</v>
      </c>
      <c r="G86" s="42">
        <v>-0.20100000000000001</v>
      </c>
      <c r="H86" s="21" t="s">
        <v>1004</v>
      </c>
      <c r="I86" s="39" t="str">
        <f ca="1">IFERROR(__xludf.DUMMYFUNCTION("IF(SUM(COUNTIF(artists!A:A, SPLIT(D86, "",""))) &gt; 0, ""UA"", 0)"),"UA")</f>
        <v>UA</v>
      </c>
      <c r="J86" s="40">
        <f ca="1">IFERROR(__xludf.DUMMYFUNCTION("IF(SUM(COUNTIF(artists!C:C, SPLIT(D86, "",""))) &gt; 0, ""RU"", 0)"),0)</f>
        <v>0</v>
      </c>
      <c r="K86" s="39">
        <f ca="1">IFERROR(__xludf.DUMMYFUNCTION("IF(SUM(COUNTIF(artists!E:E, SPLIT(D86, "",""))) &gt; 0, ""OTHER"", 0)"),0)</f>
        <v>0</v>
      </c>
    </row>
    <row r="87" spans="1:11" ht="14.25" customHeight="1">
      <c r="A87" s="21">
        <v>86</v>
      </c>
      <c r="C87" s="21" t="s">
        <v>268</v>
      </c>
      <c r="D87" s="21" t="s">
        <v>466</v>
      </c>
      <c r="E87" s="21">
        <v>1</v>
      </c>
      <c r="F87" s="21">
        <v>141202</v>
      </c>
      <c r="H87" s="21" t="s">
        <v>270</v>
      </c>
      <c r="I87" s="39" t="str">
        <f ca="1">IFERROR(__xludf.DUMMYFUNCTION("IF(SUM(COUNTIF(artists!A:A, SPLIT(D87, "",""))) &gt; 0, ""UA"", 0)"),"UA")</f>
        <v>UA</v>
      </c>
      <c r="J87" s="40">
        <f ca="1">IFERROR(__xludf.DUMMYFUNCTION("IF(SUM(COUNTIF(artists!C:C, SPLIT(D87, "",""))) &gt; 0, ""RU"", 0)"),0)</f>
        <v>0</v>
      </c>
      <c r="K87" s="39">
        <f ca="1">IFERROR(__xludf.DUMMYFUNCTION("IF(SUM(COUNTIF(artists!E:E, SPLIT(D87, "",""))) &gt; 0, ""OTHER"", 0)"),0)</f>
        <v>0</v>
      </c>
    </row>
    <row r="88" spans="1:11" ht="14.25" customHeight="1">
      <c r="A88" s="21">
        <v>87</v>
      </c>
      <c r="B88" s="21">
        <v>92</v>
      </c>
      <c r="C88" s="21" t="s">
        <v>343</v>
      </c>
      <c r="D88" s="21" t="s">
        <v>344</v>
      </c>
      <c r="E88" s="21">
        <v>9</v>
      </c>
      <c r="F88" s="21">
        <v>139528</v>
      </c>
      <c r="G88" s="42">
        <v>-4.4999999999999998E-2</v>
      </c>
      <c r="H88" s="21" t="s">
        <v>346</v>
      </c>
      <c r="I88" s="39" t="str">
        <f ca="1">IFERROR(__xludf.DUMMYFUNCTION("IF(SUM(COUNTIF(artists!A:A, SPLIT(D88, "",""))) &gt; 0, ""UA"", 0)"),"UA")</f>
        <v>UA</v>
      </c>
      <c r="J88" s="40">
        <f ca="1">IFERROR(__xludf.DUMMYFUNCTION("IF(SUM(COUNTIF(artists!C:C, SPLIT(D88, "",""))) &gt; 0, ""RU"", 0)"),0)</f>
        <v>0</v>
      </c>
      <c r="K88" s="39">
        <f ca="1">IFERROR(__xludf.DUMMYFUNCTION("IF(SUM(COUNTIF(artists!E:E, SPLIT(D88, "",""))) &gt; 0, ""OTHER"", 0)"),0)</f>
        <v>0</v>
      </c>
    </row>
    <row r="89" spans="1:11" ht="14.25" customHeight="1">
      <c r="A89" s="21">
        <v>88</v>
      </c>
      <c r="B89" s="21">
        <v>86</v>
      </c>
      <c r="C89" s="21" t="s">
        <v>1062</v>
      </c>
      <c r="D89" s="21" t="s">
        <v>1063</v>
      </c>
      <c r="E89" s="21">
        <v>13</v>
      </c>
      <c r="F89" s="21">
        <v>139281</v>
      </c>
      <c r="G89" s="42">
        <v>-0.11600000000000001</v>
      </c>
      <c r="H89" s="21" t="s">
        <v>1064</v>
      </c>
      <c r="I89" s="39" t="str">
        <f ca="1">IFERROR(__xludf.DUMMYFUNCTION("IF(SUM(COUNTIF(artists!A:A, SPLIT(D89, "",""))) &gt; 0, ""UA"", 0)"),"UA")</f>
        <v>UA</v>
      </c>
      <c r="J89" s="40">
        <f ca="1">IFERROR(__xludf.DUMMYFUNCTION("IF(SUM(COUNTIF(artists!C:C, SPLIT(D89, "",""))) &gt; 0, ""RU"", 0)"),0)</f>
        <v>0</v>
      </c>
      <c r="K89" s="39">
        <f ca="1">IFERROR(__xludf.DUMMYFUNCTION("IF(SUM(COUNTIF(artists!E:E, SPLIT(D89, "",""))) &gt; 0, ""OTHER"", 0)"),0)</f>
        <v>0</v>
      </c>
    </row>
    <row r="90" spans="1:11" ht="14.25" customHeight="1">
      <c r="A90" s="21">
        <v>89</v>
      </c>
      <c r="B90" s="21">
        <v>90</v>
      </c>
      <c r="C90" s="21" t="s">
        <v>1076</v>
      </c>
      <c r="D90" s="21" t="s">
        <v>1077</v>
      </c>
      <c r="E90" s="21">
        <v>19</v>
      </c>
      <c r="F90" s="21">
        <v>138000</v>
      </c>
      <c r="G90" s="42">
        <v>-8.2000000000000003E-2</v>
      </c>
      <c r="H90" s="21" t="s">
        <v>1078</v>
      </c>
      <c r="I90" s="39" t="str">
        <f ca="1">IFERROR(__xludf.DUMMYFUNCTION("IF(SUM(COUNTIF(artists!A:A, SPLIT(D90, "",""))) &gt; 0, ""UA"", 0)"),"UA")</f>
        <v>UA</v>
      </c>
      <c r="J90" s="40">
        <f ca="1">IFERROR(__xludf.DUMMYFUNCTION("IF(SUM(COUNTIF(artists!C:C, SPLIT(D90, "",""))) &gt; 0, ""RU"", 0)"),0)</f>
        <v>0</v>
      </c>
      <c r="K90" s="39">
        <f ca="1">IFERROR(__xludf.DUMMYFUNCTION("IF(SUM(COUNTIF(artists!E:E, SPLIT(D90, "",""))) &gt; 0, ""OTHER"", 0)"),0)</f>
        <v>0</v>
      </c>
    </row>
    <row r="91" spans="1:11" ht="14.25" customHeight="1">
      <c r="A91" s="21">
        <v>90</v>
      </c>
      <c r="B91" s="21">
        <v>64</v>
      </c>
      <c r="C91" s="21" t="s">
        <v>868</v>
      </c>
      <c r="D91" s="21" t="s">
        <v>869</v>
      </c>
      <c r="E91" s="21">
        <v>12</v>
      </c>
      <c r="F91" s="21">
        <v>137763</v>
      </c>
      <c r="G91" s="42">
        <v>-0.248</v>
      </c>
      <c r="H91" s="21" t="s">
        <v>870</v>
      </c>
      <c r="I91" s="39">
        <f ca="1">IFERROR(__xludf.DUMMYFUNCTION("IF(SUM(COUNTIF(artists!A:A, SPLIT(D91, "",""))) &gt; 0, ""UA"", 0)"),0)</f>
        <v>0</v>
      </c>
      <c r="J91" s="40" t="str">
        <f ca="1">IFERROR(__xludf.DUMMYFUNCTION("IF(SUM(COUNTIF(artists!C:C, SPLIT(D91, "",""))) &gt; 0, ""RU"", 0)"),"RU")</f>
        <v>RU</v>
      </c>
      <c r="K91" s="39">
        <f ca="1">IFERROR(__xludf.DUMMYFUNCTION("IF(SUM(COUNTIF(artists!E:E, SPLIT(D91, "",""))) &gt; 0, ""OTHER"", 0)"),0)</f>
        <v>0</v>
      </c>
    </row>
    <row r="92" spans="1:11" ht="14.25" customHeight="1">
      <c r="A92" s="21">
        <v>91</v>
      </c>
      <c r="B92" s="21">
        <v>52</v>
      </c>
      <c r="C92" s="21" t="s">
        <v>1079</v>
      </c>
      <c r="D92" s="21" t="s">
        <v>1080</v>
      </c>
      <c r="E92" s="21">
        <v>3</v>
      </c>
      <c r="F92" s="21">
        <v>132575</v>
      </c>
      <c r="G92" s="42">
        <v>-0.46200000000000002</v>
      </c>
      <c r="H92" s="21" t="s">
        <v>1081</v>
      </c>
      <c r="I92" s="39">
        <f ca="1">IFERROR(__xludf.DUMMYFUNCTION("IF(SUM(COUNTIF(artists!A:A, SPLIT(D92, "",""))) &gt; 0, ""UA"", 0)"),0)</f>
        <v>0</v>
      </c>
      <c r="J92" s="40" t="str">
        <f ca="1">IFERROR(__xludf.DUMMYFUNCTION("IF(SUM(COUNTIF(artists!C:C, SPLIT(D92, "",""))) &gt; 0, ""RU"", 0)"),"RU")</f>
        <v>RU</v>
      </c>
      <c r="K92" s="39">
        <f ca="1">IFERROR(__xludf.DUMMYFUNCTION("IF(SUM(COUNTIF(artists!E:E, SPLIT(D92, "",""))) &gt; 0, ""OTHER"", 0)"),0)</f>
        <v>0</v>
      </c>
    </row>
    <row r="93" spans="1:11" ht="14.25" customHeight="1">
      <c r="A93" s="21">
        <v>92</v>
      </c>
      <c r="B93" s="21">
        <v>89</v>
      </c>
      <c r="C93" s="21" t="s">
        <v>1038</v>
      </c>
      <c r="D93" s="21" t="s">
        <v>1039</v>
      </c>
      <c r="E93" s="21">
        <v>10</v>
      </c>
      <c r="F93" s="21">
        <v>132256</v>
      </c>
      <c r="G93" s="42">
        <v>-0.13500000000000001</v>
      </c>
      <c r="H93" s="21" t="s">
        <v>1040</v>
      </c>
      <c r="I93" s="39">
        <f ca="1">IFERROR(__xludf.DUMMYFUNCTION("IF(SUM(COUNTIF(artists!A:A, SPLIT(D93, "",""))) &gt; 0, ""UA"", 0)"),0)</f>
        <v>0</v>
      </c>
      <c r="J93" s="40">
        <f ca="1">IFERROR(__xludf.DUMMYFUNCTION("IF(SUM(COUNTIF(artists!C:C, SPLIT(D93, "",""))) &gt; 0, ""RU"", 0)"),0)</f>
        <v>0</v>
      </c>
      <c r="K93" s="39" t="str">
        <f ca="1">IFERROR(__xludf.DUMMYFUNCTION("IF(SUM(COUNTIF(artists!E:E, SPLIT(D93, "",""))) &gt; 0, ""OTHER"", 0)"),"OTHER")</f>
        <v>OTHER</v>
      </c>
    </row>
    <row r="94" spans="1:11" ht="14.25" customHeight="1">
      <c r="A94" s="21">
        <v>93</v>
      </c>
      <c r="C94" s="21" t="s">
        <v>1082</v>
      </c>
      <c r="D94" s="21" t="s">
        <v>1083</v>
      </c>
      <c r="E94" s="21">
        <v>1</v>
      </c>
      <c r="F94" s="21">
        <v>131764</v>
      </c>
      <c r="H94" s="21" t="s">
        <v>1084</v>
      </c>
      <c r="I94" s="39" t="str">
        <f ca="1">IFERROR(__xludf.DUMMYFUNCTION("IF(SUM(COUNTIF(artists!A:A, SPLIT(D94, "",""))) &gt; 0, ""UA"", 0)"),"UA")</f>
        <v>UA</v>
      </c>
      <c r="J94" s="40">
        <f ca="1">IFERROR(__xludf.DUMMYFUNCTION("IF(SUM(COUNTIF(artists!C:C, SPLIT(D94, "",""))) &gt; 0, ""RU"", 0)"),0)</f>
        <v>0</v>
      </c>
      <c r="K94" s="39">
        <f ca="1">IFERROR(__xludf.DUMMYFUNCTION("IF(SUM(COUNTIF(artists!E:E, SPLIT(D94, "",""))) &gt; 0, ""OTHER"", 0)"),0)</f>
        <v>0</v>
      </c>
    </row>
    <row r="95" spans="1:11" ht="14.25" customHeight="1">
      <c r="A95" s="21">
        <v>94</v>
      </c>
      <c r="C95" s="21" t="s">
        <v>355</v>
      </c>
      <c r="D95" s="21" t="s">
        <v>356</v>
      </c>
      <c r="E95" s="21">
        <v>12</v>
      </c>
      <c r="F95" s="21">
        <v>130540</v>
      </c>
      <c r="H95" s="21" t="s">
        <v>357</v>
      </c>
      <c r="I95" s="39">
        <f ca="1">IFERROR(__xludf.DUMMYFUNCTION("IF(SUM(COUNTIF(artists!A:A, SPLIT(D95, "",""))) &gt; 0, ""UA"", 0)"),0)</f>
        <v>0</v>
      </c>
      <c r="J95" s="40">
        <f ca="1">IFERROR(__xludf.DUMMYFUNCTION("IF(SUM(COUNTIF(artists!C:C, SPLIT(D95, "",""))) &gt; 0, ""RU"", 0)"),0)</f>
        <v>0</v>
      </c>
      <c r="K95" s="39" t="str">
        <f ca="1">IFERROR(__xludf.DUMMYFUNCTION("IF(SUM(COUNTIF(artists!E:E, SPLIT(D95, "",""))) &gt; 0, ""OTHER"", 0)"),"OTHER")</f>
        <v>OTHER</v>
      </c>
    </row>
    <row r="96" spans="1:11" ht="14.25" customHeight="1">
      <c r="A96" s="21">
        <v>95</v>
      </c>
      <c r="C96" s="21" t="s">
        <v>402</v>
      </c>
      <c r="D96" s="21" t="s">
        <v>403</v>
      </c>
      <c r="E96" s="21">
        <v>1</v>
      </c>
      <c r="F96" s="21">
        <v>130154</v>
      </c>
      <c r="H96" s="21" t="s">
        <v>404</v>
      </c>
      <c r="I96" s="39">
        <f ca="1">IFERROR(__xludf.DUMMYFUNCTION("IF(SUM(COUNTIF(artists!A:A, SPLIT(D96, "",""))) &gt; 0, ""UA"", 0)"),0)</f>
        <v>0</v>
      </c>
      <c r="J96" s="40">
        <f ca="1">IFERROR(__xludf.DUMMYFUNCTION("IF(SUM(COUNTIF(artists!C:C, SPLIT(D96, "",""))) &gt; 0, ""RU"", 0)"),0)</f>
        <v>0</v>
      </c>
      <c r="K96" s="39" t="str">
        <f ca="1">IFERROR(__xludf.DUMMYFUNCTION("IF(SUM(COUNTIF(artists!E:E, SPLIT(D96, "",""))) &gt; 0, ""OTHER"", 0)"),"OTHER")</f>
        <v>OTHER</v>
      </c>
    </row>
    <row r="97" spans="1:11" ht="14.25" customHeight="1">
      <c r="A97" s="21">
        <v>96</v>
      </c>
      <c r="C97" s="21" t="s">
        <v>961</v>
      </c>
      <c r="D97" s="21" t="s">
        <v>137</v>
      </c>
      <c r="E97" s="21">
        <v>1</v>
      </c>
      <c r="F97" s="21">
        <v>129955</v>
      </c>
      <c r="H97" s="21" t="s">
        <v>962</v>
      </c>
      <c r="I97" s="39" t="str">
        <f ca="1">IFERROR(__xludf.DUMMYFUNCTION("IF(SUM(COUNTIF(artists!A:A, SPLIT(D97, "",""))) &gt; 0, ""UA"", 0)"),"UA")</f>
        <v>UA</v>
      </c>
      <c r="J97" s="40">
        <f ca="1">IFERROR(__xludf.DUMMYFUNCTION("IF(SUM(COUNTIF(artists!C:C, SPLIT(D97, "",""))) &gt; 0, ""RU"", 0)"),0)</f>
        <v>0</v>
      </c>
      <c r="K97" s="39">
        <f ca="1">IFERROR(__xludf.DUMMYFUNCTION("IF(SUM(COUNTIF(artists!E:E, SPLIT(D97, "",""))) &gt; 0, ""OTHER"", 0)"),0)</f>
        <v>0</v>
      </c>
    </row>
    <row r="98" spans="1:11" ht="14.25" customHeight="1">
      <c r="A98" s="21">
        <v>97</v>
      </c>
      <c r="B98" s="21">
        <v>74</v>
      </c>
      <c r="C98" s="21" t="s">
        <v>1085</v>
      </c>
      <c r="D98" s="21" t="s">
        <v>85</v>
      </c>
      <c r="E98" s="21">
        <v>5</v>
      </c>
      <c r="F98" s="21">
        <v>129498</v>
      </c>
      <c r="G98" s="42">
        <v>-0.26500000000000001</v>
      </c>
      <c r="H98" s="21" t="s">
        <v>1086</v>
      </c>
      <c r="I98" s="39" t="str">
        <f ca="1">IFERROR(__xludf.DUMMYFUNCTION("IF(SUM(COUNTIF(artists!A:A, SPLIT(D98, "",""))) &gt; 0, ""UA"", 0)"),"UA")</f>
        <v>UA</v>
      </c>
      <c r="J98" s="40">
        <f ca="1">IFERROR(__xludf.DUMMYFUNCTION("IF(SUM(COUNTIF(artists!C:C, SPLIT(D98, "",""))) &gt; 0, ""RU"", 0)"),0)</f>
        <v>0</v>
      </c>
      <c r="K98" s="39">
        <f ca="1">IFERROR(__xludf.DUMMYFUNCTION("IF(SUM(COUNTIF(artists!E:E, SPLIT(D98, "",""))) &gt; 0, ""OTHER"", 0)"),0)</f>
        <v>0</v>
      </c>
    </row>
    <row r="99" spans="1:11" ht="14.25" customHeight="1">
      <c r="A99" s="21">
        <v>98</v>
      </c>
      <c r="B99" s="21">
        <v>61</v>
      </c>
      <c r="C99" s="21" t="s">
        <v>1087</v>
      </c>
      <c r="D99" s="21" t="s">
        <v>1050</v>
      </c>
      <c r="E99" s="21">
        <v>4</v>
      </c>
      <c r="F99" s="21">
        <v>128679</v>
      </c>
      <c r="G99" s="43">
        <v>-0.32</v>
      </c>
      <c r="H99" s="21" t="s">
        <v>1088</v>
      </c>
      <c r="I99" s="39">
        <f ca="1">IFERROR(__xludf.DUMMYFUNCTION("IF(SUM(COUNTIF(artists!A:A, SPLIT(D99, "",""))) &gt; 0, ""UA"", 0)"),0)</f>
        <v>0</v>
      </c>
      <c r="J99" s="40" t="str">
        <f ca="1">IFERROR(__xludf.DUMMYFUNCTION("IF(SUM(COUNTIF(artists!C:C, SPLIT(D99, "",""))) &gt; 0, ""RU"", 0)"),"RU")</f>
        <v>RU</v>
      </c>
      <c r="K99" s="39">
        <f ca="1">IFERROR(__xludf.DUMMYFUNCTION("IF(SUM(COUNTIF(artists!E:E, SPLIT(D99, "",""))) &gt; 0, ""OTHER"", 0)"),0)</f>
        <v>0</v>
      </c>
    </row>
    <row r="100" spans="1:11" ht="14.25" customHeight="1">
      <c r="A100" s="21">
        <v>99</v>
      </c>
      <c r="B100" s="21">
        <v>85</v>
      </c>
      <c r="C100" s="21" t="s">
        <v>1089</v>
      </c>
      <c r="D100" s="21" t="s">
        <v>125</v>
      </c>
      <c r="E100" s="21">
        <v>18</v>
      </c>
      <c r="F100" s="21">
        <v>127009</v>
      </c>
      <c r="G100" s="42">
        <v>-0.19700000000000001</v>
      </c>
      <c r="H100" s="21" t="s">
        <v>1090</v>
      </c>
      <c r="I100" s="39">
        <f ca="1">IFERROR(__xludf.DUMMYFUNCTION("IF(SUM(COUNTIF(artists!A:A, SPLIT(D100, "",""))) &gt; 0, ""UA"", 0)"),0)</f>
        <v>0</v>
      </c>
      <c r="J100" s="40" t="str">
        <f ca="1">IFERROR(__xludf.DUMMYFUNCTION("IF(SUM(COUNTIF(artists!C:C, SPLIT(D100, "",""))) &gt; 0, ""RU"", 0)"),"RU")</f>
        <v>RU</v>
      </c>
      <c r="K100" s="39">
        <f ca="1">IFERROR(__xludf.DUMMYFUNCTION("IF(SUM(COUNTIF(artists!E:E, SPLIT(D100, "",""))) &gt; 0, ""OTHER"", 0)"),0)</f>
        <v>0</v>
      </c>
    </row>
    <row r="101" spans="1:11" ht="14.25" customHeight="1">
      <c r="A101" s="21">
        <v>100</v>
      </c>
      <c r="B101" s="21">
        <v>91</v>
      </c>
      <c r="C101" s="21" t="s">
        <v>871</v>
      </c>
      <c r="D101" s="21" t="s">
        <v>872</v>
      </c>
      <c r="E101" s="21">
        <v>2</v>
      </c>
      <c r="F101" s="21">
        <v>126017</v>
      </c>
      <c r="G101" s="42">
        <v>-0.14599999999999999</v>
      </c>
      <c r="H101" s="21" t="s">
        <v>873</v>
      </c>
      <c r="I101" s="39" t="str">
        <f ca="1">IFERROR(__xludf.DUMMYFUNCTION("IF(SUM(COUNTIF(artists!A:A, SPLIT(D101, "",""))) &gt; 0, ""UA"", 0)"),"UA")</f>
        <v>UA</v>
      </c>
      <c r="J101" s="40">
        <f ca="1">IFERROR(__xludf.DUMMYFUNCTION("IF(SUM(COUNTIF(artists!C:C, SPLIT(D101, "",""))) &gt; 0, ""RU"", 0)"),0)</f>
        <v>0</v>
      </c>
      <c r="K101" s="39">
        <f ca="1">IFERROR(__xludf.DUMMYFUNCTION("IF(SUM(COUNTIF(artists!E:E, SPLIT(D101, "",""))) &gt; 0, ""OTHER"", 0)"),0)</f>
        <v>0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91" priority="1">
      <formula>AND($I2=0, $J2=0, $K2=0)</formula>
    </cfRule>
    <cfRule type="expression" dxfId="90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Аркуш18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3" width="8.6640625" customWidth="1"/>
    <col min="4" max="4" width="12.44140625" customWidth="1"/>
    <col min="5" max="5" width="8.6640625" hidden="1" customWidth="1"/>
    <col min="6" max="6" width="8.6640625" customWidth="1"/>
    <col min="7" max="7" width="13.10937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B2" s="21">
        <v>1</v>
      </c>
      <c r="C2" s="21" t="s">
        <v>88</v>
      </c>
      <c r="D2" s="21" t="s">
        <v>89</v>
      </c>
      <c r="E2" s="21">
        <v>15</v>
      </c>
      <c r="F2" s="21">
        <v>1234688</v>
      </c>
      <c r="G2" s="42">
        <v>-9.9000000000000005E-2</v>
      </c>
      <c r="H2" s="21" t="s">
        <v>90</v>
      </c>
      <c r="I2" s="39" t="str">
        <f ca="1">IFERROR(__xludf.DUMMYFUNCTION("IF(SUM(COUNTIF(artists!A:A, SPLIT(D2, "",""))) &gt; 0, ""UA"", 0)"),"UA")</f>
        <v>UA</v>
      </c>
      <c r="J2" s="40">
        <f ca="1">IFERROR(__xludf.DUMMYFUNCTION("IF(SUM(COUNTIF(artists!C:C, SPLIT(D2, "",""))) &gt; 0, ""RU"", 0)"),0)</f>
        <v>0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B3" s="21">
        <v>2</v>
      </c>
      <c r="C3" s="21" t="s">
        <v>351</v>
      </c>
      <c r="D3" s="21" t="s">
        <v>352</v>
      </c>
      <c r="E3" s="21">
        <v>3</v>
      </c>
      <c r="F3" s="21">
        <v>881802</v>
      </c>
      <c r="G3" s="42">
        <v>-0.20899999999999999</v>
      </c>
      <c r="H3" s="21" t="s">
        <v>354</v>
      </c>
      <c r="I3" s="39" t="str">
        <f ca="1">IFERROR(__xludf.DUMMYFUNCTION("IF(SUM(COUNTIF(artists!A:A, SPLIT(D3, "",""))) &gt; 0, ""UA"", 0)"),"UA")</f>
        <v>UA</v>
      </c>
      <c r="J3" s="40">
        <f ca="1">IFERROR(__xludf.DUMMYFUNCTION("IF(SUM(COUNTIF(artists!C:C, SPLIT(D3, "",""))) &gt; 0, ""RU"", 0)"),0)</f>
        <v>0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B4" s="21">
        <v>5</v>
      </c>
      <c r="C4" s="21" t="s">
        <v>115</v>
      </c>
      <c r="D4" s="21" t="s">
        <v>116</v>
      </c>
      <c r="E4" s="21">
        <v>17</v>
      </c>
      <c r="F4" s="21">
        <v>736907</v>
      </c>
      <c r="G4" s="42">
        <v>7.0000000000000001E-3</v>
      </c>
      <c r="H4" s="21" t="s">
        <v>117</v>
      </c>
      <c r="I4" s="39" t="str">
        <f ca="1">IFERROR(__xludf.DUMMYFUNCTION("IF(SUM(COUNTIF(artists!A:A, SPLIT(D4, "",""))) &gt; 0, ""UA"", 0)"),"UA")</f>
        <v>UA</v>
      </c>
      <c r="J4" s="40">
        <f ca="1">IFERROR(__xludf.DUMMYFUNCTION("IF(SUM(COUNTIF(artists!C:C, SPLIT(D4, "",""))) &gt; 0, ""RU"", 0)"),0)</f>
        <v>0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B5" s="21">
        <v>3</v>
      </c>
      <c r="C5" s="21" t="s">
        <v>145</v>
      </c>
      <c r="D5" s="21" t="s">
        <v>146</v>
      </c>
      <c r="E5" s="21">
        <v>21</v>
      </c>
      <c r="F5" s="21">
        <v>731115</v>
      </c>
      <c r="G5" s="42">
        <v>-0.114</v>
      </c>
      <c r="H5" s="21" t="s">
        <v>148</v>
      </c>
      <c r="I5" s="39" t="str">
        <f ca="1">IFERROR(__xludf.DUMMYFUNCTION("IF(SUM(COUNTIF(artists!A:A, SPLIT(D5, "",""))) &gt; 0, ""UA"", 0)"),"UA")</f>
        <v>UA</v>
      </c>
      <c r="J5" s="40">
        <f ca="1">IFERROR(__xludf.DUMMYFUNCTION("IF(SUM(COUNTIF(artists!C:C, SPLIT(D5, "",""))) &gt; 0, ""RU"", 0)"),0)</f>
        <v>0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B6" s="21">
        <v>4</v>
      </c>
      <c r="C6" s="21" t="s">
        <v>128</v>
      </c>
      <c r="D6" s="21" t="s">
        <v>129</v>
      </c>
      <c r="E6" s="21">
        <v>23</v>
      </c>
      <c r="F6" s="21">
        <v>713841</v>
      </c>
      <c r="G6" s="43">
        <v>-0.03</v>
      </c>
      <c r="H6" s="21" t="s">
        <v>131</v>
      </c>
      <c r="I6" s="39" t="str">
        <f ca="1">IFERROR(__xludf.DUMMYFUNCTION("IF(SUM(COUNTIF(artists!A:A, SPLIT(D6, "",""))) &gt; 0, ""UA"", 0)"),"UA")</f>
        <v>UA</v>
      </c>
      <c r="J6" s="40">
        <f ca="1">IFERROR(__xludf.DUMMYFUNCTION("IF(SUM(COUNTIF(artists!C:C, SPLIT(D6, "",""))) &gt; 0, ""RU"", 0)"),0)</f>
        <v>0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B7" s="21">
        <v>7</v>
      </c>
      <c r="C7" s="21" t="s">
        <v>645</v>
      </c>
      <c r="D7" s="21" t="s">
        <v>352</v>
      </c>
      <c r="E7" s="21">
        <v>40</v>
      </c>
      <c r="F7" s="21">
        <v>695576</v>
      </c>
      <c r="G7" s="42">
        <v>-8.0000000000000002E-3</v>
      </c>
      <c r="H7" s="21" t="s">
        <v>647</v>
      </c>
      <c r="I7" s="39" t="str">
        <f ca="1">IFERROR(__xludf.DUMMYFUNCTION("IF(SUM(COUNTIF(artists!A:A, SPLIT(D7, "",""))) &gt; 0, ""UA"", 0)"),"UA")</f>
        <v>UA</v>
      </c>
      <c r="J7" s="40">
        <f ca="1">IFERROR(__xludf.DUMMYFUNCTION("IF(SUM(COUNTIF(artists!C:C, SPLIT(D7, "",""))) &gt; 0, ""RU"", 0)"),0)</f>
        <v>0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B8" s="21">
        <v>6</v>
      </c>
      <c r="C8" s="21" t="s">
        <v>500</v>
      </c>
      <c r="D8" s="21" t="s">
        <v>501</v>
      </c>
      <c r="E8" s="21">
        <v>6</v>
      </c>
      <c r="F8" s="21">
        <v>641370</v>
      </c>
      <c r="G8" s="42">
        <v>-9.1999999999999998E-2</v>
      </c>
      <c r="H8" s="21" t="s">
        <v>503</v>
      </c>
      <c r="I8" s="39">
        <f ca="1">IFERROR(__xludf.DUMMYFUNCTION("IF(SUM(COUNTIF(artists!A:A, SPLIT(D8, "",""))) &gt; 0, ""UA"", 0)"),0)</f>
        <v>0</v>
      </c>
      <c r="J8" s="40" t="str">
        <f ca="1">IFERROR(__xludf.DUMMYFUNCTION("IF(SUM(COUNTIF(artists!C:C, SPLIT(D8, "",""))) &gt; 0, ""RU"", 0)"),"RU")</f>
        <v>RU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B9" s="21">
        <v>9</v>
      </c>
      <c r="C9" s="21" t="s">
        <v>132</v>
      </c>
      <c r="D9" s="21" t="s">
        <v>133</v>
      </c>
      <c r="E9" s="21">
        <v>27</v>
      </c>
      <c r="F9" s="21">
        <v>609980</v>
      </c>
      <c r="G9" s="42">
        <v>-3.9E-2</v>
      </c>
      <c r="H9" s="21" t="s">
        <v>135</v>
      </c>
      <c r="I9" s="39" t="str">
        <f ca="1">IFERROR(__xludf.DUMMYFUNCTION("IF(SUM(COUNTIF(artists!A:A, SPLIT(D9, "",""))) &gt; 0, ""UA"", 0)"),"UA")</f>
        <v>UA</v>
      </c>
      <c r="J9" s="40">
        <f ca="1">IFERROR(__xludf.DUMMYFUNCTION("IF(SUM(COUNTIF(artists!C:C, SPLIT(D9, "",""))) &gt; 0, ""RU"", 0)"),0)</f>
        <v>0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B10" s="21">
        <v>11</v>
      </c>
      <c r="C10" s="21" t="s">
        <v>182</v>
      </c>
      <c r="D10" s="21" t="s">
        <v>183</v>
      </c>
      <c r="E10" s="21">
        <v>23</v>
      </c>
      <c r="F10" s="21">
        <v>585943</v>
      </c>
      <c r="G10" s="43">
        <v>0.02</v>
      </c>
      <c r="H10" s="21" t="s">
        <v>185</v>
      </c>
      <c r="I10" s="39" t="str">
        <f ca="1">IFERROR(__xludf.DUMMYFUNCTION("IF(SUM(COUNTIF(artists!A:A, SPLIT(D10, "",""))) &gt; 0, ""UA"", 0)"),"UA")</f>
        <v>UA</v>
      </c>
      <c r="J10" s="40">
        <f ca="1">IFERROR(__xludf.DUMMYFUNCTION("IF(SUM(COUNTIF(artists!C:C, SPLIT(D10, "",""))) &gt; 0, ""RU"", 0)"),0)</f>
        <v>0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B11" s="21">
        <v>8</v>
      </c>
      <c r="C11" s="21" t="s">
        <v>175</v>
      </c>
      <c r="D11" s="21" t="s">
        <v>89</v>
      </c>
      <c r="E11" s="21">
        <v>27</v>
      </c>
      <c r="F11" s="21">
        <v>564907</v>
      </c>
      <c r="G11" s="43">
        <v>-0.17</v>
      </c>
      <c r="H11" s="21" t="s">
        <v>177</v>
      </c>
      <c r="I11" s="39" t="str">
        <f ca="1">IFERROR(__xludf.DUMMYFUNCTION("IF(SUM(COUNTIF(artists!A:A, SPLIT(D11, "",""))) &gt; 0, ""UA"", 0)"),"UA")</f>
        <v>UA</v>
      </c>
      <c r="J11" s="40">
        <f ca="1">IFERROR(__xludf.DUMMYFUNCTION("IF(SUM(COUNTIF(artists!C:C, SPLIT(D11, "",""))) &gt; 0, ""RU"", 0)"),0)</f>
        <v>0</v>
      </c>
      <c r="K11" s="39">
        <f ca="1">IFERROR(__xludf.DUMMYFUNCTION("IF(SUM(COUNTIF(artists!E:E, SPLIT(D11, "",""))) &gt; 0, ""OTHER"", 0)"),0)</f>
        <v>0</v>
      </c>
    </row>
    <row r="12" spans="1:11" ht="14.25" customHeight="1">
      <c r="A12" s="21">
        <v>11</v>
      </c>
      <c r="B12" s="21">
        <v>10</v>
      </c>
      <c r="C12" s="21" t="s">
        <v>202</v>
      </c>
      <c r="D12" s="21" t="s">
        <v>835</v>
      </c>
      <c r="E12" s="21">
        <v>17</v>
      </c>
      <c r="F12" s="21">
        <v>563005</v>
      </c>
      <c r="G12" s="42">
        <v>-9.1999999999999998E-2</v>
      </c>
      <c r="H12" s="21" t="s">
        <v>204</v>
      </c>
      <c r="I12" s="39" t="str">
        <f ca="1">IFERROR(__xludf.DUMMYFUNCTION("IF(SUM(COUNTIF(artists!A:A, SPLIT(D12, "",""))) &gt; 0, ""UA"", 0)"),"UA")</f>
        <v>UA</v>
      </c>
      <c r="J12" s="40">
        <f ca="1">IFERROR(__xludf.DUMMYFUNCTION("IF(SUM(COUNTIF(artists!C:C, SPLIT(D12, "",""))) &gt; 0, ""RU"", 0)"),0)</f>
        <v>0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B13" s="21">
        <v>12</v>
      </c>
      <c r="C13" s="21" t="s">
        <v>186</v>
      </c>
      <c r="D13" s="21" t="s">
        <v>187</v>
      </c>
      <c r="E13" s="21">
        <v>31</v>
      </c>
      <c r="F13" s="21">
        <v>544904</v>
      </c>
      <c r="G13" s="42">
        <v>-2E-3</v>
      </c>
      <c r="H13" s="21" t="s">
        <v>189</v>
      </c>
      <c r="I13" s="39" t="str">
        <f ca="1">IFERROR(__xludf.DUMMYFUNCTION("IF(SUM(COUNTIF(artists!A:A, SPLIT(D13, "",""))) &gt; 0, ""UA"", 0)"),"UA")</f>
        <v>UA</v>
      </c>
      <c r="J13" s="40">
        <f ca="1">IFERROR(__xludf.DUMMYFUNCTION("IF(SUM(COUNTIF(artists!C:C, SPLIT(D13, "",""))) &gt; 0, ""RU"", 0)"),0)</f>
        <v>0</v>
      </c>
      <c r="K13" s="39">
        <f ca="1">IFERROR(__xludf.DUMMYFUNCTION("IF(SUM(COUNTIF(artists!E:E, SPLIT(D13, "",""))) &gt; 0, ""OTHER"", 0)"),0)</f>
        <v>0</v>
      </c>
    </row>
    <row r="14" spans="1:11" ht="14.25" customHeight="1">
      <c r="A14" s="21">
        <v>13</v>
      </c>
      <c r="B14" s="21">
        <v>13</v>
      </c>
      <c r="C14" s="21" t="s">
        <v>149</v>
      </c>
      <c r="D14" s="21" t="s">
        <v>150</v>
      </c>
      <c r="E14" s="21">
        <v>20</v>
      </c>
      <c r="F14" s="21">
        <v>523858</v>
      </c>
      <c r="G14" s="42">
        <v>-3.5999999999999997E-2</v>
      </c>
      <c r="H14" s="21" t="s">
        <v>152</v>
      </c>
      <c r="I14" s="39" t="str">
        <f ca="1">IFERROR(__xludf.DUMMYFUNCTION("IF(SUM(COUNTIF(artists!A:A, SPLIT(D14, "",""))) &gt; 0, ""UA"", 0)"),"UA")</f>
        <v>UA</v>
      </c>
      <c r="J14" s="40">
        <f ca="1">IFERROR(__xludf.DUMMYFUNCTION("IF(SUM(COUNTIF(artists!C:C, SPLIT(D14, "",""))) &gt; 0, ""RU"", 0)"),0)</f>
        <v>0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B15" s="21">
        <v>16</v>
      </c>
      <c r="C15" s="21" t="s">
        <v>171</v>
      </c>
      <c r="D15" s="21" t="s">
        <v>172</v>
      </c>
      <c r="E15" s="21">
        <v>22</v>
      </c>
      <c r="F15" s="21">
        <v>523498</v>
      </c>
      <c r="G15" s="42">
        <v>-5.0000000000000001E-3</v>
      </c>
      <c r="H15" s="21" t="s">
        <v>174</v>
      </c>
      <c r="I15" s="39">
        <f ca="1">IFERROR(__xludf.DUMMYFUNCTION("IF(SUM(COUNTIF(artists!A:A, SPLIT(D15, "",""))) &gt; 0, ""UA"", 0)"),0)</f>
        <v>0</v>
      </c>
      <c r="J15" s="40" t="str">
        <f ca="1">IFERROR(__xludf.DUMMYFUNCTION("IF(SUM(COUNTIF(artists!C:C, SPLIT(D15, "",""))) &gt; 0, ""RU"", 0)"),"RU")</f>
        <v>RU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C16" s="21" t="s">
        <v>1065</v>
      </c>
      <c r="D16" s="21" t="s">
        <v>352</v>
      </c>
      <c r="E16" s="21">
        <v>1</v>
      </c>
      <c r="F16" s="21">
        <v>490801</v>
      </c>
      <c r="H16" s="21" t="s">
        <v>1066</v>
      </c>
      <c r="I16" s="39" t="str">
        <f ca="1">IFERROR(__xludf.DUMMYFUNCTION("IF(SUM(COUNTIF(artists!A:A, SPLIT(D16, "",""))) &gt; 0, ""UA"", 0)"),"UA")</f>
        <v>UA</v>
      </c>
      <c r="J16" s="40">
        <f ca="1">IFERROR(__xludf.DUMMYFUNCTION("IF(SUM(COUNTIF(artists!C:C, SPLIT(D16, "",""))) &gt; 0, ""RU"", 0)"),0)</f>
        <v>0</v>
      </c>
      <c r="K16" s="39">
        <f ca="1">IFERROR(__xludf.DUMMYFUNCTION("IF(SUM(COUNTIF(artists!E:E, SPLIT(D16, "",""))) &gt; 0, ""OTHER"", 0)"),0)</f>
        <v>0</v>
      </c>
    </row>
    <row r="17" spans="1:11" ht="14.25" customHeight="1">
      <c r="A17" s="21">
        <v>16</v>
      </c>
      <c r="B17" s="21">
        <v>14</v>
      </c>
      <c r="C17" s="21" t="s">
        <v>247</v>
      </c>
      <c r="D17" s="21" t="s">
        <v>454</v>
      </c>
      <c r="E17" s="21">
        <v>4</v>
      </c>
      <c r="F17" s="21">
        <v>472272</v>
      </c>
      <c r="G17" s="43">
        <v>-0.12</v>
      </c>
      <c r="H17" s="21" t="s">
        <v>250</v>
      </c>
      <c r="I17" s="39" t="str">
        <f ca="1">IFERROR(__xludf.DUMMYFUNCTION("IF(SUM(COUNTIF(artists!A:A, SPLIT(D17, "",""))) &gt; 0, ""UA"", 0)"),"UA")</f>
        <v>UA</v>
      </c>
      <c r="J17" s="40">
        <f ca="1">IFERROR(__xludf.DUMMYFUNCTION("IF(SUM(COUNTIF(artists!C:C, SPLIT(D17, "",""))) &gt; 0, ""RU"", 0)"),0)</f>
        <v>0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B18" s="21">
        <v>15</v>
      </c>
      <c r="C18" s="21" t="s">
        <v>844</v>
      </c>
      <c r="D18" s="21" t="s">
        <v>457</v>
      </c>
      <c r="E18" s="21">
        <v>7</v>
      </c>
      <c r="F18" s="21">
        <v>462130</v>
      </c>
      <c r="G18" s="42">
        <v>-0.13400000000000001</v>
      </c>
      <c r="H18" s="21" t="s">
        <v>459</v>
      </c>
      <c r="I18" s="39">
        <f ca="1">IFERROR(__xludf.DUMMYFUNCTION("IF(SUM(COUNTIF(artists!A:A, SPLIT(D18, "",""))) &gt; 0, ""UA"", 0)"),0)</f>
        <v>0</v>
      </c>
      <c r="J18" s="40">
        <f ca="1">IFERROR(__xludf.DUMMYFUNCTION("IF(SUM(COUNTIF(artists!C:C, SPLIT(D18, "",""))) &gt; 0, ""RU"", 0)"),0)</f>
        <v>0</v>
      </c>
      <c r="K18" s="39" t="str">
        <f ca="1">IFERROR(__xludf.DUMMYFUNCTION("IF(SUM(COUNTIF(artists!E:E, SPLIT(D18, "",""))) &gt; 0, ""OTHER"", 0)"),"OTHER")</f>
        <v>OTHER</v>
      </c>
    </row>
    <row r="19" spans="1:11" ht="14.25" customHeight="1">
      <c r="A19" s="21">
        <v>18</v>
      </c>
      <c r="B19" s="21">
        <v>22</v>
      </c>
      <c r="C19" s="21" t="s">
        <v>194</v>
      </c>
      <c r="D19" s="21" t="s">
        <v>195</v>
      </c>
      <c r="E19" s="21">
        <v>30</v>
      </c>
      <c r="F19" s="21">
        <v>461835</v>
      </c>
      <c r="G19" s="43">
        <v>0.12</v>
      </c>
      <c r="H19" s="21" t="s">
        <v>197</v>
      </c>
      <c r="I19" s="39" t="str">
        <f ca="1">IFERROR(__xludf.DUMMYFUNCTION("IF(SUM(COUNTIF(artists!A:A, SPLIT(D19, "",""))) &gt; 0, ""UA"", 0)"),"UA")</f>
        <v>UA</v>
      </c>
      <c r="J19" s="40">
        <f ca="1">IFERROR(__xludf.DUMMYFUNCTION("IF(SUM(COUNTIF(artists!C:C, SPLIT(D19, "",""))) &gt; 0, ""RU"", 0)"),0)</f>
        <v>0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B20" s="21">
        <v>19</v>
      </c>
      <c r="C20" s="21" t="s">
        <v>209</v>
      </c>
      <c r="D20" s="21" t="s">
        <v>210</v>
      </c>
      <c r="E20" s="21">
        <v>20</v>
      </c>
      <c r="F20" s="21">
        <v>438580</v>
      </c>
      <c r="G20" s="42">
        <v>-1E-3</v>
      </c>
      <c r="H20" s="21" t="s">
        <v>212</v>
      </c>
      <c r="I20" s="39" t="str">
        <f ca="1">IFERROR(__xludf.DUMMYFUNCTION("IF(SUM(COUNTIF(artists!A:A, SPLIT(D20, "",""))) &gt; 0, ""UA"", 0)"),"UA")</f>
        <v>UA</v>
      </c>
      <c r="J20" s="40">
        <f ca="1">IFERROR(__xludf.DUMMYFUNCTION("IF(SUM(COUNTIF(artists!C:C, SPLIT(D20, "",""))) &gt; 0, ""RU"", 0)"),0)</f>
        <v>0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B21" s="21">
        <v>20</v>
      </c>
      <c r="C21" s="21" t="s">
        <v>198</v>
      </c>
      <c r="D21" s="21" t="s">
        <v>199</v>
      </c>
      <c r="E21" s="21">
        <v>8</v>
      </c>
      <c r="F21" s="21">
        <v>435885</v>
      </c>
      <c r="G21" s="42">
        <v>5.0000000000000001E-3</v>
      </c>
      <c r="H21" s="21" t="s">
        <v>201</v>
      </c>
      <c r="I21" s="39" t="str">
        <f ca="1">IFERROR(__xludf.DUMMYFUNCTION("IF(SUM(COUNTIF(artists!A:A, SPLIT(D21, "",""))) &gt; 0, ""UA"", 0)"),"UA")</f>
        <v>UA</v>
      </c>
      <c r="J21" s="40">
        <f ca="1">IFERROR(__xludf.DUMMYFUNCTION("IF(SUM(COUNTIF(artists!C:C, SPLIT(D21, "",""))) &gt; 0, ""RU"", 0)"),0)</f>
        <v>0</v>
      </c>
      <c r="K21" s="39">
        <f ca="1">IFERROR(__xludf.DUMMYFUNCTION("IF(SUM(COUNTIF(artists!E:E, SPLIT(D21, "",""))) &gt; 0, ""OTHER"", 0)"),0)</f>
        <v>0</v>
      </c>
    </row>
    <row r="22" spans="1:11" ht="14.25" customHeight="1">
      <c r="A22" s="21">
        <v>21</v>
      </c>
      <c r="B22" s="21">
        <v>69</v>
      </c>
      <c r="C22" s="21" t="s">
        <v>286</v>
      </c>
      <c r="D22" s="21" t="s">
        <v>287</v>
      </c>
      <c r="E22" s="21">
        <v>2</v>
      </c>
      <c r="F22" s="21">
        <v>424440</v>
      </c>
      <c r="G22" s="42">
        <v>1.1830000000000001</v>
      </c>
      <c r="H22" s="21" t="s">
        <v>289</v>
      </c>
      <c r="I22" s="39">
        <f ca="1">IFERROR(__xludf.DUMMYFUNCTION("IF(SUM(COUNTIF(artists!A:A, SPLIT(D22, "",""))) &gt; 0, ""UA"", 0)"),0)</f>
        <v>0</v>
      </c>
      <c r="J22" s="40" t="str">
        <f ca="1">IFERROR(__xludf.DUMMYFUNCTION("IF(SUM(COUNTIF(artists!C:C, SPLIT(D22, "",""))) &gt; 0, ""RU"", 0)"),"RU")</f>
        <v>RU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B23" s="21">
        <v>18</v>
      </c>
      <c r="C23" s="21" t="s">
        <v>700</v>
      </c>
      <c r="D23" s="21" t="s">
        <v>701</v>
      </c>
      <c r="E23" s="21">
        <v>8</v>
      </c>
      <c r="F23" s="21">
        <v>409921</v>
      </c>
      <c r="G23" s="42">
        <v>-9.8000000000000004E-2</v>
      </c>
      <c r="H23" s="21" t="s">
        <v>702</v>
      </c>
      <c r="I23" s="39">
        <f ca="1">IFERROR(__xludf.DUMMYFUNCTION("IF(SUM(COUNTIF(artists!A:A, SPLIT(D23, "",""))) &gt; 0, ""UA"", 0)"),0)</f>
        <v>0</v>
      </c>
      <c r="J23" s="40" t="str">
        <f ca="1">IFERROR(__xludf.DUMMYFUNCTION("IF(SUM(COUNTIF(artists!C:C, SPLIT(D23, "",""))) &gt; 0, ""RU"", 0)"),"RU")</f>
        <v>RU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B24" s="21">
        <v>23</v>
      </c>
      <c r="C24" s="21" t="s">
        <v>178</v>
      </c>
      <c r="D24" s="21" t="s">
        <v>179</v>
      </c>
      <c r="E24" s="21">
        <v>31</v>
      </c>
      <c r="F24" s="21">
        <v>398916</v>
      </c>
      <c r="G24" s="42">
        <v>3.0000000000000001E-3</v>
      </c>
      <c r="H24" s="21" t="s">
        <v>181</v>
      </c>
      <c r="I24" s="39" t="str">
        <f ca="1">IFERROR(__xludf.DUMMYFUNCTION("IF(SUM(COUNTIF(artists!A:A, SPLIT(D24, "",""))) &gt; 0, ""UA"", 0)"),"UA")</f>
        <v>UA</v>
      </c>
      <c r="J24" s="40">
        <f ca="1">IFERROR(__xludf.DUMMYFUNCTION("IF(SUM(COUNTIF(artists!C:C, SPLIT(D24, "",""))) &gt; 0, ""RU"", 0)"),0)</f>
        <v>0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B25" s="21">
        <v>21</v>
      </c>
      <c r="C25" s="21" t="s">
        <v>255</v>
      </c>
      <c r="D25" s="21" t="s">
        <v>256</v>
      </c>
      <c r="E25" s="21">
        <v>17</v>
      </c>
      <c r="F25" s="21">
        <v>391875</v>
      </c>
      <c r="G25" s="42">
        <v>-6.5000000000000002E-2</v>
      </c>
      <c r="H25" s="21" t="s">
        <v>257</v>
      </c>
      <c r="I25" s="39" t="str">
        <f ca="1">IFERROR(__xludf.DUMMYFUNCTION("IF(SUM(COUNTIF(artists!A:A, SPLIT(D25, "",""))) &gt; 0, ""UA"", 0)"),"UA")</f>
        <v>UA</v>
      </c>
      <c r="J25" s="40">
        <f ca="1">IFERROR(__xludf.DUMMYFUNCTION("IF(SUM(COUNTIF(artists!C:C, SPLIT(D25, "",""))) &gt; 0, ""RU"", 0)"),0)</f>
        <v>0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B26" s="21">
        <v>26</v>
      </c>
      <c r="C26" s="21" t="s">
        <v>160</v>
      </c>
      <c r="D26" s="21" t="s">
        <v>161</v>
      </c>
      <c r="E26" s="21">
        <v>21</v>
      </c>
      <c r="F26" s="21">
        <v>373857</v>
      </c>
      <c r="G26" s="42">
        <v>-6.0000000000000001E-3</v>
      </c>
      <c r="H26" s="21" t="s">
        <v>163</v>
      </c>
      <c r="I26" s="39" t="str">
        <f ca="1">IFERROR(__xludf.DUMMYFUNCTION("IF(SUM(COUNTIF(artists!A:A, SPLIT(D26, "",""))) &gt; 0, ""UA"", 0)"),"UA")</f>
        <v>UA</v>
      </c>
      <c r="J26" s="40">
        <f ca="1">IFERROR(__xludf.DUMMYFUNCTION("IF(SUM(COUNTIF(artists!C:C, SPLIT(D26, "",""))) &gt; 0, ""RU"", 0)"),0)</f>
        <v>0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B27" s="21">
        <v>29</v>
      </c>
      <c r="C27" s="21" t="s">
        <v>168</v>
      </c>
      <c r="D27" s="21" t="s">
        <v>137</v>
      </c>
      <c r="E27" s="21">
        <v>18</v>
      </c>
      <c r="F27" s="21">
        <v>372106</v>
      </c>
      <c r="G27" s="42">
        <v>5.1999999999999998E-2</v>
      </c>
      <c r="H27" s="21" t="s">
        <v>170</v>
      </c>
      <c r="I27" s="39" t="str">
        <f ca="1">IFERROR(__xludf.DUMMYFUNCTION("IF(SUM(COUNTIF(artists!A:A, SPLIT(D27, "",""))) &gt; 0, ""UA"", 0)"),"UA")</f>
        <v>UA</v>
      </c>
      <c r="J27" s="40">
        <f ca="1">IFERROR(__xludf.DUMMYFUNCTION("IF(SUM(COUNTIF(artists!C:C, SPLIT(D27, "",""))) &gt; 0, ""RU"", 0)"),0)</f>
        <v>0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B28" s="21">
        <v>28</v>
      </c>
      <c r="C28" s="21" t="s">
        <v>968</v>
      </c>
      <c r="D28" s="21" t="s">
        <v>969</v>
      </c>
      <c r="E28" s="21">
        <v>47</v>
      </c>
      <c r="F28" s="21">
        <v>360581</v>
      </c>
      <c r="G28" s="42">
        <v>1.2999999999999999E-2</v>
      </c>
      <c r="H28" s="21" t="s">
        <v>970</v>
      </c>
      <c r="I28" s="39" t="str">
        <f ca="1">IFERROR(__xludf.DUMMYFUNCTION("IF(SUM(COUNTIF(artists!A:A, SPLIT(D28, "",""))) &gt; 0, ""UA"", 0)"),"UA")</f>
        <v>UA</v>
      </c>
      <c r="J28" s="40">
        <f ca="1">IFERROR(__xludf.DUMMYFUNCTION("IF(SUM(COUNTIF(artists!C:C, SPLIT(D28, "",""))) &gt; 0, ""RU"", 0)"),0)</f>
        <v>0</v>
      </c>
      <c r="K28" s="39">
        <f ca="1">IFERROR(__xludf.DUMMYFUNCTION("IF(SUM(COUNTIF(artists!E:E, SPLIT(D28, "",""))) &gt; 0, ""OTHER"", 0)"),0)</f>
        <v>0</v>
      </c>
    </row>
    <row r="29" spans="1:11" ht="14.25" customHeight="1">
      <c r="A29" s="21">
        <v>28</v>
      </c>
      <c r="B29" s="21">
        <v>52</v>
      </c>
      <c r="C29" s="21" t="s">
        <v>190</v>
      </c>
      <c r="D29" s="21" t="s">
        <v>191</v>
      </c>
      <c r="E29" s="21">
        <v>2</v>
      </c>
      <c r="F29" s="21">
        <v>344991</v>
      </c>
      <c r="G29" s="42">
        <v>0.35699999999999998</v>
      </c>
      <c r="H29" s="21" t="s">
        <v>193</v>
      </c>
      <c r="I29" s="39" t="str">
        <f ca="1">IFERROR(__xludf.DUMMYFUNCTION("IF(SUM(COUNTIF(artists!A:A, SPLIT(D29, "",""))) &gt; 0, ""UA"", 0)"),"UA")</f>
        <v>UA</v>
      </c>
      <c r="J29" s="40">
        <f ca="1">IFERROR(__xludf.DUMMYFUNCTION("IF(SUM(COUNTIF(artists!C:C, SPLIT(D29, "",""))) &gt; 0, ""RU"", 0)"),0)</f>
        <v>0</v>
      </c>
      <c r="K29" s="39">
        <f ca="1">IFERROR(__xludf.DUMMYFUNCTION("IF(SUM(COUNTIF(artists!E:E, SPLIT(D29, "",""))) &gt; 0, ""OTHER"", 0)"),0)</f>
        <v>0</v>
      </c>
    </row>
    <row r="30" spans="1:11" ht="14.25" customHeight="1">
      <c r="A30" s="21">
        <v>29</v>
      </c>
      <c r="B30" s="21">
        <v>33</v>
      </c>
      <c r="C30" s="21" t="s">
        <v>579</v>
      </c>
      <c r="D30" s="21" t="s">
        <v>183</v>
      </c>
      <c r="E30" s="21">
        <v>17</v>
      </c>
      <c r="F30" s="21">
        <v>335516</v>
      </c>
      <c r="G30" s="42">
        <v>1.9E-2</v>
      </c>
      <c r="H30" s="21" t="s">
        <v>580</v>
      </c>
      <c r="I30" s="39" t="str">
        <f ca="1">IFERROR(__xludf.DUMMYFUNCTION("IF(SUM(COUNTIF(artists!A:A, SPLIT(D30, "",""))) &gt; 0, ""UA"", 0)"),"UA")</f>
        <v>UA</v>
      </c>
      <c r="J30" s="40">
        <f ca="1">IFERROR(__xludf.DUMMYFUNCTION("IF(SUM(COUNTIF(artists!C:C, SPLIT(D30, "",""))) &gt; 0, ""RU"", 0)"),0)</f>
        <v>0</v>
      </c>
      <c r="K30" s="39">
        <f ca="1">IFERROR(__xludf.DUMMYFUNCTION("IF(SUM(COUNTIF(artists!E:E, SPLIT(D30, "",""))) &gt; 0, ""OTHER"", 0)"),0)</f>
        <v>0</v>
      </c>
    </row>
    <row r="31" spans="1:11" ht="14.25" customHeight="1">
      <c r="A31" s="21">
        <v>30</v>
      </c>
      <c r="B31" s="21">
        <v>31</v>
      </c>
      <c r="C31" s="21" t="s">
        <v>742</v>
      </c>
      <c r="D31" s="21" t="s">
        <v>743</v>
      </c>
      <c r="E31" s="21">
        <v>9</v>
      </c>
      <c r="F31" s="21">
        <v>330848</v>
      </c>
      <c r="G31" s="42">
        <v>-3.5999999999999997E-2</v>
      </c>
      <c r="H31" s="21" t="s">
        <v>744</v>
      </c>
      <c r="I31" s="39">
        <f ca="1">IFERROR(__xludf.DUMMYFUNCTION("IF(SUM(COUNTIF(artists!A:A, SPLIT(D31, "",""))) &gt; 0, ""UA"", 0)"),0)</f>
        <v>0</v>
      </c>
      <c r="J31" s="40" t="str">
        <f ca="1">IFERROR(__xludf.DUMMYFUNCTION("IF(SUM(COUNTIF(artists!C:C, SPLIT(D31, "",""))) &gt; 0, ""RU"", 0)"),"RU")</f>
        <v>RU</v>
      </c>
      <c r="K31" s="39">
        <f ca="1">IFERROR(__xludf.DUMMYFUNCTION("IF(SUM(COUNTIF(artists!E:E, SPLIT(D31, "",""))) &gt; 0, ""OTHER"", 0)"),0)</f>
        <v>0</v>
      </c>
    </row>
    <row r="32" spans="1:11" ht="14.25" customHeight="1">
      <c r="A32" s="21">
        <v>31</v>
      </c>
      <c r="B32" s="21">
        <v>17</v>
      </c>
      <c r="C32" s="21" t="s">
        <v>373</v>
      </c>
      <c r="D32" s="21" t="s">
        <v>172</v>
      </c>
      <c r="E32" s="21">
        <v>3</v>
      </c>
      <c r="F32" s="21">
        <v>323479</v>
      </c>
      <c r="G32" s="42">
        <v>-0.29699999999999999</v>
      </c>
      <c r="H32" s="21" t="s">
        <v>375</v>
      </c>
      <c r="I32" s="39">
        <f ca="1">IFERROR(__xludf.DUMMYFUNCTION("IF(SUM(COUNTIF(artists!A:A, SPLIT(D32, "",""))) &gt; 0, ""UA"", 0)"),0)</f>
        <v>0</v>
      </c>
      <c r="J32" s="40" t="str">
        <f ca="1">IFERROR(__xludf.DUMMYFUNCTION("IF(SUM(COUNTIF(artists!C:C, SPLIT(D32, "",""))) &gt; 0, ""RU"", 0)"),"RU")</f>
        <v>RU</v>
      </c>
      <c r="K32" s="39">
        <f ca="1">IFERROR(__xludf.DUMMYFUNCTION("IF(SUM(COUNTIF(artists!E:E, SPLIT(D32, "",""))) &gt; 0, ""OTHER"", 0)"),0)</f>
        <v>0</v>
      </c>
    </row>
    <row r="33" spans="1:11" ht="14.25" customHeight="1">
      <c r="A33" s="21">
        <v>32</v>
      </c>
      <c r="B33" s="21">
        <v>34</v>
      </c>
      <c r="C33" s="21" t="s">
        <v>841</v>
      </c>
      <c r="D33" s="21" t="s">
        <v>842</v>
      </c>
      <c r="E33" s="21">
        <v>32</v>
      </c>
      <c r="F33" s="21">
        <v>319133</v>
      </c>
      <c r="G33" s="42">
        <v>-2.1000000000000001E-2</v>
      </c>
      <c r="H33" s="21" t="s">
        <v>843</v>
      </c>
      <c r="I33" s="39">
        <f ca="1">IFERROR(__xludf.DUMMYFUNCTION("IF(SUM(COUNTIF(artists!A:A, SPLIT(D33, "",""))) &gt; 0, ""UA"", 0)"),0)</f>
        <v>0</v>
      </c>
      <c r="J33" s="40">
        <f ca="1">IFERROR(__xludf.DUMMYFUNCTION("IF(SUM(COUNTIF(artists!C:C, SPLIT(D33, "",""))) &gt; 0, ""RU"", 0)"),0)</f>
        <v>0</v>
      </c>
      <c r="K33" s="39" t="str">
        <f ca="1">IFERROR(__xludf.DUMMYFUNCTION("IF(SUM(COUNTIF(artists!E:E, SPLIT(D33, "",""))) &gt; 0, ""OTHER"", 0)"),"OTHER")</f>
        <v>OTHER</v>
      </c>
    </row>
    <row r="34" spans="1:11" ht="14.25" customHeight="1">
      <c r="A34" s="21">
        <v>33</v>
      </c>
      <c r="B34" s="21">
        <v>38</v>
      </c>
      <c r="C34" s="21" t="s">
        <v>772</v>
      </c>
      <c r="D34" s="21" t="s">
        <v>773</v>
      </c>
      <c r="E34" s="21">
        <v>5</v>
      </c>
      <c r="F34" s="21">
        <v>315847</v>
      </c>
      <c r="G34" s="42">
        <v>1.4E-2</v>
      </c>
      <c r="H34" s="21" t="s">
        <v>774</v>
      </c>
      <c r="I34" s="39" t="str">
        <f ca="1">IFERROR(__xludf.DUMMYFUNCTION("IF(SUM(COUNTIF(artists!A:A, SPLIT(D34, "",""))) &gt; 0, ""UA"", 0)"),"UA")</f>
        <v>UA</v>
      </c>
      <c r="J34" s="40">
        <f ca="1">IFERROR(__xludf.DUMMYFUNCTION("IF(SUM(COUNTIF(artists!C:C, SPLIT(D34, "",""))) &gt; 0, ""RU"", 0)"),0)</f>
        <v>0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B35" s="21">
        <v>25</v>
      </c>
      <c r="C35" s="21" t="s">
        <v>682</v>
      </c>
      <c r="D35" s="21" t="s">
        <v>125</v>
      </c>
      <c r="E35" s="21">
        <v>8</v>
      </c>
      <c r="F35" s="21">
        <v>310069</v>
      </c>
      <c r="G35" s="42">
        <v>-0.184</v>
      </c>
      <c r="H35" s="21" t="s">
        <v>684</v>
      </c>
      <c r="I35" s="39">
        <f ca="1">IFERROR(__xludf.DUMMYFUNCTION("IF(SUM(COUNTIF(artists!A:A, SPLIT(D35, "",""))) &gt; 0, ""UA"", 0)"),0)</f>
        <v>0</v>
      </c>
      <c r="J35" s="40" t="str">
        <f ca="1">IFERROR(__xludf.DUMMYFUNCTION("IF(SUM(COUNTIF(artists!C:C, SPLIT(D35, "",""))) &gt; 0, ""RU"", 0)"),"RU")</f>
        <v>RU</v>
      </c>
      <c r="K35" s="39">
        <f ca="1">IFERROR(__xludf.DUMMYFUNCTION("IF(SUM(COUNTIF(artists!E:E, SPLIT(D35, "",""))) &gt; 0, ""OTHER"", 0)"),0)</f>
        <v>0</v>
      </c>
    </row>
    <row r="36" spans="1:11" ht="14.25" customHeight="1">
      <c r="A36" s="21">
        <v>35</v>
      </c>
      <c r="B36" s="21">
        <v>35</v>
      </c>
      <c r="C36" s="21" t="s">
        <v>251</v>
      </c>
      <c r="D36" s="21" t="s">
        <v>133</v>
      </c>
      <c r="E36" s="21">
        <v>12</v>
      </c>
      <c r="F36" s="21">
        <v>309554</v>
      </c>
      <c r="G36" s="42">
        <v>-3.4000000000000002E-2</v>
      </c>
      <c r="H36" s="21" t="s">
        <v>252</v>
      </c>
      <c r="I36" s="39" t="str">
        <f ca="1">IFERROR(__xludf.DUMMYFUNCTION("IF(SUM(COUNTIF(artists!A:A, SPLIT(D36, "",""))) &gt; 0, ""UA"", 0)"),"UA")</f>
        <v>UA</v>
      </c>
      <c r="J36" s="40">
        <f ca="1">IFERROR(__xludf.DUMMYFUNCTION("IF(SUM(COUNTIF(artists!C:C, SPLIT(D36, "",""))) &gt; 0, ""RU"", 0)"),0)</f>
        <v>0</v>
      </c>
      <c r="K36" s="39">
        <f ca="1">IFERROR(__xludf.DUMMYFUNCTION("IF(SUM(COUNTIF(artists!E:E, SPLIT(D36, "",""))) &gt; 0, ""OTHER"", 0)"),0)</f>
        <v>0</v>
      </c>
    </row>
    <row r="37" spans="1:11" ht="14.25" customHeight="1">
      <c r="A37" s="21">
        <v>36</v>
      </c>
      <c r="B37" s="21">
        <v>40</v>
      </c>
      <c r="C37" s="21" t="s">
        <v>229</v>
      </c>
      <c r="D37" s="21" t="s">
        <v>230</v>
      </c>
      <c r="E37" s="21">
        <v>34</v>
      </c>
      <c r="F37" s="21">
        <v>308588</v>
      </c>
      <c r="G37" s="42">
        <v>2.3E-2</v>
      </c>
      <c r="H37" s="21" t="s">
        <v>232</v>
      </c>
      <c r="I37" s="39" t="str">
        <f ca="1">IFERROR(__xludf.DUMMYFUNCTION("IF(SUM(COUNTIF(artists!A:A, SPLIT(D37, "",""))) &gt; 0, ""UA"", 0)"),"UA")</f>
        <v>UA</v>
      </c>
      <c r="J37" s="40">
        <f ca="1">IFERROR(__xludf.DUMMYFUNCTION("IF(SUM(COUNTIF(artists!C:C, SPLIT(D37, "",""))) &gt; 0, ""RU"", 0)"),0)</f>
        <v>0</v>
      </c>
      <c r="K37" s="39">
        <f ca="1">IFERROR(__xludf.DUMMYFUNCTION("IF(SUM(COUNTIF(artists!E:E, SPLIT(D37, "",""))) &gt; 0, ""OTHER"", 0)"),0)</f>
        <v>0</v>
      </c>
    </row>
    <row r="38" spans="1:11" ht="14.25" customHeight="1">
      <c r="A38" s="21">
        <v>37</v>
      </c>
      <c r="B38" s="21">
        <v>39</v>
      </c>
      <c r="C38" s="21" t="s">
        <v>594</v>
      </c>
      <c r="D38" s="21" t="s">
        <v>595</v>
      </c>
      <c r="E38" s="21">
        <v>15</v>
      </c>
      <c r="F38" s="21">
        <v>308051</v>
      </c>
      <c r="G38" s="42">
        <v>1.7999999999999999E-2</v>
      </c>
      <c r="H38" s="21" t="s">
        <v>596</v>
      </c>
      <c r="I38" s="39" t="str">
        <f ca="1">IFERROR(__xludf.DUMMYFUNCTION("IF(SUM(COUNTIF(artists!A:A, SPLIT(D38, "",""))) &gt; 0, ""UA"", 0)"),"UA")</f>
        <v>UA</v>
      </c>
      <c r="J38" s="40">
        <f ca="1">IFERROR(__xludf.DUMMYFUNCTION("IF(SUM(COUNTIF(artists!C:C, SPLIT(D38, "",""))) &gt; 0, ""RU"", 0)"),0)</f>
        <v>0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B39" s="21">
        <v>44</v>
      </c>
      <c r="C39" s="21" t="s">
        <v>667</v>
      </c>
      <c r="D39" s="21" t="s">
        <v>668</v>
      </c>
      <c r="E39" s="21">
        <v>8</v>
      </c>
      <c r="F39" s="21">
        <v>302309</v>
      </c>
      <c r="G39" s="42">
        <v>7.1999999999999995E-2</v>
      </c>
      <c r="H39" s="21" t="s">
        <v>669</v>
      </c>
      <c r="I39" s="39">
        <f ca="1">IFERROR(__xludf.DUMMYFUNCTION("IF(SUM(COUNTIF(artists!A:A, SPLIT(D39, "",""))) &gt; 0, ""UA"", 0)"),0)</f>
        <v>0</v>
      </c>
      <c r="J39" s="40" t="str">
        <f ca="1">IFERROR(__xludf.DUMMYFUNCTION("IF(SUM(COUNTIF(artists!C:C, SPLIT(D39, "",""))) &gt; 0, ""RU"", 0)"),"RU")</f>
        <v>RU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B40" s="21">
        <v>51</v>
      </c>
      <c r="C40" s="21" t="s">
        <v>980</v>
      </c>
      <c r="D40" s="21" t="s">
        <v>981</v>
      </c>
      <c r="E40" s="21">
        <v>2</v>
      </c>
      <c r="F40" s="21">
        <v>299642</v>
      </c>
      <c r="G40" s="42">
        <v>0.152</v>
      </c>
      <c r="H40" s="21" t="s">
        <v>982</v>
      </c>
      <c r="I40" s="39">
        <f ca="1">IFERROR(__xludf.DUMMYFUNCTION("IF(SUM(COUNTIF(artists!A:A, SPLIT(D40, "",""))) &gt; 0, ""UA"", 0)"),0)</f>
        <v>0</v>
      </c>
      <c r="J40" s="40" t="str">
        <f ca="1">IFERROR(__xludf.DUMMYFUNCTION("IF(SUM(COUNTIF(artists!C:C, SPLIT(D40, "",""))) &gt; 0, ""RU"", 0)"),"RU")</f>
        <v>RU</v>
      </c>
      <c r="K40" s="39">
        <f ca="1">IFERROR(__xludf.DUMMYFUNCTION("IF(SUM(COUNTIF(artists!E:E, SPLIT(D40, "",""))) &gt; 0, ""OTHER"", 0)"),0)</f>
        <v>0</v>
      </c>
    </row>
    <row r="41" spans="1:11" ht="14.25" customHeight="1">
      <c r="A41" s="21">
        <v>40</v>
      </c>
      <c r="B41" s="21">
        <v>32</v>
      </c>
      <c r="C41" s="21" t="s">
        <v>298</v>
      </c>
      <c r="D41" s="21" t="s">
        <v>299</v>
      </c>
      <c r="E41" s="21">
        <v>4</v>
      </c>
      <c r="F41" s="21">
        <v>294209</v>
      </c>
      <c r="G41" s="42">
        <v>-0.124</v>
      </c>
      <c r="H41" s="21" t="s">
        <v>300</v>
      </c>
      <c r="I41" s="39">
        <f ca="1">IFERROR(__xludf.DUMMYFUNCTION("IF(SUM(COUNTIF(artists!A:A, SPLIT(D41, "",""))) &gt; 0, ""UA"", 0)"),0)</f>
        <v>0</v>
      </c>
      <c r="J41" s="40">
        <f ca="1">IFERROR(__xludf.DUMMYFUNCTION("IF(SUM(COUNTIF(artists!C:C, SPLIT(D41, "",""))) &gt; 0, ""RU"", 0)"),0)</f>
        <v>0</v>
      </c>
      <c r="K41" s="39" t="str">
        <f ca="1">IFERROR(__xludf.DUMMYFUNCTION("IF(SUM(COUNTIF(artists!E:E, SPLIT(D41, "",""))) &gt; 0, ""OTHER"", 0)"),"OTHER")</f>
        <v>OTHER</v>
      </c>
    </row>
    <row r="42" spans="1:11" ht="14.25" customHeight="1">
      <c r="A42" s="21">
        <v>41</v>
      </c>
      <c r="B42" s="21">
        <v>30</v>
      </c>
      <c r="C42" s="21" t="s">
        <v>253</v>
      </c>
      <c r="D42" s="21" t="s">
        <v>89</v>
      </c>
      <c r="E42" s="21">
        <v>36</v>
      </c>
      <c r="F42" s="21">
        <v>293590</v>
      </c>
      <c r="G42" s="42">
        <v>-0.157</v>
      </c>
      <c r="H42" s="21" t="s">
        <v>254</v>
      </c>
      <c r="I42" s="39" t="str">
        <f ca="1">IFERROR(__xludf.DUMMYFUNCTION("IF(SUM(COUNTIF(artists!A:A, SPLIT(D42, "",""))) &gt; 0, ""UA"", 0)"),"UA")</f>
        <v>UA</v>
      </c>
      <c r="J42" s="40">
        <f ca="1">IFERROR(__xludf.DUMMYFUNCTION("IF(SUM(COUNTIF(artists!C:C, SPLIT(D42, "",""))) &gt; 0, ""RU"", 0)"),0)</f>
        <v>0</v>
      </c>
      <c r="K42" s="39">
        <f ca="1">IFERROR(__xludf.DUMMYFUNCTION("IF(SUM(COUNTIF(artists!E:E, SPLIT(D42, "",""))) &gt; 0, ""OTHER"", 0)"),0)</f>
        <v>0</v>
      </c>
    </row>
    <row r="43" spans="1:11" ht="14.25" customHeight="1">
      <c r="A43" s="21">
        <v>42</v>
      </c>
      <c r="B43" s="21">
        <v>41</v>
      </c>
      <c r="C43" s="21" t="s">
        <v>929</v>
      </c>
      <c r="D43" s="21" t="s">
        <v>930</v>
      </c>
      <c r="E43" s="21">
        <v>20</v>
      </c>
      <c r="F43" s="21">
        <v>288935</v>
      </c>
      <c r="G43" s="42">
        <v>-6.0000000000000001E-3</v>
      </c>
      <c r="H43" s="21" t="s">
        <v>931</v>
      </c>
      <c r="I43" s="39" t="str">
        <f ca="1">IFERROR(__xludf.DUMMYFUNCTION("IF(SUM(COUNTIF(artists!A:A, SPLIT(D43, "",""))) &gt; 0, ""UA"", 0)"),"UA")</f>
        <v>UA</v>
      </c>
      <c r="J43" s="40">
        <f ca="1">IFERROR(__xludf.DUMMYFUNCTION("IF(SUM(COUNTIF(artists!C:C, SPLIT(D43, "",""))) &gt; 0, ""RU"", 0)"),0)</f>
        <v>0</v>
      </c>
      <c r="K43" s="39">
        <f ca="1">IFERROR(__xludf.DUMMYFUNCTION("IF(SUM(COUNTIF(artists!E:E, SPLIT(D43, "",""))) &gt; 0, ""OTHER"", 0)"),0)</f>
        <v>0</v>
      </c>
    </row>
    <row r="44" spans="1:11" ht="14.25" customHeight="1">
      <c r="A44" s="21">
        <v>43</v>
      </c>
      <c r="B44" s="21">
        <v>43</v>
      </c>
      <c r="C44" s="21" t="s">
        <v>653</v>
      </c>
      <c r="D44" s="21" t="s">
        <v>85</v>
      </c>
      <c r="E44" s="21">
        <v>3</v>
      </c>
      <c r="F44" s="21">
        <v>286730</v>
      </c>
      <c r="G44" s="42">
        <v>2E-3</v>
      </c>
      <c r="H44" s="21" t="s">
        <v>655</v>
      </c>
      <c r="I44" s="39" t="str">
        <f ca="1">IFERROR(__xludf.DUMMYFUNCTION("IF(SUM(COUNTIF(artists!A:A, SPLIT(D44, "",""))) &gt; 0, ""UA"", 0)"),"UA")</f>
        <v>UA</v>
      </c>
      <c r="J44" s="40">
        <f ca="1">IFERROR(__xludf.DUMMYFUNCTION("IF(SUM(COUNTIF(artists!C:C, SPLIT(D44, "",""))) &gt; 0, ""RU"", 0)"),0)</f>
        <v>0</v>
      </c>
      <c r="K44" s="39">
        <f ca="1">IFERROR(__xludf.DUMMYFUNCTION("IF(SUM(COUNTIF(artists!E:E, SPLIT(D44, "",""))) &gt; 0, ""OTHER"", 0)"),0)</f>
        <v>0</v>
      </c>
    </row>
    <row r="45" spans="1:11" ht="14.25" customHeight="1">
      <c r="A45" s="21">
        <v>44</v>
      </c>
      <c r="B45" s="21">
        <v>37</v>
      </c>
      <c r="C45" s="21" t="s">
        <v>799</v>
      </c>
      <c r="D45" s="21" t="s">
        <v>494</v>
      </c>
      <c r="E45" s="21">
        <v>36</v>
      </c>
      <c r="F45" s="21">
        <v>285727</v>
      </c>
      <c r="G45" s="42">
        <v>-9.0999999999999998E-2</v>
      </c>
      <c r="H45" s="21" t="s">
        <v>800</v>
      </c>
      <c r="I45" s="39" t="str">
        <f ca="1">IFERROR(__xludf.DUMMYFUNCTION("IF(SUM(COUNTIF(artists!A:A, SPLIT(D45, "",""))) &gt; 0, ""UA"", 0)"),"UA")</f>
        <v>UA</v>
      </c>
      <c r="J45" s="40">
        <f ca="1">IFERROR(__xludf.DUMMYFUNCTION("IF(SUM(COUNTIF(artists!C:C, SPLIT(D45, "",""))) &gt; 0, ""RU"", 0)"),0)</f>
        <v>0</v>
      </c>
      <c r="K45" s="39">
        <f ca="1">IFERROR(__xludf.DUMMYFUNCTION("IF(SUM(COUNTIF(artists!E:E, SPLIT(D45, "",""))) &gt; 0, ""OTHER"", 0)"),0)</f>
        <v>0</v>
      </c>
    </row>
    <row r="46" spans="1:11" ht="14.25" customHeight="1">
      <c r="A46" s="21">
        <v>45</v>
      </c>
      <c r="B46" s="21">
        <v>42</v>
      </c>
      <c r="C46" s="21" t="s">
        <v>508</v>
      </c>
      <c r="D46" s="21" t="s">
        <v>509</v>
      </c>
      <c r="E46" s="21">
        <v>8</v>
      </c>
      <c r="F46" s="21">
        <v>282926</v>
      </c>
      <c r="G46" s="42">
        <v>-1.2999999999999999E-2</v>
      </c>
      <c r="H46" s="21" t="s">
        <v>510</v>
      </c>
      <c r="I46" s="39">
        <f ca="1">IFERROR(__xludf.DUMMYFUNCTION("IF(SUM(COUNTIF(artists!A:A, SPLIT(D46, "",""))) &gt; 0, ""UA"", 0)"),0)</f>
        <v>0</v>
      </c>
      <c r="J46" s="40" t="str">
        <f ca="1">IFERROR(__xludf.DUMMYFUNCTION("IF(SUM(COUNTIF(artists!C:C, SPLIT(D46, "",""))) &gt; 0, ""RU"", 0)"),"RU")</f>
        <v>RU</v>
      </c>
      <c r="K46" s="39">
        <f ca="1">IFERROR(__xludf.DUMMYFUNCTION("IF(SUM(COUNTIF(artists!E:E, SPLIT(D46, "",""))) &gt; 0, ""OTHER"", 0)"),0)</f>
        <v>0</v>
      </c>
    </row>
    <row r="47" spans="1:11" ht="14.25" customHeight="1">
      <c r="A47" s="21">
        <v>46</v>
      </c>
      <c r="B47" s="21">
        <v>50</v>
      </c>
      <c r="C47" s="21" t="s">
        <v>516</v>
      </c>
      <c r="D47" s="21" t="s">
        <v>517</v>
      </c>
      <c r="E47" s="21">
        <v>25</v>
      </c>
      <c r="F47" s="21">
        <v>268973</v>
      </c>
      <c r="G47" s="42">
        <v>3.1E-2</v>
      </c>
      <c r="H47" s="21" t="s">
        <v>518</v>
      </c>
      <c r="I47" s="39">
        <f ca="1">IFERROR(__xludf.DUMMYFUNCTION("IF(SUM(COUNTIF(artists!A:A, SPLIT(D47, "",""))) &gt; 0, ""UA"", 0)"),0)</f>
        <v>0</v>
      </c>
      <c r="J47" s="40">
        <f ca="1">IFERROR(__xludf.DUMMYFUNCTION("IF(SUM(COUNTIF(artists!C:C, SPLIT(D47, "",""))) &gt; 0, ""RU"", 0)"),0)</f>
        <v>0</v>
      </c>
      <c r="K47" s="39" t="str">
        <f ca="1">IFERROR(__xludf.DUMMYFUNCTION("IF(SUM(COUNTIF(artists!E:E, SPLIT(D47, "",""))) &gt; 0, ""OTHER"", 0)"),"OTHER")</f>
        <v>OTHER</v>
      </c>
    </row>
    <row r="48" spans="1:11" ht="14.25" customHeight="1">
      <c r="A48" s="21">
        <v>47</v>
      </c>
      <c r="B48" s="21">
        <v>46</v>
      </c>
      <c r="C48" s="21" t="s">
        <v>895</v>
      </c>
      <c r="D48" s="21" t="s">
        <v>896</v>
      </c>
      <c r="E48" s="21">
        <v>39</v>
      </c>
      <c r="F48" s="21">
        <v>255904</v>
      </c>
      <c r="G48" s="42">
        <v>-7.3999999999999996E-2</v>
      </c>
      <c r="H48" s="21" t="s">
        <v>897</v>
      </c>
      <c r="I48" s="39" t="str">
        <f ca="1">IFERROR(__xludf.DUMMYFUNCTION("IF(SUM(COUNTIF(artists!A:A, SPLIT(D48, "",""))) &gt; 0, ""UA"", 0)"),"UA")</f>
        <v>UA</v>
      </c>
      <c r="J48" s="40">
        <f ca="1">IFERROR(__xludf.DUMMYFUNCTION("IF(SUM(COUNTIF(artists!C:C, SPLIT(D48, "",""))) &gt; 0, ""RU"", 0)"),0)</f>
        <v>0</v>
      </c>
      <c r="K48" s="39">
        <f ca="1">IFERROR(__xludf.DUMMYFUNCTION("IF(SUM(COUNTIF(artists!E:E, SPLIT(D48, "",""))) &gt; 0, ""OTHER"", 0)"),0)</f>
        <v>0</v>
      </c>
    </row>
    <row r="49" spans="1:11" ht="14.25" customHeight="1">
      <c r="A49" s="21">
        <v>48</v>
      </c>
      <c r="B49" s="21">
        <v>47</v>
      </c>
      <c r="C49" s="21" t="s">
        <v>527</v>
      </c>
      <c r="D49" s="21" t="s">
        <v>528</v>
      </c>
      <c r="E49" s="21">
        <v>6</v>
      </c>
      <c r="F49" s="21">
        <v>253924</v>
      </c>
      <c r="G49" s="42">
        <v>-7.9000000000000001E-2</v>
      </c>
      <c r="H49" s="21" t="s">
        <v>529</v>
      </c>
      <c r="I49" s="39" t="str">
        <f ca="1">IFERROR(__xludf.DUMMYFUNCTION("IF(SUM(COUNTIF(artists!A:A, SPLIT(D49, "",""))) &gt; 0, ""UA"", 0)"),"UA")</f>
        <v>UA</v>
      </c>
      <c r="J49" s="40">
        <f ca="1">IFERROR(__xludf.DUMMYFUNCTION("IF(SUM(COUNTIF(artists!C:C, SPLIT(D49, "",""))) &gt; 0, ""RU"", 0)"),0)</f>
        <v>0</v>
      </c>
      <c r="K49" s="39">
        <f ca="1">IFERROR(__xludf.DUMMYFUNCTION("IF(SUM(COUNTIF(artists!E:E, SPLIT(D49, "",""))) &gt; 0, ""OTHER"", 0)"),0)</f>
        <v>0</v>
      </c>
    </row>
    <row r="50" spans="1:11" ht="14.25" customHeight="1">
      <c r="A50" s="21">
        <v>49</v>
      </c>
      <c r="B50" s="21">
        <v>48</v>
      </c>
      <c r="C50" s="21" t="s">
        <v>616</v>
      </c>
      <c r="D50" s="21" t="s">
        <v>617</v>
      </c>
      <c r="E50" s="21">
        <v>17</v>
      </c>
      <c r="F50" s="21">
        <v>253096</v>
      </c>
      <c r="G50" s="43">
        <v>-0.06</v>
      </c>
      <c r="H50" s="21" t="s">
        <v>618</v>
      </c>
      <c r="I50" s="39">
        <f ca="1">IFERROR(__xludf.DUMMYFUNCTION("IF(SUM(COUNTIF(artists!A:A, SPLIT(D50, "",""))) &gt; 0, ""UA"", 0)"),0)</f>
        <v>0</v>
      </c>
      <c r="J50" s="40">
        <f ca="1">IFERROR(__xludf.DUMMYFUNCTION("IF(SUM(COUNTIF(artists!C:C, SPLIT(D50, "",""))) &gt; 0, ""RU"", 0)"),0)</f>
        <v>0</v>
      </c>
      <c r="K50" s="39" t="str">
        <f ca="1">IFERROR(__xludf.DUMMYFUNCTION("IF(SUM(COUNTIF(artists!E:E, SPLIT(D50, "",""))) &gt; 0, ""OTHER"", 0)"),"OTHER")</f>
        <v>OTHER</v>
      </c>
    </row>
    <row r="51" spans="1:11" ht="14.25" customHeight="1">
      <c r="A51" s="21">
        <v>50</v>
      </c>
      <c r="B51" s="21">
        <v>54</v>
      </c>
      <c r="C51" s="21" t="s">
        <v>482</v>
      </c>
      <c r="D51" s="21" t="s">
        <v>210</v>
      </c>
      <c r="E51" s="21">
        <v>6</v>
      </c>
      <c r="F51" s="21">
        <v>251050</v>
      </c>
      <c r="G51" s="42">
        <v>9.0999999999999998E-2</v>
      </c>
      <c r="H51" s="21" t="s">
        <v>484</v>
      </c>
      <c r="I51" s="39" t="str">
        <f ca="1">IFERROR(__xludf.DUMMYFUNCTION("IF(SUM(COUNTIF(artists!A:A, SPLIT(D51, "",""))) &gt; 0, ""UA"", 0)"),"UA")</f>
        <v>UA</v>
      </c>
      <c r="J51" s="40">
        <f ca="1">IFERROR(__xludf.DUMMYFUNCTION("IF(SUM(COUNTIF(artists!C:C, SPLIT(D51, "",""))) &gt; 0, ""RU"", 0)"),0)</f>
        <v>0</v>
      </c>
      <c r="K51" s="39">
        <f ca="1">IFERROR(__xludf.DUMMYFUNCTION("IF(SUM(COUNTIF(artists!E:E, SPLIT(D51, "",""))) &gt; 0, ""OTHER"", 0)"),0)</f>
        <v>0</v>
      </c>
    </row>
    <row r="52" spans="1:11" ht="14.25" customHeight="1">
      <c r="A52" s="21">
        <v>51</v>
      </c>
      <c r="B52" s="21">
        <v>45</v>
      </c>
      <c r="C52" s="21" t="s">
        <v>602</v>
      </c>
      <c r="D52" s="21" t="s">
        <v>299</v>
      </c>
      <c r="E52" s="21">
        <v>8</v>
      </c>
      <c r="F52" s="21">
        <v>249652</v>
      </c>
      <c r="G52" s="42">
        <v>-9.9000000000000005E-2</v>
      </c>
      <c r="H52" s="21" t="s">
        <v>604</v>
      </c>
      <c r="I52" s="39">
        <f ca="1">IFERROR(__xludf.DUMMYFUNCTION("IF(SUM(COUNTIF(artists!A:A, SPLIT(D52, "",""))) &gt; 0, ""UA"", 0)"),0)</f>
        <v>0</v>
      </c>
      <c r="J52" s="40">
        <f ca="1">IFERROR(__xludf.DUMMYFUNCTION("IF(SUM(COUNTIF(artists!C:C, SPLIT(D52, "",""))) &gt; 0, ""RU"", 0)"),0)</f>
        <v>0</v>
      </c>
      <c r="K52" s="39" t="str">
        <f ca="1">IFERROR(__xludf.DUMMYFUNCTION("IF(SUM(COUNTIF(artists!E:E, SPLIT(D52, "",""))) &gt; 0, ""OTHER"", 0)"),"OTHER")</f>
        <v>OTHER</v>
      </c>
    </row>
    <row r="53" spans="1:11" ht="14.25" customHeight="1">
      <c r="A53" s="21">
        <v>52</v>
      </c>
      <c r="B53" s="21">
        <v>36</v>
      </c>
      <c r="C53" s="21" t="s">
        <v>1079</v>
      </c>
      <c r="D53" s="21" t="s">
        <v>1080</v>
      </c>
      <c r="E53" s="21">
        <v>2</v>
      </c>
      <c r="F53" s="21">
        <v>246275</v>
      </c>
      <c r="G53" s="42">
        <v>-0.22600000000000001</v>
      </c>
      <c r="H53" s="21" t="s">
        <v>1081</v>
      </c>
      <c r="I53" s="39">
        <f ca="1">IFERROR(__xludf.DUMMYFUNCTION("IF(SUM(COUNTIF(artists!A:A, SPLIT(D53, "",""))) &gt; 0, ""UA"", 0)"),0)</f>
        <v>0</v>
      </c>
      <c r="J53" s="40" t="str">
        <f ca="1">IFERROR(__xludf.DUMMYFUNCTION("IF(SUM(COUNTIF(artists!C:C, SPLIT(D53, "",""))) &gt; 0, ""RU"", 0)"),"RU")</f>
        <v>RU</v>
      </c>
      <c r="K53" s="39">
        <f ca="1">IFERROR(__xludf.DUMMYFUNCTION("IF(SUM(COUNTIF(artists!E:E, SPLIT(D53, "",""))) &gt; 0, ""OTHER"", 0)"),0)</f>
        <v>0</v>
      </c>
    </row>
    <row r="54" spans="1:11" ht="14.25" customHeight="1">
      <c r="A54" s="21">
        <v>53</v>
      </c>
      <c r="C54" s="21" t="s">
        <v>1035</v>
      </c>
      <c r="D54" s="21" t="s">
        <v>1036</v>
      </c>
      <c r="E54" s="21">
        <v>1</v>
      </c>
      <c r="F54" s="21">
        <v>238087</v>
      </c>
      <c r="H54" s="21" t="s">
        <v>1037</v>
      </c>
      <c r="I54" s="39" t="str">
        <f ca="1">IFERROR(__xludf.DUMMYFUNCTION("IF(SUM(COUNTIF(artists!A:A, SPLIT(D54, "",""))) &gt; 0, ""UA"", 0)"),"UA")</f>
        <v>UA</v>
      </c>
      <c r="J54" s="40">
        <f ca="1">IFERROR(__xludf.DUMMYFUNCTION("IF(SUM(COUNTIF(artists!C:C, SPLIT(D54, "",""))) &gt; 0, ""RU"", 0)"),0)</f>
        <v>0</v>
      </c>
      <c r="K54" s="39">
        <f ca="1">IFERROR(__xludf.DUMMYFUNCTION("IF(SUM(COUNTIF(artists!E:E, SPLIT(D54, "",""))) &gt; 0, ""OTHER"", 0)"),0)</f>
        <v>0</v>
      </c>
    </row>
    <row r="55" spans="1:11" ht="14.25" customHeight="1">
      <c r="A55" s="21">
        <v>54</v>
      </c>
      <c r="B55" s="21">
        <v>56</v>
      </c>
      <c r="C55" s="21" t="s">
        <v>971</v>
      </c>
      <c r="D55" s="21" t="s">
        <v>972</v>
      </c>
      <c r="E55" s="21">
        <v>15</v>
      </c>
      <c r="F55" s="21">
        <v>235574</v>
      </c>
      <c r="G55" s="42">
        <v>4.2000000000000003E-2</v>
      </c>
      <c r="H55" s="21" t="s">
        <v>973</v>
      </c>
      <c r="I55" s="39">
        <f ca="1">IFERROR(__xludf.DUMMYFUNCTION("IF(SUM(COUNTIF(artists!A:A, SPLIT(D55, "",""))) &gt; 0, ""UA"", 0)"),0)</f>
        <v>0</v>
      </c>
      <c r="J55" s="40">
        <f ca="1">IFERROR(__xludf.DUMMYFUNCTION("IF(SUM(COUNTIF(artists!C:C, SPLIT(D55, "",""))) &gt; 0, ""RU"", 0)"),0)</f>
        <v>0</v>
      </c>
      <c r="K55" s="39" t="str">
        <f ca="1">IFERROR(__xludf.DUMMYFUNCTION("IF(SUM(COUNTIF(artists!E:E, SPLIT(D55, "",""))) &gt; 0, ""OTHER"", 0)"),"OTHER")</f>
        <v>OTHER</v>
      </c>
    </row>
    <row r="56" spans="1:11" ht="14.25" customHeight="1">
      <c r="A56" s="21">
        <v>55</v>
      </c>
      <c r="B56" s="21">
        <v>53</v>
      </c>
      <c r="C56" s="21" t="s">
        <v>921</v>
      </c>
      <c r="D56" s="21" t="s">
        <v>922</v>
      </c>
      <c r="E56" s="21">
        <v>19</v>
      </c>
      <c r="F56" s="21">
        <v>231703</v>
      </c>
      <c r="G56" s="43">
        <v>-0.08</v>
      </c>
      <c r="H56" s="21" t="s">
        <v>923</v>
      </c>
      <c r="I56" s="39" t="str">
        <f ca="1">IFERROR(__xludf.DUMMYFUNCTION("IF(SUM(COUNTIF(artists!A:A, SPLIT(D56, "",""))) &gt; 0, ""UA"", 0)"),"UA")</f>
        <v>UA</v>
      </c>
      <c r="J56" s="40">
        <f ca="1">IFERROR(__xludf.DUMMYFUNCTION("IF(SUM(COUNTIF(artists!C:C, SPLIT(D56, "",""))) &gt; 0, ""RU"", 0)"),0)</f>
        <v>0</v>
      </c>
      <c r="K56" s="39">
        <f ca="1">IFERROR(__xludf.DUMMYFUNCTION("IF(SUM(COUNTIF(artists!E:E, SPLIT(D56, "",""))) &gt; 0, ""OTHER"", 0)"),0)</f>
        <v>0</v>
      </c>
    </row>
    <row r="57" spans="1:11" ht="14.25" customHeight="1">
      <c r="A57" s="21">
        <v>56</v>
      </c>
      <c r="B57" s="21">
        <v>24</v>
      </c>
      <c r="C57" s="21" t="s">
        <v>1060</v>
      </c>
      <c r="D57" s="21" t="s">
        <v>981</v>
      </c>
      <c r="E57" s="21">
        <v>2</v>
      </c>
      <c r="F57" s="21">
        <v>231032</v>
      </c>
      <c r="G57" s="42">
        <v>-0.40200000000000002</v>
      </c>
      <c r="H57" s="21" t="s">
        <v>1061</v>
      </c>
      <c r="I57" s="39">
        <f ca="1">IFERROR(__xludf.DUMMYFUNCTION("IF(SUM(COUNTIF(artists!A:A, SPLIT(D57, "",""))) &gt; 0, ""UA"", 0)"),0)</f>
        <v>0</v>
      </c>
      <c r="J57" s="40" t="str">
        <f ca="1">IFERROR(__xludf.DUMMYFUNCTION("IF(SUM(COUNTIF(artists!C:C, SPLIT(D57, "",""))) &gt; 0, ""RU"", 0)"),"RU")</f>
        <v>RU</v>
      </c>
      <c r="K57" s="39">
        <f ca="1">IFERROR(__xludf.DUMMYFUNCTION("IF(SUM(COUNTIF(artists!E:E, SPLIT(D57, "",""))) &gt; 0, ""OTHER"", 0)"),0)</f>
        <v>0</v>
      </c>
    </row>
    <row r="58" spans="1:11" ht="14.25" customHeight="1">
      <c r="A58" s="21">
        <v>57</v>
      </c>
      <c r="B58" s="21">
        <v>72</v>
      </c>
      <c r="C58" s="21" t="s">
        <v>524</v>
      </c>
      <c r="D58" s="21" t="s">
        <v>525</v>
      </c>
      <c r="E58" s="21">
        <v>11</v>
      </c>
      <c r="F58" s="21">
        <v>225584</v>
      </c>
      <c r="G58" s="42">
        <v>0.17399999999999999</v>
      </c>
      <c r="H58" s="21" t="s">
        <v>526</v>
      </c>
      <c r="I58" s="39" t="str">
        <f ca="1">IFERROR(__xludf.DUMMYFUNCTION("IF(SUM(COUNTIF(artists!A:A, SPLIT(D58, "",""))) &gt; 0, ""UA"", 0)"),"UA")</f>
        <v>UA</v>
      </c>
      <c r="J58" s="40">
        <f ca="1">IFERROR(__xludf.DUMMYFUNCTION("IF(SUM(COUNTIF(artists!C:C, SPLIT(D58, "",""))) &gt; 0, ""RU"", 0)"),0)</f>
        <v>0</v>
      </c>
      <c r="K58" s="39">
        <f ca="1">IFERROR(__xludf.DUMMYFUNCTION("IF(SUM(COUNTIF(artists!E:E, SPLIT(D58, "",""))) &gt; 0, ""OTHER"", 0)"),0)</f>
        <v>0</v>
      </c>
    </row>
    <row r="59" spans="1:11" ht="14.25" customHeight="1">
      <c r="A59" s="21">
        <v>58</v>
      </c>
      <c r="B59" s="21">
        <v>55</v>
      </c>
      <c r="C59" s="21" t="s">
        <v>589</v>
      </c>
      <c r="D59" s="21" t="s">
        <v>590</v>
      </c>
      <c r="E59" s="21">
        <v>15</v>
      </c>
      <c r="F59" s="21">
        <v>223413</v>
      </c>
      <c r="G59" s="42">
        <v>-1.9E-2</v>
      </c>
      <c r="H59" s="21" t="s">
        <v>591</v>
      </c>
      <c r="I59" s="39" t="str">
        <f ca="1">IFERROR(__xludf.DUMMYFUNCTION("IF(SUM(COUNTIF(artists!A:A, SPLIT(D59, "",""))) &gt; 0, ""UA"", 0)"),"UA")</f>
        <v>UA</v>
      </c>
      <c r="J59" s="40">
        <f ca="1">IFERROR(__xludf.DUMMYFUNCTION("IF(SUM(COUNTIF(artists!C:C, SPLIT(D59, "",""))) &gt; 0, ""RU"", 0)"),0)</f>
        <v>0</v>
      </c>
      <c r="K59" s="39">
        <f ca="1">IFERROR(__xludf.DUMMYFUNCTION("IF(SUM(COUNTIF(artists!E:E, SPLIT(D59, "",""))) &gt; 0, ""OTHER"", 0)"),0)</f>
        <v>0</v>
      </c>
    </row>
    <row r="60" spans="1:11" ht="14.25" customHeight="1">
      <c r="A60" s="21">
        <v>59</v>
      </c>
      <c r="B60" s="21">
        <v>57</v>
      </c>
      <c r="C60" s="21" t="s">
        <v>462</v>
      </c>
      <c r="D60" s="21" t="s">
        <v>463</v>
      </c>
      <c r="E60" s="21">
        <v>18</v>
      </c>
      <c r="F60" s="21">
        <v>208380</v>
      </c>
      <c r="G60" s="42">
        <v>-6.3E-2</v>
      </c>
      <c r="H60" s="21" t="s">
        <v>465</v>
      </c>
      <c r="I60" s="39" t="str">
        <f ca="1">IFERROR(__xludf.DUMMYFUNCTION("IF(SUM(COUNTIF(artists!A:A, SPLIT(D60, "",""))) &gt; 0, ""UA"", 0)"),"UA")</f>
        <v>UA</v>
      </c>
      <c r="J60" s="40">
        <f ca="1">IFERROR(__xludf.DUMMYFUNCTION("IF(SUM(COUNTIF(artists!C:C, SPLIT(D60, "",""))) &gt; 0, ""RU"", 0)"),0)</f>
        <v>0</v>
      </c>
      <c r="K60" s="39">
        <f ca="1">IFERROR(__xludf.DUMMYFUNCTION("IF(SUM(COUNTIF(artists!E:E, SPLIT(D60, "",""))) &gt; 0, ""OTHER"", 0)"),0)</f>
        <v>0</v>
      </c>
    </row>
    <row r="61" spans="1:11" ht="14.25" customHeight="1">
      <c r="A61" s="21">
        <v>60</v>
      </c>
      <c r="C61" s="21" t="s">
        <v>765</v>
      </c>
      <c r="D61" s="21" t="s">
        <v>766</v>
      </c>
      <c r="E61" s="21">
        <v>1</v>
      </c>
      <c r="F61" s="21">
        <v>198708</v>
      </c>
      <c r="H61" s="21" t="s">
        <v>768</v>
      </c>
      <c r="I61" s="39" t="str">
        <f ca="1">IFERROR(__xludf.DUMMYFUNCTION("IF(SUM(COUNTIF(artists!A:A, SPLIT(D61, "",""))) &gt; 0, ""UA"", 0)"),"UA")</f>
        <v>UA</v>
      </c>
      <c r="J61" s="40">
        <f ca="1">IFERROR(__xludf.DUMMYFUNCTION("IF(SUM(COUNTIF(artists!C:C, SPLIT(D61, "",""))) &gt; 0, ""RU"", 0)"),0)</f>
        <v>0</v>
      </c>
      <c r="K61" s="39">
        <f ca="1">IFERROR(__xludf.DUMMYFUNCTION("IF(SUM(COUNTIF(artists!E:E, SPLIT(D61, "",""))) &gt; 0, ""OTHER"", 0)"),0)</f>
        <v>0</v>
      </c>
    </row>
    <row r="62" spans="1:11" ht="14.25" customHeight="1">
      <c r="A62" s="21">
        <v>61</v>
      </c>
      <c r="B62" s="21">
        <v>27</v>
      </c>
      <c r="C62" s="21" t="s">
        <v>1087</v>
      </c>
      <c r="D62" s="21" t="s">
        <v>1050</v>
      </c>
      <c r="E62" s="21">
        <v>3</v>
      </c>
      <c r="F62" s="21">
        <v>189372</v>
      </c>
      <c r="G62" s="42">
        <v>-0.47099999999999997</v>
      </c>
      <c r="H62" s="21" t="s">
        <v>1088</v>
      </c>
      <c r="I62" s="39">
        <f ca="1">IFERROR(__xludf.DUMMYFUNCTION("IF(SUM(COUNTIF(artists!A:A, SPLIT(D62, "",""))) &gt; 0, ""UA"", 0)"),0)</f>
        <v>0</v>
      </c>
      <c r="J62" s="40" t="str">
        <f ca="1">IFERROR(__xludf.DUMMYFUNCTION("IF(SUM(COUNTIF(artists!C:C, SPLIT(D62, "",""))) &gt; 0, ""RU"", 0)"),"RU")</f>
        <v>RU</v>
      </c>
      <c r="K62" s="39">
        <f ca="1">IFERROR(__xludf.DUMMYFUNCTION("IF(SUM(COUNTIF(artists!E:E, SPLIT(D62, "",""))) &gt; 0, ""OTHER"", 0)"),0)</f>
        <v>0</v>
      </c>
    </row>
    <row r="63" spans="1:11" ht="14.25" customHeight="1">
      <c r="A63" s="21">
        <v>62</v>
      </c>
      <c r="B63" s="21">
        <v>80</v>
      </c>
      <c r="C63" s="21" t="s">
        <v>520</v>
      </c>
      <c r="D63" s="21" t="s">
        <v>521</v>
      </c>
      <c r="E63" s="21">
        <v>18</v>
      </c>
      <c r="F63" s="21">
        <v>185865</v>
      </c>
      <c r="G63" s="42">
        <v>4.7E-2</v>
      </c>
      <c r="H63" s="21" t="s">
        <v>522</v>
      </c>
      <c r="I63" s="39" t="str">
        <f ca="1">IFERROR(__xludf.DUMMYFUNCTION("IF(SUM(COUNTIF(artists!A:A, SPLIT(D63, "",""))) &gt; 0, ""UA"", 0)"),"UA")</f>
        <v>UA</v>
      </c>
      <c r="J63" s="40">
        <f ca="1">IFERROR(__xludf.DUMMYFUNCTION("IF(SUM(COUNTIF(artists!C:C, SPLIT(D63, "",""))) &gt; 0, ""RU"", 0)"),0)</f>
        <v>0</v>
      </c>
      <c r="K63" s="39">
        <f ca="1">IFERROR(__xludf.DUMMYFUNCTION("IF(SUM(COUNTIF(artists!E:E, SPLIT(D63, "",""))) &gt; 0, ""OTHER"", 0)"),0)</f>
        <v>0</v>
      </c>
    </row>
    <row r="64" spans="1:11" ht="14.25" customHeight="1">
      <c r="A64" s="21">
        <v>63</v>
      </c>
      <c r="B64" s="21">
        <v>73</v>
      </c>
      <c r="C64" s="21" t="s">
        <v>284</v>
      </c>
      <c r="D64" s="21" t="s">
        <v>15</v>
      </c>
      <c r="E64" s="21">
        <v>14</v>
      </c>
      <c r="F64" s="21">
        <v>183283</v>
      </c>
      <c r="G64" s="42">
        <v>-4.4999999999999998E-2</v>
      </c>
      <c r="H64" s="21" t="s">
        <v>285</v>
      </c>
      <c r="I64" s="39">
        <f ca="1">IFERROR(__xludf.DUMMYFUNCTION("IF(SUM(COUNTIF(artists!A:A, SPLIT(D64, "",""))) &gt; 0, ""UA"", 0)"),0)</f>
        <v>0</v>
      </c>
      <c r="J64" s="40">
        <f ca="1">IFERROR(__xludf.DUMMYFUNCTION("IF(SUM(COUNTIF(artists!C:C, SPLIT(D64, "",""))) &gt; 0, ""RU"", 0)"),0)</f>
        <v>0</v>
      </c>
      <c r="K64" s="39" t="str">
        <f ca="1">IFERROR(__xludf.DUMMYFUNCTION("IF(SUM(COUNTIF(artists!E:E, SPLIT(D64, "",""))) &gt; 0, ""OTHER"", 0)"),"OTHER")</f>
        <v>OTHER</v>
      </c>
    </row>
    <row r="65" spans="1:11" ht="14.25" customHeight="1">
      <c r="A65" s="21">
        <v>64</v>
      </c>
      <c r="B65" s="21">
        <v>81</v>
      </c>
      <c r="C65" s="21" t="s">
        <v>868</v>
      </c>
      <c r="D65" s="21" t="s">
        <v>869</v>
      </c>
      <c r="E65" s="21">
        <v>11</v>
      </c>
      <c r="F65" s="21">
        <v>183229</v>
      </c>
      <c r="G65" s="43">
        <v>0.04</v>
      </c>
      <c r="H65" s="21" t="s">
        <v>870</v>
      </c>
      <c r="I65" s="39">
        <f ca="1">IFERROR(__xludf.DUMMYFUNCTION("IF(SUM(COUNTIF(artists!A:A, SPLIT(D65, "",""))) &gt; 0, ""UA"", 0)"),0)</f>
        <v>0</v>
      </c>
      <c r="J65" s="40" t="str">
        <f ca="1">IFERROR(__xludf.DUMMYFUNCTION("IF(SUM(COUNTIF(artists!C:C, SPLIT(D65, "",""))) &gt; 0, ""RU"", 0)"),"RU")</f>
        <v>RU</v>
      </c>
      <c r="K65" s="39">
        <f ca="1">IFERROR(__xludf.DUMMYFUNCTION("IF(SUM(COUNTIF(artists!E:E, SPLIT(D65, "",""))) &gt; 0, ""OTHER"", 0)"),0)</f>
        <v>0</v>
      </c>
    </row>
    <row r="66" spans="1:11" ht="14.25" customHeight="1">
      <c r="A66" s="21">
        <v>65</v>
      </c>
      <c r="B66" s="21">
        <v>65</v>
      </c>
      <c r="C66" s="21" t="s">
        <v>497</v>
      </c>
      <c r="D66" s="21" t="s">
        <v>860</v>
      </c>
      <c r="E66" s="21">
        <v>7</v>
      </c>
      <c r="F66" s="21">
        <v>182670</v>
      </c>
      <c r="G66" s="42">
        <v>-8.3000000000000004E-2</v>
      </c>
      <c r="H66" s="21" t="s">
        <v>499</v>
      </c>
      <c r="I66" s="39" t="str">
        <f ca="1">IFERROR(__xludf.DUMMYFUNCTION("IF(SUM(COUNTIF(artists!A:A, SPLIT(D66, "",""))) &gt; 0, ""UA"", 0)"),"UA")</f>
        <v>UA</v>
      </c>
      <c r="J66" s="40">
        <f ca="1">IFERROR(__xludf.DUMMYFUNCTION("IF(SUM(COUNTIF(artists!C:C, SPLIT(D66, "",""))) &gt; 0, ""RU"", 0)"),0)</f>
        <v>0</v>
      </c>
      <c r="K66" s="39">
        <f ca="1">IFERROR(__xludf.DUMMYFUNCTION("IF(SUM(COUNTIF(artists!E:E, SPLIT(D66, "",""))) &gt; 0, ""OTHER"", 0)"),0)</f>
        <v>0</v>
      </c>
    </row>
    <row r="67" spans="1:11" ht="14.25" customHeight="1">
      <c r="A67" s="21">
        <v>66</v>
      </c>
      <c r="B67" s="21">
        <v>61</v>
      </c>
      <c r="C67" s="21" t="s">
        <v>605</v>
      </c>
      <c r="D67" s="21" t="s">
        <v>299</v>
      </c>
      <c r="E67" s="21">
        <v>8</v>
      </c>
      <c r="F67" s="21">
        <v>181436</v>
      </c>
      <c r="G67" s="42">
        <v>-0.129</v>
      </c>
      <c r="H67" s="21" t="s">
        <v>607</v>
      </c>
      <c r="I67" s="39">
        <f ca="1">IFERROR(__xludf.DUMMYFUNCTION("IF(SUM(COUNTIF(artists!A:A, SPLIT(D67, "",""))) &gt; 0, ""UA"", 0)"),0)</f>
        <v>0</v>
      </c>
      <c r="J67" s="40">
        <f ca="1">IFERROR(__xludf.DUMMYFUNCTION("IF(SUM(COUNTIF(artists!C:C, SPLIT(D67, "",""))) &gt; 0, ""RU"", 0)"),0)</f>
        <v>0</v>
      </c>
      <c r="K67" s="39" t="str">
        <f ca="1">IFERROR(__xludf.DUMMYFUNCTION("IF(SUM(COUNTIF(artists!E:E, SPLIT(D67, "",""))) &gt; 0, ""OTHER"", 0)"),"OTHER")</f>
        <v>OTHER</v>
      </c>
    </row>
    <row r="68" spans="1:11" ht="14.25" customHeight="1">
      <c r="A68" s="21">
        <v>67</v>
      </c>
      <c r="B68" s="21">
        <v>63</v>
      </c>
      <c r="C68" s="21" t="s">
        <v>1021</v>
      </c>
      <c r="D68" s="21" t="s">
        <v>1022</v>
      </c>
      <c r="E68" s="21">
        <v>7</v>
      </c>
      <c r="F68" s="21">
        <v>181339</v>
      </c>
      <c r="G68" s="42">
        <v>-9.7000000000000003E-2</v>
      </c>
      <c r="H68" s="21" t="s">
        <v>1023</v>
      </c>
      <c r="I68" s="39">
        <f ca="1">IFERROR(__xludf.DUMMYFUNCTION("IF(SUM(COUNTIF(artists!A:A, SPLIT(D68, "",""))) &gt; 0, ""UA"", 0)"),0)</f>
        <v>0</v>
      </c>
      <c r="J68" s="40">
        <f ca="1">IFERROR(__xludf.DUMMYFUNCTION("IF(SUM(COUNTIF(artists!C:C, SPLIT(D68, "",""))) &gt; 0, ""RU"", 0)"),0)</f>
        <v>0</v>
      </c>
      <c r="K68" s="39" t="str">
        <f ca="1">IFERROR(__xludf.DUMMYFUNCTION("IF(SUM(COUNTIF(artists!E:E, SPLIT(D68, "",""))) &gt; 0, ""OTHER"", 0)"),"OTHER")</f>
        <v>OTHER</v>
      </c>
    </row>
    <row r="69" spans="1:11" ht="14.25" customHeight="1">
      <c r="A69" s="21">
        <v>68</v>
      </c>
      <c r="C69" s="21" t="s">
        <v>670</v>
      </c>
      <c r="D69" s="21" t="s">
        <v>671</v>
      </c>
      <c r="E69" s="21">
        <v>1</v>
      </c>
      <c r="F69" s="21">
        <v>181276</v>
      </c>
      <c r="H69" s="21" t="s">
        <v>1091</v>
      </c>
      <c r="I69" s="39" t="str">
        <f ca="1">IFERROR(__xludf.DUMMYFUNCTION("IF(SUM(COUNTIF(artists!A:A, SPLIT(D69, "",""))) &gt; 0, ""UA"", 0)"),"UA")</f>
        <v>UA</v>
      </c>
      <c r="J69" s="40">
        <f ca="1">IFERROR(__xludf.DUMMYFUNCTION("IF(SUM(COUNTIF(artists!C:C, SPLIT(D69, "",""))) &gt; 0, ""RU"", 0)"),0)</f>
        <v>0</v>
      </c>
      <c r="K69" s="39">
        <f ca="1">IFERROR(__xludf.DUMMYFUNCTION("IF(SUM(COUNTIF(artists!E:E, SPLIT(D69, "",""))) &gt; 0, ""OTHER"", 0)"),0)</f>
        <v>0</v>
      </c>
    </row>
    <row r="70" spans="1:11" ht="14.25" customHeight="1">
      <c r="A70" s="21">
        <v>69</v>
      </c>
      <c r="B70" s="21">
        <v>77</v>
      </c>
      <c r="C70" s="21" t="s">
        <v>418</v>
      </c>
      <c r="D70" s="21" t="s">
        <v>419</v>
      </c>
      <c r="E70" s="21">
        <v>2</v>
      </c>
      <c r="F70" s="21">
        <v>181082</v>
      </c>
      <c r="G70" s="42">
        <v>1.7999999999999999E-2</v>
      </c>
      <c r="H70" s="21" t="s">
        <v>420</v>
      </c>
      <c r="I70" s="39">
        <f ca="1">IFERROR(__xludf.DUMMYFUNCTION("IF(SUM(COUNTIF(artists!A:A, SPLIT(D70, "",""))) &gt; 0, ""UA"", 0)"),0)</f>
        <v>0</v>
      </c>
      <c r="J70" s="40">
        <f ca="1">IFERROR(__xludf.DUMMYFUNCTION("IF(SUM(COUNTIF(artists!C:C, SPLIT(D70, "",""))) &gt; 0, ""RU"", 0)"),0)</f>
        <v>0</v>
      </c>
      <c r="K70" s="39" t="str">
        <f ca="1">IFERROR(__xludf.DUMMYFUNCTION("IF(SUM(COUNTIF(artists!E:E, SPLIT(D70, "",""))) &gt; 0, ""OTHER"", 0)"),"OTHER")</f>
        <v>OTHER</v>
      </c>
    </row>
    <row r="71" spans="1:11" ht="14.25" customHeight="1">
      <c r="A71" s="21">
        <v>70</v>
      </c>
      <c r="B71" s="21">
        <v>64</v>
      </c>
      <c r="C71" s="21" t="s">
        <v>1013</v>
      </c>
      <c r="D71" s="21" t="s">
        <v>1014</v>
      </c>
      <c r="E71" s="21">
        <v>5</v>
      </c>
      <c r="F71" s="21">
        <v>178481</v>
      </c>
      <c r="G71" s="42">
        <v>-0.105</v>
      </c>
      <c r="H71" s="21" t="s">
        <v>1015</v>
      </c>
      <c r="I71" s="39" t="str">
        <f ca="1">IFERROR(__xludf.DUMMYFUNCTION("IF(SUM(COUNTIF(artists!A:A, SPLIT(D71, "",""))) &gt; 0, ""UA"", 0)"),"UA")</f>
        <v>UA</v>
      </c>
      <c r="J71" s="40">
        <f ca="1">IFERROR(__xludf.DUMMYFUNCTION("IF(SUM(COUNTIF(artists!C:C, SPLIT(D71, "",""))) &gt; 0, ""RU"", 0)"),0)</f>
        <v>0</v>
      </c>
      <c r="K71" s="39">
        <f ca="1">IFERROR(__xludf.DUMMYFUNCTION("IF(SUM(COUNTIF(artists!E:E, SPLIT(D71, "",""))) &gt; 0, ""OTHER"", 0)"),0)</f>
        <v>0</v>
      </c>
    </row>
    <row r="72" spans="1:11" ht="14.25" customHeight="1">
      <c r="A72" s="21">
        <v>71</v>
      </c>
      <c r="C72" s="21" t="s">
        <v>1007</v>
      </c>
      <c r="D72" s="21" t="s">
        <v>1008</v>
      </c>
      <c r="E72" s="21">
        <v>24</v>
      </c>
      <c r="F72" s="21">
        <v>178453</v>
      </c>
      <c r="H72" s="21" t="s">
        <v>1009</v>
      </c>
      <c r="I72" s="39">
        <f ca="1">IFERROR(__xludf.DUMMYFUNCTION("IF(SUM(COUNTIF(artists!A:A, SPLIT(D72, "",""))) &gt; 0, ""UA"", 0)"),0)</f>
        <v>0</v>
      </c>
      <c r="J72" s="40" t="str">
        <f ca="1">IFERROR(__xludf.DUMMYFUNCTION("IF(SUM(COUNTIF(artists!C:C, SPLIT(D72, "",""))) &gt; 0, ""RU"", 0)"),"RU")</f>
        <v>RU</v>
      </c>
      <c r="K72" s="39">
        <f ca="1">IFERROR(__xludf.DUMMYFUNCTION("IF(SUM(COUNTIF(artists!E:E, SPLIT(D72, "",""))) &gt; 0, ""OTHER"", 0)"),0)</f>
        <v>0</v>
      </c>
    </row>
    <row r="73" spans="1:11" ht="14.25" customHeight="1">
      <c r="A73" s="21">
        <v>72</v>
      </c>
      <c r="C73" s="21" t="s">
        <v>1002</v>
      </c>
      <c r="D73" s="21" t="s">
        <v>1003</v>
      </c>
      <c r="E73" s="21">
        <v>1</v>
      </c>
      <c r="F73" s="21">
        <v>177440</v>
      </c>
      <c r="H73" s="21" t="s">
        <v>1004</v>
      </c>
      <c r="I73" s="39" t="str">
        <f ca="1">IFERROR(__xludf.DUMMYFUNCTION("IF(SUM(COUNTIF(artists!A:A, SPLIT(D73, "",""))) &gt; 0, ""UA"", 0)"),"UA")</f>
        <v>UA</v>
      </c>
      <c r="J73" s="40">
        <f ca="1">IFERROR(__xludf.DUMMYFUNCTION("IF(SUM(COUNTIF(artists!C:C, SPLIT(D73, "",""))) &gt; 0, ""RU"", 0)"),0)</f>
        <v>0</v>
      </c>
      <c r="K73" s="39">
        <f ca="1">IFERROR(__xludf.DUMMYFUNCTION("IF(SUM(COUNTIF(artists!E:E, SPLIT(D73, "",""))) &gt; 0, ""OTHER"", 0)"),0)</f>
        <v>0</v>
      </c>
    </row>
    <row r="74" spans="1:11" ht="14.25" customHeight="1">
      <c r="A74" s="21">
        <v>73</v>
      </c>
      <c r="B74" s="21">
        <v>75</v>
      </c>
      <c r="C74" s="21" t="s">
        <v>358</v>
      </c>
      <c r="D74" s="21" t="s">
        <v>359</v>
      </c>
      <c r="E74" s="21">
        <v>5</v>
      </c>
      <c r="F74" s="21">
        <v>176937</v>
      </c>
      <c r="G74" s="42">
        <v>-3.5999999999999997E-2</v>
      </c>
      <c r="H74" s="21" t="s">
        <v>361</v>
      </c>
      <c r="I74" s="39">
        <f ca="1">IFERROR(__xludf.DUMMYFUNCTION("IF(SUM(COUNTIF(artists!A:A, SPLIT(D74, "",""))) &gt; 0, ""UA"", 0)"),0)</f>
        <v>0</v>
      </c>
      <c r="J74" s="40">
        <f ca="1">IFERROR(__xludf.DUMMYFUNCTION("IF(SUM(COUNTIF(artists!C:C, SPLIT(D74, "",""))) &gt; 0, ""RU"", 0)"),0)</f>
        <v>0</v>
      </c>
      <c r="K74" s="39" t="str">
        <f ca="1">IFERROR(__xludf.DUMMYFUNCTION("IF(SUM(COUNTIF(artists!E:E, SPLIT(D74, "",""))) &gt; 0, ""OTHER"", 0)"),"OTHER")</f>
        <v>OTHER</v>
      </c>
    </row>
    <row r="75" spans="1:11" ht="14.25" customHeight="1">
      <c r="A75" s="21">
        <v>74</v>
      </c>
      <c r="B75" s="21">
        <v>67</v>
      </c>
      <c r="C75" s="21" t="s">
        <v>1085</v>
      </c>
      <c r="D75" s="21" t="s">
        <v>85</v>
      </c>
      <c r="E75" s="21">
        <v>4</v>
      </c>
      <c r="F75" s="21">
        <v>176205</v>
      </c>
      <c r="G75" s="42">
        <v>-0.10199999999999999</v>
      </c>
      <c r="H75" s="21" t="s">
        <v>1086</v>
      </c>
      <c r="I75" s="39" t="str">
        <f ca="1">IFERROR(__xludf.DUMMYFUNCTION("IF(SUM(COUNTIF(artists!A:A, SPLIT(D75, "",""))) &gt; 0, ""UA"", 0)"),"UA")</f>
        <v>UA</v>
      </c>
      <c r="J75" s="40">
        <f ca="1">IFERROR(__xludf.DUMMYFUNCTION("IF(SUM(COUNTIF(artists!C:C, SPLIT(D75, "",""))) &gt; 0, ""RU"", 0)"),0)</f>
        <v>0</v>
      </c>
      <c r="K75" s="39">
        <f ca="1">IFERROR(__xludf.DUMMYFUNCTION("IF(SUM(COUNTIF(artists!E:E, SPLIT(D75, "",""))) &gt; 0, ""OTHER"", 0)"),0)</f>
        <v>0</v>
      </c>
    </row>
    <row r="76" spans="1:11" ht="14.25" customHeight="1">
      <c r="A76" s="21">
        <v>75</v>
      </c>
      <c r="B76" s="21">
        <v>70</v>
      </c>
      <c r="C76" s="21" t="s">
        <v>264</v>
      </c>
      <c r="D76" s="21" t="s">
        <v>265</v>
      </c>
      <c r="E76" s="21">
        <v>5</v>
      </c>
      <c r="F76" s="21">
        <v>174780</v>
      </c>
      <c r="G76" s="42">
        <v>-9.7000000000000003E-2</v>
      </c>
      <c r="H76" s="21" t="s">
        <v>267</v>
      </c>
      <c r="I76" s="39">
        <f ca="1">IFERROR(__xludf.DUMMYFUNCTION("IF(SUM(COUNTIF(artists!A:A, SPLIT(D76, "",""))) &gt; 0, ""UA"", 0)"),0)</f>
        <v>0</v>
      </c>
      <c r="J76" s="40">
        <f ca="1">IFERROR(__xludf.DUMMYFUNCTION("IF(SUM(COUNTIF(artists!C:C, SPLIT(D76, "",""))) &gt; 0, ""RU"", 0)"),0)</f>
        <v>0</v>
      </c>
      <c r="K76" s="39" t="str">
        <f ca="1">IFERROR(__xludf.DUMMYFUNCTION("IF(SUM(COUNTIF(artists!E:E, SPLIT(D76, "",""))) &gt; 0, ""OTHER"", 0)"),"OTHER")</f>
        <v>OTHER</v>
      </c>
    </row>
    <row r="77" spans="1:11" ht="14.25" customHeight="1">
      <c r="A77" s="21">
        <v>76</v>
      </c>
      <c r="B77" s="21">
        <v>59</v>
      </c>
      <c r="C77" s="21" t="s">
        <v>903</v>
      </c>
      <c r="D77" s="21" t="s">
        <v>904</v>
      </c>
      <c r="E77" s="21">
        <v>19</v>
      </c>
      <c r="F77" s="21">
        <v>172316</v>
      </c>
      <c r="G77" s="42">
        <v>-0.19500000000000001</v>
      </c>
      <c r="H77" s="21" t="s">
        <v>905</v>
      </c>
      <c r="I77" s="39" t="str">
        <f ca="1">IFERROR(__xludf.DUMMYFUNCTION("IF(SUM(COUNTIF(artists!A:A, SPLIT(D77, "",""))) &gt; 0, ""UA"", 0)"),"UA")</f>
        <v>UA</v>
      </c>
      <c r="J77" s="40">
        <f ca="1">IFERROR(__xludf.DUMMYFUNCTION("IF(SUM(COUNTIF(artists!C:C, SPLIT(D77, "",""))) &gt; 0, ""RU"", 0)"),0)</f>
        <v>0</v>
      </c>
      <c r="K77" s="39">
        <f ca="1">IFERROR(__xludf.DUMMYFUNCTION("IF(SUM(COUNTIF(artists!E:E, SPLIT(D77, "",""))) &gt; 0, ""OTHER"", 0)"),0)</f>
        <v>0</v>
      </c>
    </row>
    <row r="78" spans="1:11" ht="14.25" customHeight="1">
      <c r="A78" s="21">
        <v>77</v>
      </c>
      <c r="C78" s="21" t="s">
        <v>1092</v>
      </c>
      <c r="D78" s="21" t="s">
        <v>1093</v>
      </c>
      <c r="E78" s="21">
        <v>1</v>
      </c>
      <c r="F78" s="21">
        <v>171285</v>
      </c>
      <c r="H78" s="21" t="s">
        <v>1094</v>
      </c>
      <c r="I78" s="39">
        <f ca="1">IFERROR(__xludf.DUMMYFUNCTION("IF(SUM(COUNTIF(artists!A:A, SPLIT(D78, "",""))) &gt; 0, ""UA"", 0)"),0)</f>
        <v>0</v>
      </c>
      <c r="J78" s="40" t="str">
        <f ca="1">IFERROR(__xludf.DUMMYFUNCTION("IF(SUM(COUNTIF(artists!C:C, SPLIT(D78, "",""))) &gt; 0, ""RU"", 0)"),"RU")</f>
        <v>RU</v>
      </c>
      <c r="K78" s="39">
        <f ca="1">IFERROR(__xludf.DUMMYFUNCTION("IF(SUM(COUNTIF(artists!E:E, SPLIT(D78, "",""))) &gt; 0, ""OTHER"", 0)"),0)</f>
        <v>0</v>
      </c>
    </row>
    <row r="79" spans="1:11" ht="14.25" customHeight="1">
      <c r="A79" s="21">
        <v>78</v>
      </c>
      <c r="B79" s="21">
        <v>74</v>
      </c>
      <c r="C79" s="21" t="s">
        <v>963</v>
      </c>
      <c r="D79" s="21" t="s">
        <v>964</v>
      </c>
      <c r="E79" s="21">
        <v>6</v>
      </c>
      <c r="F79" s="21">
        <v>169805</v>
      </c>
      <c r="G79" s="42">
        <v>-9.0999999999999998E-2</v>
      </c>
      <c r="H79" s="21" t="s">
        <v>965</v>
      </c>
      <c r="I79" s="39" t="str">
        <f ca="1">IFERROR(__xludf.DUMMYFUNCTION("IF(SUM(COUNTIF(artists!A:A, SPLIT(D79, "",""))) &gt; 0, ""UA"", 0)"),"UA")</f>
        <v>UA</v>
      </c>
      <c r="J79" s="40">
        <f ca="1">IFERROR(__xludf.DUMMYFUNCTION("IF(SUM(COUNTIF(artists!C:C, SPLIT(D79, "",""))) &gt; 0, ""RU"", 0)"),0)</f>
        <v>0</v>
      </c>
      <c r="K79" s="39">
        <f ca="1">IFERROR(__xludf.DUMMYFUNCTION("IF(SUM(COUNTIF(artists!E:E, SPLIT(D79, "",""))) &gt; 0, ""OTHER"", 0)"),0)</f>
        <v>0</v>
      </c>
    </row>
    <row r="80" spans="1:11" ht="14.25" customHeight="1">
      <c r="A80" s="21">
        <v>79</v>
      </c>
      <c r="C80" s="21" t="s">
        <v>1095</v>
      </c>
      <c r="D80" s="21" t="s">
        <v>1096</v>
      </c>
      <c r="E80" s="21">
        <v>1</v>
      </c>
      <c r="F80" s="21">
        <v>167414</v>
      </c>
      <c r="H80" s="21" t="s">
        <v>1097</v>
      </c>
      <c r="I80" s="39" t="str">
        <f ca="1">IFERROR(__xludf.DUMMYFUNCTION("IF(SUM(COUNTIF(artists!A:A, SPLIT(D80, "",""))) &gt; 0, ""UA"", 0)"),"UA")</f>
        <v>UA</v>
      </c>
      <c r="J80" s="40">
        <f ca="1">IFERROR(__xludf.DUMMYFUNCTION("IF(SUM(COUNTIF(artists!C:C, SPLIT(D80, "",""))) &gt; 0, ""RU"", 0)"),0)</f>
        <v>0</v>
      </c>
      <c r="K80" s="39">
        <f ca="1">IFERROR(__xludf.DUMMYFUNCTION("IF(SUM(COUNTIF(artists!E:E, SPLIT(D80, "",""))) &gt; 0, ""OTHER"", 0)"),0)</f>
        <v>0</v>
      </c>
    </row>
    <row r="81" spans="1:11" ht="14.25" customHeight="1">
      <c r="A81" s="21">
        <v>80</v>
      </c>
      <c r="C81" s="21" t="s">
        <v>690</v>
      </c>
      <c r="D81" s="21" t="s">
        <v>691</v>
      </c>
      <c r="E81" s="21">
        <v>1</v>
      </c>
      <c r="F81" s="21">
        <v>165575</v>
      </c>
      <c r="H81" s="21" t="s">
        <v>692</v>
      </c>
      <c r="I81" s="39">
        <f ca="1">IFERROR(__xludf.DUMMYFUNCTION("IF(SUM(COUNTIF(artists!A:A, SPLIT(D81, "",""))) &gt; 0, ""UA"", 0)"),0)</f>
        <v>0</v>
      </c>
      <c r="J81" s="40" t="str">
        <f ca="1">IFERROR(__xludf.DUMMYFUNCTION("IF(SUM(COUNTIF(artists!C:C, SPLIT(D81, "",""))) &gt; 0, ""RU"", 0)"),"RU")</f>
        <v>RU</v>
      </c>
      <c r="K81" s="39">
        <f ca="1">IFERROR(__xludf.DUMMYFUNCTION("IF(SUM(COUNTIF(artists!E:E, SPLIT(D81, "",""))) &gt; 0, ""OTHER"", 0)"),0)</f>
        <v>0</v>
      </c>
    </row>
    <row r="82" spans="1:11" ht="14.25" customHeight="1">
      <c r="A82" s="21">
        <v>81</v>
      </c>
      <c r="B82" s="21">
        <v>62</v>
      </c>
      <c r="C82" s="21" t="s">
        <v>1073</v>
      </c>
      <c r="D82" s="21" t="s">
        <v>1074</v>
      </c>
      <c r="E82" s="21">
        <v>13</v>
      </c>
      <c r="F82" s="21">
        <v>163278</v>
      </c>
      <c r="G82" s="42">
        <v>-0.20599999999999999</v>
      </c>
      <c r="H82" s="21" t="s">
        <v>1075</v>
      </c>
      <c r="I82" s="39" t="str">
        <f ca="1">IFERROR(__xludf.DUMMYFUNCTION("IF(SUM(COUNTIF(artists!A:A, SPLIT(D82, "",""))) &gt; 0, ""UA"", 0)"),"UA")</f>
        <v>UA</v>
      </c>
      <c r="J82" s="40">
        <f ca="1">IFERROR(__xludf.DUMMYFUNCTION("IF(SUM(COUNTIF(artists!C:C, SPLIT(D82, "",""))) &gt; 0, ""RU"", 0)"),0)</f>
        <v>0</v>
      </c>
      <c r="K82" s="39">
        <f ca="1">IFERROR(__xludf.DUMMYFUNCTION("IF(SUM(COUNTIF(artists!E:E, SPLIT(D82, "",""))) &gt; 0, ""OTHER"", 0)"),0)</f>
        <v>0</v>
      </c>
    </row>
    <row r="83" spans="1:11" ht="14.25" customHeight="1">
      <c r="A83" s="21">
        <v>82</v>
      </c>
      <c r="C83" s="21" t="s">
        <v>339</v>
      </c>
      <c r="D83" s="21" t="s">
        <v>340</v>
      </c>
      <c r="E83" s="21">
        <v>3</v>
      </c>
      <c r="F83" s="21">
        <v>162744</v>
      </c>
      <c r="H83" s="21" t="s">
        <v>342</v>
      </c>
      <c r="I83" s="39" t="str">
        <f ca="1">IFERROR(__xludf.DUMMYFUNCTION("IF(SUM(COUNTIF(artists!A:A, SPLIT(D83, "",""))) &gt; 0, ""UA"", 0)"),"UA")</f>
        <v>UA</v>
      </c>
      <c r="J83" s="40">
        <f ca="1">IFERROR(__xludf.DUMMYFUNCTION("IF(SUM(COUNTIF(artists!C:C, SPLIT(D83, "",""))) &gt; 0, ""RU"", 0)"),0)</f>
        <v>0</v>
      </c>
      <c r="K83" s="39">
        <f ca="1">IFERROR(__xludf.DUMMYFUNCTION("IF(SUM(COUNTIF(artists!E:E, SPLIT(D83, "",""))) &gt; 0, ""OTHER"", 0)"),0)</f>
        <v>0</v>
      </c>
    </row>
    <row r="84" spans="1:11" ht="14.25" customHeight="1">
      <c r="A84" s="21">
        <v>83</v>
      </c>
      <c r="B84" s="21">
        <v>49</v>
      </c>
      <c r="C84" s="21" t="s">
        <v>1098</v>
      </c>
      <c r="D84" s="21" t="s">
        <v>1099</v>
      </c>
      <c r="E84" s="21">
        <v>2</v>
      </c>
      <c r="F84" s="21">
        <v>162577</v>
      </c>
      <c r="G84" s="42">
        <v>-0.379</v>
      </c>
      <c r="H84" s="21" t="s">
        <v>1100</v>
      </c>
      <c r="I84" s="39">
        <f ca="1">IFERROR(__xludf.DUMMYFUNCTION("IF(SUM(COUNTIF(artists!A:A, SPLIT(D84, "",""))) &gt; 0, ""UA"", 0)"),0)</f>
        <v>0</v>
      </c>
      <c r="J84" s="40" t="str">
        <f ca="1">IFERROR(__xludf.DUMMYFUNCTION("IF(SUM(COUNTIF(artists!C:C, SPLIT(D84, "",""))) &gt; 0, ""RU"", 0)"),"RU")</f>
        <v>RU</v>
      </c>
      <c r="K84" s="39">
        <f ca="1">IFERROR(__xludf.DUMMYFUNCTION("IF(SUM(COUNTIF(artists!E:E, SPLIT(D84, "",""))) &gt; 0, ""OTHER"", 0)"),0)</f>
        <v>0</v>
      </c>
    </row>
    <row r="85" spans="1:11" ht="14.25" customHeight="1">
      <c r="A85" s="21">
        <v>84</v>
      </c>
      <c r="B85" s="21">
        <v>85</v>
      </c>
      <c r="C85" s="21" t="s">
        <v>1029</v>
      </c>
      <c r="D85" s="21" t="s">
        <v>1030</v>
      </c>
      <c r="E85" s="21">
        <v>9</v>
      </c>
      <c r="F85" s="21">
        <v>162338</v>
      </c>
      <c r="G85" s="42">
        <v>-1.9E-2</v>
      </c>
      <c r="H85" s="21" t="s">
        <v>1031</v>
      </c>
      <c r="I85" s="39" t="str">
        <f ca="1">IFERROR(__xludf.DUMMYFUNCTION("IF(SUM(COUNTIF(artists!A:A, SPLIT(D85, "",""))) &gt; 0, ""UA"", 0)"),"UA")</f>
        <v>UA</v>
      </c>
      <c r="J85" s="40">
        <f ca="1">IFERROR(__xludf.DUMMYFUNCTION("IF(SUM(COUNTIF(artists!C:C, SPLIT(D85, "",""))) &gt; 0, ""RU"", 0)"),0)</f>
        <v>0</v>
      </c>
      <c r="K85" s="39">
        <f ca="1">IFERROR(__xludf.DUMMYFUNCTION("IF(SUM(COUNTIF(artists!E:E, SPLIT(D85, "",""))) &gt; 0, ""OTHER"", 0)"),0)</f>
        <v>0</v>
      </c>
    </row>
    <row r="86" spans="1:11" ht="14.25" customHeight="1">
      <c r="A86" s="21">
        <v>85</v>
      </c>
      <c r="B86" s="21">
        <v>78</v>
      </c>
      <c r="C86" s="21" t="s">
        <v>1089</v>
      </c>
      <c r="D86" s="21" t="s">
        <v>125</v>
      </c>
      <c r="E86" s="21">
        <v>17</v>
      </c>
      <c r="F86" s="21">
        <v>158104</v>
      </c>
      <c r="G86" s="42">
        <v>-0.111</v>
      </c>
      <c r="H86" s="21" t="s">
        <v>1090</v>
      </c>
      <c r="I86" s="39">
        <f ca="1">IFERROR(__xludf.DUMMYFUNCTION("IF(SUM(COUNTIF(artists!A:A, SPLIT(D86, "",""))) &gt; 0, ""UA"", 0)"),0)</f>
        <v>0</v>
      </c>
      <c r="J86" s="40" t="str">
        <f ca="1">IFERROR(__xludf.DUMMYFUNCTION("IF(SUM(COUNTIF(artists!C:C, SPLIT(D86, "",""))) &gt; 0, ""RU"", 0)"),"RU")</f>
        <v>RU</v>
      </c>
      <c r="K86" s="39">
        <f ca="1">IFERROR(__xludf.DUMMYFUNCTION("IF(SUM(COUNTIF(artists!E:E, SPLIT(D86, "",""))) &gt; 0, ""OTHER"", 0)"),0)</f>
        <v>0</v>
      </c>
    </row>
    <row r="87" spans="1:11" ht="14.25" customHeight="1">
      <c r="A87" s="21">
        <v>86</v>
      </c>
      <c r="B87" s="21">
        <v>79</v>
      </c>
      <c r="C87" s="21" t="s">
        <v>1062</v>
      </c>
      <c r="D87" s="21" t="s">
        <v>1063</v>
      </c>
      <c r="E87" s="21">
        <v>12</v>
      </c>
      <c r="F87" s="21">
        <v>157604</v>
      </c>
      <c r="G87" s="42">
        <v>-0.113</v>
      </c>
      <c r="H87" s="21" t="s">
        <v>1064</v>
      </c>
      <c r="I87" s="39" t="str">
        <f ca="1">IFERROR(__xludf.DUMMYFUNCTION("IF(SUM(COUNTIF(artists!A:A, SPLIT(D87, "",""))) &gt; 0, ""UA"", 0)"),"UA")</f>
        <v>UA</v>
      </c>
      <c r="J87" s="40">
        <f ca="1">IFERROR(__xludf.DUMMYFUNCTION("IF(SUM(COUNTIF(artists!C:C, SPLIT(D87, "",""))) &gt; 0, ""RU"", 0)"),0)</f>
        <v>0</v>
      </c>
      <c r="K87" s="39">
        <f ca="1">IFERROR(__xludf.DUMMYFUNCTION("IF(SUM(COUNTIF(artists!E:E, SPLIT(D87, "",""))) &gt; 0, ""OTHER"", 0)"),0)</f>
        <v>0</v>
      </c>
    </row>
    <row r="88" spans="1:11" ht="14.25" customHeight="1">
      <c r="A88" s="21">
        <v>87</v>
      </c>
      <c r="B88" s="21">
        <v>91</v>
      </c>
      <c r="C88" s="21" t="s">
        <v>953</v>
      </c>
      <c r="D88" s="21" t="s">
        <v>954</v>
      </c>
      <c r="E88" s="21">
        <v>5</v>
      </c>
      <c r="F88" s="21">
        <v>156323</v>
      </c>
      <c r="G88" s="42">
        <v>-3.0000000000000001E-3</v>
      </c>
      <c r="H88" s="21" t="s">
        <v>955</v>
      </c>
      <c r="I88" s="39">
        <f ca="1">IFERROR(__xludf.DUMMYFUNCTION("IF(SUM(COUNTIF(artists!A:A, SPLIT(D88, "",""))) &gt; 0, ""UA"", 0)"),0)</f>
        <v>0</v>
      </c>
      <c r="J88" s="40" t="str">
        <f ca="1">IFERROR(__xludf.DUMMYFUNCTION("IF(SUM(COUNTIF(artists!C:C, SPLIT(D88, "",""))) &gt; 0, ""RU"", 0)"),"RU")</f>
        <v>RU</v>
      </c>
      <c r="K88" s="39">
        <f ca="1">IFERROR(__xludf.DUMMYFUNCTION("IF(SUM(COUNTIF(artists!E:E, SPLIT(D88, "",""))) &gt; 0, ""OTHER"", 0)"),0)</f>
        <v>0</v>
      </c>
    </row>
    <row r="89" spans="1:11" ht="14.25" customHeight="1">
      <c r="A89" s="21">
        <v>88</v>
      </c>
      <c r="B89" s="21">
        <v>90</v>
      </c>
      <c r="C89" s="21" t="s">
        <v>1101</v>
      </c>
      <c r="D89" s="21" t="s">
        <v>498</v>
      </c>
      <c r="E89" s="21">
        <v>8</v>
      </c>
      <c r="F89" s="21">
        <v>153745</v>
      </c>
      <c r="G89" s="42">
        <v>-2.1999999999999999E-2</v>
      </c>
      <c r="H89" s="21" t="s">
        <v>1102</v>
      </c>
      <c r="I89" s="39" t="str">
        <f ca="1">IFERROR(__xludf.DUMMYFUNCTION("IF(SUM(COUNTIF(artists!A:A, SPLIT(D89, "",""))) &gt; 0, ""UA"", 0)"),"UA")</f>
        <v>UA</v>
      </c>
      <c r="J89" s="40">
        <f ca="1">IFERROR(__xludf.DUMMYFUNCTION("IF(SUM(COUNTIF(artists!C:C, SPLIT(D89, "",""))) &gt; 0, ""RU"", 0)"),0)</f>
        <v>0</v>
      </c>
      <c r="K89" s="39">
        <f ca="1">IFERROR(__xludf.DUMMYFUNCTION("IF(SUM(COUNTIF(artists!E:E, SPLIT(D89, "",""))) &gt; 0, ""OTHER"", 0)"),0)</f>
        <v>0</v>
      </c>
    </row>
    <row r="90" spans="1:11" ht="14.25" customHeight="1">
      <c r="A90" s="21">
        <v>89</v>
      </c>
      <c r="B90" s="21">
        <v>82</v>
      </c>
      <c r="C90" s="21" t="s">
        <v>1038</v>
      </c>
      <c r="D90" s="21" t="s">
        <v>1039</v>
      </c>
      <c r="E90" s="21">
        <v>9</v>
      </c>
      <c r="F90" s="21">
        <v>152950</v>
      </c>
      <c r="G90" s="42">
        <v>-0.104</v>
      </c>
      <c r="H90" s="21" t="s">
        <v>1040</v>
      </c>
      <c r="I90" s="39">
        <f ca="1">IFERROR(__xludf.DUMMYFUNCTION("IF(SUM(COUNTIF(artists!A:A, SPLIT(D90, "",""))) &gt; 0, ""UA"", 0)"),0)</f>
        <v>0</v>
      </c>
      <c r="J90" s="40">
        <f ca="1">IFERROR(__xludf.DUMMYFUNCTION("IF(SUM(COUNTIF(artists!C:C, SPLIT(D90, "",""))) &gt; 0, ""RU"", 0)"),0)</f>
        <v>0</v>
      </c>
      <c r="K90" s="39" t="str">
        <f ca="1">IFERROR(__xludf.DUMMYFUNCTION("IF(SUM(COUNTIF(artists!E:E, SPLIT(D90, "",""))) &gt; 0, ""OTHER"", 0)"),"OTHER")</f>
        <v>OTHER</v>
      </c>
    </row>
    <row r="91" spans="1:11" ht="14.25" customHeight="1">
      <c r="A91" s="21">
        <v>90</v>
      </c>
      <c r="B91" s="21">
        <v>93</v>
      </c>
      <c r="C91" s="21" t="s">
        <v>1076</v>
      </c>
      <c r="D91" s="21" t="s">
        <v>1077</v>
      </c>
      <c r="E91" s="21">
        <v>18</v>
      </c>
      <c r="F91" s="21">
        <v>150257</v>
      </c>
      <c r="G91" s="42">
        <v>-3.1E-2</v>
      </c>
      <c r="H91" s="21" t="s">
        <v>1078</v>
      </c>
      <c r="I91" s="39" t="str">
        <f ca="1">IFERROR(__xludf.DUMMYFUNCTION("IF(SUM(COUNTIF(artists!A:A, SPLIT(D91, "",""))) &gt; 0, ""UA"", 0)"),"UA")</f>
        <v>UA</v>
      </c>
      <c r="J91" s="40">
        <f ca="1">IFERROR(__xludf.DUMMYFUNCTION("IF(SUM(COUNTIF(artists!C:C, SPLIT(D91, "",""))) &gt; 0, ""RU"", 0)"),0)</f>
        <v>0</v>
      </c>
      <c r="K91" s="39">
        <f ca="1">IFERROR(__xludf.DUMMYFUNCTION("IF(SUM(COUNTIF(artists!E:E, SPLIT(D91, "",""))) &gt; 0, ""OTHER"", 0)"),0)</f>
        <v>0</v>
      </c>
    </row>
    <row r="92" spans="1:11" ht="14.25" customHeight="1">
      <c r="A92" s="21">
        <v>91</v>
      </c>
      <c r="C92" s="21" t="s">
        <v>871</v>
      </c>
      <c r="D92" s="21" t="s">
        <v>872</v>
      </c>
      <c r="E92" s="21">
        <v>1</v>
      </c>
      <c r="F92" s="21">
        <v>147516</v>
      </c>
      <c r="H92" s="21" t="s">
        <v>873</v>
      </c>
      <c r="I92" s="39" t="str">
        <f ca="1">IFERROR(__xludf.DUMMYFUNCTION("IF(SUM(COUNTIF(artists!A:A, SPLIT(D92, "",""))) &gt; 0, ""UA"", 0)"),"UA")</f>
        <v>UA</v>
      </c>
      <c r="J92" s="40">
        <f ca="1">IFERROR(__xludf.DUMMYFUNCTION("IF(SUM(COUNTIF(artists!C:C, SPLIT(D92, "",""))) &gt; 0, ""RU"", 0)"),0)</f>
        <v>0</v>
      </c>
      <c r="K92" s="39">
        <f ca="1">IFERROR(__xludf.DUMMYFUNCTION("IF(SUM(COUNTIF(artists!E:E, SPLIT(D92, "",""))) &gt; 0, ""OTHER"", 0)"),0)</f>
        <v>0</v>
      </c>
    </row>
    <row r="93" spans="1:11" ht="14.25" customHeight="1">
      <c r="A93" s="21">
        <v>92</v>
      </c>
      <c r="B93" s="21">
        <v>94</v>
      </c>
      <c r="C93" s="21" t="s">
        <v>343</v>
      </c>
      <c r="D93" s="21" t="s">
        <v>344</v>
      </c>
      <c r="E93" s="21">
        <v>8</v>
      </c>
      <c r="F93" s="21">
        <v>146098</v>
      </c>
      <c r="G93" s="42">
        <v>-4.1000000000000002E-2</v>
      </c>
      <c r="H93" s="21" t="s">
        <v>346</v>
      </c>
      <c r="I93" s="39" t="str">
        <f ca="1">IFERROR(__xludf.DUMMYFUNCTION("IF(SUM(COUNTIF(artists!A:A, SPLIT(D93, "",""))) &gt; 0, ""UA"", 0)"),"UA")</f>
        <v>UA</v>
      </c>
      <c r="J93" s="40">
        <f ca="1">IFERROR(__xludf.DUMMYFUNCTION("IF(SUM(COUNTIF(artists!C:C, SPLIT(D93, "",""))) &gt; 0, ""RU"", 0)"),0)</f>
        <v>0</v>
      </c>
      <c r="K93" s="39">
        <f ca="1">IFERROR(__xludf.DUMMYFUNCTION("IF(SUM(COUNTIF(artists!E:E, SPLIT(D93, "",""))) &gt; 0, ""OTHER"", 0)"),0)</f>
        <v>0</v>
      </c>
    </row>
    <row r="94" spans="1:11" ht="14.25" customHeight="1">
      <c r="A94" s="21">
        <v>93</v>
      </c>
      <c r="B94" s="21">
        <v>92</v>
      </c>
      <c r="C94" s="21" t="s">
        <v>313</v>
      </c>
      <c r="D94" s="21" t="s">
        <v>310</v>
      </c>
      <c r="E94" s="21">
        <v>5</v>
      </c>
      <c r="F94" s="21">
        <v>145793</v>
      </c>
      <c r="G94" s="42">
        <v>-6.8000000000000005E-2</v>
      </c>
      <c r="H94" s="21" t="s">
        <v>398</v>
      </c>
      <c r="I94" s="39">
        <f ca="1">IFERROR(__xludf.DUMMYFUNCTION("IF(SUM(COUNTIF(artists!A:A, SPLIT(D94, "",""))) &gt; 0, ""UA"", 0)"),0)</f>
        <v>0</v>
      </c>
      <c r="J94" s="40">
        <f ca="1">IFERROR(__xludf.DUMMYFUNCTION("IF(SUM(COUNTIF(artists!C:C, SPLIT(D94, "",""))) &gt; 0, ""RU"", 0)"),0)</f>
        <v>0</v>
      </c>
      <c r="K94" s="39" t="str">
        <f ca="1">IFERROR(__xludf.DUMMYFUNCTION("IF(SUM(COUNTIF(artists!E:E, SPLIT(D94, "",""))) &gt; 0, ""OTHER"", 0)"),"OTHER")</f>
        <v>OTHER</v>
      </c>
    </row>
    <row r="95" spans="1:11" ht="14.25" customHeight="1">
      <c r="A95" s="21">
        <v>94</v>
      </c>
      <c r="C95" s="21" t="s">
        <v>977</v>
      </c>
      <c r="D95" s="21" t="s">
        <v>978</v>
      </c>
      <c r="E95" s="21">
        <v>1</v>
      </c>
      <c r="F95" s="21">
        <v>143355</v>
      </c>
      <c r="H95" s="21" t="s">
        <v>979</v>
      </c>
      <c r="I95" s="39" t="str">
        <f ca="1">IFERROR(__xludf.DUMMYFUNCTION("IF(SUM(COUNTIF(artists!A:A, SPLIT(D95, "",""))) &gt; 0, ""UA"", 0)"),"UA")</f>
        <v>UA</v>
      </c>
      <c r="J95" s="40">
        <f ca="1">IFERROR(__xludf.DUMMYFUNCTION("IF(SUM(COUNTIF(artists!C:C, SPLIT(D95, "",""))) &gt; 0, ""RU"", 0)"),0)</f>
        <v>0</v>
      </c>
      <c r="K95" s="39">
        <f ca="1">IFERROR(__xludf.DUMMYFUNCTION("IF(SUM(COUNTIF(artists!E:E, SPLIT(D95, "",""))) &gt; 0, ""OTHER"", 0)"),0)</f>
        <v>0</v>
      </c>
    </row>
    <row r="96" spans="1:11" ht="14.25" customHeight="1">
      <c r="A96" s="21">
        <v>95</v>
      </c>
      <c r="C96" s="21" t="s">
        <v>1103</v>
      </c>
      <c r="D96" s="21" t="s">
        <v>1104</v>
      </c>
      <c r="E96" s="21">
        <v>2</v>
      </c>
      <c r="F96" s="21">
        <v>142829</v>
      </c>
      <c r="H96" s="21" t="s">
        <v>1105</v>
      </c>
      <c r="I96" s="39" t="str">
        <f ca="1">IFERROR(__xludf.DUMMYFUNCTION("IF(SUM(COUNTIF(artists!A:A, SPLIT(D96, "",""))) &gt; 0, ""UA"", 0)"),"UA")</f>
        <v>UA</v>
      </c>
      <c r="J96" s="40">
        <f ca="1">IFERROR(__xludf.DUMMYFUNCTION("IF(SUM(COUNTIF(artists!C:C, SPLIT(D96, "",""))) &gt; 0, ""RU"", 0)"),0)</f>
        <v>0</v>
      </c>
      <c r="K96" s="39">
        <f ca="1">IFERROR(__xludf.DUMMYFUNCTION("IF(SUM(COUNTIF(artists!E:E, SPLIT(D96, "",""))) &gt; 0, ""OTHER"", 0)"),0)</f>
        <v>0</v>
      </c>
    </row>
    <row r="97" spans="1:11" ht="14.25" customHeight="1">
      <c r="A97" s="21">
        <v>96</v>
      </c>
      <c r="C97" s="21" t="s">
        <v>1106</v>
      </c>
      <c r="D97" s="21" t="s">
        <v>1107</v>
      </c>
      <c r="E97" s="21">
        <v>1</v>
      </c>
      <c r="F97" s="21">
        <v>142472</v>
      </c>
      <c r="H97" s="21" t="s">
        <v>1108</v>
      </c>
      <c r="I97" s="39">
        <f ca="1">IFERROR(__xludf.DUMMYFUNCTION("IF(SUM(COUNTIF(artists!A:A, SPLIT(D97, "",""))) &gt; 0, ""UA"", 0)"),0)</f>
        <v>0</v>
      </c>
      <c r="J97" s="40" t="str">
        <f ca="1">IFERROR(__xludf.DUMMYFUNCTION("IF(SUM(COUNTIF(artists!C:C, SPLIT(D97, "",""))) &gt; 0, ""RU"", 0)"),"RU")</f>
        <v>RU</v>
      </c>
      <c r="K97" s="39">
        <f ca="1">IFERROR(__xludf.DUMMYFUNCTION("IF(SUM(COUNTIF(artists!E:E, SPLIT(D97, "",""))) &gt; 0, ""OTHER"", 0)"),0)</f>
        <v>0</v>
      </c>
    </row>
    <row r="98" spans="1:11" ht="14.25" customHeight="1">
      <c r="A98" s="21">
        <v>97</v>
      </c>
      <c r="B98" s="21">
        <v>99</v>
      </c>
      <c r="C98" s="21" t="s">
        <v>383</v>
      </c>
      <c r="D98" s="21" t="s">
        <v>384</v>
      </c>
      <c r="E98" s="21">
        <v>5</v>
      </c>
      <c r="F98" s="21">
        <v>142270</v>
      </c>
      <c r="G98" s="42">
        <v>-3.7999999999999999E-2</v>
      </c>
      <c r="H98" s="21" t="s">
        <v>386</v>
      </c>
      <c r="I98" s="39">
        <f ca="1">IFERROR(__xludf.DUMMYFUNCTION("IF(SUM(COUNTIF(artists!A:A, SPLIT(D98, "",""))) &gt; 0, ""UA"", 0)"),0)</f>
        <v>0</v>
      </c>
      <c r="J98" s="40">
        <f ca="1">IFERROR(__xludf.DUMMYFUNCTION("IF(SUM(COUNTIF(artists!C:C, SPLIT(D98, "",""))) &gt; 0, ""RU"", 0)"),0)</f>
        <v>0</v>
      </c>
      <c r="K98" s="39" t="str">
        <f ca="1">IFERROR(__xludf.DUMMYFUNCTION("IF(SUM(COUNTIF(artists!E:E, SPLIT(D98, "",""))) &gt; 0, ""OTHER"", 0)"),"OTHER")</f>
        <v>OTHER</v>
      </c>
    </row>
    <row r="99" spans="1:11" ht="14.25" customHeight="1">
      <c r="A99" s="21">
        <v>98</v>
      </c>
      <c r="C99" s="21" t="s">
        <v>874</v>
      </c>
      <c r="D99" s="21" t="s">
        <v>108</v>
      </c>
      <c r="E99" s="21">
        <v>16</v>
      </c>
      <c r="F99" s="21">
        <v>141458</v>
      </c>
      <c r="H99" s="21" t="s">
        <v>875</v>
      </c>
      <c r="I99" s="39" t="str">
        <f ca="1">IFERROR(__xludf.DUMMYFUNCTION("IF(SUM(COUNTIF(artists!A:A, SPLIT(D99, "",""))) &gt; 0, ""UA"", 0)"),"UA")</f>
        <v>UA</v>
      </c>
      <c r="J99" s="40">
        <f ca="1">IFERROR(__xludf.DUMMYFUNCTION("IF(SUM(COUNTIF(artists!C:C, SPLIT(D99, "",""))) &gt; 0, ""RU"", 0)"),0)</f>
        <v>0</v>
      </c>
      <c r="K99" s="39">
        <f ca="1">IFERROR(__xludf.DUMMYFUNCTION("IF(SUM(COUNTIF(artists!E:E, SPLIT(D99, "",""))) &gt; 0, ""OTHER"", 0)"),0)</f>
        <v>0</v>
      </c>
    </row>
    <row r="100" spans="1:11" ht="14.25" customHeight="1">
      <c r="A100" s="21">
        <v>99</v>
      </c>
      <c r="B100" s="21">
        <v>96</v>
      </c>
      <c r="C100" s="21" t="s">
        <v>622</v>
      </c>
      <c r="D100" s="21" t="s">
        <v>108</v>
      </c>
      <c r="E100" s="21">
        <v>3</v>
      </c>
      <c r="F100" s="21">
        <v>141016</v>
      </c>
      <c r="G100" s="42">
        <v>-6.7000000000000004E-2</v>
      </c>
      <c r="H100" s="21" t="s">
        <v>623</v>
      </c>
      <c r="I100" s="39" t="str">
        <f ca="1">IFERROR(__xludf.DUMMYFUNCTION("IF(SUM(COUNTIF(artists!A:A, SPLIT(D100, "",""))) &gt; 0, ""UA"", 0)"),"UA")</f>
        <v>UA</v>
      </c>
      <c r="J100" s="40">
        <f ca="1">IFERROR(__xludf.DUMMYFUNCTION("IF(SUM(COUNTIF(artists!C:C, SPLIT(D100, "",""))) &gt; 0, ""RU"", 0)"),0)</f>
        <v>0</v>
      </c>
      <c r="K100" s="39">
        <f ca="1">IFERROR(__xludf.DUMMYFUNCTION("IF(SUM(COUNTIF(artists!E:E, SPLIT(D100, "",""))) &gt; 0, ""OTHER"", 0)"),0)</f>
        <v>0</v>
      </c>
    </row>
    <row r="101" spans="1:11" ht="14.25" customHeight="1">
      <c r="A101" s="21">
        <v>100</v>
      </c>
      <c r="C101" s="21" t="s">
        <v>379</v>
      </c>
      <c r="D101" s="21" t="s">
        <v>380</v>
      </c>
      <c r="E101" s="21">
        <v>13</v>
      </c>
      <c r="F101" s="21">
        <v>140693</v>
      </c>
      <c r="H101" s="21" t="s">
        <v>382</v>
      </c>
      <c r="I101" s="39" t="str">
        <f ca="1">IFERROR(__xludf.DUMMYFUNCTION("IF(SUM(COUNTIF(artists!A:A, SPLIT(D101, "",""))) &gt; 0, ""UA"", 0)"),"UA")</f>
        <v>UA</v>
      </c>
      <c r="J101" s="40">
        <f ca="1">IFERROR(__xludf.DUMMYFUNCTION("IF(SUM(COUNTIF(artists!C:C, SPLIT(D101, "",""))) &gt; 0, ""RU"", 0)"),0)</f>
        <v>0</v>
      </c>
      <c r="K101" s="39">
        <f ca="1">IFERROR(__xludf.DUMMYFUNCTION("IF(SUM(COUNTIF(artists!E:E, SPLIT(D101, "",""))) &gt; 0, ""OTHER"", 0)"),0)</f>
        <v>0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89" priority="1">
      <formula>AND($I2=0, $J2=0, $K2=0)</formula>
    </cfRule>
    <cfRule type="expression" dxfId="88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Аркуш19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3" width="8.6640625" customWidth="1"/>
    <col min="4" max="4" width="13.33203125" customWidth="1"/>
    <col min="5" max="5" width="8.6640625" hidden="1" customWidth="1"/>
    <col min="6" max="6" width="8.6640625" customWidth="1"/>
    <col min="7" max="7" width="13.10937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B2" s="21">
        <v>2</v>
      </c>
      <c r="C2" s="21" t="s">
        <v>88</v>
      </c>
      <c r="D2" s="21" t="s">
        <v>89</v>
      </c>
      <c r="E2" s="21">
        <v>14</v>
      </c>
      <c r="F2" s="21">
        <v>1369844</v>
      </c>
      <c r="G2" s="42">
        <v>4.2000000000000003E-2</v>
      </c>
      <c r="H2" s="21" t="s">
        <v>90</v>
      </c>
      <c r="I2" s="39" t="str">
        <f ca="1">IFERROR(__xludf.DUMMYFUNCTION("IF(SUM(COUNTIF(artists!A:A, SPLIT(D2, "",""))) &gt; 0, ""UA"", 0)"),"UA")</f>
        <v>UA</v>
      </c>
      <c r="J2" s="40">
        <f ca="1">IFERROR(__xludf.DUMMYFUNCTION("IF(SUM(COUNTIF(artists!C:C, SPLIT(D2, "",""))) &gt; 0, ""RU"", 0)"),0)</f>
        <v>0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B3" s="21">
        <v>1</v>
      </c>
      <c r="C3" s="21" t="s">
        <v>351</v>
      </c>
      <c r="D3" s="21" t="s">
        <v>352</v>
      </c>
      <c r="E3" s="21">
        <v>2</v>
      </c>
      <c r="F3" s="21">
        <v>1114939</v>
      </c>
      <c r="G3" s="42">
        <v>-0.17599999999999999</v>
      </c>
      <c r="H3" s="21" t="s">
        <v>354</v>
      </c>
      <c r="I3" s="39" t="str">
        <f ca="1">IFERROR(__xludf.DUMMYFUNCTION("IF(SUM(COUNTIF(artists!A:A, SPLIT(D3, "",""))) &gt; 0, ""UA"", 0)"),"UA")</f>
        <v>UA</v>
      </c>
      <c r="J3" s="40">
        <f ca="1">IFERROR(__xludf.DUMMYFUNCTION("IF(SUM(COUNTIF(artists!C:C, SPLIT(D3, "",""))) &gt; 0, ""RU"", 0)"),0)</f>
        <v>0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B4" s="21">
        <v>7</v>
      </c>
      <c r="C4" s="21" t="s">
        <v>145</v>
      </c>
      <c r="D4" s="21" t="s">
        <v>146</v>
      </c>
      <c r="E4" s="21">
        <v>20</v>
      </c>
      <c r="F4" s="21">
        <v>824845</v>
      </c>
      <c r="G4" s="42">
        <v>9.2999999999999999E-2</v>
      </c>
      <c r="H4" s="21" t="s">
        <v>148</v>
      </c>
      <c r="I4" s="39" t="str">
        <f ca="1">IFERROR(__xludf.DUMMYFUNCTION("IF(SUM(COUNTIF(artists!A:A, SPLIT(D4, "",""))) &gt; 0, ""UA"", 0)"),"UA")</f>
        <v>UA</v>
      </c>
      <c r="J4" s="40">
        <f ca="1">IFERROR(__xludf.DUMMYFUNCTION("IF(SUM(COUNTIF(artists!C:C, SPLIT(D4, "",""))) &gt; 0, ""RU"", 0)"),0)</f>
        <v>0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B5" s="21">
        <v>5</v>
      </c>
      <c r="C5" s="21" t="s">
        <v>128</v>
      </c>
      <c r="D5" s="21" t="s">
        <v>129</v>
      </c>
      <c r="E5" s="21">
        <v>22</v>
      </c>
      <c r="F5" s="21">
        <v>736103</v>
      </c>
      <c r="G5" s="42">
        <v>-3.6999999999999998E-2</v>
      </c>
      <c r="H5" s="21" t="s">
        <v>131</v>
      </c>
      <c r="I5" s="39" t="str">
        <f ca="1">IFERROR(__xludf.DUMMYFUNCTION("IF(SUM(COUNTIF(artists!A:A, SPLIT(D5, "",""))) &gt; 0, ""UA"", 0)"),"UA")</f>
        <v>UA</v>
      </c>
      <c r="J5" s="40">
        <f ca="1">IFERROR(__xludf.DUMMYFUNCTION("IF(SUM(COUNTIF(artists!C:C, SPLIT(D5, "",""))) &gt; 0, ""RU"", 0)"),0)</f>
        <v>0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B6" s="21">
        <v>3</v>
      </c>
      <c r="C6" s="21" t="s">
        <v>115</v>
      </c>
      <c r="D6" s="21" t="s">
        <v>116</v>
      </c>
      <c r="E6" s="21">
        <v>16</v>
      </c>
      <c r="F6" s="21">
        <v>732105</v>
      </c>
      <c r="G6" s="42">
        <v>-5.5E-2</v>
      </c>
      <c r="H6" s="21" t="s">
        <v>117</v>
      </c>
      <c r="I6" s="39" t="str">
        <f ca="1">IFERROR(__xludf.DUMMYFUNCTION("IF(SUM(COUNTIF(artists!A:A, SPLIT(D6, "",""))) &gt; 0, ""UA"", 0)"),"UA")</f>
        <v>UA</v>
      </c>
      <c r="J6" s="40">
        <f ca="1">IFERROR(__xludf.DUMMYFUNCTION("IF(SUM(COUNTIF(artists!C:C, SPLIT(D6, "",""))) &gt; 0, ""RU"", 0)"),0)</f>
        <v>0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B7" s="21">
        <v>4</v>
      </c>
      <c r="C7" s="21" t="s">
        <v>500</v>
      </c>
      <c r="D7" s="21" t="s">
        <v>501</v>
      </c>
      <c r="E7" s="21">
        <v>5</v>
      </c>
      <c r="F7" s="21">
        <v>706094</v>
      </c>
      <c r="G7" s="42">
        <v>-7.9000000000000001E-2</v>
      </c>
      <c r="H7" s="21" t="s">
        <v>503</v>
      </c>
      <c r="I7" s="39">
        <f ca="1">IFERROR(__xludf.DUMMYFUNCTION("IF(SUM(COUNTIF(artists!A:A, SPLIT(D7, "",""))) &gt; 0, ""UA"", 0)"),0)</f>
        <v>0</v>
      </c>
      <c r="J7" s="40" t="str">
        <f ca="1">IFERROR(__xludf.DUMMYFUNCTION("IF(SUM(COUNTIF(artists!C:C, SPLIT(D7, "",""))) &gt; 0, ""RU"", 0)"),"RU")</f>
        <v>RU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B8" s="21">
        <v>6</v>
      </c>
      <c r="C8" s="21" t="s">
        <v>645</v>
      </c>
      <c r="D8" s="21" t="s">
        <v>352</v>
      </c>
      <c r="E8" s="21">
        <v>39</v>
      </c>
      <c r="F8" s="21">
        <v>701364</v>
      </c>
      <c r="G8" s="42">
        <v>-7.0999999999999994E-2</v>
      </c>
      <c r="H8" s="21" t="s">
        <v>647</v>
      </c>
      <c r="I8" s="39" t="str">
        <f ca="1">IFERROR(__xludf.DUMMYFUNCTION("IF(SUM(COUNTIF(artists!A:A, SPLIT(D8, "",""))) &gt; 0, ""UA"", 0)"),"UA")</f>
        <v>UA</v>
      </c>
      <c r="J8" s="40">
        <f ca="1">IFERROR(__xludf.DUMMYFUNCTION("IF(SUM(COUNTIF(artists!C:C, SPLIT(D8, "",""))) &gt; 0, ""RU"", 0)"),0)</f>
        <v>0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B9" s="21">
        <v>8</v>
      </c>
      <c r="C9" s="21" t="s">
        <v>175</v>
      </c>
      <c r="D9" s="21" t="s">
        <v>89</v>
      </c>
      <c r="E9" s="21">
        <v>26</v>
      </c>
      <c r="F9" s="21">
        <v>680717</v>
      </c>
      <c r="G9" s="42">
        <v>-2.9000000000000001E-2</v>
      </c>
      <c r="H9" s="21" t="s">
        <v>177</v>
      </c>
      <c r="I9" s="39" t="str">
        <f ca="1">IFERROR(__xludf.DUMMYFUNCTION("IF(SUM(COUNTIF(artists!A:A, SPLIT(D9, "",""))) &gt; 0, ""UA"", 0)"),"UA")</f>
        <v>UA</v>
      </c>
      <c r="J9" s="40">
        <f ca="1">IFERROR(__xludf.DUMMYFUNCTION("IF(SUM(COUNTIF(artists!C:C, SPLIT(D9, "",""))) &gt; 0, ""RU"", 0)"),0)</f>
        <v>0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B10" s="21">
        <v>11</v>
      </c>
      <c r="C10" s="21" t="s">
        <v>132</v>
      </c>
      <c r="D10" s="21" t="s">
        <v>133</v>
      </c>
      <c r="E10" s="21">
        <v>26</v>
      </c>
      <c r="F10" s="21">
        <v>634511</v>
      </c>
      <c r="G10" s="42">
        <v>7.3999999999999996E-2</v>
      </c>
      <c r="H10" s="21" t="s">
        <v>135</v>
      </c>
      <c r="I10" s="39" t="str">
        <f ca="1">IFERROR(__xludf.DUMMYFUNCTION("IF(SUM(COUNTIF(artists!A:A, SPLIT(D10, "",""))) &gt; 0, ""UA"", 0)"),"UA")</f>
        <v>UA</v>
      </c>
      <c r="J10" s="40">
        <f ca="1">IFERROR(__xludf.DUMMYFUNCTION("IF(SUM(COUNTIF(artists!C:C, SPLIT(D10, "",""))) &gt; 0, ""RU"", 0)"),0)</f>
        <v>0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B11" s="21">
        <v>10</v>
      </c>
      <c r="C11" s="21" t="s">
        <v>202</v>
      </c>
      <c r="D11" s="21" t="s">
        <v>835</v>
      </c>
      <c r="E11" s="21">
        <v>16</v>
      </c>
      <c r="F11" s="21">
        <v>620161</v>
      </c>
      <c r="G11" s="42">
        <v>5.0000000000000001E-3</v>
      </c>
      <c r="H11" s="21" t="s">
        <v>204</v>
      </c>
      <c r="I11" s="39" t="str">
        <f ca="1">IFERROR(__xludf.DUMMYFUNCTION("IF(SUM(COUNTIF(artists!A:A, SPLIT(D11, "",""))) &gt; 0, ""UA"", 0)"),"UA")</f>
        <v>UA</v>
      </c>
      <c r="J11" s="40">
        <f ca="1">IFERROR(__xludf.DUMMYFUNCTION("IF(SUM(COUNTIF(artists!C:C, SPLIT(D11, "",""))) &gt; 0, ""RU"", 0)"),0)</f>
        <v>0</v>
      </c>
      <c r="K11" s="39">
        <f ca="1">IFERROR(__xludf.DUMMYFUNCTION("IF(SUM(COUNTIF(artists!E:E, SPLIT(D11, "",""))) &gt; 0, ""OTHER"", 0)"),0)</f>
        <v>0</v>
      </c>
    </row>
    <row r="12" spans="1:11" ht="14.25" customHeight="1">
      <c r="A12" s="21">
        <v>11</v>
      </c>
      <c r="B12" s="21">
        <v>13</v>
      </c>
      <c r="C12" s="21" t="s">
        <v>182</v>
      </c>
      <c r="D12" s="21" t="s">
        <v>183</v>
      </c>
      <c r="E12" s="21">
        <v>22</v>
      </c>
      <c r="F12" s="21">
        <v>574450</v>
      </c>
      <c r="G12" s="42">
        <v>8.3000000000000004E-2</v>
      </c>
      <c r="H12" s="21" t="s">
        <v>185</v>
      </c>
      <c r="I12" s="39" t="str">
        <f ca="1">IFERROR(__xludf.DUMMYFUNCTION("IF(SUM(COUNTIF(artists!A:A, SPLIT(D12, "",""))) &gt; 0, ""UA"", 0)"),"UA")</f>
        <v>UA</v>
      </c>
      <c r="J12" s="40">
        <f ca="1">IFERROR(__xludf.DUMMYFUNCTION("IF(SUM(COUNTIF(artists!C:C, SPLIT(D12, "",""))) &gt; 0, ""RU"", 0)"),0)</f>
        <v>0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B13" s="21">
        <v>12</v>
      </c>
      <c r="C13" s="21" t="s">
        <v>186</v>
      </c>
      <c r="D13" s="21" t="s">
        <v>187</v>
      </c>
      <c r="E13" s="21">
        <v>30</v>
      </c>
      <c r="F13" s="21">
        <v>545925</v>
      </c>
      <c r="G13" s="42">
        <v>-2.4E-2</v>
      </c>
      <c r="H13" s="21" t="s">
        <v>189</v>
      </c>
      <c r="I13" s="39" t="str">
        <f ca="1">IFERROR(__xludf.DUMMYFUNCTION("IF(SUM(COUNTIF(artists!A:A, SPLIT(D13, "",""))) &gt; 0, ""UA"", 0)"),"UA")</f>
        <v>UA</v>
      </c>
      <c r="J13" s="40">
        <f ca="1">IFERROR(__xludf.DUMMYFUNCTION("IF(SUM(COUNTIF(artists!C:C, SPLIT(D13, "",""))) &gt; 0, ""RU"", 0)"),0)</f>
        <v>0</v>
      </c>
      <c r="K13" s="39">
        <f ca="1">IFERROR(__xludf.DUMMYFUNCTION("IF(SUM(COUNTIF(artists!E:E, SPLIT(D13, "",""))) &gt; 0, ""OTHER"", 0)"),0)</f>
        <v>0</v>
      </c>
    </row>
    <row r="14" spans="1:11" ht="14.25" customHeight="1">
      <c r="A14" s="21">
        <v>13</v>
      </c>
      <c r="B14" s="21">
        <v>16</v>
      </c>
      <c r="C14" s="21" t="s">
        <v>149</v>
      </c>
      <c r="D14" s="21" t="s">
        <v>150</v>
      </c>
      <c r="E14" s="21">
        <v>19</v>
      </c>
      <c r="F14" s="21">
        <v>543401</v>
      </c>
      <c r="G14" s="42">
        <v>7.2999999999999995E-2</v>
      </c>
      <c r="H14" s="21" t="s">
        <v>152</v>
      </c>
      <c r="I14" s="39" t="str">
        <f ca="1">IFERROR(__xludf.DUMMYFUNCTION("IF(SUM(COUNTIF(artists!A:A, SPLIT(D14, "",""))) &gt; 0, ""UA"", 0)"),"UA")</f>
        <v>UA</v>
      </c>
      <c r="J14" s="40">
        <f ca="1">IFERROR(__xludf.DUMMYFUNCTION("IF(SUM(COUNTIF(artists!C:C, SPLIT(D14, "",""))) &gt; 0, ""RU"", 0)"),0)</f>
        <v>0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B15" s="21">
        <v>9</v>
      </c>
      <c r="C15" s="21" t="s">
        <v>247</v>
      </c>
      <c r="D15" s="21" t="s">
        <v>454</v>
      </c>
      <c r="E15" s="21">
        <v>3</v>
      </c>
      <c r="F15" s="21">
        <v>536550</v>
      </c>
      <c r="G15" s="42">
        <v>-0.19400000000000001</v>
      </c>
      <c r="H15" s="21" t="s">
        <v>250</v>
      </c>
      <c r="I15" s="39" t="str">
        <f ca="1">IFERROR(__xludf.DUMMYFUNCTION("IF(SUM(COUNTIF(artists!A:A, SPLIT(D15, "",""))) &gt; 0, ""UA"", 0)"),"UA")</f>
        <v>UA</v>
      </c>
      <c r="J15" s="40">
        <f ca="1">IFERROR(__xludf.DUMMYFUNCTION("IF(SUM(COUNTIF(artists!C:C, SPLIT(D15, "",""))) &gt; 0, ""RU"", 0)"),0)</f>
        <v>0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B16" s="21">
        <v>14</v>
      </c>
      <c r="C16" s="21" t="s">
        <v>844</v>
      </c>
      <c r="D16" s="21" t="s">
        <v>457</v>
      </c>
      <c r="E16" s="21">
        <v>6</v>
      </c>
      <c r="F16" s="21">
        <v>533779</v>
      </c>
      <c r="G16" s="43">
        <v>0.01</v>
      </c>
      <c r="H16" s="21" t="s">
        <v>459</v>
      </c>
      <c r="I16" s="39">
        <f ca="1">IFERROR(__xludf.DUMMYFUNCTION("IF(SUM(COUNTIF(artists!A:A, SPLIT(D16, "",""))) &gt; 0, ""UA"", 0)"),0)</f>
        <v>0</v>
      </c>
      <c r="J16" s="40">
        <f ca="1">IFERROR(__xludf.DUMMYFUNCTION("IF(SUM(COUNTIF(artists!C:C, SPLIT(D16, "",""))) &gt; 0, ""RU"", 0)"),0)</f>
        <v>0</v>
      </c>
      <c r="K16" s="39" t="str">
        <f ca="1">IFERROR(__xludf.DUMMYFUNCTION("IF(SUM(COUNTIF(artists!E:E, SPLIT(D16, "",""))) &gt; 0, ""OTHER"", 0)"),"OTHER")</f>
        <v>OTHER</v>
      </c>
    </row>
    <row r="17" spans="1:11" ht="14.25" customHeight="1">
      <c r="A17" s="21">
        <v>16</v>
      </c>
      <c r="B17" s="21">
        <v>15</v>
      </c>
      <c r="C17" s="21" t="s">
        <v>171</v>
      </c>
      <c r="D17" s="21" t="s">
        <v>172</v>
      </c>
      <c r="E17" s="21">
        <v>21</v>
      </c>
      <c r="F17" s="21">
        <v>526383</v>
      </c>
      <c r="G17" s="42">
        <v>8.0000000000000002E-3</v>
      </c>
      <c r="H17" s="21" t="s">
        <v>174</v>
      </c>
      <c r="I17" s="39">
        <f ca="1">IFERROR(__xludf.DUMMYFUNCTION("IF(SUM(COUNTIF(artists!A:A, SPLIT(D17, "",""))) &gt; 0, ""UA"", 0)"),0)</f>
        <v>0</v>
      </c>
      <c r="J17" s="40" t="str">
        <f ca="1">IFERROR(__xludf.DUMMYFUNCTION("IF(SUM(COUNTIF(artists!C:C, SPLIT(D17, "",""))) &gt; 0, ""RU"", 0)"),"RU")</f>
        <v>RU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B18" s="21">
        <v>23</v>
      </c>
      <c r="C18" s="21" t="s">
        <v>373</v>
      </c>
      <c r="D18" s="21" t="s">
        <v>172</v>
      </c>
      <c r="E18" s="21">
        <v>2</v>
      </c>
      <c r="F18" s="21">
        <v>460031</v>
      </c>
      <c r="G18" s="42">
        <v>0.17699999999999999</v>
      </c>
      <c r="H18" s="21" t="s">
        <v>375</v>
      </c>
      <c r="I18" s="39">
        <f ca="1">IFERROR(__xludf.DUMMYFUNCTION("IF(SUM(COUNTIF(artists!A:A, SPLIT(D18, "",""))) &gt; 0, ""UA"", 0)"),0)</f>
        <v>0</v>
      </c>
      <c r="J18" s="40" t="str">
        <f ca="1">IFERROR(__xludf.DUMMYFUNCTION("IF(SUM(COUNTIF(artists!C:C, SPLIT(D18, "",""))) &gt; 0, ""RU"", 0)"),"RU")</f>
        <v>RU</v>
      </c>
      <c r="K18" s="39">
        <f ca="1">IFERROR(__xludf.DUMMYFUNCTION("IF(SUM(COUNTIF(artists!E:E, SPLIT(D18, "",""))) &gt; 0, ""OTHER"", 0)"),0)</f>
        <v>0</v>
      </c>
    </row>
    <row r="19" spans="1:11" ht="14.25" customHeight="1">
      <c r="A19" s="21">
        <v>18</v>
      </c>
      <c r="B19" s="21">
        <v>18</v>
      </c>
      <c r="C19" s="21" t="s">
        <v>700</v>
      </c>
      <c r="D19" s="21" t="s">
        <v>701</v>
      </c>
      <c r="E19" s="21">
        <v>7</v>
      </c>
      <c r="F19" s="21">
        <v>454639</v>
      </c>
      <c r="G19" s="42">
        <v>-4.0000000000000001E-3</v>
      </c>
      <c r="H19" s="21" t="s">
        <v>702</v>
      </c>
      <c r="I19" s="39">
        <f ca="1">IFERROR(__xludf.DUMMYFUNCTION("IF(SUM(COUNTIF(artists!A:A, SPLIT(D19, "",""))) &gt; 0, ""UA"", 0)"),0)</f>
        <v>0</v>
      </c>
      <c r="J19" s="40" t="str">
        <f ca="1">IFERROR(__xludf.DUMMYFUNCTION("IF(SUM(COUNTIF(artists!C:C, SPLIT(D19, "",""))) &gt; 0, ""RU"", 0)"),"RU")</f>
        <v>RU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B20" s="21">
        <v>20</v>
      </c>
      <c r="C20" s="21" t="s">
        <v>209</v>
      </c>
      <c r="D20" s="21" t="s">
        <v>210</v>
      </c>
      <c r="E20" s="21">
        <v>19</v>
      </c>
      <c r="F20" s="21">
        <v>438920</v>
      </c>
      <c r="G20" s="42">
        <v>1.2E-2</v>
      </c>
      <c r="H20" s="21" t="s">
        <v>212</v>
      </c>
      <c r="I20" s="39" t="str">
        <f ca="1">IFERROR(__xludf.DUMMYFUNCTION("IF(SUM(COUNTIF(artists!A:A, SPLIT(D20, "",""))) &gt; 0, ""UA"", 0)"),"UA")</f>
        <v>UA</v>
      </c>
      <c r="J20" s="40">
        <f ca="1">IFERROR(__xludf.DUMMYFUNCTION("IF(SUM(COUNTIF(artists!C:C, SPLIT(D20, "",""))) &gt; 0, ""RU"", 0)"),0)</f>
        <v>0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B21" s="21">
        <v>17</v>
      </c>
      <c r="C21" s="21" t="s">
        <v>198</v>
      </c>
      <c r="D21" s="21" t="s">
        <v>199</v>
      </c>
      <c r="E21" s="21">
        <v>7</v>
      </c>
      <c r="F21" s="21">
        <v>433874</v>
      </c>
      <c r="G21" s="42">
        <v>-0.13400000000000001</v>
      </c>
      <c r="H21" s="21" t="s">
        <v>201</v>
      </c>
      <c r="I21" s="39" t="str">
        <f ca="1">IFERROR(__xludf.DUMMYFUNCTION("IF(SUM(COUNTIF(artists!A:A, SPLIT(D21, "",""))) &gt; 0, ""UA"", 0)"),"UA")</f>
        <v>UA</v>
      </c>
      <c r="J21" s="40">
        <f ca="1">IFERROR(__xludf.DUMMYFUNCTION("IF(SUM(COUNTIF(artists!C:C, SPLIT(D21, "",""))) &gt; 0, ""RU"", 0)"),0)</f>
        <v>0</v>
      </c>
      <c r="K21" s="39">
        <f ca="1">IFERROR(__xludf.DUMMYFUNCTION("IF(SUM(COUNTIF(artists!E:E, SPLIT(D21, "",""))) &gt; 0, ""OTHER"", 0)"),0)</f>
        <v>0</v>
      </c>
    </row>
    <row r="22" spans="1:11" ht="14.25" customHeight="1">
      <c r="A22" s="21">
        <v>21</v>
      </c>
      <c r="B22" s="21">
        <v>26</v>
      </c>
      <c r="C22" s="21" t="s">
        <v>255</v>
      </c>
      <c r="D22" s="21" t="s">
        <v>256</v>
      </c>
      <c r="E22" s="21">
        <v>16</v>
      </c>
      <c r="F22" s="21">
        <v>419134</v>
      </c>
      <c r="G22" s="42">
        <v>0.122</v>
      </c>
      <c r="H22" s="21" t="s">
        <v>257</v>
      </c>
      <c r="I22" s="39" t="str">
        <f ca="1">IFERROR(__xludf.DUMMYFUNCTION("IF(SUM(COUNTIF(artists!A:A, SPLIT(D22, "",""))) &gt; 0, ""UA"", 0)"),"UA")</f>
        <v>UA</v>
      </c>
      <c r="J22" s="40">
        <f ca="1">IFERROR(__xludf.DUMMYFUNCTION("IF(SUM(COUNTIF(artists!C:C, SPLIT(D22, "",""))) &gt; 0, ""RU"", 0)"),0)</f>
        <v>0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B23" s="21">
        <v>24</v>
      </c>
      <c r="C23" s="21" t="s">
        <v>194</v>
      </c>
      <c r="D23" s="21" t="s">
        <v>195</v>
      </c>
      <c r="E23" s="21">
        <v>29</v>
      </c>
      <c r="F23" s="21">
        <v>412295</v>
      </c>
      <c r="G23" s="42">
        <v>5.8999999999999997E-2</v>
      </c>
      <c r="H23" s="21" t="s">
        <v>197</v>
      </c>
      <c r="I23" s="39" t="str">
        <f ca="1">IFERROR(__xludf.DUMMYFUNCTION("IF(SUM(COUNTIF(artists!A:A, SPLIT(D23, "",""))) &gt; 0, ""UA"", 0)"),"UA")</f>
        <v>UA</v>
      </c>
      <c r="J23" s="40">
        <f ca="1">IFERROR(__xludf.DUMMYFUNCTION("IF(SUM(COUNTIF(artists!C:C, SPLIT(D23, "",""))) &gt; 0, ""RU"", 0)"),0)</f>
        <v>0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B24" s="21">
        <v>22</v>
      </c>
      <c r="C24" s="21" t="s">
        <v>178</v>
      </c>
      <c r="D24" s="21" t="s">
        <v>179</v>
      </c>
      <c r="E24" s="21">
        <v>30</v>
      </c>
      <c r="F24" s="21">
        <v>397576</v>
      </c>
      <c r="G24" s="42">
        <v>1.7000000000000001E-2</v>
      </c>
      <c r="H24" s="21" t="s">
        <v>181</v>
      </c>
      <c r="I24" s="39" t="str">
        <f ca="1">IFERROR(__xludf.DUMMYFUNCTION("IF(SUM(COUNTIF(artists!A:A, SPLIT(D24, "",""))) &gt; 0, ""UA"", 0)"),"UA")</f>
        <v>UA</v>
      </c>
      <c r="J24" s="40">
        <f ca="1">IFERROR(__xludf.DUMMYFUNCTION("IF(SUM(COUNTIF(artists!C:C, SPLIT(D24, "",""))) &gt; 0, ""RU"", 0)"),0)</f>
        <v>0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C25" s="21" t="s">
        <v>1060</v>
      </c>
      <c r="D25" s="21" t="s">
        <v>981</v>
      </c>
      <c r="E25" s="21">
        <v>1</v>
      </c>
      <c r="F25" s="21">
        <v>386460</v>
      </c>
      <c r="H25" s="21" t="s">
        <v>1061</v>
      </c>
      <c r="I25" s="39">
        <f ca="1">IFERROR(__xludf.DUMMYFUNCTION("IF(SUM(COUNTIF(artists!A:A, SPLIT(D25, "",""))) &gt; 0, ""UA"", 0)"),0)</f>
        <v>0</v>
      </c>
      <c r="J25" s="40" t="str">
        <f ca="1">IFERROR(__xludf.DUMMYFUNCTION("IF(SUM(COUNTIF(artists!C:C, SPLIT(D25, "",""))) &gt; 0, ""RU"", 0)"),"RU")</f>
        <v>RU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B26" s="21">
        <v>21</v>
      </c>
      <c r="C26" s="21" t="s">
        <v>682</v>
      </c>
      <c r="D26" s="21" t="s">
        <v>125</v>
      </c>
      <c r="E26" s="21">
        <v>7</v>
      </c>
      <c r="F26" s="21">
        <v>379851</v>
      </c>
      <c r="G26" s="43">
        <v>-0.04</v>
      </c>
      <c r="H26" s="21" t="s">
        <v>684</v>
      </c>
      <c r="I26" s="39">
        <f ca="1">IFERROR(__xludf.DUMMYFUNCTION("IF(SUM(COUNTIF(artists!A:A, SPLIT(D26, "",""))) &gt; 0, ""UA"", 0)"),0)</f>
        <v>0</v>
      </c>
      <c r="J26" s="40" t="str">
        <f ca="1">IFERROR(__xludf.DUMMYFUNCTION("IF(SUM(COUNTIF(artists!C:C, SPLIT(D26, "",""))) &gt; 0, ""RU"", 0)"),"RU")</f>
        <v>RU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B27" s="21">
        <v>28</v>
      </c>
      <c r="C27" s="21" t="s">
        <v>160</v>
      </c>
      <c r="D27" s="21" t="s">
        <v>161</v>
      </c>
      <c r="E27" s="21">
        <v>20</v>
      </c>
      <c r="F27" s="21">
        <v>376260</v>
      </c>
      <c r="G27" s="42">
        <v>3.2000000000000001E-2</v>
      </c>
      <c r="H27" s="21" t="s">
        <v>163</v>
      </c>
      <c r="I27" s="39" t="str">
        <f ca="1">IFERROR(__xludf.DUMMYFUNCTION("IF(SUM(COUNTIF(artists!A:A, SPLIT(D27, "",""))) &gt; 0, ""UA"", 0)"),"UA")</f>
        <v>UA</v>
      </c>
      <c r="J27" s="40">
        <f ca="1">IFERROR(__xludf.DUMMYFUNCTION("IF(SUM(COUNTIF(artists!C:C, SPLIT(D27, "",""))) &gt; 0, ""RU"", 0)"),0)</f>
        <v>0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B28" s="21">
        <v>69</v>
      </c>
      <c r="C28" s="21" t="s">
        <v>1087</v>
      </c>
      <c r="D28" s="21" t="s">
        <v>1050</v>
      </c>
      <c r="E28" s="21">
        <v>2</v>
      </c>
      <c r="F28" s="21">
        <v>357771</v>
      </c>
      <c r="G28" s="42">
        <v>0.93799999999999994</v>
      </c>
      <c r="H28" s="21" t="s">
        <v>1088</v>
      </c>
      <c r="I28" s="39">
        <f ca="1">IFERROR(__xludf.DUMMYFUNCTION("IF(SUM(COUNTIF(artists!A:A, SPLIT(D28, "",""))) &gt; 0, ""UA"", 0)"),0)</f>
        <v>0</v>
      </c>
      <c r="J28" s="40" t="str">
        <f ca="1">IFERROR(__xludf.DUMMYFUNCTION("IF(SUM(COUNTIF(artists!C:C, SPLIT(D28, "",""))) &gt; 0, ""RU"", 0)"),"RU")</f>
        <v>RU</v>
      </c>
      <c r="K28" s="39">
        <f ca="1">IFERROR(__xludf.DUMMYFUNCTION("IF(SUM(COUNTIF(artists!E:E, SPLIT(D28, "",""))) &gt; 0, ""OTHER"", 0)"),0)</f>
        <v>0</v>
      </c>
    </row>
    <row r="29" spans="1:11" ht="14.25" customHeight="1">
      <c r="A29" s="21">
        <v>28</v>
      </c>
      <c r="B29" s="21">
        <v>27</v>
      </c>
      <c r="C29" s="21" t="s">
        <v>968</v>
      </c>
      <c r="D29" s="21" t="s">
        <v>969</v>
      </c>
      <c r="E29" s="21">
        <v>46</v>
      </c>
      <c r="F29" s="21">
        <v>355810</v>
      </c>
      <c r="G29" s="42">
        <v>-2.8000000000000001E-2</v>
      </c>
      <c r="H29" s="21" t="s">
        <v>970</v>
      </c>
      <c r="I29" s="39" t="str">
        <f ca="1">IFERROR(__xludf.DUMMYFUNCTION("IF(SUM(COUNTIF(artists!A:A, SPLIT(D29, "",""))) &gt; 0, ""UA"", 0)"),"UA")</f>
        <v>UA</v>
      </c>
      <c r="J29" s="40">
        <f ca="1">IFERROR(__xludf.DUMMYFUNCTION("IF(SUM(COUNTIF(artists!C:C, SPLIT(D29, "",""))) &gt; 0, ""RU"", 0)"),0)</f>
        <v>0</v>
      </c>
      <c r="K29" s="39">
        <f ca="1">IFERROR(__xludf.DUMMYFUNCTION("IF(SUM(COUNTIF(artists!E:E, SPLIT(D29, "",""))) &gt; 0, ""OTHER"", 0)"),0)</f>
        <v>0</v>
      </c>
    </row>
    <row r="30" spans="1:11" ht="14.25" customHeight="1">
      <c r="A30" s="21">
        <v>29</v>
      </c>
      <c r="B30" s="21">
        <v>19</v>
      </c>
      <c r="C30" s="21" t="s">
        <v>168</v>
      </c>
      <c r="D30" s="21" t="s">
        <v>137</v>
      </c>
      <c r="E30" s="21">
        <v>17</v>
      </c>
      <c r="F30" s="21">
        <v>353573</v>
      </c>
      <c r="G30" s="42">
        <v>-0.20100000000000001</v>
      </c>
      <c r="H30" s="21" t="s">
        <v>170</v>
      </c>
      <c r="I30" s="39" t="str">
        <f ca="1">IFERROR(__xludf.DUMMYFUNCTION("IF(SUM(COUNTIF(artists!A:A, SPLIT(D30, "",""))) &gt; 0, ""UA"", 0)"),"UA")</f>
        <v>UA</v>
      </c>
      <c r="J30" s="40">
        <f ca="1">IFERROR(__xludf.DUMMYFUNCTION("IF(SUM(COUNTIF(artists!C:C, SPLIT(D30, "",""))) &gt; 0, ""RU"", 0)"),0)</f>
        <v>0</v>
      </c>
      <c r="K30" s="39">
        <f ca="1">IFERROR(__xludf.DUMMYFUNCTION("IF(SUM(COUNTIF(artists!E:E, SPLIT(D30, "",""))) &gt; 0, ""OTHER"", 0)"),0)</f>
        <v>0</v>
      </c>
    </row>
    <row r="31" spans="1:11" ht="14.25" customHeight="1">
      <c r="A31" s="21">
        <v>30</v>
      </c>
      <c r="B31" s="21">
        <v>36</v>
      </c>
      <c r="C31" s="21" t="s">
        <v>253</v>
      </c>
      <c r="D31" s="21" t="s">
        <v>89</v>
      </c>
      <c r="E31" s="21">
        <v>35</v>
      </c>
      <c r="F31" s="21">
        <v>348309</v>
      </c>
      <c r="G31" s="42">
        <v>0.125</v>
      </c>
      <c r="H31" s="21" t="s">
        <v>254</v>
      </c>
      <c r="I31" s="39" t="str">
        <f ca="1">IFERROR(__xludf.DUMMYFUNCTION("IF(SUM(COUNTIF(artists!A:A, SPLIT(D31, "",""))) &gt; 0, ""UA"", 0)"),"UA")</f>
        <v>UA</v>
      </c>
      <c r="J31" s="40">
        <f ca="1">IFERROR(__xludf.DUMMYFUNCTION("IF(SUM(COUNTIF(artists!C:C, SPLIT(D31, "",""))) &gt; 0, ""RU"", 0)"),0)</f>
        <v>0</v>
      </c>
      <c r="K31" s="39">
        <f ca="1">IFERROR(__xludf.DUMMYFUNCTION("IF(SUM(COUNTIF(artists!E:E, SPLIT(D31, "",""))) &gt; 0, ""OTHER"", 0)"),0)</f>
        <v>0</v>
      </c>
    </row>
    <row r="32" spans="1:11" ht="14.25" customHeight="1">
      <c r="A32" s="21">
        <v>31</v>
      </c>
      <c r="B32" s="21">
        <v>25</v>
      </c>
      <c r="C32" s="21" t="s">
        <v>742</v>
      </c>
      <c r="D32" s="21" t="s">
        <v>743</v>
      </c>
      <c r="E32" s="21">
        <v>8</v>
      </c>
      <c r="F32" s="21">
        <v>343329</v>
      </c>
      <c r="G32" s="43">
        <v>-0.09</v>
      </c>
      <c r="H32" s="21" t="s">
        <v>744</v>
      </c>
      <c r="I32" s="39">
        <f ca="1">IFERROR(__xludf.DUMMYFUNCTION("IF(SUM(COUNTIF(artists!A:A, SPLIT(D32, "",""))) &gt; 0, ""UA"", 0)"),0)</f>
        <v>0</v>
      </c>
      <c r="J32" s="40" t="str">
        <f ca="1">IFERROR(__xludf.DUMMYFUNCTION("IF(SUM(COUNTIF(artists!C:C, SPLIT(D32, "",""))) &gt; 0, ""RU"", 0)"),"RU")</f>
        <v>RU</v>
      </c>
      <c r="K32" s="39">
        <f ca="1">IFERROR(__xludf.DUMMYFUNCTION("IF(SUM(COUNTIF(artists!E:E, SPLIT(D32, "",""))) &gt; 0, ""OTHER"", 0)"),0)</f>
        <v>0</v>
      </c>
    </row>
    <row r="33" spans="1:11" ht="14.25" customHeight="1">
      <c r="A33" s="21">
        <v>32</v>
      </c>
      <c r="B33" s="21">
        <v>31</v>
      </c>
      <c r="C33" s="21" t="s">
        <v>298</v>
      </c>
      <c r="D33" s="21" t="s">
        <v>299</v>
      </c>
      <c r="E33" s="21">
        <v>3</v>
      </c>
      <c r="F33" s="21">
        <v>335807</v>
      </c>
      <c r="G33" s="42">
        <v>-2E-3</v>
      </c>
      <c r="H33" s="21" t="s">
        <v>300</v>
      </c>
      <c r="I33" s="39">
        <f ca="1">IFERROR(__xludf.DUMMYFUNCTION("IF(SUM(COUNTIF(artists!A:A, SPLIT(D33, "",""))) &gt; 0, ""UA"", 0)"),0)</f>
        <v>0</v>
      </c>
      <c r="J33" s="40">
        <f ca="1">IFERROR(__xludf.DUMMYFUNCTION("IF(SUM(COUNTIF(artists!C:C, SPLIT(D33, "",""))) &gt; 0, ""RU"", 0)"),0)</f>
        <v>0</v>
      </c>
      <c r="K33" s="39" t="str">
        <f ca="1">IFERROR(__xludf.DUMMYFUNCTION("IF(SUM(COUNTIF(artists!E:E, SPLIT(D33, "",""))) &gt; 0, ""OTHER"", 0)"),"OTHER")</f>
        <v>OTHER</v>
      </c>
    </row>
    <row r="34" spans="1:11" ht="14.25" customHeight="1">
      <c r="A34" s="21">
        <v>33</v>
      </c>
      <c r="B34" s="21">
        <v>40</v>
      </c>
      <c r="C34" s="21" t="s">
        <v>579</v>
      </c>
      <c r="D34" s="21" t="s">
        <v>183</v>
      </c>
      <c r="E34" s="21">
        <v>16</v>
      </c>
      <c r="F34" s="21">
        <v>329224</v>
      </c>
      <c r="G34" s="42">
        <v>0.113</v>
      </c>
      <c r="H34" s="21" t="s">
        <v>580</v>
      </c>
      <c r="I34" s="39" t="str">
        <f ca="1">IFERROR(__xludf.DUMMYFUNCTION("IF(SUM(COUNTIF(artists!A:A, SPLIT(D34, "",""))) &gt; 0, ""UA"", 0)"),"UA")</f>
        <v>UA</v>
      </c>
      <c r="J34" s="40">
        <f ca="1">IFERROR(__xludf.DUMMYFUNCTION("IF(SUM(COUNTIF(artists!C:C, SPLIT(D34, "",""))) &gt; 0, ""RU"", 0)"),0)</f>
        <v>0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B35" s="21">
        <v>32</v>
      </c>
      <c r="C35" s="21" t="s">
        <v>841</v>
      </c>
      <c r="D35" s="21" t="s">
        <v>842</v>
      </c>
      <c r="E35" s="21">
        <v>31</v>
      </c>
      <c r="F35" s="21">
        <v>325903</v>
      </c>
      <c r="G35" s="42">
        <v>1.4999999999999999E-2</v>
      </c>
      <c r="H35" s="21" t="s">
        <v>843</v>
      </c>
      <c r="I35" s="39">
        <f ca="1">IFERROR(__xludf.DUMMYFUNCTION("IF(SUM(COUNTIF(artists!A:A, SPLIT(D35, "",""))) &gt; 0, ""UA"", 0)"),0)</f>
        <v>0</v>
      </c>
      <c r="J35" s="40">
        <f ca="1">IFERROR(__xludf.DUMMYFUNCTION("IF(SUM(COUNTIF(artists!C:C, SPLIT(D35, "",""))) &gt; 0, ""RU"", 0)"),0)</f>
        <v>0</v>
      </c>
      <c r="K35" s="39" t="str">
        <f ca="1">IFERROR(__xludf.DUMMYFUNCTION("IF(SUM(COUNTIF(artists!E:E, SPLIT(D35, "",""))) &gt; 0, ""OTHER"", 0)"),"OTHER")</f>
        <v>OTHER</v>
      </c>
    </row>
    <row r="36" spans="1:11" ht="14.25" customHeight="1">
      <c r="A36" s="21">
        <v>35</v>
      </c>
      <c r="B36" s="21">
        <v>37</v>
      </c>
      <c r="C36" s="21" t="s">
        <v>251</v>
      </c>
      <c r="D36" s="21" t="s">
        <v>133</v>
      </c>
      <c r="E36" s="21">
        <v>11</v>
      </c>
      <c r="F36" s="21">
        <v>320553</v>
      </c>
      <c r="G36" s="42">
        <v>5.2999999999999999E-2</v>
      </c>
      <c r="H36" s="21" t="s">
        <v>252</v>
      </c>
      <c r="I36" s="39" t="str">
        <f ca="1">IFERROR(__xludf.DUMMYFUNCTION("IF(SUM(COUNTIF(artists!A:A, SPLIT(D36, "",""))) &gt; 0, ""UA"", 0)"),"UA")</f>
        <v>UA</v>
      </c>
      <c r="J36" s="40">
        <f ca="1">IFERROR(__xludf.DUMMYFUNCTION("IF(SUM(COUNTIF(artists!C:C, SPLIT(D36, "",""))) &gt; 0, ""RU"", 0)"),0)</f>
        <v>0</v>
      </c>
      <c r="K36" s="39">
        <f ca="1">IFERROR(__xludf.DUMMYFUNCTION("IF(SUM(COUNTIF(artists!E:E, SPLIT(D36, "",""))) &gt; 0, ""OTHER"", 0)"),0)</f>
        <v>0</v>
      </c>
    </row>
    <row r="37" spans="1:11" ht="14.25" customHeight="1">
      <c r="A37" s="21">
        <v>36</v>
      </c>
      <c r="C37" s="21" t="s">
        <v>1079</v>
      </c>
      <c r="D37" s="21" t="s">
        <v>1080</v>
      </c>
      <c r="E37" s="21">
        <v>1</v>
      </c>
      <c r="F37" s="21">
        <v>318124</v>
      </c>
      <c r="H37" s="21" t="s">
        <v>1081</v>
      </c>
      <c r="I37" s="39">
        <f ca="1">IFERROR(__xludf.DUMMYFUNCTION("IF(SUM(COUNTIF(artists!A:A, SPLIT(D37, "",""))) &gt; 0, ""UA"", 0)"),0)</f>
        <v>0</v>
      </c>
      <c r="J37" s="40" t="str">
        <f ca="1">IFERROR(__xludf.DUMMYFUNCTION("IF(SUM(COUNTIF(artists!C:C, SPLIT(D37, "",""))) &gt; 0, ""RU"", 0)"),"RU")</f>
        <v>RU</v>
      </c>
      <c r="K37" s="39">
        <f ca="1">IFERROR(__xludf.DUMMYFUNCTION("IF(SUM(COUNTIF(artists!E:E, SPLIT(D37, "",""))) &gt; 0, ""OTHER"", 0)"),0)</f>
        <v>0</v>
      </c>
    </row>
    <row r="38" spans="1:11" ht="14.25" customHeight="1">
      <c r="A38" s="21">
        <v>37</v>
      </c>
      <c r="B38" s="21">
        <v>41</v>
      </c>
      <c r="C38" s="21" t="s">
        <v>799</v>
      </c>
      <c r="D38" s="21" t="s">
        <v>494</v>
      </c>
      <c r="E38" s="21">
        <v>35</v>
      </c>
      <c r="F38" s="21">
        <v>314226</v>
      </c>
      <c r="G38" s="42">
        <v>6.8000000000000005E-2</v>
      </c>
      <c r="H38" s="21" t="s">
        <v>800</v>
      </c>
      <c r="I38" s="39" t="str">
        <f ca="1">IFERROR(__xludf.DUMMYFUNCTION("IF(SUM(COUNTIF(artists!A:A, SPLIT(D38, "",""))) &gt; 0, ""UA"", 0)"),"UA")</f>
        <v>UA</v>
      </c>
      <c r="J38" s="40">
        <f ca="1">IFERROR(__xludf.DUMMYFUNCTION("IF(SUM(COUNTIF(artists!C:C, SPLIT(D38, "",""))) &gt; 0, ""RU"", 0)"),0)</f>
        <v>0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B39" s="21">
        <v>29</v>
      </c>
      <c r="C39" s="21" t="s">
        <v>772</v>
      </c>
      <c r="D39" s="21" t="s">
        <v>773</v>
      </c>
      <c r="E39" s="21">
        <v>4</v>
      </c>
      <c r="F39" s="21">
        <v>311597</v>
      </c>
      <c r="G39" s="42">
        <v>-0.112</v>
      </c>
      <c r="H39" s="21" t="s">
        <v>774</v>
      </c>
      <c r="I39" s="39" t="str">
        <f ca="1">IFERROR(__xludf.DUMMYFUNCTION("IF(SUM(COUNTIF(artists!A:A, SPLIT(D39, "",""))) &gt; 0, ""UA"", 0)"),"UA")</f>
        <v>UA</v>
      </c>
      <c r="J39" s="40">
        <f ca="1">IFERROR(__xludf.DUMMYFUNCTION("IF(SUM(COUNTIF(artists!C:C, SPLIT(D39, "",""))) &gt; 0, ""RU"", 0)"),0)</f>
        <v>0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B40" s="21">
        <v>33</v>
      </c>
      <c r="C40" s="21" t="s">
        <v>594</v>
      </c>
      <c r="D40" s="21" t="s">
        <v>595</v>
      </c>
      <c r="E40" s="21">
        <v>14</v>
      </c>
      <c r="F40" s="21">
        <v>302600</v>
      </c>
      <c r="G40" s="42">
        <v>-4.3999999999999997E-2</v>
      </c>
      <c r="H40" s="21" t="s">
        <v>596</v>
      </c>
      <c r="I40" s="39" t="str">
        <f ca="1">IFERROR(__xludf.DUMMYFUNCTION("IF(SUM(COUNTIF(artists!A:A, SPLIT(D40, "",""))) &gt; 0, ""UA"", 0)"),"UA")</f>
        <v>UA</v>
      </c>
      <c r="J40" s="40">
        <f ca="1">IFERROR(__xludf.DUMMYFUNCTION("IF(SUM(COUNTIF(artists!C:C, SPLIT(D40, "",""))) &gt; 0, ""RU"", 0)"),0)</f>
        <v>0</v>
      </c>
      <c r="K40" s="39">
        <f ca="1">IFERROR(__xludf.DUMMYFUNCTION("IF(SUM(COUNTIF(artists!E:E, SPLIT(D40, "",""))) &gt; 0, ""OTHER"", 0)"),0)</f>
        <v>0</v>
      </c>
    </row>
    <row r="41" spans="1:11" ht="14.25" customHeight="1">
      <c r="A41" s="21">
        <v>40</v>
      </c>
      <c r="B41" s="21">
        <v>34</v>
      </c>
      <c r="C41" s="21" t="s">
        <v>229</v>
      </c>
      <c r="D41" s="21" t="s">
        <v>230</v>
      </c>
      <c r="E41" s="21">
        <v>33</v>
      </c>
      <c r="F41" s="21">
        <v>301620</v>
      </c>
      <c r="G41" s="42">
        <v>-4.2999999999999997E-2</v>
      </c>
      <c r="H41" s="21" t="s">
        <v>232</v>
      </c>
      <c r="I41" s="39" t="str">
        <f ca="1">IFERROR(__xludf.DUMMYFUNCTION("IF(SUM(COUNTIF(artists!A:A, SPLIT(D41, "",""))) &gt; 0, ""UA"", 0)"),"UA")</f>
        <v>UA</v>
      </c>
      <c r="J41" s="40">
        <f ca="1">IFERROR(__xludf.DUMMYFUNCTION("IF(SUM(COUNTIF(artists!C:C, SPLIT(D41, "",""))) &gt; 0, ""RU"", 0)"),0)</f>
        <v>0</v>
      </c>
      <c r="K41" s="39">
        <f ca="1">IFERROR(__xludf.DUMMYFUNCTION("IF(SUM(COUNTIF(artists!E:E, SPLIT(D41, "",""))) &gt; 0, ""OTHER"", 0)"),0)</f>
        <v>0</v>
      </c>
    </row>
    <row r="42" spans="1:11" ht="14.25" customHeight="1">
      <c r="A42" s="21">
        <v>41</v>
      </c>
      <c r="B42" s="21">
        <v>38</v>
      </c>
      <c r="C42" s="21" t="s">
        <v>929</v>
      </c>
      <c r="D42" s="21" t="s">
        <v>930</v>
      </c>
      <c r="E42" s="21">
        <v>19</v>
      </c>
      <c r="F42" s="21">
        <v>290801</v>
      </c>
      <c r="G42" s="42">
        <v>-4.2999999999999997E-2</v>
      </c>
      <c r="H42" s="21" t="s">
        <v>931</v>
      </c>
      <c r="I42" s="39" t="str">
        <f ca="1">IFERROR(__xludf.DUMMYFUNCTION("IF(SUM(COUNTIF(artists!A:A, SPLIT(D42, "",""))) &gt; 0, ""UA"", 0)"),"UA")</f>
        <v>UA</v>
      </c>
      <c r="J42" s="40">
        <f ca="1">IFERROR(__xludf.DUMMYFUNCTION("IF(SUM(COUNTIF(artists!C:C, SPLIT(D42, "",""))) &gt; 0, ""RU"", 0)"),0)</f>
        <v>0</v>
      </c>
      <c r="K42" s="39">
        <f ca="1">IFERROR(__xludf.DUMMYFUNCTION("IF(SUM(COUNTIF(artists!E:E, SPLIT(D42, "",""))) &gt; 0, ""OTHER"", 0)"),0)</f>
        <v>0</v>
      </c>
    </row>
    <row r="43" spans="1:11" ht="14.25" customHeight="1">
      <c r="A43" s="21">
        <v>42</v>
      </c>
      <c r="B43" s="21">
        <v>45</v>
      </c>
      <c r="C43" s="21" t="s">
        <v>508</v>
      </c>
      <c r="D43" s="21" t="s">
        <v>509</v>
      </c>
      <c r="E43" s="21">
        <v>7</v>
      </c>
      <c r="F43" s="21">
        <v>286547</v>
      </c>
      <c r="G43" s="42">
        <v>5.1999999999999998E-2</v>
      </c>
      <c r="H43" s="21" t="s">
        <v>510</v>
      </c>
      <c r="I43" s="39">
        <f ca="1">IFERROR(__xludf.DUMMYFUNCTION("IF(SUM(COUNTIF(artists!A:A, SPLIT(D43, "",""))) &gt; 0, ""UA"", 0)"),0)</f>
        <v>0</v>
      </c>
      <c r="J43" s="40" t="str">
        <f ca="1">IFERROR(__xludf.DUMMYFUNCTION("IF(SUM(COUNTIF(artists!C:C, SPLIT(D43, "",""))) &gt; 0, ""RU"", 0)"),"RU")</f>
        <v>RU</v>
      </c>
      <c r="K43" s="39">
        <f ca="1">IFERROR(__xludf.DUMMYFUNCTION("IF(SUM(COUNTIF(artists!E:E, SPLIT(D43, "",""))) &gt; 0, ""OTHER"", 0)"),0)</f>
        <v>0</v>
      </c>
    </row>
    <row r="44" spans="1:11" ht="14.25" customHeight="1">
      <c r="A44" s="21">
        <v>43</v>
      </c>
      <c r="B44" s="21">
        <v>58</v>
      </c>
      <c r="C44" s="21" t="s">
        <v>653</v>
      </c>
      <c r="D44" s="21" t="s">
        <v>85</v>
      </c>
      <c r="E44" s="21">
        <v>2</v>
      </c>
      <c r="F44" s="21">
        <v>286074</v>
      </c>
      <c r="G44" s="42">
        <v>0.35699999999999998</v>
      </c>
      <c r="H44" s="21" t="s">
        <v>655</v>
      </c>
      <c r="I44" s="39" t="str">
        <f ca="1">IFERROR(__xludf.DUMMYFUNCTION("IF(SUM(COUNTIF(artists!A:A, SPLIT(D44, "",""))) &gt; 0, ""UA"", 0)"),"UA")</f>
        <v>UA</v>
      </c>
      <c r="J44" s="40">
        <f ca="1">IFERROR(__xludf.DUMMYFUNCTION("IF(SUM(COUNTIF(artists!C:C, SPLIT(D44, "",""))) &gt; 0, ""RU"", 0)"),0)</f>
        <v>0</v>
      </c>
      <c r="K44" s="39">
        <f ca="1">IFERROR(__xludf.DUMMYFUNCTION("IF(SUM(COUNTIF(artists!E:E, SPLIT(D44, "",""))) &gt; 0, ""OTHER"", 0)"),0)</f>
        <v>0</v>
      </c>
    </row>
    <row r="45" spans="1:11" ht="14.25" customHeight="1">
      <c r="A45" s="21">
        <v>44</v>
      </c>
      <c r="B45" s="21">
        <v>49</v>
      </c>
      <c r="C45" s="21" t="s">
        <v>667</v>
      </c>
      <c r="D45" s="21" t="s">
        <v>668</v>
      </c>
      <c r="E45" s="21">
        <v>7</v>
      </c>
      <c r="F45" s="21">
        <v>282033</v>
      </c>
      <c r="G45" s="42">
        <v>0.13700000000000001</v>
      </c>
      <c r="H45" s="21" t="s">
        <v>669</v>
      </c>
      <c r="I45" s="39">
        <f ca="1">IFERROR(__xludf.DUMMYFUNCTION("IF(SUM(COUNTIF(artists!A:A, SPLIT(D45, "",""))) &gt; 0, ""UA"", 0)"),0)</f>
        <v>0</v>
      </c>
      <c r="J45" s="40" t="str">
        <f ca="1">IFERROR(__xludf.DUMMYFUNCTION("IF(SUM(COUNTIF(artists!C:C, SPLIT(D45, "",""))) &gt; 0, ""RU"", 0)"),"RU")</f>
        <v>RU</v>
      </c>
      <c r="K45" s="39">
        <f ca="1">IFERROR(__xludf.DUMMYFUNCTION("IF(SUM(COUNTIF(artists!E:E, SPLIT(D45, "",""))) &gt; 0, ""OTHER"", 0)"),0)</f>
        <v>0</v>
      </c>
    </row>
    <row r="46" spans="1:11" ht="14.25" customHeight="1">
      <c r="A46" s="21">
        <v>45</v>
      </c>
      <c r="B46" s="21">
        <v>42</v>
      </c>
      <c r="C46" s="21" t="s">
        <v>602</v>
      </c>
      <c r="D46" s="21" t="s">
        <v>299</v>
      </c>
      <c r="E46" s="21">
        <v>7</v>
      </c>
      <c r="F46" s="21">
        <v>277224</v>
      </c>
      <c r="G46" s="42">
        <v>-4.4999999999999998E-2</v>
      </c>
      <c r="H46" s="21" t="s">
        <v>604</v>
      </c>
      <c r="I46" s="39">
        <f ca="1">IFERROR(__xludf.DUMMYFUNCTION("IF(SUM(COUNTIF(artists!A:A, SPLIT(D46, "",""))) &gt; 0, ""UA"", 0)"),0)</f>
        <v>0</v>
      </c>
      <c r="J46" s="40">
        <f ca="1">IFERROR(__xludf.DUMMYFUNCTION("IF(SUM(COUNTIF(artists!C:C, SPLIT(D46, "",""))) &gt; 0, ""RU"", 0)"),0)</f>
        <v>0</v>
      </c>
      <c r="K46" s="39" t="str">
        <f ca="1">IFERROR(__xludf.DUMMYFUNCTION("IF(SUM(COUNTIF(artists!E:E, SPLIT(D46, "",""))) &gt; 0, ""OTHER"", 0)"),"OTHER")</f>
        <v>OTHER</v>
      </c>
    </row>
    <row r="47" spans="1:11" ht="14.25" customHeight="1">
      <c r="A47" s="21">
        <v>46</v>
      </c>
      <c r="B47" s="21">
        <v>43</v>
      </c>
      <c r="C47" s="21" t="s">
        <v>895</v>
      </c>
      <c r="D47" s="21" t="s">
        <v>896</v>
      </c>
      <c r="E47" s="21">
        <v>38</v>
      </c>
      <c r="F47" s="21">
        <v>276441</v>
      </c>
      <c r="G47" s="42">
        <v>-6.0000000000000001E-3</v>
      </c>
      <c r="H47" s="21" t="s">
        <v>897</v>
      </c>
      <c r="I47" s="39" t="str">
        <f ca="1">IFERROR(__xludf.DUMMYFUNCTION("IF(SUM(COUNTIF(artists!A:A, SPLIT(D47, "",""))) &gt; 0, ""UA"", 0)"),"UA")</f>
        <v>UA</v>
      </c>
      <c r="J47" s="40">
        <f ca="1">IFERROR(__xludf.DUMMYFUNCTION("IF(SUM(COUNTIF(artists!C:C, SPLIT(D47, "",""))) &gt; 0, ""RU"", 0)"),0)</f>
        <v>0</v>
      </c>
      <c r="K47" s="39">
        <f ca="1">IFERROR(__xludf.DUMMYFUNCTION("IF(SUM(COUNTIF(artists!E:E, SPLIT(D47, "",""))) &gt; 0, ""OTHER"", 0)"),0)</f>
        <v>0</v>
      </c>
    </row>
    <row r="48" spans="1:11" ht="14.25" customHeight="1">
      <c r="A48" s="21">
        <v>47</v>
      </c>
      <c r="B48" s="21">
        <v>44</v>
      </c>
      <c r="C48" s="21" t="s">
        <v>527</v>
      </c>
      <c r="D48" s="21" t="s">
        <v>528</v>
      </c>
      <c r="E48" s="21">
        <v>5</v>
      </c>
      <c r="F48" s="21">
        <v>275586</v>
      </c>
      <c r="G48" s="42">
        <v>6.0000000000000001E-3</v>
      </c>
      <c r="H48" s="21" t="s">
        <v>529</v>
      </c>
      <c r="I48" s="39" t="str">
        <f ca="1">IFERROR(__xludf.DUMMYFUNCTION("IF(SUM(COUNTIF(artists!A:A, SPLIT(D48, "",""))) &gt; 0, ""UA"", 0)"),"UA")</f>
        <v>UA</v>
      </c>
      <c r="J48" s="40">
        <f ca="1">IFERROR(__xludf.DUMMYFUNCTION("IF(SUM(COUNTIF(artists!C:C, SPLIT(D48, "",""))) &gt; 0, ""RU"", 0)"),0)</f>
        <v>0</v>
      </c>
      <c r="K48" s="39">
        <f ca="1">IFERROR(__xludf.DUMMYFUNCTION("IF(SUM(COUNTIF(artists!E:E, SPLIT(D48, "",""))) &gt; 0, ""OTHER"", 0)"),0)</f>
        <v>0</v>
      </c>
    </row>
    <row r="49" spans="1:11" ht="14.25" customHeight="1">
      <c r="A49" s="21">
        <v>48</v>
      </c>
      <c r="B49" s="21">
        <v>46</v>
      </c>
      <c r="C49" s="21" t="s">
        <v>616</v>
      </c>
      <c r="D49" s="21" t="s">
        <v>617</v>
      </c>
      <c r="E49" s="21">
        <v>16</v>
      </c>
      <c r="F49" s="21">
        <v>269110</v>
      </c>
      <c r="G49" s="42">
        <v>-8.0000000000000002E-3</v>
      </c>
      <c r="H49" s="21" t="s">
        <v>618</v>
      </c>
      <c r="I49" s="39">
        <f ca="1">IFERROR(__xludf.DUMMYFUNCTION("IF(SUM(COUNTIF(artists!A:A, SPLIT(D49, "",""))) &gt; 0, ""UA"", 0)"),0)</f>
        <v>0</v>
      </c>
      <c r="J49" s="40">
        <f ca="1">IFERROR(__xludf.DUMMYFUNCTION("IF(SUM(COUNTIF(artists!C:C, SPLIT(D49, "",""))) &gt; 0, ""RU"", 0)"),0)</f>
        <v>0</v>
      </c>
      <c r="K49" s="39" t="str">
        <f ca="1">IFERROR(__xludf.DUMMYFUNCTION("IF(SUM(COUNTIF(artists!E:E, SPLIT(D49, "",""))) &gt; 0, ""OTHER"", 0)"),"OTHER")</f>
        <v>OTHER</v>
      </c>
    </row>
    <row r="50" spans="1:11" ht="14.25" customHeight="1">
      <c r="A50" s="21">
        <v>49</v>
      </c>
      <c r="C50" s="21" t="s">
        <v>1098</v>
      </c>
      <c r="D50" s="21" t="s">
        <v>1099</v>
      </c>
      <c r="E50" s="21">
        <v>1</v>
      </c>
      <c r="F50" s="21">
        <v>261687</v>
      </c>
      <c r="H50" s="21" t="s">
        <v>1100</v>
      </c>
      <c r="I50" s="39">
        <f ca="1">IFERROR(__xludf.DUMMYFUNCTION("IF(SUM(COUNTIF(artists!A:A, SPLIT(D50, "",""))) &gt; 0, ""UA"", 0)"),0)</f>
        <v>0</v>
      </c>
      <c r="J50" s="40" t="str">
        <f ca="1">IFERROR(__xludf.DUMMYFUNCTION("IF(SUM(COUNTIF(artists!C:C, SPLIT(D50, "",""))) &gt; 0, ""RU"", 0)"),"RU")</f>
        <v>RU</v>
      </c>
      <c r="K50" s="39">
        <f ca="1">IFERROR(__xludf.DUMMYFUNCTION("IF(SUM(COUNTIF(artists!E:E, SPLIT(D50, "",""))) &gt; 0, ""OTHER"", 0)"),0)</f>
        <v>0</v>
      </c>
    </row>
    <row r="51" spans="1:11" ht="14.25" customHeight="1">
      <c r="A51" s="21">
        <v>50</v>
      </c>
      <c r="B51" s="21">
        <v>50</v>
      </c>
      <c r="C51" s="21" t="s">
        <v>516</v>
      </c>
      <c r="D51" s="21" t="s">
        <v>517</v>
      </c>
      <c r="E51" s="21">
        <v>24</v>
      </c>
      <c r="F51" s="21">
        <v>260779</v>
      </c>
      <c r="G51" s="42">
        <v>7.8E-2</v>
      </c>
      <c r="H51" s="21" t="s">
        <v>518</v>
      </c>
      <c r="I51" s="39">
        <f ca="1">IFERROR(__xludf.DUMMYFUNCTION("IF(SUM(COUNTIF(artists!A:A, SPLIT(D51, "",""))) &gt; 0, ""UA"", 0)"),0)</f>
        <v>0</v>
      </c>
      <c r="J51" s="40">
        <f ca="1">IFERROR(__xludf.DUMMYFUNCTION("IF(SUM(COUNTIF(artists!C:C, SPLIT(D51, "",""))) &gt; 0, ""RU"", 0)"),0)</f>
        <v>0</v>
      </c>
      <c r="K51" s="39" t="str">
        <f ca="1">IFERROR(__xludf.DUMMYFUNCTION("IF(SUM(COUNTIF(artists!E:E, SPLIT(D51, "",""))) &gt; 0, ""OTHER"", 0)"),"OTHER")</f>
        <v>OTHER</v>
      </c>
    </row>
    <row r="52" spans="1:11" ht="14.25" customHeight="1">
      <c r="A52" s="21">
        <v>51</v>
      </c>
      <c r="C52" s="21" t="s">
        <v>980</v>
      </c>
      <c r="D52" s="21" t="s">
        <v>981</v>
      </c>
      <c r="E52" s="21">
        <v>1</v>
      </c>
      <c r="F52" s="21">
        <v>260042</v>
      </c>
      <c r="H52" s="21" t="s">
        <v>982</v>
      </c>
      <c r="I52" s="39">
        <f ca="1">IFERROR(__xludf.DUMMYFUNCTION("IF(SUM(COUNTIF(artists!A:A, SPLIT(D52, "",""))) &gt; 0, ""UA"", 0)"),0)</f>
        <v>0</v>
      </c>
      <c r="J52" s="40" t="str">
        <f ca="1">IFERROR(__xludf.DUMMYFUNCTION("IF(SUM(COUNTIF(artists!C:C, SPLIT(D52, "",""))) &gt; 0, ""RU"", 0)"),"RU")</f>
        <v>RU</v>
      </c>
      <c r="K52" s="39">
        <f ca="1">IFERROR(__xludf.DUMMYFUNCTION("IF(SUM(COUNTIF(artists!E:E, SPLIT(D52, "",""))) &gt; 0, ""OTHER"", 0)"),0)</f>
        <v>0</v>
      </c>
    </row>
    <row r="53" spans="1:11" ht="14.25" customHeight="1">
      <c r="A53" s="21">
        <v>52</v>
      </c>
      <c r="C53" s="21" t="s">
        <v>190</v>
      </c>
      <c r="D53" s="21" t="s">
        <v>191</v>
      </c>
      <c r="E53" s="21">
        <v>1</v>
      </c>
      <c r="F53" s="21">
        <v>254169</v>
      </c>
      <c r="H53" s="21" t="s">
        <v>193</v>
      </c>
      <c r="I53" s="39" t="str">
        <f ca="1">IFERROR(__xludf.DUMMYFUNCTION("IF(SUM(COUNTIF(artists!A:A, SPLIT(D53, "",""))) &gt; 0, ""UA"", 0)"),"UA")</f>
        <v>UA</v>
      </c>
      <c r="J53" s="40">
        <f ca="1">IFERROR(__xludf.DUMMYFUNCTION("IF(SUM(COUNTIF(artists!C:C, SPLIT(D53, "",""))) &gt; 0, ""RU"", 0)"),0)</f>
        <v>0</v>
      </c>
      <c r="K53" s="39">
        <f ca="1">IFERROR(__xludf.DUMMYFUNCTION("IF(SUM(COUNTIF(artists!E:E, SPLIT(D53, "",""))) &gt; 0, ""OTHER"", 0)"),0)</f>
        <v>0</v>
      </c>
    </row>
    <row r="54" spans="1:11" ht="14.25" customHeight="1">
      <c r="A54" s="21">
        <v>53</v>
      </c>
      <c r="B54" s="21">
        <v>48</v>
      </c>
      <c r="C54" s="21" t="s">
        <v>921</v>
      </c>
      <c r="D54" s="21" t="s">
        <v>922</v>
      </c>
      <c r="E54" s="21">
        <v>18</v>
      </c>
      <c r="F54" s="21">
        <v>251929</v>
      </c>
      <c r="G54" s="42">
        <v>-2.7E-2</v>
      </c>
      <c r="H54" s="21" t="s">
        <v>923</v>
      </c>
      <c r="I54" s="39" t="str">
        <f ca="1">IFERROR(__xludf.DUMMYFUNCTION("IF(SUM(COUNTIF(artists!A:A, SPLIT(D54, "",""))) &gt; 0, ""UA"", 0)"),"UA")</f>
        <v>UA</v>
      </c>
      <c r="J54" s="40">
        <f ca="1">IFERROR(__xludf.DUMMYFUNCTION("IF(SUM(COUNTIF(artists!C:C, SPLIT(D54, "",""))) &gt; 0, ""RU"", 0)"),0)</f>
        <v>0</v>
      </c>
      <c r="K54" s="39">
        <f ca="1">IFERROR(__xludf.DUMMYFUNCTION("IF(SUM(COUNTIF(artists!E:E, SPLIT(D54, "",""))) &gt; 0, ""OTHER"", 0)"),0)</f>
        <v>0</v>
      </c>
    </row>
    <row r="55" spans="1:11" ht="14.25" customHeight="1">
      <c r="A55" s="21">
        <v>54</v>
      </c>
      <c r="B55" s="21">
        <v>52</v>
      </c>
      <c r="C55" s="21" t="s">
        <v>482</v>
      </c>
      <c r="D55" s="21" t="s">
        <v>210</v>
      </c>
      <c r="E55" s="21">
        <v>5</v>
      </c>
      <c r="F55" s="21">
        <v>230060</v>
      </c>
      <c r="G55" s="42">
        <v>-2.5000000000000001E-2</v>
      </c>
      <c r="H55" s="21" t="s">
        <v>484</v>
      </c>
      <c r="I55" s="39" t="str">
        <f ca="1">IFERROR(__xludf.DUMMYFUNCTION("IF(SUM(COUNTIF(artists!A:A, SPLIT(D55, "",""))) &gt; 0, ""UA"", 0)"),"UA")</f>
        <v>UA</v>
      </c>
      <c r="J55" s="40">
        <f ca="1">IFERROR(__xludf.DUMMYFUNCTION("IF(SUM(COUNTIF(artists!C:C, SPLIT(D55, "",""))) &gt; 0, ""RU"", 0)"),0)</f>
        <v>0</v>
      </c>
      <c r="K55" s="39">
        <f ca="1">IFERROR(__xludf.DUMMYFUNCTION("IF(SUM(COUNTIF(artists!E:E, SPLIT(D55, "",""))) &gt; 0, ""OTHER"", 0)"),0)</f>
        <v>0</v>
      </c>
    </row>
    <row r="56" spans="1:11" ht="14.25" customHeight="1">
      <c r="A56" s="21">
        <v>55</v>
      </c>
      <c r="B56" s="21">
        <v>53</v>
      </c>
      <c r="C56" s="21" t="s">
        <v>589</v>
      </c>
      <c r="D56" s="21" t="s">
        <v>590</v>
      </c>
      <c r="E56" s="21">
        <v>14</v>
      </c>
      <c r="F56" s="21">
        <v>227841</v>
      </c>
      <c r="G56" s="43">
        <v>0.03</v>
      </c>
      <c r="H56" s="21" t="s">
        <v>591</v>
      </c>
      <c r="I56" s="39" t="str">
        <f ca="1">IFERROR(__xludf.DUMMYFUNCTION("IF(SUM(COUNTIF(artists!A:A, SPLIT(D56, "",""))) &gt; 0, ""UA"", 0)"),"UA")</f>
        <v>UA</v>
      </c>
      <c r="J56" s="40">
        <f ca="1">IFERROR(__xludf.DUMMYFUNCTION("IF(SUM(COUNTIF(artists!C:C, SPLIT(D56, "",""))) &gt; 0, ""RU"", 0)"),0)</f>
        <v>0</v>
      </c>
      <c r="K56" s="39">
        <f ca="1">IFERROR(__xludf.DUMMYFUNCTION("IF(SUM(COUNTIF(artists!E:E, SPLIT(D56, "",""))) &gt; 0, ""OTHER"", 0)"),0)</f>
        <v>0</v>
      </c>
    </row>
    <row r="57" spans="1:11" ht="14.25" customHeight="1">
      <c r="A57" s="21">
        <v>56</v>
      </c>
      <c r="B57" s="21">
        <v>57</v>
      </c>
      <c r="C57" s="21" t="s">
        <v>971</v>
      </c>
      <c r="D57" s="21" t="s">
        <v>972</v>
      </c>
      <c r="E57" s="21">
        <v>14</v>
      </c>
      <c r="F57" s="21">
        <v>226127</v>
      </c>
      <c r="G57" s="42">
        <v>5.0999999999999997E-2</v>
      </c>
      <c r="H57" s="21" t="s">
        <v>973</v>
      </c>
      <c r="I57" s="39">
        <f ca="1">IFERROR(__xludf.DUMMYFUNCTION("IF(SUM(COUNTIF(artists!A:A, SPLIT(D57, "",""))) &gt; 0, ""UA"", 0)"),0)</f>
        <v>0</v>
      </c>
      <c r="J57" s="40">
        <f ca="1">IFERROR(__xludf.DUMMYFUNCTION("IF(SUM(COUNTIF(artists!C:C, SPLIT(D57, "",""))) &gt; 0, ""RU"", 0)"),0)</f>
        <v>0</v>
      </c>
      <c r="K57" s="39" t="str">
        <f ca="1">IFERROR(__xludf.DUMMYFUNCTION("IF(SUM(COUNTIF(artists!E:E, SPLIT(D57, "",""))) &gt; 0, ""OTHER"", 0)"),"OTHER")</f>
        <v>OTHER</v>
      </c>
    </row>
    <row r="58" spans="1:11" ht="14.25" customHeight="1">
      <c r="A58" s="21">
        <v>57</v>
      </c>
      <c r="B58" s="21">
        <v>51</v>
      </c>
      <c r="C58" s="21" t="s">
        <v>462</v>
      </c>
      <c r="D58" s="21" t="s">
        <v>463</v>
      </c>
      <c r="E58" s="21">
        <v>17</v>
      </c>
      <c r="F58" s="21">
        <v>222292</v>
      </c>
      <c r="G58" s="42">
        <v>-7.2999999999999995E-2</v>
      </c>
      <c r="H58" s="21" t="s">
        <v>465</v>
      </c>
      <c r="I58" s="39" t="str">
        <f ca="1">IFERROR(__xludf.DUMMYFUNCTION("IF(SUM(COUNTIF(artists!A:A, SPLIT(D58, "",""))) &gt; 0, ""UA"", 0)"),"UA")</f>
        <v>UA</v>
      </c>
      <c r="J58" s="40">
        <f ca="1">IFERROR(__xludf.DUMMYFUNCTION("IF(SUM(COUNTIF(artists!C:C, SPLIT(D58, "",""))) &gt; 0, ""RU"", 0)"),0)</f>
        <v>0</v>
      </c>
      <c r="K58" s="39">
        <f ca="1">IFERROR(__xludf.DUMMYFUNCTION("IF(SUM(COUNTIF(artists!E:E, SPLIT(D58, "",""))) &gt; 0, ""OTHER"", 0)"),0)</f>
        <v>0</v>
      </c>
    </row>
    <row r="59" spans="1:11" ht="14.25" customHeight="1">
      <c r="A59" s="21">
        <v>58</v>
      </c>
      <c r="C59" s="21" t="s">
        <v>1109</v>
      </c>
      <c r="D59" s="21" t="s">
        <v>1110</v>
      </c>
      <c r="E59" s="21">
        <v>1</v>
      </c>
      <c r="F59" s="21">
        <v>221615</v>
      </c>
      <c r="H59" s="21" t="s">
        <v>1111</v>
      </c>
      <c r="I59" s="39" t="str">
        <f ca="1">IFERROR(__xludf.DUMMYFUNCTION("IF(SUM(COUNTIF(artists!A:A, SPLIT(D59, "",""))) &gt; 0, ""UA"", 0)"),"UA")</f>
        <v>UA</v>
      </c>
      <c r="J59" s="40">
        <f ca="1">IFERROR(__xludf.DUMMYFUNCTION("IF(SUM(COUNTIF(artists!C:C, SPLIT(D59, "",""))) &gt; 0, ""RU"", 0)"),0)</f>
        <v>0</v>
      </c>
      <c r="K59" s="39">
        <f ca="1">IFERROR(__xludf.DUMMYFUNCTION("IF(SUM(COUNTIF(artists!E:E, SPLIT(D59, "",""))) &gt; 0, ""OTHER"", 0)"),0)</f>
        <v>0</v>
      </c>
    </row>
    <row r="60" spans="1:11" ht="14.25" customHeight="1">
      <c r="A60" s="21">
        <v>59</v>
      </c>
      <c r="B60" s="21">
        <v>64</v>
      </c>
      <c r="C60" s="21" t="s">
        <v>903</v>
      </c>
      <c r="D60" s="21" t="s">
        <v>904</v>
      </c>
      <c r="E60" s="21">
        <v>18</v>
      </c>
      <c r="F60" s="21">
        <v>213993</v>
      </c>
      <c r="G60" s="43">
        <v>0.12</v>
      </c>
      <c r="H60" s="21" t="s">
        <v>905</v>
      </c>
      <c r="I60" s="39" t="str">
        <f ca="1">IFERROR(__xludf.DUMMYFUNCTION("IF(SUM(COUNTIF(artists!A:A, SPLIT(D60, "",""))) &gt; 0, ""UA"", 0)"),"UA")</f>
        <v>UA</v>
      </c>
      <c r="J60" s="40">
        <f ca="1">IFERROR(__xludf.DUMMYFUNCTION("IF(SUM(COUNTIF(artists!C:C, SPLIT(D60, "",""))) &gt; 0, ""RU"", 0)"),0)</f>
        <v>0</v>
      </c>
      <c r="K60" s="39">
        <f ca="1">IFERROR(__xludf.DUMMYFUNCTION("IF(SUM(COUNTIF(artists!E:E, SPLIT(D60, "",""))) &gt; 0, ""OTHER"", 0)"),0)</f>
        <v>0</v>
      </c>
    </row>
    <row r="61" spans="1:11" ht="14.25" customHeight="1">
      <c r="A61" s="21">
        <v>60</v>
      </c>
      <c r="C61" s="21" t="s">
        <v>1112</v>
      </c>
      <c r="D61" s="21" t="s">
        <v>981</v>
      </c>
      <c r="E61" s="21">
        <v>1</v>
      </c>
      <c r="F61" s="21">
        <v>213582</v>
      </c>
      <c r="H61" s="21" t="s">
        <v>1113</v>
      </c>
      <c r="I61" s="39">
        <f ca="1">IFERROR(__xludf.DUMMYFUNCTION("IF(SUM(COUNTIF(artists!A:A, SPLIT(D61, "",""))) &gt; 0, ""UA"", 0)"),0)</f>
        <v>0</v>
      </c>
      <c r="J61" s="40" t="str">
        <f ca="1">IFERROR(__xludf.DUMMYFUNCTION("IF(SUM(COUNTIF(artists!C:C, SPLIT(D61, "",""))) &gt; 0, ""RU"", 0)"),"RU")</f>
        <v>RU</v>
      </c>
      <c r="K61" s="39">
        <f ca="1">IFERROR(__xludf.DUMMYFUNCTION("IF(SUM(COUNTIF(artists!E:E, SPLIT(D61, "",""))) &gt; 0, ""OTHER"", 0)"),0)</f>
        <v>0</v>
      </c>
    </row>
    <row r="62" spans="1:11" ht="14.25" customHeight="1">
      <c r="A62" s="21">
        <v>61</v>
      </c>
      <c r="B62" s="21">
        <v>61</v>
      </c>
      <c r="C62" s="21" t="s">
        <v>605</v>
      </c>
      <c r="D62" s="21" t="s">
        <v>299</v>
      </c>
      <c r="E62" s="21">
        <v>7</v>
      </c>
      <c r="F62" s="21">
        <v>208286</v>
      </c>
      <c r="G62" s="42">
        <v>3.1E-2</v>
      </c>
      <c r="H62" s="21" t="s">
        <v>607</v>
      </c>
      <c r="I62" s="39">
        <f ca="1">IFERROR(__xludf.DUMMYFUNCTION("IF(SUM(COUNTIF(artists!A:A, SPLIT(D62, "",""))) &gt; 0, ""UA"", 0)"),0)</f>
        <v>0</v>
      </c>
      <c r="J62" s="40">
        <f ca="1">IFERROR(__xludf.DUMMYFUNCTION("IF(SUM(COUNTIF(artists!C:C, SPLIT(D62, "",""))) &gt; 0, ""RU"", 0)"),0)</f>
        <v>0</v>
      </c>
      <c r="K62" s="39" t="str">
        <f ca="1">IFERROR(__xludf.DUMMYFUNCTION("IF(SUM(COUNTIF(artists!E:E, SPLIT(D62, "",""))) &gt; 0, ""OTHER"", 0)"),"OTHER")</f>
        <v>OTHER</v>
      </c>
    </row>
    <row r="63" spans="1:11" ht="14.25" customHeight="1">
      <c r="A63" s="21">
        <v>62</v>
      </c>
      <c r="B63" s="21">
        <v>66</v>
      </c>
      <c r="C63" s="21" t="s">
        <v>1073</v>
      </c>
      <c r="D63" s="21" t="s">
        <v>1074</v>
      </c>
      <c r="E63" s="21">
        <v>12</v>
      </c>
      <c r="F63" s="21">
        <v>205603</v>
      </c>
      <c r="G63" s="43">
        <v>0.09</v>
      </c>
      <c r="H63" s="21" t="s">
        <v>1075</v>
      </c>
      <c r="I63" s="39" t="str">
        <f ca="1">IFERROR(__xludf.DUMMYFUNCTION("IF(SUM(COUNTIF(artists!A:A, SPLIT(D63, "",""))) &gt; 0, ""UA"", 0)"),"UA")</f>
        <v>UA</v>
      </c>
      <c r="J63" s="40">
        <f ca="1">IFERROR(__xludf.DUMMYFUNCTION("IF(SUM(COUNTIF(artists!C:C, SPLIT(D63, "",""))) &gt; 0, ""RU"", 0)"),0)</f>
        <v>0</v>
      </c>
      <c r="K63" s="39">
        <f ca="1">IFERROR(__xludf.DUMMYFUNCTION("IF(SUM(COUNTIF(artists!E:E, SPLIT(D63, "",""))) &gt; 0, ""OTHER"", 0)"),0)</f>
        <v>0</v>
      </c>
    </row>
    <row r="64" spans="1:11" ht="14.25" customHeight="1">
      <c r="A64" s="21">
        <v>63</v>
      </c>
      <c r="B64" s="21">
        <v>56</v>
      </c>
      <c r="C64" s="21" t="s">
        <v>1021</v>
      </c>
      <c r="D64" s="21" t="s">
        <v>1022</v>
      </c>
      <c r="E64" s="21">
        <v>6</v>
      </c>
      <c r="F64" s="21">
        <v>200731</v>
      </c>
      <c r="G64" s="42">
        <v>-7.6999999999999999E-2</v>
      </c>
      <c r="H64" s="21" t="s">
        <v>1023</v>
      </c>
      <c r="I64" s="39">
        <f ca="1">IFERROR(__xludf.DUMMYFUNCTION("IF(SUM(COUNTIF(artists!A:A, SPLIT(D64, "",""))) &gt; 0, ""UA"", 0)"),0)</f>
        <v>0</v>
      </c>
      <c r="J64" s="40">
        <f ca="1">IFERROR(__xludf.DUMMYFUNCTION("IF(SUM(COUNTIF(artists!C:C, SPLIT(D64, "",""))) &gt; 0, ""RU"", 0)"),0)</f>
        <v>0</v>
      </c>
      <c r="K64" s="39" t="str">
        <f ca="1">IFERROR(__xludf.DUMMYFUNCTION("IF(SUM(COUNTIF(artists!E:E, SPLIT(D64, "",""))) &gt; 0, ""OTHER"", 0)"),"OTHER")</f>
        <v>OTHER</v>
      </c>
    </row>
    <row r="65" spans="1:11" ht="14.25" customHeight="1">
      <c r="A65" s="21">
        <v>64</v>
      </c>
      <c r="B65" s="21">
        <v>72</v>
      </c>
      <c r="C65" s="21" t="s">
        <v>1013</v>
      </c>
      <c r="D65" s="21" t="s">
        <v>1014</v>
      </c>
      <c r="E65" s="21">
        <v>4</v>
      </c>
      <c r="F65" s="21">
        <v>199403</v>
      </c>
      <c r="G65" s="42">
        <v>0.124</v>
      </c>
      <c r="H65" s="21" t="s">
        <v>1015</v>
      </c>
      <c r="I65" s="39" t="str">
        <f ca="1">IFERROR(__xludf.DUMMYFUNCTION("IF(SUM(COUNTIF(artists!A:A, SPLIT(D65, "",""))) &gt; 0, ""UA"", 0)"),"UA")</f>
        <v>UA</v>
      </c>
      <c r="J65" s="40">
        <f ca="1">IFERROR(__xludf.DUMMYFUNCTION("IF(SUM(COUNTIF(artists!C:C, SPLIT(D65, "",""))) &gt; 0, ""RU"", 0)"),0)</f>
        <v>0</v>
      </c>
      <c r="K65" s="39">
        <f ca="1">IFERROR(__xludf.DUMMYFUNCTION("IF(SUM(COUNTIF(artists!E:E, SPLIT(D65, "",""))) &gt; 0, ""OTHER"", 0)"),0)</f>
        <v>0</v>
      </c>
    </row>
    <row r="66" spans="1:11" ht="14.25" customHeight="1">
      <c r="A66" s="21">
        <v>65</v>
      </c>
      <c r="B66" s="21">
        <v>59</v>
      </c>
      <c r="C66" s="21" t="s">
        <v>497</v>
      </c>
      <c r="D66" s="21" t="s">
        <v>860</v>
      </c>
      <c r="E66" s="21">
        <v>6</v>
      </c>
      <c r="F66" s="21">
        <v>199126</v>
      </c>
      <c r="G66" s="42">
        <v>-4.7E-2</v>
      </c>
      <c r="H66" s="21" t="s">
        <v>499</v>
      </c>
      <c r="I66" s="39" t="str">
        <f ca="1">IFERROR(__xludf.DUMMYFUNCTION("IF(SUM(COUNTIF(artists!A:A, SPLIT(D66, "",""))) &gt; 0, ""UA"", 0)"),"UA")</f>
        <v>UA</v>
      </c>
      <c r="J66" s="40">
        <f ca="1">IFERROR(__xludf.DUMMYFUNCTION("IF(SUM(COUNTIF(artists!C:C, SPLIT(D66, "",""))) &gt; 0, ""RU"", 0)"),0)</f>
        <v>0</v>
      </c>
      <c r="K66" s="39">
        <f ca="1">IFERROR(__xludf.DUMMYFUNCTION("IF(SUM(COUNTIF(artists!E:E, SPLIT(D66, "",""))) &gt; 0, ""OTHER"", 0)"),0)</f>
        <v>0</v>
      </c>
    </row>
    <row r="67" spans="1:11" ht="14.25" customHeight="1">
      <c r="A67" s="21">
        <v>66</v>
      </c>
      <c r="C67" s="21" t="s">
        <v>470</v>
      </c>
      <c r="D67" s="21" t="s">
        <v>81</v>
      </c>
      <c r="E67" s="21">
        <v>22</v>
      </c>
      <c r="F67" s="21">
        <v>197484</v>
      </c>
      <c r="H67" s="21" t="s">
        <v>472</v>
      </c>
      <c r="I67" s="39" t="str">
        <f ca="1">IFERROR(__xludf.DUMMYFUNCTION("IF(SUM(COUNTIF(artists!A:A, SPLIT(D67, "",""))) &gt; 0, ""UA"", 0)"),"UA")</f>
        <v>UA</v>
      </c>
      <c r="J67" s="40">
        <f ca="1">IFERROR(__xludf.DUMMYFUNCTION("IF(SUM(COUNTIF(artists!C:C, SPLIT(D67, "",""))) &gt; 0, ""RU"", 0)"),0)</f>
        <v>0</v>
      </c>
      <c r="K67" s="39">
        <f ca="1">IFERROR(__xludf.DUMMYFUNCTION("IF(SUM(COUNTIF(artists!E:E, SPLIT(D67, "",""))) &gt; 0, ""OTHER"", 0)"),0)</f>
        <v>0</v>
      </c>
    </row>
    <row r="68" spans="1:11" ht="14.25" customHeight="1">
      <c r="A68" s="21">
        <v>67</v>
      </c>
      <c r="B68" s="21">
        <v>62</v>
      </c>
      <c r="C68" s="21" t="s">
        <v>1085</v>
      </c>
      <c r="D68" s="21" t="s">
        <v>85</v>
      </c>
      <c r="E68" s="21">
        <v>3</v>
      </c>
      <c r="F68" s="21">
        <v>196187</v>
      </c>
      <c r="G68" s="42">
        <v>1E-3</v>
      </c>
      <c r="H68" s="21" t="s">
        <v>1086</v>
      </c>
      <c r="I68" s="39" t="str">
        <f ca="1">IFERROR(__xludf.DUMMYFUNCTION("IF(SUM(COUNTIF(artists!A:A, SPLIT(D68, "",""))) &gt; 0, ""UA"", 0)"),"UA")</f>
        <v>UA</v>
      </c>
      <c r="J68" s="40">
        <f ca="1">IFERROR(__xludf.DUMMYFUNCTION("IF(SUM(COUNTIF(artists!C:C, SPLIT(D68, "",""))) &gt; 0, ""RU"", 0)"),0)</f>
        <v>0</v>
      </c>
      <c r="K68" s="39">
        <f ca="1">IFERROR(__xludf.DUMMYFUNCTION("IF(SUM(COUNTIF(artists!E:E, SPLIT(D68, "",""))) &gt; 0, ""OTHER"", 0)"),0)</f>
        <v>0</v>
      </c>
    </row>
    <row r="69" spans="1:11" ht="14.25" customHeight="1">
      <c r="A69" s="21">
        <v>68</v>
      </c>
      <c r="C69" s="21" t="s">
        <v>1114</v>
      </c>
      <c r="D69" s="21" t="s">
        <v>916</v>
      </c>
      <c r="E69" s="21">
        <v>1</v>
      </c>
      <c r="F69" s="21">
        <v>195618</v>
      </c>
      <c r="H69" s="21" t="s">
        <v>1115</v>
      </c>
      <c r="I69" s="39">
        <f ca="1">IFERROR(__xludf.DUMMYFUNCTION("IF(SUM(COUNTIF(artists!A:A, SPLIT(D69, "",""))) &gt; 0, ""UA"", 0)"),0)</f>
        <v>0</v>
      </c>
      <c r="J69" s="40" t="str">
        <f ca="1">IFERROR(__xludf.DUMMYFUNCTION("IF(SUM(COUNTIF(artists!C:C, SPLIT(D69, "",""))) &gt; 0, ""RU"", 0)"),"RU")</f>
        <v>RU</v>
      </c>
      <c r="K69" s="39">
        <f ca="1">IFERROR(__xludf.DUMMYFUNCTION("IF(SUM(COUNTIF(artists!E:E, SPLIT(D69, "",""))) &gt; 0, ""OTHER"", 0)"),0)</f>
        <v>0</v>
      </c>
    </row>
    <row r="70" spans="1:11" ht="14.25" customHeight="1">
      <c r="A70" s="21">
        <v>69</v>
      </c>
      <c r="C70" s="21" t="s">
        <v>286</v>
      </c>
      <c r="D70" s="21" t="s">
        <v>287</v>
      </c>
      <c r="E70" s="21">
        <v>1</v>
      </c>
      <c r="F70" s="21">
        <v>194422</v>
      </c>
      <c r="H70" s="21" t="s">
        <v>289</v>
      </c>
      <c r="I70" s="39">
        <f ca="1">IFERROR(__xludf.DUMMYFUNCTION("IF(SUM(COUNTIF(artists!A:A, SPLIT(D70, "",""))) &gt; 0, ""UA"", 0)"),0)</f>
        <v>0</v>
      </c>
      <c r="J70" s="40" t="str">
        <f ca="1">IFERROR(__xludf.DUMMYFUNCTION("IF(SUM(COUNTIF(artists!C:C, SPLIT(D70, "",""))) &gt; 0, ""RU"", 0)"),"RU")</f>
        <v>RU</v>
      </c>
      <c r="K70" s="39">
        <f ca="1">IFERROR(__xludf.DUMMYFUNCTION("IF(SUM(COUNTIF(artists!E:E, SPLIT(D70, "",""))) &gt; 0, ""OTHER"", 0)"),0)</f>
        <v>0</v>
      </c>
    </row>
    <row r="71" spans="1:11" ht="14.25" customHeight="1">
      <c r="A71" s="21">
        <v>70</v>
      </c>
      <c r="B71" s="21">
        <v>75</v>
      </c>
      <c r="C71" s="21" t="s">
        <v>264</v>
      </c>
      <c r="D71" s="21" t="s">
        <v>265</v>
      </c>
      <c r="E71" s="21">
        <v>4</v>
      </c>
      <c r="F71" s="21">
        <v>193577</v>
      </c>
      <c r="G71" s="42">
        <v>0.13700000000000001</v>
      </c>
      <c r="H71" s="21" t="s">
        <v>267</v>
      </c>
      <c r="I71" s="39">
        <f ca="1">IFERROR(__xludf.DUMMYFUNCTION("IF(SUM(COUNTIF(artists!A:A, SPLIT(D71, "",""))) &gt; 0, ""UA"", 0)"),0)</f>
        <v>0</v>
      </c>
      <c r="J71" s="40">
        <f ca="1">IFERROR(__xludf.DUMMYFUNCTION("IF(SUM(COUNTIF(artists!C:C, SPLIT(D71, "",""))) &gt; 0, ""RU"", 0)"),0)</f>
        <v>0</v>
      </c>
      <c r="K71" s="39" t="str">
        <f ca="1">IFERROR(__xludf.DUMMYFUNCTION("IF(SUM(COUNTIF(artists!E:E, SPLIT(D71, "",""))) &gt; 0, ""OTHER"", 0)"),"OTHER")</f>
        <v>OTHER</v>
      </c>
    </row>
    <row r="72" spans="1:11" ht="14.25" customHeight="1">
      <c r="A72" s="21">
        <v>71</v>
      </c>
      <c r="C72" s="21" t="s">
        <v>1116</v>
      </c>
      <c r="D72" s="21" t="s">
        <v>1117</v>
      </c>
      <c r="E72" s="21">
        <v>31</v>
      </c>
      <c r="F72" s="21">
        <v>192334</v>
      </c>
      <c r="H72" s="21" t="s">
        <v>1118</v>
      </c>
      <c r="I72" s="39">
        <f ca="1">IFERROR(__xludf.DUMMYFUNCTION("IF(SUM(COUNTIF(artists!A:A, SPLIT(D72, "",""))) &gt; 0, ""UA"", 0)"),0)</f>
        <v>0</v>
      </c>
      <c r="J72" s="40" t="str">
        <f ca="1">IFERROR(__xludf.DUMMYFUNCTION("IF(SUM(COUNTIF(artists!C:C, SPLIT(D72, "",""))) &gt; 0, ""RU"", 0)"),"RU")</f>
        <v>RU</v>
      </c>
      <c r="K72" s="39">
        <f ca="1">IFERROR(__xludf.DUMMYFUNCTION("IF(SUM(COUNTIF(artists!E:E, SPLIT(D72, "",""))) &gt; 0, ""OTHER"", 0)"),0)</f>
        <v>0</v>
      </c>
    </row>
    <row r="73" spans="1:11" ht="14.25" customHeight="1">
      <c r="A73" s="21">
        <v>72</v>
      </c>
      <c r="B73" s="21">
        <v>55</v>
      </c>
      <c r="C73" s="21" t="s">
        <v>524</v>
      </c>
      <c r="D73" s="21" t="s">
        <v>525</v>
      </c>
      <c r="E73" s="21">
        <v>10</v>
      </c>
      <c r="F73" s="21">
        <v>192188</v>
      </c>
      <c r="G73" s="42">
        <v>-0.128</v>
      </c>
      <c r="H73" s="21" t="s">
        <v>526</v>
      </c>
      <c r="I73" s="39" t="str">
        <f ca="1">IFERROR(__xludf.DUMMYFUNCTION("IF(SUM(COUNTIF(artists!A:A, SPLIT(D73, "",""))) &gt; 0, ""UA"", 0)"),"UA")</f>
        <v>UA</v>
      </c>
      <c r="J73" s="40">
        <f ca="1">IFERROR(__xludf.DUMMYFUNCTION("IF(SUM(COUNTIF(artists!C:C, SPLIT(D73, "",""))) &gt; 0, ""RU"", 0)"),0)</f>
        <v>0</v>
      </c>
      <c r="K73" s="39">
        <f ca="1">IFERROR(__xludf.DUMMYFUNCTION("IF(SUM(COUNTIF(artists!E:E, SPLIT(D73, "",""))) &gt; 0, ""OTHER"", 0)"),0)</f>
        <v>0</v>
      </c>
    </row>
    <row r="74" spans="1:11" ht="14.25" customHeight="1">
      <c r="A74" s="21">
        <v>73</v>
      </c>
      <c r="B74" s="21">
        <v>63</v>
      </c>
      <c r="C74" s="21" t="s">
        <v>284</v>
      </c>
      <c r="D74" s="21" t="s">
        <v>15</v>
      </c>
      <c r="E74" s="21">
        <v>13</v>
      </c>
      <c r="F74" s="21">
        <v>192018</v>
      </c>
      <c r="G74" s="42">
        <v>-1.4E-2</v>
      </c>
      <c r="H74" s="21" t="s">
        <v>285</v>
      </c>
      <c r="I74" s="39">
        <f ca="1">IFERROR(__xludf.DUMMYFUNCTION("IF(SUM(COUNTIF(artists!A:A, SPLIT(D74, "",""))) &gt; 0, ""UA"", 0)"),0)</f>
        <v>0</v>
      </c>
      <c r="J74" s="40">
        <f ca="1">IFERROR(__xludf.DUMMYFUNCTION("IF(SUM(COUNTIF(artists!C:C, SPLIT(D74, "",""))) &gt; 0, ""RU"", 0)"),0)</f>
        <v>0</v>
      </c>
      <c r="K74" s="39" t="str">
        <f ca="1">IFERROR(__xludf.DUMMYFUNCTION("IF(SUM(COUNTIF(artists!E:E, SPLIT(D74, "",""))) &gt; 0, ""OTHER"", 0)"),"OTHER")</f>
        <v>OTHER</v>
      </c>
    </row>
    <row r="75" spans="1:11" ht="14.25" customHeight="1">
      <c r="A75" s="21">
        <v>74</v>
      </c>
      <c r="B75" s="21">
        <v>73</v>
      </c>
      <c r="C75" s="21" t="s">
        <v>963</v>
      </c>
      <c r="D75" s="21" t="s">
        <v>964</v>
      </c>
      <c r="E75" s="21">
        <v>5</v>
      </c>
      <c r="F75" s="21">
        <v>186710</v>
      </c>
      <c r="G75" s="42">
        <v>5.6000000000000001E-2</v>
      </c>
      <c r="H75" s="21" t="s">
        <v>965</v>
      </c>
      <c r="I75" s="39" t="str">
        <f ca="1">IFERROR(__xludf.DUMMYFUNCTION("IF(SUM(COUNTIF(artists!A:A, SPLIT(D75, "",""))) &gt; 0, ""UA"", 0)"),"UA")</f>
        <v>UA</v>
      </c>
      <c r="J75" s="40">
        <f ca="1">IFERROR(__xludf.DUMMYFUNCTION("IF(SUM(COUNTIF(artists!C:C, SPLIT(D75, "",""))) &gt; 0, ""RU"", 0)"),0)</f>
        <v>0</v>
      </c>
      <c r="K75" s="39">
        <f ca="1">IFERROR(__xludf.DUMMYFUNCTION("IF(SUM(COUNTIF(artists!E:E, SPLIT(D75, "",""))) &gt; 0, ""OTHER"", 0)"),0)</f>
        <v>0</v>
      </c>
    </row>
    <row r="76" spans="1:11" ht="14.25" customHeight="1">
      <c r="A76" s="21">
        <v>75</v>
      </c>
      <c r="B76" s="21">
        <v>77</v>
      </c>
      <c r="C76" s="21" t="s">
        <v>358</v>
      </c>
      <c r="D76" s="21" t="s">
        <v>359</v>
      </c>
      <c r="E76" s="21">
        <v>4</v>
      </c>
      <c r="F76" s="21">
        <v>183615</v>
      </c>
      <c r="G76" s="42">
        <v>0.106</v>
      </c>
      <c r="H76" s="21" t="s">
        <v>361</v>
      </c>
      <c r="I76" s="39">
        <f ca="1">IFERROR(__xludf.DUMMYFUNCTION("IF(SUM(COUNTIF(artists!A:A, SPLIT(D76, "",""))) &gt; 0, ""UA"", 0)"),0)</f>
        <v>0</v>
      </c>
      <c r="J76" s="40">
        <f ca="1">IFERROR(__xludf.DUMMYFUNCTION("IF(SUM(COUNTIF(artists!C:C, SPLIT(D76, "",""))) &gt; 0, ""RU"", 0)"),0)</f>
        <v>0</v>
      </c>
      <c r="K76" s="39" t="str">
        <f ca="1">IFERROR(__xludf.DUMMYFUNCTION("IF(SUM(COUNTIF(artists!E:E, SPLIT(D76, "",""))) &gt; 0, ""OTHER"", 0)"),"OTHER")</f>
        <v>OTHER</v>
      </c>
    </row>
    <row r="77" spans="1:11" ht="14.25" customHeight="1">
      <c r="A77" s="21">
        <v>76</v>
      </c>
      <c r="C77" s="21" t="s">
        <v>1119</v>
      </c>
      <c r="D77" s="21" t="s">
        <v>365</v>
      </c>
      <c r="E77" s="21">
        <v>1</v>
      </c>
      <c r="F77" s="21">
        <v>183602</v>
      </c>
      <c r="H77" s="21" t="s">
        <v>1120</v>
      </c>
      <c r="I77" s="39">
        <f ca="1">IFERROR(__xludf.DUMMYFUNCTION("IF(SUM(COUNTIF(artists!A:A, SPLIT(D77, "",""))) &gt; 0, ""UA"", 0)"),0)</f>
        <v>0</v>
      </c>
      <c r="J77" s="40">
        <f ca="1">IFERROR(__xludf.DUMMYFUNCTION("IF(SUM(COUNTIF(artists!C:C, SPLIT(D77, "",""))) &gt; 0, ""RU"", 0)"),0)</f>
        <v>0</v>
      </c>
      <c r="K77" s="39" t="str">
        <f ca="1">IFERROR(__xludf.DUMMYFUNCTION("IF(SUM(COUNTIF(artists!E:E, SPLIT(D77, "",""))) &gt; 0, ""OTHER"", 0)"),"OTHER")</f>
        <v>OTHER</v>
      </c>
    </row>
    <row r="78" spans="1:11" ht="14.25" customHeight="1">
      <c r="A78" s="21">
        <v>77</v>
      </c>
      <c r="C78" s="21" t="s">
        <v>418</v>
      </c>
      <c r="D78" s="21" t="s">
        <v>419</v>
      </c>
      <c r="E78" s="21">
        <v>1</v>
      </c>
      <c r="F78" s="21">
        <v>177964</v>
      </c>
      <c r="H78" s="21" t="s">
        <v>420</v>
      </c>
      <c r="I78" s="39">
        <f ca="1">IFERROR(__xludf.DUMMYFUNCTION("IF(SUM(COUNTIF(artists!A:A, SPLIT(D78, "",""))) &gt; 0, ""UA"", 0)"),0)</f>
        <v>0</v>
      </c>
      <c r="J78" s="40">
        <f ca="1">IFERROR(__xludf.DUMMYFUNCTION("IF(SUM(COUNTIF(artists!C:C, SPLIT(D78, "",""))) &gt; 0, ""RU"", 0)"),0)</f>
        <v>0</v>
      </c>
      <c r="K78" s="39" t="str">
        <f ca="1">IFERROR(__xludf.DUMMYFUNCTION("IF(SUM(COUNTIF(artists!E:E, SPLIT(D78, "",""))) &gt; 0, ""OTHER"", 0)"),"OTHER")</f>
        <v>OTHER</v>
      </c>
    </row>
    <row r="79" spans="1:11" ht="14.25" customHeight="1">
      <c r="A79" s="21">
        <v>78</v>
      </c>
      <c r="B79" s="21">
        <v>65</v>
      </c>
      <c r="C79" s="21" t="s">
        <v>1089</v>
      </c>
      <c r="D79" s="21" t="s">
        <v>125</v>
      </c>
      <c r="E79" s="21">
        <v>16</v>
      </c>
      <c r="F79" s="21">
        <v>177890</v>
      </c>
      <c r="G79" s="42">
        <v>-5.8000000000000003E-2</v>
      </c>
      <c r="H79" s="21" t="s">
        <v>1090</v>
      </c>
      <c r="I79" s="39">
        <f ca="1">IFERROR(__xludf.DUMMYFUNCTION("IF(SUM(COUNTIF(artists!A:A, SPLIT(D79, "",""))) &gt; 0, ""UA"", 0)"),0)</f>
        <v>0</v>
      </c>
      <c r="J79" s="40" t="str">
        <f ca="1">IFERROR(__xludf.DUMMYFUNCTION("IF(SUM(COUNTIF(artists!C:C, SPLIT(D79, "",""))) &gt; 0, ""RU"", 0)"),"RU")</f>
        <v>RU</v>
      </c>
      <c r="K79" s="39">
        <f ca="1">IFERROR(__xludf.DUMMYFUNCTION("IF(SUM(COUNTIF(artists!E:E, SPLIT(D79, "",""))) &gt; 0, ""OTHER"", 0)"),0)</f>
        <v>0</v>
      </c>
    </row>
    <row r="80" spans="1:11" ht="14.25" customHeight="1">
      <c r="A80" s="21">
        <v>79</v>
      </c>
      <c r="B80" s="21">
        <v>90</v>
      </c>
      <c r="C80" s="21" t="s">
        <v>1062</v>
      </c>
      <c r="D80" s="21" t="s">
        <v>1063</v>
      </c>
      <c r="E80" s="21">
        <v>11</v>
      </c>
      <c r="F80" s="21">
        <v>177755</v>
      </c>
      <c r="G80" s="42">
        <v>0.20599999999999999</v>
      </c>
      <c r="H80" s="21" t="s">
        <v>1064</v>
      </c>
      <c r="I80" s="39" t="str">
        <f ca="1">IFERROR(__xludf.DUMMYFUNCTION("IF(SUM(COUNTIF(artists!A:A, SPLIT(D80, "",""))) &gt; 0, ""UA"", 0)"),"UA")</f>
        <v>UA</v>
      </c>
      <c r="J80" s="40">
        <f ca="1">IFERROR(__xludf.DUMMYFUNCTION("IF(SUM(COUNTIF(artists!C:C, SPLIT(D80, "",""))) &gt; 0, ""RU"", 0)"),0)</f>
        <v>0</v>
      </c>
      <c r="K80" s="39">
        <f ca="1">IFERROR(__xludf.DUMMYFUNCTION("IF(SUM(COUNTIF(artists!E:E, SPLIT(D80, "",""))) &gt; 0, ""OTHER"", 0)"),0)</f>
        <v>0</v>
      </c>
    </row>
    <row r="81" spans="1:11" ht="14.25" customHeight="1">
      <c r="A81" s="21">
        <v>80</v>
      </c>
      <c r="B81" s="21">
        <v>80</v>
      </c>
      <c r="C81" s="21" t="s">
        <v>520</v>
      </c>
      <c r="D81" s="21" t="s">
        <v>521</v>
      </c>
      <c r="E81" s="21">
        <v>17</v>
      </c>
      <c r="F81" s="21">
        <v>177516</v>
      </c>
      <c r="G81" s="42">
        <v>8.4000000000000005E-2</v>
      </c>
      <c r="H81" s="21" t="s">
        <v>522</v>
      </c>
      <c r="I81" s="39" t="str">
        <f ca="1">IFERROR(__xludf.DUMMYFUNCTION("IF(SUM(COUNTIF(artists!A:A, SPLIT(D81, "",""))) &gt; 0, ""UA"", 0)"),"UA")</f>
        <v>UA</v>
      </c>
      <c r="J81" s="40">
        <f ca="1">IFERROR(__xludf.DUMMYFUNCTION("IF(SUM(COUNTIF(artists!C:C, SPLIT(D81, "",""))) &gt; 0, ""RU"", 0)"),0)</f>
        <v>0</v>
      </c>
      <c r="K81" s="39">
        <f ca="1">IFERROR(__xludf.DUMMYFUNCTION("IF(SUM(COUNTIF(artists!E:E, SPLIT(D81, "",""))) &gt; 0, ""OTHER"", 0)"),0)</f>
        <v>0</v>
      </c>
    </row>
    <row r="82" spans="1:11" ht="14.25" customHeight="1">
      <c r="A82" s="21">
        <v>81</v>
      </c>
      <c r="B82" s="21">
        <v>60</v>
      </c>
      <c r="C82" s="21" t="s">
        <v>868</v>
      </c>
      <c r="D82" s="21" t="s">
        <v>869</v>
      </c>
      <c r="E82" s="21">
        <v>10</v>
      </c>
      <c r="F82" s="21">
        <v>176108</v>
      </c>
      <c r="G82" s="42">
        <v>-0.13900000000000001</v>
      </c>
      <c r="H82" s="21" t="s">
        <v>870</v>
      </c>
      <c r="I82" s="39">
        <f ca="1">IFERROR(__xludf.DUMMYFUNCTION("IF(SUM(COUNTIF(artists!A:A, SPLIT(D82, "",""))) &gt; 0, ""UA"", 0)"),0)</f>
        <v>0</v>
      </c>
      <c r="J82" s="40" t="str">
        <f ca="1">IFERROR(__xludf.DUMMYFUNCTION("IF(SUM(COUNTIF(artists!C:C, SPLIT(D82, "",""))) &gt; 0, ""RU"", 0)"),"RU")</f>
        <v>RU</v>
      </c>
      <c r="K82" s="39">
        <f ca="1">IFERROR(__xludf.DUMMYFUNCTION("IF(SUM(COUNTIF(artists!E:E, SPLIT(D82, "",""))) &gt; 0, ""OTHER"", 0)"),0)</f>
        <v>0</v>
      </c>
    </row>
    <row r="83" spans="1:11" ht="14.25" customHeight="1">
      <c r="A83" s="21">
        <v>82</v>
      </c>
      <c r="B83" s="21">
        <v>86</v>
      </c>
      <c r="C83" s="21" t="s">
        <v>1038</v>
      </c>
      <c r="D83" s="21" t="s">
        <v>1039</v>
      </c>
      <c r="E83" s="21">
        <v>8</v>
      </c>
      <c r="F83" s="21">
        <v>170791</v>
      </c>
      <c r="G83" s="42">
        <v>0.109</v>
      </c>
      <c r="H83" s="21" t="s">
        <v>1040</v>
      </c>
      <c r="I83" s="39">
        <f ca="1">IFERROR(__xludf.DUMMYFUNCTION("IF(SUM(COUNTIF(artists!A:A, SPLIT(D83, "",""))) &gt; 0, ""UA"", 0)"),0)</f>
        <v>0</v>
      </c>
      <c r="J83" s="40">
        <f ca="1">IFERROR(__xludf.DUMMYFUNCTION("IF(SUM(COUNTIF(artists!C:C, SPLIT(D83, "",""))) &gt; 0, ""RU"", 0)"),0)</f>
        <v>0</v>
      </c>
      <c r="K83" s="39" t="str">
        <f ca="1">IFERROR(__xludf.DUMMYFUNCTION("IF(SUM(COUNTIF(artists!E:E, SPLIT(D83, "",""))) &gt; 0, ""OTHER"", 0)"),"OTHER")</f>
        <v>OTHER</v>
      </c>
    </row>
    <row r="84" spans="1:11" ht="14.25" customHeight="1">
      <c r="A84" s="21">
        <v>83</v>
      </c>
      <c r="B84" s="21">
        <v>39</v>
      </c>
      <c r="C84" s="21" t="s">
        <v>1121</v>
      </c>
      <c r="D84" s="21" t="s">
        <v>104</v>
      </c>
      <c r="E84" s="21">
        <v>3</v>
      </c>
      <c r="F84" s="21">
        <v>166806</v>
      </c>
      <c r="G84" s="42">
        <v>-0.437</v>
      </c>
      <c r="H84" s="21" t="s">
        <v>1122</v>
      </c>
      <c r="I84" s="39" t="str">
        <f ca="1">IFERROR(__xludf.DUMMYFUNCTION("IF(SUM(COUNTIF(artists!A:A, SPLIT(D84, "",""))) &gt; 0, ""UA"", 0)"),"UA")</f>
        <v>UA</v>
      </c>
      <c r="J84" s="40">
        <f ca="1">IFERROR(__xludf.DUMMYFUNCTION("IF(SUM(COUNTIF(artists!C:C, SPLIT(D84, "",""))) &gt; 0, ""RU"", 0)"),0)</f>
        <v>0</v>
      </c>
      <c r="K84" s="39">
        <f ca="1">IFERROR(__xludf.DUMMYFUNCTION("IF(SUM(COUNTIF(artists!E:E, SPLIT(D84, "",""))) &gt; 0, ""OTHER"", 0)"),0)</f>
        <v>0</v>
      </c>
    </row>
    <row r="85" spans="1:11" ht="14.25" customHeight="1">
      <c r="A85" s="21">
        <v>84</v>
      </c>
      <c r="C85" s="21" t="s">
        <v>1123</v>
      </c>
      <c r="D85" s="21" t="s">
        <v>1124</v>
      </c>
      <c r="E85" s="21">
        <v>1</v>
      </c>
      <c r="F85" s="21">
        <v>165759</v>
      </c>
      <c r="H85" s="21" t="s">
        <v>1125</v>
      </c>
      <c r="I85" s="39">
        <f ca="1">IFERROR(__xludf.DUMMYFUNCTION("IF(SUM(COUNTIF(artists!A:A, SPLIT(D85, "",""))) &gt; 0, ""UA"", 0)"),0)</f>
        <v>0</v>
      </c>
      <c r="J85" s="40" t="str">
        <f ca="1">IFERROR(__xludf.DUMMYFUNCTION("IF(SUM(COUNTIF(artists!C:C, SPLIT(D85, "",""))) &gt; 0, ""RU"", 0)"),"RU")</f>
        <v>RU</v>
      </c>
      <c r="K85" s="39">
        <f ca="1">IFERROR(__xludf.DUMMYFUNCTION("IF(SUM(COUNTIF(artists!E:E, SPLIT(D85, "",""))) &gt; 0, ""OTHER"", 0)"),0)</f>
        <v>0</v>
      </c>
    </row>
    <row r="86" spans="1:11" ht="14.25" customHeight="1">
      <c r="A86" s="21">
        <v>85</v>
      </c>
      <c r="B86" s="21">
        <v>68</v>
      </c>
      <c r="C86" s="21" t="s">
        <v>1029</v>
      </c>
      <c r="D86" s="21" t="s">
        <v>1030</v>
      </c>
      <c r="E86" s="21">
        <v>8</v>
      </c>
      <c r="F86" s="21">
        <v>165548</v>
      </c>
      <c r="G86" s="42">
        <v>-0.104</v>
      </c>
      <c r="H86" s="21" t="s">
        <v>1031</v>
      </c>
      <c r="I86" s="39" t="str">
        <f ca="1">IFERROR(__xludf.DUMMYFUNCTION("IF(SUM(COUNTIF(artists!A:A, SPLIT(D86, "",""))) &gt; 0, ""UA"", 0)"),"UA")</f>
        <v>UA</v>
      </c>
      <c r="J86" s="40">
        <f ca="1">IFERROR(__xludf.DUMMYFUNCTION("IF(SUM(COUNTIF(artists!C:C, SPLIT(D86, "",""))) &gt; 0, ""RU"", 0)"),0)</f>
        <v>0</v>
      </c>
      <c r="K86" s="39">
        <f ca="1">IFERROR(__xludf.DUMMYFUNCTION("IF(SUM(COUNTIF(artists!E:E, SPLIT(D86, "",""))) &gt; 0, ""OTHER"", 0)"),0)</f>
        <v>0</v>
      </c>
    </row>
    <row r="87" spans="1:11" ht="14.25" customHeight="1">
      <c r="A87" s="21">
        <v>86</v>
      </c>
      <c r="C87" s="21" t="s">
        <v>1010</v>
      </c>
      <c r="D87" s="21" t="s">
        <v>1011</v>
      </c>
      <c r="E87" s="21">
        <v>21</v>
      </c>
      <c r="F87" s="21">
        <v>165266</v>
      </c>
      <c r="H87" s="21" t="s">
        <v>1012</v>
      </c>
      <c r="I87" s="39" t="str">
        <f ca="1">IFERROR(__xludf.DUMMYFUNCTION("IF(SUM(COUNTIF(artists!A:A, SPLIT(D87, "",""))) &gt; 0, ""UA"", 0)"),"UA")</f>
        <v>UA</v>
      </c>
      <c r="J87" s="40">
        <f ca="1">IFERROR(__xludf.DUMMYFUNCTION("IF(SUM(COUNTIF(artists!C:C, SPLIT(D87, "",""))) &gt; 0, ""RU"", 0)"),0)</f>
        <v>0</v>
      </c>
      <c r="K87" s="39">
        <f ca="1">IFERROR(__xludf.DUMMYFUNCTION("IF(SUM(COUNTIF(artists!E:E, SPLIT(D87, "",""))) &gt; 0, ""OTHER"", 0)"),0)</f>
        <v>0</v>
      </c>
    </row>
    <row r="88" spans="1:11" ht="14.25" customHeight="1">
      <c r="A88" s="21">
        <v>87</v>
      </c>
      <c r="C88" s="21" t="s">
        <v>706</v>
      </c>
      <c r="D88" s="21" t="s">
        <v>199</v>
      </c>
      <c r="E88" s="21">
        <v>20</v>
      </c>
      <c r="F88" s="21">
        <v>164431</v>
      </c>
      <c r="H88" s="21" t="s">
        <v>1126</v>
      </c>
      <c r="I88" s="39" t="str">
        <f ca="1">IFERROR(__xludf.DUMMYFUNCTION("IF(SUM(COUNTIF(artists!A:A, SPLIT(D88, "",""))) &gt; 0, ""UA"", 0)"),"UA")</f>
        <v>UA</v>
      </c>
      <c r="J88" s="40">
        <f ca="1">IFERROR(__xludf.DUMMYFUNCTION("IF(SUM(COUNTIF(artists!C:C, SPLIT(D88, "",""))) &gt; 0, ""RU"", 0)"),0)</f>
        <v>0</v>
      </c>
      <c r="K88" s="39">
        <f ca="1">IFERROR(__xludf.DUMMYFUNCTION("IF(SUM(COUNTIF(artists!E:E, SPLIT(D88, "",""))) &gt; 0, ""OTHER"", 0)"),0)</f>
        <v>0</v>
      </c>
    </row>
    <row r="89" spans="1:11" ht="14.25" customHeight="1">
      <c r="A89" s="21">
        <v>88</v>
      </c>
      <c r="C89" s="21" t="s">
        <v>505</v>
      </c>
      <c r="D89" s="21" t="s">
        <v>506</v>
      </c>
      <c r="E89" s="21">
        <v>23</v>
      </c>
      <c r="F89" s="21">
        <v>159917</v>
      </c>
      <c r="H89" s="21" t="s">
        <v>507</v>
      </c>
      <c r="I89" s="39">
        <f ca="1">IFERROR(__xludf.DUMMYFUNCTION("IF(SUM(COUNTIF(artists!A:A, SPLIT(D89, "",""))) &gt; 0, ""UA"", 0)"),0)</f>
        <v>0</v>
      </c>
      <c r="J89" s="40">
        <f ca="1">IFERROR(__xludf.DUMMYFUNCTION("IF(SUM(COUNTIF(artists!C:C, SPLIT(D89, "",""))) &gt; 0, ""RU"", 0)"),0)</f>
        <v>0</v>
      </c>
      <c r="K89" s="39" t="str">
        <f ca="1">IFERROR(__xludf.DUMMYFUNCTION("IF(SUM(COUNTIF(artists!E:E, SPLIT(D89, "",""))) &gt; 0, ""OTHER"", 0)"),"OTHER")</f>
        <v>OTHER</v>
      </c>
    </row>
    <row r="90" spans="1:11" ht="14.25" customHeight="1">
      <c r="A90" s="21">
        <v>89</v>
      </c>
      <c r="B90" s="21">
        <v>71</v>
      </c>
      <c r="C90" s="21" t="s">
        <v>1127</v>
      </c>
      <c r="D90" s="21" t="s">
        <v>1128</v>
      </c>
      <c r="E90" s="21">
        <v>3</v>
      </c>
      <c r="F90" s="21">
        <v>157757</v>
      </c>
      <c r="G90" s="42">
        <v>-0.13600000000000001</v>
      </c>
      <c r="H90" s="21" t="s">
        <v>1129</v>
      </c>
      <c r="I90" s="39">
        <f ca="1">IFERROR(__xludf.DUMMYFUNCTION("IF(SUM(COUNTIF(artists!A:A, SPLIT(D90, "",""))) &gt; 0, ""UA"", 0)"),0)</f>
        <v>0</v>
      </c>
      <c r="J90" s="40" t="str">
        <f ca="1">IFERROR(__xludf.DUMMYFUNCTION("IF(SUM(COUNTIF(artists!C:C, SPLIT(D90, "",""))) &gt; 0, ""RU"", 0)"),"RU")</f>
        <v>RU</v>
      </c>
      <c r="K90" s="39">
        <f ca="1">IFERROR(__xludf.DUMMYFUNCTION("IF(SUM(COUNTIF(artists!E:E, SPLIT(D90, "",""))) &gt; 0, ""OTHER"", 0)"),0)</f>
        <v>0</v>
      </c>
    </row>
    <row r="91" spans="1:11" ht="14.25" customHeight="1">
      <c r="A91" s="21">
        <v>90</v>
      </c>
      <c r="B91" s="21">
        <v>98</v>
      </c>
      <c r="C91" s="21" t="s">
        <v>1101</v>
      </c>
      <c r="D91" s="21" t="s">
        <v>498</v>
      </c>
      <c r="E91" s="21">
        <v>7</v>
      </c>
      <c r="F91" s="21">
        <v>157153</v>
      </c>
      <c r="G91" s="42">
        <v>9.8000000000000004E-2</v>
      </c>
      <c r="H91" s="21" t="s">
        <v>1102</v>
      </c>
      <c r="I91" s="39" t="str">
        <f ca="1">IFERROR(__xludf.DUMMYFUNCTION("IF(SUM(COUNTIF(artists!A:A, SPLIT(D91, "",""))) &gt; 0, ""UA"", 0)"),"UA")</f>
        <v>UA</v>
      </c>
      <c r="J91" s="40">
        <f ca="1">IFERROR(__xludf.DUMMYFUNCTION("IF(SUM(COUNTIF(artists!C:C, SPLIT(D91, "",""))) &gt; 0, ""RU"", 0)"),0)</f>
        <v>0</v>
      </c>
      <c r="K91" s="39">
        <f ca="1">IFERROR(__xludf.DUMMYFUNCTION("IF(SUM(COUNTIF(artists!E:E, SPLIT(D91, "",""))) &gt; 0, ""OTHER"", 0)"),0)</f>
        <v>0</v>
      </c>
    </row>
    <row r="92" spans="1:11" ht="14.25" customHeight="1">
      <c r="A92" s="21">
        <v>91</v>
      </c>
      <c r="B92" s="21">
        <v>76</v>
      </c>
      <c r="C92" s="21" t="s">
        <v>953</v>
      </c>
      <c r="D92" s="21" t="s">
        <v>954</v>
      </c>
      <c r="E92" s="21">
        <v>4</v>
      </c>
      <c r="F92" s="21">
        <v>156845</v>
      </c>
      <c r="G92" s="42">
        <v>-7.6999999999999999E-2</v>
      </c>
      <c r="H92" s="21" t="s">
        <v>955</v>
      </c>
      <c r="I92" s="39">
        <f ca="1">IFERROR(__xludf.DUMMYFUNCTION("IF(SUM(COUNTIF(artists!A:A, SPLIT(D92, "",""))) &gt; 0, ""UA"", 0)"),0)</f>
        <v>0</v>
      </c>
      <c r="J92" s="40" t="str">
        <f ca="1">IFERROR(__xludf.DUMMYFUNCTION("IF(SUM(COUNTIF(artists!C:C, SPLIT(D92, "",""))) &gt; 0, ""RU"", 0)"),"RU")</f>
        <v>RU</v>
      </c>
      <c r="K92" s="39">
        <f ca="1">IFERROR(__xludf.DUMMYFUNCTION("IF(SUM(COUNTIF(artists!E:E, SPLIT(D92, "",""))) &gt; 0, ""OTHER"", 0)"),0)</f>
        <v>0</v>
      </c>
    </row>
    <row r="93" spans="1:11" ht="14.25" customHeight="1">
      <c r="A93" s="21">
        <v>92</v>
      </c>
      <c r="B93" s="21">
        <v>97</v>
      </c>
      <c r="C93" s="21" t="s">
        <v>313</v>
      </c>
      <c r="D93" s="21" t="s">
        <v>310</v>
      </c>
      <c r="E93" s="21">
        <v>4</v>
      </c>
      <c r="F93" s="21">
        <v>156367</v>
      </c>
      <c r="G93" s="42">
        <v>8.8999999999999996E-2</v>
      </c>
      <c r="H93" s="21" t="s">
        <v>398</v>
      </c>
      <c r="I93" s="39">
        <f ca="1">IFERROR(__xludf.DUMMYFUNCTION("IF(SUM(COUNTIF(artists!A:A, SPLIT(D93, "",""))) &gt; 0, ""UA"", 0)"),0)</f>
        <v>0</v>
      </c>
      <c r="J93" s="40">
        <f ca="1">IFERROR(__xludf.DUMMYFUNCTION("IF(SUM(COUNTIF(artists!C:C, SPLIT(D93, "",""))) &gt; 0, ""RU"", 0)"),0)</f>
        <v>0</v>
      </c>
      <c r="K93" s="39" t="str">
        <f ca="1">IFERROR(__xludf.DUMMYFUNCTION("IF(SUM(COUNTIF(artists!E:E, SPLIT(D93, "",""))) &gt; 0, ""OTHER"", 0)"),"OTHER")</f>
        <v>OTHER</v>
      </c>
    </row>
    <row r="94" spans="1:11" ht="14.25" customHeight="1">
      <c r="A94" s="21">
        <v>93</v>
      </c>
      <c r="B94" s="21">
        <v>82</v>
      </c>
      <c r="C94" s="21" t="s">
        <v>1076</v>
      </c>
      <c r="D94" s="21" t="s">
        <v>1077</v>
      </c>
      <c r="E94" s="21">
        <v>17</v>
      </c>
      <c r="F94" s="21">
        <v>155033</v>
      </c>
      <c r="G94" s="42">
        <v>-3.1E-2</v>
      </c>
      <c r="H94" s="21" t="s">
        <v>1078</v>
      </c>
      <c r="I94" s="39" t="str">
        <f ca="1">IFERROR(__xludf.DUMMYFUNCTION("IF(SUM(COUNTIF(artists!A:A, SPLIT(D94, "",""))) &gt; 0, ""UA"", 0)"),"UA")</f>
        <v>UA</v>
      </c>
      <c r="J94" s="40">
        <f ca="1">IFERROR(__xludf.DUMMYFUNCTION("IF(SUM(COUNTIF(artists!C:C, SPLIT(D94, "",""))) &gt; 0, ""RU"", 0)"),0)</f>
        <v>0</v>
      </c>
      <c r="K94" s="39">
        <f ca="1">IFERROR(__xludf.DUMMYFUNCTION("IF(SUM(COUNTIF(artists!E:E, SPLIT(D94, "",""))) &gt; 0, ""OTHER"", 0)"),0)</f>
        <v>0</v>
      </c>
    </row>
    <row r="95" spans="1:11" ht="14.25" customHeight="1">
      <c r="A95" s="21">
        <v>94</v>
      </c>
      <c r="B95" s="21">
        <v>83</v>
      </c>
      <c r="C95" s="21" t="s">
        <v>343</v>
      </c>
      <c r="D95" s="21" t="s">
        <v>344</v>
      </c>
      <c r="E95" s="21">
        <v>7</v>
      </c>
      <c r="F95" s="21">
        <v>152363</v>
      </c>
      <c r="G95" s="42">
        <v>-4.4999999999999998E-2</v>
      </c>
      <c r="H95" s="21" t="s">
        <v>346</v>
      </c>
      <c r="I95" s="39" t="str">
        <f ca="1">IFERROR(__xludf.DUMMYFUNCTION("IF(SUM(COUNTIF(artists!A:A, SPLIT(D95, "",""))) &gt; 0, ""UA"", 0)"),"UA")</f>
        <v>UA</v>
      </c>
      <c r="J95" s="40">
        <f ca="1">IFERROR(__xludf.DUMMYFUNCTION("IF(SUM(COUNTIF(artists!C:C, SPLIT(D95, "",""))) &gt; 0, ""RU"", 0)"),0)</f>
        <v>0</v>
      </c>
      <c r="K95" s="39">
        <f ca="1">IFERROR(__xludf.DUMMYFUNCTION("IF(SUM(COUNTIF(artists!E:E, SPLIT(D95, "",""))) &gt; 0, ""OTHER"", 0)"),0)</f>
        <v>0</v>
      </c>
    </row>
    <row r="96" spans="1:11" ht="14.25" customHeight="1">
      <c r="A96" s="21">
        <v>95</v>
      </c>
      <c r="B96" s="21">
        <v>30</v>
      </c>
      <c r="C96" s="21" t="s">
        <v>1130</v>
      </c>
      <c r="D96" s="21" t="s">
        <v>1131</v>
      </c>
      <c r="E96" s="21">
        <v>2</v>
      </c>
      <c r="F96" s="21">
        <v>151522</v>
      </c>
      <c r="G96" s="42">
        <v>-0.56299999999999994</v>
      </c>
      <c r="H96" s="21" t="s">
        <v>1132</v>
      </c>
      <c r="I96" s="39">
        <f ca="1">IFERROR(__xludf.DUMMYFUNCTION("IF(SUM(COUNTIF(artists!A:A, SPLIT(D96, "",""))) &gt; 0, ""UA"", 0)"),0)</f>
        <v>0</v>
      </c>
      <c r="J96" s="40" t="str">
        <f ca="1">IFERROR(__xludf.DUMMYFUNCTION("IF(SUM(COUNTIF(artists!C:C, SPLIT(D96, "",""))) &gt; 0, ""RU"", 0)"),"RU")</f>
        <v>RU</v>
      </c>
      <c r="K96" s="39">
        <f ca="1">IFERROR(__xludf.DUMMYFUNCTION("IF(SUM(COUNTIF(artists!E:E, SPLIT(D96, "",""))) &gt; 0, ""OTHER"", 0)"),0)</f>
        <v>0</v>
      </c>
    </row>
    <row r="97" spans="1:11" ht="14.25" customHeight="1">
      <c r="A97" s="21">
        <v>96</v>
      </c>
      <c r="B97" s="21">
        <v>54</v>
      </c>
      <c r="C97" s="21" t="s">
        <v>622</v>
      </c>
      <c r="D97" s="21" t="s">
        <v>108</v>
      </c>
      <c r="E97" s="21">
        <v>2</v>
      </c>
      <c r="F97" s="21">
        <v>151089</v>
      </c>
      <c r="G97" s="42">
        <v>-0.316</v>
      </c>
      <c r="H97" s="21" t="s">
        <v>623</v>
      </c>
      <c r="I97" s="39" t="str">
        <f ca="1">IFERROR(__xludf.DUMMYFUNCTION("IF(SUM(COUNTIF(artists!A:A, SPLIT(D97, "",""))) &gt; 0, ""UA"", 0)"),"UA")</f>
        <v>UA</v>
      </c>
      <c r="J97" s="40">
        <f ca="1">IFERROR(__xludf.DUMMYFUNCTION("IF(SUM(COUNTIF(artists!C:C, SPLIT(D97, "",""))) &gt; 0, ""RU"", 0)"),0)</f>
        <v>0</v>
      </c>
      <c r="K97" s="39">
        <f ca="1">IFERROR(__xludf.DUMMYFUNCTION("IF(SUM(COUNTIF(artists!E:E, SPLIT(D97, "",""))) &gt; 0, ""OTHER"", 0)"),0)</f>
        <v>0</v>
      </c>
    </row>
    <row r="98" spans="1:11" ht="14.25" customHeight="1">
      <c r="A98" s="21">
        <v>97</v>
      </c>
      <c r="C98" s="21" t="s">
        <v>1133</v>
      </c>
      <c r="D98" s="21" t="s">
        <v>89</v>
      </c>
      <c r="E98" s="21">
        <v>11</v>
      </c>
      <c r="F98" s="21">
        <v>150483</v>
      </c>
      <c r="H98" s="21" t="s">
        <v>1134</v>
      </c>
      <c r="I98" s="39" t="str">
        <f ca="1">IFERROR(__xludf.DUMMYFUNCTION("IF(SUM(COUNTIF(artists!A:A, SPLIT(D98, "",""))) &gt; 0, ""UA"", 0)"),"UA")</f>
        <v>UA</v>
      </c>
      <c r="J98" s="40">
        <f ca="1">IFERROR(__xludf.DUMMYFUNCTION("IF(SUM(COUNTIF(artists!C:C, SPLIT(D98, "",""))) &gt; 0, ""RU"", 0)"),0)</f>
        <v>0</v>
      </c>
      <c r="K98" s="39">
        <f ca="1">IFERROR(__xludf.DUMMYFUNCTION("IF(SUM(COUNTIF(artists!E:E, SPLIT(D98, "",""))) &gt; 0, ""OTHER"", 0)"),0)</f>
        <v>0</v>
      </c>
    </row>
    <row r="99" spans="1:11" ht="14.25" customHeight="1">
      <c r="A99" s="21">
        <v>98</v>
      </c>
      <c r="C99" s="21" t="s">
        <v>1135</v>
      </c>
      <c r="D99" s="21" t="s">
        <v>85</v>
      </c>
      <c r="E99" s="21">
        <v>7</v>
      </c>
      <c r="F99" s="21">
        <v>148089</v>
      </c>
      <c r="H99" s="21" t="s">
        <v>1136</v>
      </c>
      <c r="I99" s="39" t="str">
        <f ca="1">IFERROR(__xludf.DUMMYFUNCTION("IF(SUM(COUNTIF(artists!A:A, SPLIT(D99, "",""))) &gt; 0, ""UA"", 0)"),"UA")</f>
        <v>UA</v>
      </c>
      <c r="J99" s="40">
        <f ca="1">IFERROR(__xludf.DUMMYFUNCTION("IF(SUM(COUNTIF(artists!C:C, SPLIT(D99, "",""))) &gt; 0, ""RU"", 0)"),0)</f>
        <v>0</v>
      </c>
      <c r="K99" s="39">
        <f ca="1">IFERROR(__xludf.DUMMYFUNCTION("IF(SUM(COUNTIF(artists!E:E, SPLIT(D99, "",""))) &gt; 0, ""OTHER"", 0)"),0)</f>
        <v>0</v>
      </c>
    </row>
    <row r="100" spans="1:11" ht="14.25" customHeight="1">
      <c r="A100" s="21">
        <v>99</v>
      </c>
      <c r="C100" s="21" t="s">
        <v>383</v>
      </c>
      <c r="D100" s="21" t="s">
        <v>384</v>
      </c>
      <c r="E100" s="21">
        <v>4</v>
      </c>
      <c r="F100" s="21">
        <v>147872</v>
      </c>
      <c r="H100" s="21" t="s">
        <v>386</v>
      </c>
      <c r="I100" s="39">
        <f ca="1">IFERROR(__xludf.DUMMYFUNCTION("IF(SUM(COUNTIF(artists!A:A, SPLIT(D100, "",""))) &gt; 0, ""UA"", 0)"),0)</f>
        <v>0</v>
      </c>
      <c r="J100" s="40">
        <f ca="1">IFERROR(__xludf.DUMMYFUNCTION("IF(SUM(COUNTIF(artists!C:C, SPLIT(D100, "",""))) &gt; 0, ""RU"", 0)"),0)</f>
        <v>0</v>
      </c>
      <c r="K100" s="39" t="str">
        <f ca="1">IFERROR(__xludf.DUMMYFUNCTION("IF(SUM(COUNTIF(artists!E:E, SPLIT(D100, "",""))) &gt; 0, ""OTHER"", 0)"),"OTHER")</f>
        <v>OTHER</v>
      </c>
    </row>
    <row r="101" spans="1:11" ht="14.25" customHeight="1">
      <c r="A101" s="21">
        <v>100</v>
      </c>
      <c r="B101" s="21">
        <v>93</v>
      </c>
      <c r="C101" s="21" t="s">
        <v>1137</v>
      </c>
      <c r="D101" s="21" t="s">
        <v>1117</v>
      </c>
      <c r="E101" s="21">
        <v>10</v>
      </c>
      <c r="F101" s="21">
        <v>147714</v>
      </c>
      <c r="G101" s="42">
        <v>2.4E-2</v>
      </c>
      <c r="H101" s="21" t="s">
        <v>1138</v>
      </c>
      <c r="I101" s="39">
        <f ca="1">IFERROR(__xludf.DUMMYFUNCTION("IF(SUM(COUNTIF(artists!A:A, SPLIT(D101, "",""))) &gt; 0, ""UA"", 0)"),0)</f>
        <v>0</v>
      </c>
      <c r="J101" s="40" t="str">
        <f ca="1">IFERROR(__xludf.DUMMYFUNCTION("IF(SUM(COUNTIF(artists!C:C, SPLIT(D101, "",""))) &gt; 0, ""RU"", 0)"),"RU")</f>
        <v>RU</v>
      </c>
      <c r="K101" s="39">
        <f ca="1">IFERROR(__xludf.DUMMYFUNCTION("IF(SUM(COUNTIF(artists!E:E, SPLIT(D101, "",""))) &gt; 0, ""OTHER"", 0)"),0)</f>
        <v>0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87" priority="1">
      <formula>AND($I2=0, $J2=0, $K2=0)</formula>
    </cfRule>
    <cfRule type="expression" dxfId="86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Аркуш2">
    <outlinePr summaryBelow="0" summaryRight="0"/>
  </sheetPr>
  <dimension ref="A1:I1000"/>
  <sheetViews>
    <sheetView tabSelected="1" workbookViewId="0">
      <selection activeCell="C8" sqref="C8"/>
    </sheetView>
  </sheetViews>
  <sheetFormatPr defaultColWidth="14.44140625" defaultRowHeight="15.75" customHeight="1"/>
  <cols>
    <col min="1" max="1" width="34.88671875" customWidth="1"/>
    <col min="3" max="3" width="22.88671875" customWidth="1"/>
    <col min="5" max="5" width="20.33203125" customWidth="1"/>
  </cols>
  <sheetData>
    <row r="1" spans="1:9">
      <c r="A1" s="1" t="str">
        <f ca="1">IFERROR(__xludf.DUMMYFUNCTION("IMPORTRANGE(""https://docs.google.com/spreadsheets/d/1lXyHyhuJTpkbm_kWob9mCxOLfHGvmFDaH8HrKLEjBM8/edit?usp=sharing"",""artists!A1:E1000"")"),"UA")</f>
        <v>UA</v>
      </c>
      <c r="B1" s="10"/>
      <c r="C1" s="1" t="str">
        <f ca="1">IFERROR(__xludf.DUMMYFUNCTION("""COMPUTED_VALUE"""),"RU")</f>
        <v>RU</v>
      </c>
      <c r="D1" s="10"/>
      <c r="E1" s="1" t="str">
        <f ca="1">IFERROR(__xludf.DUMMYFUNCTION("""COMPUTED_VALUE"""),"OTHER")</f>
        <v>OTHER</v>
      </c>
      <c r="F1" s="10"/>
      <c r="G1" s="10"/>
      <c r="H1" s="10"/>
      <c r="I1" s="10"/>
    </row>
    <row r="2" spans="1:9">
      <c r="A2" s="10" t="str">
        <f ca="1">IFERROR(__xludf.DUMMYFUNCTION("""COMPUTED_VALUE"""),"KALUSH")</f>
        <v>KALUSH</v>
      </c>
      <c r="B2" s="10"/>
      <c r="C2" s="10" t="str">
        <f ca="1">IFERROR(__xludf.DUMMYFUNCTION("""COMPUTED_VALUE"""),"shadowraze")</f>
        <v>shadowraze</v>
      </c>
      <c r="D2" s="10"/>
      <c r="E2" s="10" t="str">
        <f ca="1">IFERROR(__xludf.DUMMYFUNCTION("""COMPUTED_VALUE"""),"Kordhell")</f>
        <v>Kordhell</v>
      </c>
      <c r="F2" s="10"/>
      <c r="G2" s="10"/>
      <c r="H2" s="10"/>
      <c r="I2" s="10"/>
    </row>
    <row r="3" spans="1:9">
      <c r="A3" s="10" t="str">
        <f ca="1">IFERROR(__xludf.DUMMYFUNCTION("""COMPUTED_VALUE"""),"Мюслі UA")</f>
        <v>Мюслі UA</v>
      </c>
      <c r="B3" s="10"/>
      <c r="C3" s="10" t="str">
        <f ca="1">IFERROR(__xludf.DUMMYFUNCTION("""COMPUTED_VALUE"""),"zxcursed")</f>
        <v>zxcursed</v>
      </c>
      <c r="D3" s="10"/>
      <c r="E3" s="10" t="str">
        <f ca="1">IFERROR(__xludf.DUMMYFUNCTION("""COMPUTED_VALUE"""),"BLACKPINK")</f>
        <v>BLACKPINK</v>
      </c>
      <c r="F3" s="10"/>
      <c r="G3" s="10"/>
      <c r="H3" s="10"/>
      <c r="I3" s="10"/>
    </row>
    <row r="4" spans="1:9">
      <c r="A4" s="10" t="str">
        <f ca="1">IFERROR(__xludf.DUMMYFUNCTION("""COMPUTED_VALUE"""),"jockii druce")</f>
        <v>jockii druce</v>
      </c>
      <c r="B4" s="10"/>
      <c r="C4" s="10" t="str">
        <f ca="1">IFERROR(__xludf.DUMMYFUNCTION("""COMPUTED_VALUE"""),"WENARO")</f>
        <v>WENARO</v>
      </c>
      <c r="D4" s="10"/>
      <c r="E4" s="10" t="str">
        <f ca="1">IFERROR(__xludf.DUMMYFUNCTION("""COMPUTED_VALUE"""),"Imagine Dragons")</f>
        <v>Imagine Dragons</v>
      </c>
      <c r="F4" s="10"/>
      <c r="G4" s="10"/>
      <c r="H4" s="10"/>
      <c r="I4" s="10"/>
    </row>
    <row r="5" spans="1:9">
      <c r="A5" s="10" t="str">
        <f ca="1">IFERROR(__xludf.DUMMYFUNCTION("""COMPUTED_VALUE"""),"Khrystyna Soloviy")</f>
        <v>Khrystyna Soloviy</v>
      </c>
      <c r="B5" s="10"/>
      <c r="C5" s="10" t="str">
        <f ca="1">IFERROR(__xludf.DUMMYFUNCTION("""COMPUTED_VALUE"""),"FACE")</f>
        <v>FACE</v>
      </c>
      <c r="D5" s="10"/>
      <c r="E5" s="10" t="str">
        <f ca="1">IFERROR(__xludf.DUMMYFUNCTION("""COMPUTED_VALUE"""),"PLAYAMANE")</f>
        <v>PLAYAMANE</v>
      </c>
      <c r="F5" s="10"/>
      <c r="G5" s="10"/>
      <c r="H5" s="10"/>
      <c r="I5" s="10"/>
    </row>
    <row r="6" spans="1:9">
      <c r="A6" s="10" t="str">
        <f ca="1">IFERROR(__xludf.DUMMYFUNCTION("""COMPUTED_VALUE"""),"Okean Elzy")</f>
        <v>Okean Elzy</v>
      </c>
      <c r="B6" s="10"/>
      <c r="C6" s="10" t="str">
        <f ca="1">IFERROR(__xludf.DUMMYFUNCTION("""COMPUTED_VALUE"""),"MORGENSHTERN")</f>
        <v>MORGENSHTERN</v>
      </c>
      <c r="D6" s="10"/>
      <c r="E6" s="32" t="str">
        <f ca="1">IFERROR(__xludf.DUMMYFUNCTION("""COMPUTED_VALUE"""),"Dxrk ダーク")</f>
        <v>Dxrk ダーク</v>
      </c>
      <c r="F6" s="10"/>
      <c r="G6" s="10"/>
      <c r="H6" s="10"/>
      <c r="I6" s="10"/>
    </row>
    <row r="7" spans="1:9">
      <c r="A7" s="10" t="str">
        <f ca="1">IFERROR(__xludf.DUMMYFUNCTION("""COMPUTED_VALUE"""),"Jerry Heil")</f>
        <v>Jerry Heil</v>
      </c>
      <c r="B7" s="10"/>
      <c r="C7" s="10" t="str">
        <f ca="1">IFERROR(__xludf.DUMMYFUNCTION("""COMPUTED_VALUE"""),"ПОЛМАТЕРИ")</f>
        <v>ПОЛМАТЕРИ</v>
      </c>
      <c r="D7" s="10"/>
      <c r="E7" s="10" t="str">
        <f ca="1">IFERROR(__xludf.DUMMYFUNCTION("""COMPUTED_VALUE"""),"MoonDeity")</f>
        <v>MoonDeity</v>
      </c>
      <c r="F7" s="10"/>
      <c r="G7" s="10"/>
      <c r="H7" s="10"/>
      <c r="I7" s="10"/>
    </row>
    <row r="8" spans="1:9">
      <c r="A8" s="10" t="str">
        <f ca="1">IFERROR(__xludf.DUMMYFUNCTION("""COMPUTED_VALUE"""),"MAX BARSKIH")</f>
        <v>MAX BARSKIH</v>
      </c>
      <c r="B8" s="10"/>
      <c r="C8" s="10" t="str">
        <f ca="1">IFERROR(__xludf.DUMMYFUNCTION("""COMPUTED_VALUE"""),"fem.love")</f>
        <v>fem.love</v>
      </c>
      <c r="D8" s="10"/>
      <c r="E8" s="10" t="str">
        <f ca="1">IFERROR(__xludf.DUMMYFUNCTION("""COMPUTED_VALUE"""),"Mr.Kitty")</f>
        <v>Mr.Kitty</v>
      </c>
      <c r="F8" s="10"/>
      <c r="G8" s="10"/>
      <c r="H8" s="10"/>
      <c r="I8" s="10"/>
    </row>
    <row r="9" spans="1:9">
      <c r="A9" s="10" t="str">
        <f ca="1">IFERROR(__xludf.DUMMYFUNCTION("""COMPUTED_VALUE"""),"LAUD")</f>
        <v>LAUD</v>
      </c>
      <c r="B9" s="10"/>
      <c r="C9" s="10" t="str">
        <f ca="1">IFERROR(__xludf.DUMMYFUNCTION("""COMPUTED_VALUE"""),"rizza")</f>
        <v>rizza</v>
      </c>
      <c r="D9" s="10"/>
      <c r="E9" s="10" t="str">
        <f ca="1">IFERROR(__xludf.DUMMYFUNCTION("""COMPUTED_VALUE"""),"Tom Odell")</f>
        <v>Tom Odell</v>
      </c>
      <c r="F9" s="10"/>
      <c r="G9" s="10"/>
      <c r="H9" s="10"/>
      <c r="I9" s="10"/>
    </row>
    <row r="10" spans="1:9">
      <c r="A10" s="10" t="str">
        <f ca="1">IFERROR(__xludf.DUMMYFUNCTION("""COMPUTED_VALUE"""),"Boombox")</f>
        <v>Boombox</v>
      </c>
      <c r="B10" s="10"/>
      <c r="C10" s="10" t="str">
        <f ca="1">IFERROR(__xludf.DUMMYFUNCTION("""COMPUTED_VALUE"""),"Шайни")</f>
        <v>Шайни</v>
      </c>
      <c r="D10" s="10"/>
      <c r="E10" s="10" t="str">
        <f ca="1">IFERROR(__xludf.DUMMYFUNCTION("""COMPUTED_VALUE"""),"Manu Chao")</f>
        <v>Manu Chao</v>
      </c>
      <c r="F10" s="10"/>
      <c r="G10" s="10"/>
      <c r="H10" s="10"/>
      <c r="I10" s="10"/>
    </row>
    <row r="11" spans="1:9">
      <c r="A11" s="10" t="str">
        <f ca="1">IFERROR(__xludf.DUMMYFUNCTION("""COMPUTED_VALUE"""),"Odyn v Kanoe")</f>
        <v>Odyn v Kanoe</v>
      </c>
      <c r="B11" s="10"/>
      <c r="C11" s="10" t="str">
        <f ca="1">IFERROR(__xludf.DUMMYFUNCTION("""COMPUTED_VALUE"""),"uniqe")</f>
        <v>uniqe</v>
      </c>
      <c r="D11" s="10"/>
      <c r="E11" s="10" t="str">
        <f ca="1">IFERROR(__xludf.DUMMYFUNCTION("""COMPUTED_VALUE"""),"Kate Bush")</f>
        <v>Kate Bush</v>
      </c>
      <c r="F11" s="10"/>
      <c r="G11" s="10"/>
      <c r="H11" s="10"/>
      <c r="I11" s="10"/>
    </row>
    <row r="12" spans="1:9">
      <c r="A12" s="10" t="str">
        <f ca="1">IFERROR(__xludf.DUMMYFUNCTION("""COMPUTED_VALUE"""),"Arsen Mirzoyan")</f>
        <v>Arsen Mirzoyan</v>
      </c>
      <c r="B12" s="10"/>
      <c r="C12" s="10" t="str">
        <f ca="1">IFERROR(__xludf.DUMMYFUNCTION("""COMPUTED_VALUE"""),"Минин")</f>
        <v>Минин</v>
      </c>
      <c r="D12" s="10"/>
      <c r="E12" s="10" t="str">
        <f ca="1">IFERROR(__xludf.DUMMYFUNCTION("""COMPUTED_VALUE"""),"The Neighbourhood")</f>
        <v>The Neighbourhood</v>
      </c>
      <c r="F12" s="10"/>
      <c r="G12" s="10"/>
      <c r="H12" s="10"/>
      <c r="I12" s="10"/>
    </row>
    <row r="13" spans="1:9">
      <c r="A13" s="10" t="str">
        <f ca="1">IFERROR(__xludf.DUMMYFUNCTION("""COMPUTED_VALUE"""),"Motor'Rolla")</f>
        <v>Motor'Rolla</v>
      </c>
      <c r="B13" s="10"/>
      <c r="C13" s="10" t="str">
        <f ca="1">IFERROR(__xludf.DUMMYFUNCTION("""COMPUTED_VALUE"""),"Big Baby Tape")</f>
        <v>Big Baby Tape</v>
      </c>
      <c r="D13" s="10"/>
      <c r="E13" s="10" t="str">
        <f ca="1">IFERROR(__xludf.DUMMYFUNCTION("""COMPUTED_VALUE"""),"Imagine Dragons ")</f>
        <v xml:space="preserve">Imagine Dragons </v>
      </c>
      <c r="F13" s="10"/>
      <c r="G13" s="10"/>
      <c r="H13" s="10"/>
      <c r="I13" s="10"/>
    </row>
    <row r="14" spans="1:9">
      <c r="A14" s="10" t="str">
        <f ca="1">IFERROR(__xludf.DUMMYFUNCTION("""COMPUTED_VALUE"""),"Wellboy")</f>
        <v>Wellboy</v>
      </c>
      <c r="B14" s="10"/>
      <c r="C14" s="10" t="str">
        <f ca="1">IFERROR(__xludf.DUMMYFUNCTION("""COMPUTED_VALUE"""),"КАКАЯ РАЗНИЦА")</f>
        <v>КАКАЯ РАЗНИЦА</v>
      </c>
      <c r="D14" s="10"/>
      <c r="E14" s="10" t="str">
        <f ca="1">IFERROR(__xludf.DUMMYFUNCTION("""COMPUTED_VALUE"""),"Chris Brown")</f>
        <v>Chris Brown</v>
      </c>
      <c r="F14" s="10"/>
      <c r="G14" s="10"/>
      <c r="H14" s="10"/>
      <c r="I14" s="10"/>
    </row>
    <row r="15" spans="1:9">
      <c r="A15" s="10" t="str">
        <f ca="1">IFERROR(__xludf.DUMMYFUNCTION("""COMPUTED_VALUE"""),"YARMAK")</f>
        <v>YARMAK</v>
      </c>
      <c r="B15" s="10"/>
      <c r="C15" s="10" t="str">
        <f ca="1">IFERROR(__xludf.DUMMYFUNCTION("""COMPUTED_VALUE"""),"вышел покурить")</f>
        <v>вышел покурить</v>
      </c>
      <c r="D15" s="10"/>
      <c r="E15" s="10" t="str">
        <f ca="1">IFERROR(__xludf.DUMMYFUNCTION("""COMPUTED_VALUE"""),"Harry Styles")</f>
        <v>Harry Styles</v>
      </c>
      <c r="F15" s="10"/>
      <c r="G15" s="10"/>
      <c r="H15" s="10"/>
      <c r="I15" s="10"/>
    </row>
    <row r="16" spans="1:9">
      <c r="A16" s="10" t="str">
        <f ca="1">IFERROR(__xludf.DUMMYFUNCTION("""COMPUTED_VALUE"""),"Руся")</f>
        <v>Руся</v>
      </c>
      <c r="B16" s="10"/>
      <c r="C16" s="10" t="str">
        <f ca="1">IFERROR(__xludf.DUMMYFUNCTION("""COMPUTED_VALUE"""),"Zapomni")</f>
        <v>Zapomni</v>
      </c>
      <c r="D16" s="10"/>
      <c r="E16" s="10" t="str">
        <f ca="1">IFERROR(__xludf.DUMMYFUNCTION("""COMPUTED_VALUE"""),"Ghost")</f>
        <v>Ghost</v>
      </c>
      <c r="F16" s="10"/>
      <c r="G16" s="10"/>
      <c r="H16" s="10"/>
      <c r="I16" s="10"/>
    </row>
    <row r="17" spans="1:9">
      <c r="A17" s="10" t="str">
        <f ca="1">IFERROR(__xludf.DUMMYFUNCTION("""COMPUTED_VALUE"""),"MONATIK")</f>
        <v>MONATIK</v>
      </c>
      <c r="B17" s="10"/>
      <c r="C17" s="10" t="str">
        <f ca="1">IFERROR(__xludf.DUMMYFUNCTION("""COMPUTED_VALUE"""),"kizaru")</f>
        <v>kizaru</v>
      </c>
      <c r="D17" s="10"/>
      <c r="E17" s="10" t="str">
        <f ca="1">IFERROR(__xludf.DUMMYFUNCTION("""COMPUTED_VALUE"""),"Kordhell")</f>
        <v>Kordhell</v>
      </c>
      <c r="F17" s="10"/>
      <c r="G17" s="10"/>
      <c r="H17" s="10"/>
      <c r="I17" s="10"/>
    </row>
    <row r="18" spans="1:9">
      <c r="A18" s="10" t="str">
        <f ca="1">IFERROR(__xludf.DUMMYFUNCTION("""COMPUTED_VALUE"""),"Zhadan i Sobaky")</f>
        <v>Zhadan i Sobaky</v>
      </c>
      <c r="B18" s="10"/>
      <c r="C18" s="10" t="str">
        <f ca="1">IFERROR(__xludf.DUMMYFUNCTION("""COMPUTED_VALUE"""),"PHARAOH")</f>
        <v>PHARAOH</v>
      </c>
      <c r="D18" s="10"/>
      <c r="E18" s="10" t="str">
        <f ca="1">IFERROR(__xludf.DUMMYFUNCTION("""COMPUTED_VALUE"""),"XXXTENTACION")</f>
        <v>XXXTENTACION</v>
      </c>
      <c r="F18" s="10"/>
      <c r="G18" s="10"/>
      <c r="H18" s="10"/>
      <c r="I18" s="10"/>
    </row>
    <row r="19" spans="1:9">
      <c r="A19" s="10" t="str">
        <f ca="1">IFERROR(__xludf.DUMMYFUNCTION("""COMPUTED_VALUE"""),"Мері")</f>
        <v>Мері</v>
      </c>
      <c r="B19" s="10"/>
      <c r="C19" s="10" t="str">
        <f ca="1">IFERROR(__xludf.DUMMYFUNCTION("""COMPUTED_VALUE"""),"pyrokinesis")</f>
        <v>pyrokinesis</v>
      </c>
      <c r="D19" s="10"/>
      <c r="E19" s="10" t="str">
        <f ca="1">IFERROR(__xludf.DUMMYFUNCTION("""COMPUTED_VALUE"""),"Surf Curse")</f>
        <v>Surf Curse</v>
      </c>
      <c r="F19" s="10"/>
      <c r="G19" s="10"/>
      <c r="H19" s="10"/>
      <c r="I19" s="10"/>
    </row>
    <row r="20" spans="1:9">
      <c r="A20" s="10" t="str">
        <f ca="1">IFERROR(__xludf.DUMMYFUNCTION("""COMPUTED_VALUE"""),"Taras Chubay")</f>
        <v>Taras Chubay</v>
      </c>
      <c r="B20" s="10"/>
      <c r="C20" s="10" t="str">
        <f ca="1">IFERROR(__xludf.DUMMYFUNCTION("""COMPUTED_VALUE"""),"GAYAZOV$ BROTHER$")</f>
        <v>GAYAZOV$ BROTHER$</v>
      </c>
      <c r="D20" s="10"/>
      <c r="E20" s="10" t="str">
        <f ca="1">IFERROR(__xludf.DUMMYFUNCTION("""COMPUTED_VALUE"""),"MC Mazzie")</f>
        <v>MC Mazzie</v>
      </c>
      <c r="F20" s="10"/>
      <c r="G20" s="10"/>
      <c r="H20" s="10"/>
      <c r="I20" s="10"/>
    </row>
    <row r="21" spans="1:9">
      <c r="A21" s="10" t="str">
        <f ca="1">IFERROR(__xludf.DUMMYFUNCTION("""COMPUTED_VALUE"""),"PROBASS ∆ HARDI")</f>
        <v>PROBASS ∆ HARDI</v>
      </c>
      <c r="B21" s="10"/>
      <c r="C21" s="10" t="str">
        <f ca="1">IFERROR(__xludf.DUMMYFUNCTION("""COMPUTED_VALUE"""),"Miyagi &amp; Andy Panda")</f>
        <v>Miyagi &amp; Andy Panda</v>
      </c>
      <c r="D21" s="10"/>
      <c r="E21" s="10" t="str">
        <f ca="1">IFERROR(__xludf.DUMMYFUNCTION("""COMPUTED_VALUE"""),"KUTE")</f>
        <v>KUTE</v>
      </c>
      <c r="F21" s="10"/>
      <c r="G21" s="10"/>
      <c r="H21" s="10"/>
      <c r="I21" s="10"/>
    </row>
    <row r="22" spans="1:9">
      <c r="A22" s="10" t="str">
        <f ca="1">IFERROR(__xludf.DUMMYFUNCTION("""COMPUTED_VALUE"""),"Go_A")</f>
        <v>Go_A</v>
      </c>
      <c r="B22" s="10"/>
      <c r="C22" s="10" t="str">
        <f ca="1">IFERROR(__xludf.DUMMYFUNCTION("""COMPUTED_VALUE"""),"ssshhhiiittt!")</f>
        <v>ssshhhiiittt!</v>
      </c>
      <c r="D22" s="10"/>
      <c r="E22" s="10" t="str">
        <f ca="1">IFERROR(__xludf.DUMMYFUNCTION("""COMPUTED_VALUE"""),"KSLV Noh")</f>
        <v>KSLV Noh</v>
      </c>
      <c r="F22" s="10"/>
      <c r="G22" s="10"/>
      <c r="H22" s="10"/>
      <c r="I22" s="10"/>
    </row>
    <row r="23" spans="1:9">
      <c r="A23" s="10" t="str">
        <f ca="1">IFERROR(__xludf.DUMMYFUNCTION("""COMPUTED_VALUE"""),"BOTASHE")</f>
        <v>BOTASHE</v>
      </c>
      <c r="B23" s="10"/>
      <c r="C23" s="10" t="str">
        <f ca="1">IFERROR(__xludf.DUMMYFUNCTION("""COMPUTED_VALUE"""),"алёна швец.")</f>
        <v>алёна швец.</v>
      </c>
      <c r="D23" s="10"/>
      <c r="E23" s="10" t="str">
        <f ca="1">IFERROR(__xludf.DUMMYFUNCTION("""COMPUTED_VALUE"""),"KSLV Noh")</f>
        <v>KSLV Noh</v>
      </c>
      <c r="F23" s="10"/>
      <c r="G23" s="10"/>
      <c r="H23" s="10"/>
      <c r="I23" s="10"/>
    </row>
    <row r="24" spans="1:9">
      <c r="A24" s="10" t="str">
        <f ca="1">IFERROR(__xludf.DUMMYFUNCTION("""COMPUTED_VALUE"""),"Skryabin")</f>
        <v>Skryabin</v>
      </c>
      <c r="B24" s="10"/>
      <c r="C24" s="10" t="str">
        <f ca="1">IFERROR(__xludf.DUMMYFUNCTION("""COMPUTED_VALUE"""),"Scally Milano")</f>
        <v>Scally Milano</v>
      </c>
      <c r="D24" s="10"/>
      <c r="E24" s="10" t="str">
        <f ca="1">IFERROR(__xludf.DUMMYFUNCTION("""COMPUTED_VALUE"""),"Cheriimoya")</f>
        <v>Cheriimoya</v>
      </c>
      <c r="F24" s="10"/>
      <c r="G24" s="10"/>
      <c r="H24" s="10"/>
      <c r="I24" s="10"/>
    </row>
    <row r="25" spans="1:9">
      <c r="A25" s="10" t="str">
        <f ca="1">IFERROR(__xludf.DUMMYFUNCTION("""COMPUTED_VALUE"""),"The Kiffness")</f>
        <v>The Kiffness</v>
      </c>
      <c r="B25" s="10"/>
      <c r="C25" s="10" t="str">
        <f ca="1">IFERROR(__xludf.DUMMYFUNCTION("""COMPUTED_VALUE"""),"163ONMYNECK")</f>
        <v>163ONMYNECK</v>
      </c>
      <c r="D25" s="10"/>
      <c r="E25" s="10" t="str">
        <f ca="1">IFERROR(__xludf.DUMMYFUNCTION("""COMPUTED_VALUE"""),"Elley Duhé")</f>
        <v>Elley Duhé</v>
      </c>
      <c r="F25" s="10"/>
      <c r="G25" s="10"/>
      <c r="H25" s="10"/>
      <c r="I25" s="10"/>
    </row>
    <row r="26" spans="1:9">
      <c r="A26" s="10" t="str">
        <f ca="1">IFERROR(__xludf.DUMMYFUNCTION("""COMPUTED_VALUE"""),"Hensonn")</f>
        <v>Hensonn</v>
      </c>
      <c r="B26" s="10"/>
      <c r="C26" s="10" t="str">
        <f ca="1">IFERROR(__xludf.DUMMYFUNCTION("""COMPUTED_VALUE"""),"GONE.Fludd")</f>
        <v>GONE.Fludd</v>
      </c>
      <c r="D26" s="10"/>
      <c r="E26" s="10" t="str">
        <f ca="1">IFERROR(__xludf.DUMMYFUNCTION("""COMPUTED_VALUE"""),"PlayaPhonk")</f>
        <v>PlayaPhonk</v>
      </c>
      <c r="F26" s="10"/>
      <c r="G26" s="10"/>
      <c r="H26" s="10"/>
      <c r="I26" s="10"/>
    </row>
    <row r="27" spans="1:9">
      <c r="A27" s="10" t="str">
        <f ca="1">IFERROR(__xludf.DUMMYFUNCTION("""COMPUTED_VALUE"""),"Нумер 482")</f>
        <v>Нумер 482</v>
      </c>
      <c r="B27" s="10"/>
      <c r="C27" s="10" t="str">
        <f ca="1">IFERROR(__xludf.DUMMYFUNCTION("""COMPUTED_VALUE"""),"semmmyq")</f>
        <v>semmmyq</v>
      </c>
      <c r="D27" s="10"/>
      <c r="E27" s="10" t="str">
        <f ca="1">IFERROR(__xludf.DUMMYFUNCTION("""COMPUTED_VALUE"""),"Nirvana")</f>
        <v>Nirvana</v>
      </c>
      <c r="F27" s="10"/>
      <c r="G27" s="10"/>
      <c r="H27" s="10"/>
      <c r="I27" s="10"/>
    </row>
    <row r="28" spans="1:9">
      <c r="A28" s="10" t="str">
        <f ca="1">IFERROR(__xludf.DUMMYFUNCTION("""COMPUTED_VALUE"""),"SadSvit")</f>
        <v>SadSvit</v>
      </c>
      <c r="B28" s="10"/>
      <c r="C28" s="10" t="str">
        <f ca="1">IFERROR(__xludf.DUMMYFUNCTION("""COMPUTED_VALUE"""),"КОСМОНАВТОВ НЕТ")</f>
        <v>КОСМОНАВТОВ НЕТ</v>
      </c>
      <c r="D28" s="10"/>
      <c r="E28" s="10" t="str">
        <f ca="1">IFERROR(__xludf.DUMMYFUNCTION("""COMPUTED_VALUE"""),"Lil Peep")</f>
        <v>Lil Peep</v>
      </c>
      <c r="F28" s="10"/>
      <c r="G28" s="10"/>
      <c r="H28" s="10"/>
      <c r="I28" s="10"/>
    </row>
    <row r="29" spans="1:9">
      <c r="A29" s="10" t="str">
        <f ca="1">IFERROR(__xludf.DUMMYFUNCTION("""COMPUTED_VALUE"""),"The Hardkiss")</f>
        <v>The Hardkiss</v>
      </c>
      <c r="B29" s="10"/>
      <c r="C29" s="10" t="str">
        <f ca="1">IFERROR(__xludf.DUMMYFUNCTION("""COMPUTED_VALUE"""),"10AGE")</f>
        <v>10AGE</v>
      </c>
      <c r="D29" s="10"/>
      <c r="E29" s="10" t="str">
        <f ca="1">IFERROR(__xludf.DUMMYFUNCTION("""COMPUTED_VALUE"""),"Eyedress")</f>
        <v>Eyedress</v>
      </c>
      <c r="F29" s="10"/>
      <c r="G29" s="10"/>
      <c r="H29" s="10"/>
      <c r="I29" s="10"/>
    </row>
    <row r="30" spans="1:9">
      <c r="A30" s="10" t="str">
        <f ca="1">IFERROR(__xludf.DUMMYFUNCTION("""COMPUTED_VALUE"""),"The Yurcash")</f>
        <v>The Yurcash</v>
      </c>
      <c r="B30" s="10"/>
      <c r="C30" s="10" t="str">
        <f ca="1">IFERROR(__xludf.DUMMYFUNCTION("""COMPUTED_VALUE"""),"Skryptonite")</f>
        <v>Skryptonite</v>
      </c>
      <c r="D30" s="10"/>
      <c r="E30" s="10" t="str">
        <f ca="1">IFERROR(__xludf.DUMMYFUNCTION("""COMPUTED_VALUE"""),"Glass Animals")</f>
        <v>Glass Animals</v>
      </c>
      <c r="F30" s="10"/>
      <c r="G30" s="10"/>
      <c r="H30" s="10"/>
      <c r="I30" s="10"/>
    </row>
    <row r="31" spans="1:9">
      <c r="A31" s="10" t="str">
        <f ca="1">IFERROR(__xludf.DUMMYFUNCTION("""COMPUTED_VALUE"""),"Oisho btz")</f>
        <v>Oisho btz</v>
      </c>
      <c r="B31" s="10"/>
      <c r="C31" s="10" t="str">
        <f ca="1">IFERROR(__xludf.DUMMYFUNCTION("""COMPUTED_VALUE"""),"СЕРЕГА ПИРАТ")</f>
        <v>СЕРЕГА ПИРАТ</v>
      </c>
      <c r="D31" s="10"/>
      <c r="E31" s="10" t="str">
        <f ca="1">IFERROR(__xludf.DUMMYFUNCTION("""COMPUTED_VALUE"""),"MC ORSEN")</f>
        <v>MC ORSEN</v>
      </c>
      <c r="F31" s="10"/>
      <c r="G31" s="10"/>
      <c r="H31" s="10"/>
      <c r="I31" s="10"/>
    </row>
    <row r="32" spans="1:9">
      <c r="A32" s="10" t="str">
        <f ca="1">IFERROR(__xludf.DUMMYFUNCTION("""COMPUTED_VALUE"""),"BEZ OBMEZHEN")</f>
        <v>BEZ OBMEZHEN</v>
      </c>
      <c r="B32" s="10"/>
      <c r="C32" s="10" t="str">
        <f ca="1">IFERROR(__xludf.DUMMYFUNCTION("""COMPUTED_VALUE"""),"INSTASAMKA")</f>
        <v>INSTASAMKA</v>
      </c>
      <c r="D32" s="10"/>
      <c r="E32" s="10" t="str">
        <f ca="1">IFERROR(__xludf.DUMMYFUNCTION("""COMPUTED_VALUE"""),"INTERWORLD")</f>
        <v>INTERWORLD</v>
      </c>
      <c r="F32" s="10"/>
      <c r="G32" s="10"/>
      <c r="H32" s="10"/>
      <c r="I32" s="10"/>
    </row>
    <row r="33" spans="1:9">
      <c r="A33" s="10" t="str">
        <f ca="1">IFERROR(__xludf.DUMMYFUNCTION("""COMPUTED_VALUE"""),"Antytila")</f>
        <v>Antytila</v>
      </c>
      <c r="B33" s="10"/>
      <c r="C33" s="10" t="str">
        <f ca="1">IFERROR(__xludf.DUMMYFUNCTION("""COMPUTED_VALUE"""),"JojoHF")</f>
        <v>JojoHF</v>
      </c>
      <c r="D33" s="10"/>
      <c r="E33" s="10" t="str">
        <f ca="1">IFERROR(__xludf.DUMMYFUNCTION("""COMPUTED_VALUE"""),"GRAVECHILL")</f>
        <v>GRAVECHILL</v>
      </c>
      <c r="F33" s="10"/>
      <c r="G33" s="10"/>
      <c r="H33" s="10"/>
      <c r="I33" s="10"/>
    </row>
    <row r="34" spans="1:9">
      <c r="A34" s="10" t="str">
        <f ca="1">IFERROR(__xludf.DUMMYFUNCTION("""COMPUTED_VALUE"""),"MamaRika")</f>
        <v>MamaRika</v>
      </c>
      <c r="B34" s="10"/>
      <c r="C34" s="10" t="str">
        <f ca="1">IFERROR(__xludf.DUMMYFUNCTION("""COMPUTED_VALUE"""),"ROCKET")</f>
        <v>ROCKET</v>
      </c>
      <c r="D34" s="10"/>
      <c r="E34" s="10" t="str">
        <f ca="1">IFERROR(__xludf.DUMMYFUNCTION("""COMPUTED_VALUE"""),"Arctic Monkeys")</f>
        <v>Arctic Monkeys</v>
      </c>
      <c r="F34" s="10"/>
      <c r="G34" s="10"/>
      <c r="H34" s="10"/>
      <c r="I34" s="10"/>
    </row>
    <row r="35" spans="1:9">
      <c r="A35" s="10" t="str">
        <f ca="1">IFERROR(__xludf.DUMMYFUNCTION("""COMPUTED_VALUE"""),"Skofka")</f>
        <v>Skofka</v>
      </c>
      <c r="B35" s="10"/>
      <c r="C35" s="10" t="str">
        <f ca="1">IFERROR(__xludf.DUMMYFUNCTION("""COMPUTED_VALUE"""),"Pornofilmy")</f>
        <v>Pornofilmy</v>
      </c>
      <c r="D35" s="10"/>
      <c r="E35" s="10" t="str">
        <f ca="1">IFERROR(__xludf.DUMMYFUNCTION("""COMPUTED_VALUE"""),"The Weeknd")</f>
        <v>The Weeknd</v>
      </c>
      <c r="F35" s="10"/>
      <c r="G35" s="10"/>
      <c r="H35" s="10"/>
      <c r="I35" s="10"/>
    </row>
    <row r="36" spans="1:9">
      <c r="A36" s="10" t="str">
        <f ca="1">IFERROR(__xludf.DUMMYFUNCTION("""COMPUTED_VALUE"""),"VovaZiLvova")</f>
        <v>VovaZiLvova</v>
      </c>
      <c r="B36" s="10"/>
      <c r="C36" s="10" t="str">
        <f ca="1">IFERROR(__xludf.DUMMYFUNCTION("""COMPUTED_VALUE"""),"Adecvat_production")</f>
        <v>Adecvat_production</v>
      </c>
      <c r="D36" s="10"/>
      <c r="E36" s="10" t="str">
        <f ca="1">IFERROR(__xludf.DUMMYFUNCTION("""COMPUTED_VALUE"""),"yatashigang")</f>
        <v>yatashigang</v>
      </c>
      <c r="F36" s="10"/>
      <c r="G36" s="10"/>
      <c r="H36" s="10"/>
      <c r="I36" s="10"/>
    </row>
    <row r="37" spans="1:9">
      <c r="A37" s="10" t="str">
        <f ca="1">IFERROR(__xludf.DUMMYFUNCTION("""COMPUTED_VALUE"""),"DAYTON")</f>
        <v>DAYTON</v>
      </c>
      <c r="B37" s="10"/>
      <c r="C37" s="10" t="str">
        <f ca="1">IFERROR(__xludf.DUMMYFUNCTION("""COMPUTED_VALUE"""),"Kambulat")</f>
        <v>Kambulat</v>
      </c>
      <c r="D37" s="10"/>
      <c r="E37" s="10" t="str">
        <f ca="1">IFERROR(__xludf.DUMMYFUNCTION("""COMPUTED_VALUE"""),"The Neighbourhood")</f>
        <v>The Neighbourhood</v>
      </c>
      <c r="F37" s="10"/>
      <c r="G37" s="10"/>
      <c r="H37" s="10"/>
      <c r="I37" s="10"/>
    </row>
    <row r="38" spans="1:9">
      <c r="A38" s="10" t="str">
        <f ca="1">IFERROR(__xludf.DUMMYFUNCTION("""COMPUTED_VALUE"""),"Chico")</f>
        <v>Chico</v>
      </c>
      <c r="B38" s="10"/>
      <c r="C38" s="10" t="str">
        <f ca="1">IFERROR(__xludf.DUMMYFUNCTION("""COMPUTED_VALUE"""),"PLOHOYPAREN")</f>
        <v>PLOHOYPAREN</v>
      </c>
      <c r="D38" s="10"/>
      <c r="E38" s="10" t="str">
        <f ca="1">IFERROR(__xludf.DUMMYFUNCTION("""COMPUTED_VALUE"""),"The Weeknd")</f>
        <v>The Weeknd</v>
      </c>
      <c r="F38" s="10"/>
      <c r="G38" s="10"/>
      <c r="H38" s="10"/>
      <c r="I38" s="10"/>
    </row>
    <row r="39" spans="1:9">
      <c r="A39" s="10" t="str">
        <f ca="1">IFERROR(__xludf.DUMMYFUNCTION("""COMPUTED_VALUE"""),"Медовий Полин")</f>
        <v>Медовий Полин</v>
      </c>
      <c r="B39" s="10"/>
      <c r="C39" s="10" t="str">
        <f ca="1">IFERROR(__xludf.DUMMYFUNCTION("""COMPUTED_VALUE"""),"Нервы")</f>
        <v>Нервы</v>
      </c>
      <c r="D39" s="10"/>
      <c r="E39" s="10" t="str">
        <f ca="1">IFERROR(__xludf.DUMMYFUNCTION("""COMPUTED_VALUE"""),"Eminem")</f>
        <v>Eminem</v>
      </c>
      <c r="F39" s="10"/>
      <c r="G39" s="10"/>
      <c r="H39" s="10"/>
      <c r="I39" s="10"/>
    </row>
    <row r="40" spans="1:9">
      <c r="A40" s="10" t="str">
        <f ca="1">IFERROR(__xludf.DUMMYFUNCTION("""COMPUTED_VALUE"""),"Patsyki Z Franeka")</f>
        <v>Patsyki Z Franeka</v>
      </c>
      <c r="B40" s="10"/>
      <c r="C40" s="10" t="str">
        <f ca="1">IFERROR(__xludf.DUMMYFUNCTION("""COMPUTED_VALUE"""),"LIL MORTY")</f>
        <v>LIL MORTY</v>
      </c>
      <c r="D40" s="10"/>
      <c r="E40" s="10" t="str">
        <f ca="1">IFERROR(__xludf.DUMMYFUNCTION("""COMPUTED_VALUE"""),"The Kid LAROI")</f>
        <v>The Kid LAROI</v>
      </c>
      <c r="F40" s="10"/>
      <c r="G40" s="10"/>
      <c r="H40" s="10"/>
      <c r="I40" s="10"/>
    </row>
    <row r="41" spans="1:9">
      <c r="A41" s="10" t="str">
        <f ca="1">IFERROR(__xludf.DUMMYFUNCTION("""COMPUTED_VALUE"""),"Artem Pivovarov")</f>
        <v>Artem Pivovarov</v>
      </c>
      <c r="B41" s="10"/>
      <c r="C41" s="10" t="str">
        <f ca="1">IFERROR(__xludf.DUMMYFUNCTION("""COMPUTED_VALUE"""),"Перемотка")</f>
        <v>Перемотка</v>
      </c>
      <c r="D41" s="10"/>
      <c r="E41" s="10" t="str">
        <f ca="1">IFERROR(__xludf.DUMMYFUNCTION("""COMPUTED_VALUE"""),"Beach Weather")</f>
        <v>Beach Weather</v>
      </c>
      <c r="F41" s="10"/>
      <c r="G41" s="10"/>
      <c r="H41" s="10"/>
      <c r="I41" s="10"/>
    </row>
    <row r="42" spans="1:9">
      <c r="A42" s="10" t="str">
        <f ca="1">IFERROR(__xludf.DUMMYFUNCTION("""COMPUTED_VALUE"""),"DOROFEEVA")</f>
        <v>DOROFEEVA</v>
      </c>
      <c r="B42" s="10"/>
      <c r="C42" s="10" t="str">
        <f ca="1">IFERROR(__xludf.DUMMYFUNCTION("""COMPUTED_VALUE"""),"конец солнечных дней")</f>
        <v>конец солнечных дней</v>
      </c>
      <c r="D42" s="10"/>
      <c r="E42" s="10" t="str">
        <f ca="1">IFERROR(__xludf.DUMMYFUNCTION("""COMPUTED_VALUE"""),"WEEDMANE")</f>
        <v>WEEDMANE</v>
      </c>
      <c r="F42" s="10"/>
      <c r="G42" s="10"/>
      <c r="H42" s="10"/>
      <c r="I42" s="10"/>
    </row>
    <row r="43" spans="1:9">
      <c r="A43" s="10" t="str">
        <f ca="1">IFERROR(__xludf.DUMMYFUNCTION("""COMPUTED_VALUE"""),"Kolaba")</f>
        <v>Kolaba</v>
      </c>
      <c r="B43" s="10"/>
      <c r="C43" s="10" t="str">
        <f ca="1">IFERROR(__xludf.DUMMYFUNCTION("""COMPUTED_VALUE"""),"BUSHIDO ZHO")</f>
        <v>BUSHIDO ZHO</v>
      </c>
      <c r="D43" s="10"/>
      <c r="E43" s="32" t="str">
        <f ca="1">IFERROR(__xludf.DUMMYFUNCTION("""COMPUTED_VALUE"""),"Nateki")</f>
        <v>Nateki</v>
      </c>
      <c r="F43" s="10"/>
      <c r="G43" s="10"/>
      <c r="H43" s="10"/>
      <c r="I43" s="10"/>
    </row>
    <row r="44" spans="1:9">
      <c r="A44" s="10" t="str">
        <f ca="1">IFERROR(__xludf.DUMMYFUNCTION("""COMPUTED_VALUE"""),"KOLA")</f>
        <v>KOLA</v>
      </c>
      <c r="B44" s="10"/>
      <c r="C44" s="10" t="str">
        <f ca="1">IFERROR(__xludf.DUMMYFUNCTION("""COMPUTED_VALUE"""),"Valentin Strykalo")</f>
        <v>Valentin Strykalo</v>
      </c>
      <c r="D44" s="10"/>
      <c r="E44" s="32" t="str">
        <f ca="1">IFERROR(__xludf.DUMMYFUNCTION("""COMPUTED_VALUE"""),"League of Legends")</f>
        <v>League of Legends</v>
      </c>
      <c r="F44" s="10"/>
      <c r="G44" s="10"/>
      <c r="H44" s="10"/>
      <c r="I44" s="10"/>
    </row>
    <row r="45" spans="1:9">
      <c r="A45" s="10" t="str">
        <f ca="1">IFERROR(__xludf.DUMMYFUNCTION("""COMPUTED_VALUE"""),"KRBK")</f>
        <v>KRBK</v>
      </c>
      <c r="B45" s="10"/>
      <c r="C45" s="10" t="str">
        <f ca="1">IFERROR(__xludf.DUMMYFUNCTION("""COMPUTED_VALUE"""),"Дора")</f>
        <v>Дора</v>
      </c>
      <c r="D45" s="10"/>
      <c r="E45" s="32" t="str">
        <f ca="1">IFERROR(__xludf.DUMMYFUNCTION("""COMPUTED_VALUE"""),"Arcane")</f>
        <v>Arcane</v>
      </c>
      <c r="F45" s="10"/>
      <c r="G45" s="10"/>
      <c r="H45" s="10"/>
      <c r="I45" s="10"/>
    </row>
    <row r="46" spans="1:9">
      <c r="A46" s="10" t="str">
        <f ca="1">IFERROR(__xludf.DUMMYFUNCTION("""COMPUTED_VALUE"""),"Serhii Babkin")</f>
        <v>Serhii Babkin</v>
      </c>
      <c r="B46" s="10"/>
      <c r="C46" s="10" t="str">
        <f ca="1">IFERROR(__xludf.DUMMYFUNCTION("""COMPUTED_VALUE"""),"Sqwore")</f>
        <v>Sqwore</v>
      </c>
      <c r="D46" s="10"/>
      <c r="E46" s="32" t="str">
        <f ca="1">IFERROR(__xludf.DUMMYFUNCTION("""COMPUTED_VALUE"""),"JID")</f>
        <v>JID</v>
      </c>
      <c r="F46" s="10"/>
      <c r="G46" s="10"/>
      <c r="H46" s="10"/>
      <c r="I46" s="10"/>
    </row>
    <row r="47" spans="1:9">
      <c r="A47" s="10" t="str">
        <f ca="1">IFERROR(__xludf.DUMMYFUNCTION("""COMPUTED_VALUE"""),"Pakkitka")</f>
        <v>Pakkitka</v>
      </c>
      <c r="B47" s="10"/>
      <c r="C47" s="10" t="str">
        <f ca="1">IFERROR(__xludf.DUMMYFUNCTION("""COMPUTED_VALUE"""),"Buerak")</f>
        <v>Buerak</v>
      </c>
      <c r="D47" s="10"/>
      <c r="E47" s="32" t="str">
        <f ca="1">IFERROR(__xludf.DUMMYFUNCTION("""COMPUTED_VALUE"""),"DJ Wizard")</f>
        <v>DJ Wizard</v>
      </c>
      <c r="F47" s="10"/>
      <c r="G47" s="10"/>
      <c r="H47" s="10"/>
      <c r="I47" s="10"/>
    </row>
    <row r="48" spans="1:9">
      <c r="A48" s="10" t="str">
        <f ca="1">IFERROR(__xludf.DUMMYFUNCTION("""COMPUTED_VALUE"""),"СТРУКТУРА ЩАСТЯ")</f>
        <v>СТРУКТУРА ЩАСТЯ</v>
      </c>
      <c r="B48" s="10"/>
      <c r="C48" s="10" t="str">
        <f ca="1">IFERROR(__xludf.DUMMYFUNCTION("""COMPUTED_VALUE"""),"Korol i Shut")</f>
        <v>Korol i Shut</v>
      </c>
      <c r="D48" s="10"/>
      <c r="E48" s="10" t="str">
        <f ca="1">IFERROR(__xludf.DUMMYFUNCTION("""COMPUTED_VALUE"""),"DJ NpcSize")</f>
        <v>DJ NpcSize</v>
      </c>
      <c r="F48" s="10"/>
      <c r="G48" s="10"/>
      <c r="H48" s="10"/>
      <c r="I48" s="10"/>
    </row>
    <row r="49" spans="1:9">
      <c r="A49" s="10" t="str">
        <f ca="1">IFERROR(__xludf.DUMMYFUNCTION("""COMPUTED_VALUE"""),"Tartak")</f>
        <v>Tartak</v>
      </c>
      <c r="B49" s="10"/>
      <c r="C49" s="10" t="str">
        <f ca="1">IFERROR(__xludf.DUMMYFUNCTION("""COMPUTED_VALUE"""),"SHADXWBXRN")</f>
        <v>SHADXWBXRN</v>
      </c>
      <c r="D49" s="10"/>
      <c r="E49" s="32" t="str">
        <f ca="1">IFERROR(__xludf.DUMMYFUNCTION("""COMPUTED_VALUE"""),"Mc Rd")</f>
        <v>Mc Rd</v>
      </c>
      <c r="F49" s="10"/>
      <c r="G49" s="10"/>
      <c r="H49" s="10"/>
      <c r="I49" s="10"/>
    </row>
    <row r="50" spans="1:9">
      <c r="A50" s="10" t="str">
        <f ca="1">IFERROR(__xludf.DUMMYFUNCTION("""COMPUTED_VALUE"""),"Катя Chilly")</f>
        <v>Катя Chilly</v>
      </c>
      <c r="B50" s="10"/>
      <c r="C50" s="10" t="str">
        <f ca="1">IFERROR(__xludf.DUMMYFUNCTION("""COMPUTED_VALUE"""),"Три дня дождя")</f>
        <v>Три дня дождя</v>
      </c>
      <c r="D50" s="10"/>
      <c r="E50" s="32" t="str">
        <f ca="1">IFERROR(__xludf.DUMMYFUNCTION("""COMPUTED_VALUE"""),"Sierra Kidd")</f>
        <v>Sierra Kidd</v>
      </c>
      <c r="F50" s="10"/>
      <c r="G50" s="10"/>
      <c r="H50" s="10"/>
      <c r="I50" s="10"/>
    </row>
    <row r="51" spans="1:9">
      <c r="A51" s="10" t="str">
        <f ca="1">IFERROR(__xludf.DUMMYFUNCTION("""COMPUTED_VALUE"""),"Epolets")</f>
        <v>Epolets</v>
      </c>
      <c r="B51" s="10"/>
      <c r="C51" s="10" t="str">
        <f ca="1">IFERROR(__xludf.DUMMYFUNCTION("""COMPUTED_VALUE"""),"Дайте танк (!)")</f>
        <v>Дайте танк (!)</v>
      </c>
      <c r="D51" s="10"/>
      <c r="E51" s="32" t="str">
        <f ca="1">IFERROR(__xludf.DUMMYFUNCTION("""COMPUTED_VALUE"""),"Gesaffelstein")</f>
        <v>Gesaffelstein</v>
      </c>
      <c r="F51" s="10"/>
      <c r="G51" s="10"/>
      <c r="H51" s="10"/>
      <c r="I51" s="10"/>
    </row>
    <row r="52" spans="1:9">
      <c r="A52" s="10" t="str">
        <f ca="1">IFERROR(__xludf.DUMMYFUNCTION("""COMPUTED_VALUE"""),"To Eternity")</f>
        <v>To Eternity</v>
      </c>
      <c r="B52" s="10"/>
      <c r="C52" s="10" t="str">
        <f ca="1">IFERROR(__xludf.DUMMYFUNCTION("""COMPUTED_VALUE"""),"ooes")</f>
        <v>ooes</v>
      </c>
      <c r="D52" s="10"/>
      <c r="E52" s="32" t="str">
        <f ca="1">IFERROR(__xludf.DUMMYFUNCTION("""COMPUTED_VALUE"""),"Justin Bieber")</f>
        <v>Justin Bieber</v>
      </c>
      <c r="F52" s="10"/>
      <c r="G52" s="10"/>
      <c r="H52" s="10"/>
      <c r="I52" s="10"/>
    </row>
    <row r="53" spans="1:9">
      <c r="A53" s="10" t="str">
        <f ca="1">IFERROR(__xludf.DUMMYFUNCTION("""COMPUTED_VALUE"""),"Bahroma")</f>
        <v>Bahroma</v>
      </c>
      <c r="B53" s="10"/>
      <c r="C53" s="10" t="str">
        <f ca="1">IFERROR(__xludf.DUMMYFUNCTION("""COMPUTED_VALUE"""),"THRILL PILL")</f>
        <v>THRILL PILL</v>
      </c>
      <c r="D53" s="10"/>
      <c r="E53" s="32" t="str">
        <f ca="1">IFERROR(__xludf.DUMMYFUNCTION("""COMPUTED_VALUE"""),"Suicideyear")</f>
        <v>Suicideyear</v>
      </c>
      <c r="F53" s="10"/>
      <c r="G53" s="10"/>
      <c r="H53" s="10"/>
      <c r="I53" s="10"/>
    </row>
    <row r="54" spans="1:9">
      <c r="A54" s="10" t="str">
        <f ca="1">IFERROR(__xludf.DUMMYFUNCTION("""COMPUTED_VALUE"""),"CHEEV")</f>
        <v>CHEEV</v>
      </c>
      <c r="B54" s="10"/>
      <c r="C54" s="10" t="str">
        <f ca="1">IFERROR(__xludf.DUMMYFUNCTION("""COMPUTED_VALUE"""),"quiizzzmeow")</f>
        <v>quiizzzmeow</v>
      </c>
      <c r="D54" s="10"/>
      <c r="E54" s="10" t="str">
        <f ca="1">IFERROR(__xludf.DUMMYFUNCTION("""COMPUTED_VALUE"""),"Ed Sheeran")</f>
        <v>Ed Sheeran</v>
      </c>
      <c r="F54" s="10"/>
      <c r="G54" s="10"/>
      <c r="H54" s="10"/>
      <c r="I54" s="10"/>
    </row>
    <row r="55" spans="1:9">
      <c r="A55" s="10" t="str">
        <f ca="1">IFERROR(__xludf.DUMMYFUNCTION("""COMPUTED_VALUE"""),"SHUMEI")</f>
        <v>SHUMEI</v>
      </c>
      <c r="B55" s="10"/>
      <c r="C55" s="10" t="str">
        <f ca="1">IFERROR(__xludf.DUMMYFUNCTION("""COMPUTED_VALUE"""),"Папин Олимпос")</f>
        <v>Папин Олимпос</v>
      </c>
      <c r="D55" s="10"/>
      <c r="E55" s="10" t="str">
        <f ca="1">IFERROR(__xludf.DUMMYFUNCTION("""COMPUTED_VALUE"""),"benny blanco")</f>
        <v>benny blanco</v>
      </c>
      <c r="F55" s="10"/>
      <c r="G55" s="10"/>
      <c r="H55" s="10"/>
      <c r="I55" s="10"/>
    </row>
    <row r="56" spans="1:9">
      <c r="A56" s="10" t="str">
        <f ca="1">IFERROR(__xludf.DUMMYFUNCTION("""COMPUTED_VALUE"""),"VISXGE")</f>
        <v>VISXGE</v>
      </c>
      <c r="B56" s="10"/>
      <c r="C56" s="10" t="str">
        <f ca="1">IFERROR(__xludf.DUMMYFUNCTION("""COMPUTED_VALUE"""),"DSPRITE")</f>
        <v>DSPRITE</v>
      </c>
      <c r="D56" s="10"/>
      <c r="E56" s="10" t="str">
        <f ca="1">IFERROR(__xludf.DUMMYFUNCTION("""COMPUTED_VALUE"""),"ScurtDae")</f>
        <v>ScurtDae</v>
      </c>
      <c r="F56" s="10"/>
      <c r="G56" s="10"/>
      <c r="H56" s="10"/>
      <c r="I56" s="10"/>
    </row>
    <row r="57" spans="1:9">
      <c r="A57" s="10" t="str">
        <f ca="1">IFERROR(__xludf.DUMMYFUNCTION("""COMPUTED_VALUE"""),"артилерія")</f>
        <v>артилерія</v>
      </c>
      <c r="B57" s="10"/>
      <c r="C57" s="10" t="str">
        <f ca="1">IFERROR(__xludf.DUMMYFUNCTION("""COMPUTED_VALUE"""),"ZAPOMNI")</f>
        <v>ZAPOMNI</v>
      </c>
      <c r="D57" s="10"/>
      <c r="E57" s="32" t="str">
        <f ca="1">IFERROR(__xludf.DUMMYFUNCTION("""COMPUTED_VALUE"""),"Snoop Dogg")</f>
        <v>Snoop Dogg</v>
      </c>
      <c r="F57" s="10"/>
      <c r="G57" s="10"/>
      <c r="H57" s="10"/>
      <c r="I57" s="10"/>
    </row>
    <row r="58" spans="1:9">
      <c r="A58" s="10" t="str">
        <f ca="1">IFERROR(__xludf.DUMMYFUNCTION("""COMPUTED_VALUE"""),"Маша Кондратенко")</f>
        <v>Маша Кондратенко</v>
      </c>
      <c r="B58" s="10"/>
      <c r="C58" s="10" t="str">
        <f ca="1">IFERROR(__xludf.DUMMYFUNCTION("""COMPUTED_VALUE"""),"Poshlaya Molly")</f>
        <v>Poshlaya Molly</v>
      </c>
      <c r="D58" s="10"/>
      <c r="E58" s="32" t="str">
        <f ca="1">IFERROR(__xludf.DUMMYFUNCTION("""COMPUTED_VALUE"""),"BTS")</f>
        <v>BTS</v>
      </c>
      <c r="F58" s="10"/>
      <c r="G58" s="10"/>
      <c r="H58" s="10"/>
      <c r="I58" s="10"/>
    </row>
    <row r="59" spans="1:9">
      <c r="A59" s="10" t="str">
        <f ca="1">IFERROR(__xludf.DUMMYFUNCTION("""COMPUTED_VALUE"""),"100лиця")</f>
        <v>100лиця</v>
      </c>
      <c r="B59" s="10"/>
      <c r="C59" s="10" t="str">
        <f ca="1">IFERROR(__xludf.DUMMYFUNCTION("""COMPUTED_VALUE"""),"Nikitata")</f>
        <v>Nikitata</v>
      </c>
      <c r="D59" s="10"/>
      <c r="E59" s="10" t="str">
        <f ca="1">IFERROR(__xludf.DUMMYFUNCTION("""COMPUTED_VALUE"""),"Central Cee")</f>
        <v>Central Cee</v>
      </c>
      <c r="F59" s="10"/>
      <c r="G59" s="10"/>
      <c r="H59" s="10"/>
      <c r="I59" s="10"/>
    </row>
    <row r="60" spans="1:9">
      <c r="A60" s="10" t="str">
        <f ca="1">IFERROR(__xludf.DUMMYFUNCTION("""COMPUTED_VALUE"""),"SKYLERR")</f>
        <v>SKYLERR</v>
      </c>
      <c r="B60" s="10"/>
      <c r="C60" s="10" t="str">
        <f ca="1">IFERROR(__xludf.DUMMYFUNCTION("""COMPUTED_VALUE"""),"АДЛИН")</f>
        <v>АДЛИН</v>
      </c>
      <c r="D60" s="10"/>
      <c r="E60" s="10" t="str">
        <f ca="1">IFERROR(__xludf.DUMMYFUNCTION("""COMPUTED_VALUE"""),"Lost Frequencies")</f>
        <v>Lost Frequencies</v>
      </c>
      <c r="F60" s="10"/>
      <c r="G60" s="10"/>
      <c r="H60" s="10"/>
      <c r="I60" s="10"/>
    </row>
    <row r="61" spans="1:9">
      <c r="A61" s="10" t="str">
        <f ca="1">IFERROR(__xludf.DUMMYFUNCTION("""COMPUTED_VALUE"""),"ENLEO")</f>
        <v>ENLEO</v>
      </c>
      <c r="B61" s="10"/>
      <c r="C61" s="10" t="str">
        <f ca="1">IFERROR(__xludf.DUMMYFUNCTION("""COMPUTED_VALUE"""),"OG Buda")</f>
        <v>OG Buda</v>
      </c>
      <c r="D61" s="10"/>
      <c r="E61" s="32" t="str">
        <f ca="1">IFERROR(__xludf.DUMMYFUNCTION("""COMPUTED_VALUE"""),"Calum Scott")</f>
        <v>Calum Scott</v>
      </c>
      <c r="F61" s="10"/>
      <c r="G61" s="10"/>
      <c r="H61" s="10"/>
      <c r="I61" s="10"/>
    </row>
    <row r="62" spans="1:9">
      <c r="A62" s="10" t="str">
        <f ca="1">IFERROR(__xludf.DUMMYFUNCTION("""COMPUTED_VALUE"""),"Clonnex")</f>
        <v>Clonnex</v>
      </c>
      <c r="B62" s="10"/>
      <c r="C62" s="10" t="str">
        <f ca="1">IFERROR(__xludf.DUMMYFUNCTION("""COMPUTED_VALUE"""),"MACAN")</f>
        <v>MACAN</v>
      </c>
      <c r="D62" s="10"/>
      <c r="E62" s="33" t="str">
        <f ca="1">IFERROR(__xludf.DUMMYFUNCTION("""COMPUTED_VALUE"""),"Joji")</f>
        <v>Joji</v>
      </c>
      <c r="F62" s="10"/>
      <c r="G62" s="10"/>
      <c r="H62" s="10"/>
      <c r="I62" s="10"/>
    </row>
    <row r="63" spans="1:9">
      <c r="A63" s="10" t="str">
        <f ca="1">IFERROR(__xludf.DUMMYFUNCTION("""COMPUTED_VALUE"""),"EeOneGuy")</f>
        <v>EeOneGuy</v>
      </c>
      <c r="B63" s="10"/>
      <c r="C63" s="10" t="str">
        <f ca="1">IFERROR(__xludf.DUMMYFUNCTION("""COMPUTED_VALUE"""),"Lusia Chebotina")</f>
        <v>Lusia Chebotina</v>
      </c>
      <c r="D63" s="10"/>
      <c r="E63" s="10" t="str">
        <f ca="1">IFERROR(__xludf.DUMMYFUNCTION("""COMPUTED_VALUE"""),"KISS")</f>
        <v>KISS</v>
      </c>
      <c r="F63" s="10"/>
      <c r="G63" s="10"/>
      <c r="H63" s="10"/>
      <c r="I63" s="10"/>
    </row>
    <row r="64" spans="1:9">
      <c r="A64" s="10" t="str">
        <f ca="1">IFERROR(__xludf.DUMMYFUNCTION("""COMPUTED_VALUE"""),"Лилу45")</f>
        <v>Лилу45</v>
      </c>
      <c r="B64" s="10"/>
      <c r="C64" s="10" t="str">
        <f ca="1">IFERROR(__xludf.DUMMYFUNCTION("""COMPUTED_VALUE"""),"SODA LUV")</f>
        <v>SODA LUV</v>
      </c>
      <c r="D64" s="10"/>
      <c r="E64" s="10" t="str">
        <f ca="1">IFERROR(__xludf.DUMMYFUNCTION("""COMPUTED_VALUE"""),"Mareux")</f>
        <v>Mareux</v>
      </c>
      <c r="F64" s="10"/>
      <c r="G64" s="10"/>
      <c r="H64" s="10"/>
      <c r="I64" s="10"/>
    </row>
    <row r="65" spans="1:9">
      <c r="A65" s="10" t="str">
        <f ca="1">IFERROR(__xludf.DUMMYFUNCTION("""COMPUTED_VALUE"""),"Zlyj Reper Zenyk")</f>
        <v>Zlyj Reper Zenyk</v>
      </c>
      <c r="B65" s="10"/>
      <c r="C65" s="10" t="str">
        <f ca="1">IFERROR(__xludf.DUMMYFUNCTION("""COMPUTED_VALUE"""),"Sqwore")</f>
        <v>Sqwore</v>
      </c>
      <c r="D65" s="10"/>
      <c r="E65" s="10" t="str">
        <f ca="1">IFERROR(__xludf.DUMMYFUNCTION("""COMPUTED_VALUE"""),"Ghostface Playa")</f>
        <v>Ghostface Playa</v>
      </c>
      <c r="F65" s="10"/>
      <c r="G65" s="10"/>
      <c r="H65" s="10"/>
      <c r="I65" s="10"/>
    </row>
    <row r="66" spans="1:9">
      <c r="A66" s="10" t="str">
        <f ca="1">IFERROR(__xludf.DUMMYFUNCTION("""COMPUTED_VALUE"""),"Схожа")</f>
        <v>Схожа</v>
      </c>
      <c r="B66" s="10"/>
      <c r="C66" s="10" t="str">
        <f ca="1">IFERROR(__xludf.DUMMYFUNCTION("""COMPUTED_VALUE"""),"Twinky")</f>
        <v>Twinky</v>
      </c>
      <c r="D66" s="10"/>
      <c r="E66" s="10" t="str">
        <f ca="1">IFERROR(__xludf.DUMMYFUNCTION("""COMPUTED_VALUE"""),"Lil Nas X")</f>
        <v>Lil Nas X</v>
      </c>
      <c r="F66" s="10"/>
      <c r="G66" s="10"/>
      <c r="H66" s="10"/>
      <c r="I66" s="10"/>
    </row>
    <row r="67" spans="1:9">
      <c r="A67" s="10" t="str">
        <f ca="1">IFERROR(__xludf.DUMMYFUNCTION("""COMPUTED_VALUE"""),"Sx1nxwy")</f>
        <v>Sx1nxwy</v>
      </c>
      <c r="B67" s="10"/>
      <c r="C67" s="10" t="str">
        <f ca="1">IFERROR(__xludf.DUMMYFUNCTION("""COMPUTED_VALUE"""),"хочуспать")</f>
        <v>хочуспать</v>
      </c>
      <c r="D67" s="10"/>
      <c r="E67" s="10" t="str">
        <f ca="1">IFERROR(__xludf.DUMMYFUNCTION("""COMPUTED_VALUE"""),"Wham!")</f>
        <v>Wham!</v>
      </c>
      <c r="F67" s="10"/>
      <c r="G67" s="10"/>
      <c r="H67" s="10"/>
      <c r="I67" s="10"/>
    </row>
    <row r="68" spans="1:9">
      <c r="A68" s="10" t="str">
        <f ca="1">IFERROR(__xludf.DUMMYFUNCTION("""COMPUTED_VALUE"""),"Okean Elzy")</f>
        <v>Okean Elzy</v>
      </c>
      <c r="B68" s="10"/>
      <c r="C68" s="10" t="str">
        <f ca="1">IFERROR(__xludf.DUMMYFUNCTION("""COMPUTED_VALUE"""),"Автостопом по фазе сна")</f>
        <v>Автостопом по фазе сна</v>
      </c>
      <c r="D68" s="10"/>
      <c r="E68" s="10" t="str">
        <f ca="1">IFERROR(__xludf.DUMMYFUNCTION("""COMPUTED_VALUE"""),"Brenda Lee")</f>
        <v>Brenda Lee</v>
      </c>
      <c r="F68" s="10"/>
      <c r="G68" s="10"/>
      <c r="H68" s="10"/>
      <c r="I68" s="10"/>
    </row>
    <row r="69" spans="1:9">
      <c r="A69" s="10" t="str">
        <f ca="1">IFERROR(__xludf.DUMMYFUNCTION("""COMPUTED_VALUE"""),"Jerry Heil")</f>
        <v>Jerry Heil</v>
      </c>
      <c r="B69" s="10"/>
      <c r="C69" s="10" t="str">
        <f ca="1">IFERROR(__xludf.DUMMYFUNCTION("""COMPUTED_VALUE"""),"ZODIVK")</f>
        <v>ZODIVK</v>
      </c>
      <c r="D69" s="10"/>
      <c r="E69" s="10" t="str">
        <f ca="1">IFERROR(__xludf.DUMMYFUNCTION("""COMPUTED_VALUE"""),"GAYLE")</f>
        <v>GAYLE</v>
      </c>
      <c r="F69" s="10"/>
      <c r="G69" s="10"/>
      <c r="H69" s="10"/>
      <c r="I69" s="10"/>
    </row>
    <row r="70" spans="1:9">
      <c r="A70" s="10" t="str">
        <f ca="1">IFERROR(__xludf.DUMMYFUNCTION("""COMPUTED_VALUE"""),"MAX BARSKIH")</f>
        <v>MAX BARSKIH</v>
      </c>
      <c r="B70" s="10"/>
      <c r="C70" s="10" t="str">
        <f ca="1">IFERROR(__xludf.DUMMYFUNCTION("""COMPUTED_VALUE"""),"Платина")</f>
        <v>Платина</v>
      </c>
      <c r="D70" s="10"/>
      <c r="E70" s="10" t="str">
        <f ca="1">IFERROR(__xludf.DUMMYFUNCTION("""COMPUTED_VALUE"""),"Bobby Helms")</f>
        <v>Bobby Helms</v>
      </c>
      <c r="F70" s="10"/>
      <c r="G70" s="10"/>
      <c r="H70" s="10"/>
      <c r="I70" s="10"/>
    </row>
    <row r="71" spans="1:9">
      <c r="A71" s="10" t="str">
        <f ca="1">IFERROR(__xludf.DUMMYFUNCTION("""COMPUTED_VALUE"""),"LAUD")</f>
        <v>LAUD</v>
      </c>
      <c r="B71" s="10"/>
      <c r="C71" s="10" t="str">
        <f ca="1">IFERROR(__xludf.DUMMYFUNCTION("""COMPUTED_VALUE"""),"uglystephan")</f>
        <v>uglystephan</v>
      </c>
      <c r="D71" s="10"/>
      <c r="E71" s="10" t="str">
        <f ca="1">IFERROR(__xludf.DUMMYFUNCTION("""COMPUTED_VALUE"""),"Mariah Carey")</f>
        <v>Mariah Carey</v>
      </c>
      <c r="F71" s="10"/>
      <c r="G71" s="10"/>
      <c r="H71" s="10"/>
      <c r="I71" s="10"/>
    </row>
    <row r="72" spans="1:9">
      <c r="A72" s="10" t="str">
        <f ca="1">IFERROR(__xludf.DUMMYFUNCTION("""COMPUTED_VALUE"""),"Boombox")</f>
        <v>Boombox</v>
      </c>
      <c r="B72" s="10"/>
      <c r="C72" s="10" t="str">
        <f ca="1">IFERROR(__xludf.DUMMYFUNCTION("""COMPUTED_VALUE"""),"Scally Milano")</f>
        <v>Scally Milano</v>
      </c>
      <c r="D72" s="10"/>
      <c r="E72" s="10" t="str">
        <f ca="1">IFERROR(__xludf.DUMMYFUNCTION("""COMPUTED_VALUE"""),"Minelli")</f>
        <v>Minelli</v>
      </c>
      <c r="F72" s="10"/>
      <c r="G72" s="10"/>
      <c r="H72" s="10"/>
      <c r="I72" s="10"/>
    </row>
    <row r="73" spans="1:9">
      <c r="A73" s="10" t="str">
        <f ca="1">IFERROR(__xludf.DUMMYFUNCTION("""COMPUTED_VALUE"""),"Odyn v Kanoe")</f>
        <v>Odyn v Kanoe</v>
      </c>
      <c r="B73" s="10"/>
      <c r="C73" s="10" t="str">
        <f ca="1">IFERROR(__xludf.DUMMYFUNCTION("""COMPUTED_VALUE"""),"Где Фантом?")</f>
        <v>Где Фантом?</v>
      </c>
      <c r="D73" s="10"/>
      <c r="E73" s="10" t="str">
        <f ca="1">IFERROR(__xludf.DUMMYFUNCTION("""COMPUTED_VALUE"""),"BoyWithUke")</f>
        <v>BoyWithUke</v>
      </c>
      <c r="F73" s="10"/>
      <c r="G73" s="10"/>
      <c r="H73" s="10"/>
      <c r="I73" s="10"/>
    </row>
    <row r="74" spans="1:9">
      <c r="A74" s="10" t="str">
        <f ca="1">IFERROR(__xludf.DUMMYFUNCTION("""COMPUTED_VALUE"""),"Arsen Mirzoyan")</f>
        <v>Arsen Mirzoyan</v>
      </c>
      <c r="B74" s="10"/>
      <c r="C74" s="10" t="str">
        <f ca="1">IFERROR(__xludf.DUMMYFUNCTION("""COMPUTED_VALUE"""),"DVRST")</f>
        <v>DVRST</v>
      </c>
      <c r="D74" s="10"/>
      <c r="E74" s="10" t="str">
        <f ca="1">IFERROR(__xludf.DUMMYFUNCTION("""COMPUTED_VALUE"""),"Benedixhion")</f>
        <v>Benedixhion</v>
      </c>
      <c r="F74" s="10"/>
      <c r="G74" s="10"/>
      <c r="H74" s="10"/>
      <c r="I74" s="10"/>
    </row>
    <row r="75" spans="1:9">
      <c r="A75" s="10" t="str">
        <f ca="1">IFERROR(__xludf.DUMMYFUNCTION("""COMPUTED_VALUE"""),"Motor'Rolla")</f>
        <v>Motor'Rolla</v>
      </c>
      <c r="B75" s="10"/>
      <c r="C75" s="10" t="str">
        <f ca="1">IFERROR(__xludf.DUMMYFUNCTION("""COMPUTED_VALUE"""),"niteboi")</f>
        <v>niteboi</v>
      </c>
      <c r="D75" s="10"/>
      <c r="E75" s="10" t="str">
        <f ca="1">IFERROR(__xludf.DUMMYFUNCTION("""COMPUTED_VALUE"""),"Måneskin")</f>
        <v>Måneskin</v>
      </c>
      <c r="F75" s="10"/>
      <c r="G75" s="10"/>
      <c r="H75" s="10"/>
      <c r="I75" s="10"/>
    </row>
    <row r="76" spans="1:9">
      <c r="A76" s="10" t="str">
        <f ca="1">IFERROR(__xludf.DUMMYFUNCTION("""COMPUTED_VALUE"""),"Wellboy")</f>
        <v>Wellboy</v>
      </c>
      <c r="B76" s="10"/>
      <c r="C76" s="10" t="str">
        <f ca="1">IFERROR(__xludf.DUMMYFUNCTION("""COMPUTED_VALUE"""),"BRANYA")</f>
        <v>BRANYA</v>
      </c>
      <c r="D76" s="10"/>
      <c r="E76" s="10" t="str">
        <f ca="1">IFERROR(__xludf.DUMMYFUNCTION("""COMPUTED_VALUE"""),"Öwnboss")</f>
        <v>Öwnboss</v>
      </c>
      <c r="F76" s="10"/>
      <c r="G76" s="10"/>
      <c r="H76" s="10"/>
      <c r="I76" s="10"/>
    </row>
    <row r="77" spans="1:9">
      <c r="A77" s="10" t="str">
        <f ca="1">IFERROR(__xludf.DUMMYFUNCTION("""COMPUTED_VALUE"""),"YARMAK")</f>
        <v>YARMAK</v>
      </c>
      <c r="B77" s="10"/>
      <c r="C77" s="10" t="str">
        <f ca="1">IFERROR(__xludf.DUMMYFUNCTION("""COMPUTED_VALUE"""),"showdown")</f>
        <v>showdown</v>
      </c>
      <c r="D77" s="10"/>
      <c r="E77" s="10" t="str">
        <f ca="1">IFERROR(__xludf.DUMMYFUNCTION("""COMPUTED_VALUE"""),"Dean Martin")</f>
        <v>Dean Martin</v>
      </c>
      <c r="F77" s="10"/>
      <c r="G77" s="10"/>
      <c r="H77" s="10"/>
      <c r="I77" s="10"/>
    </row>
    <row r="78" spans="1:9">
      <c r="A78" s="10" t="str">
        <f ca="1">IFERROR(__xludf.DUMMYFUNCTION("""COMPUTED_VALUE"""),"Руся")</f>
        <v>Руся</v>
      </c>
      <c r="B78" s="10"/>
      <c r="C78" s="10" t="str">
        <f ca="1">IFERROR(__xludf.DUMMYFUNCTION("""COMPUTED_VALUE"""),"remember.")</f>
        <v>remember.</v>
      </c>
      <c r="D78" s="10"/>
      <c r="E78" s="10" t="str">
        <f ca="1">IFERROR(__xludf.DUMMYFUNCTION("""COMPUTED_VALUE"""),"Elton John")</f>
        <v>Elton John</v>
      </c>
      <c r="F78" s="10"/>
      <c r="G78" s="10"/>
      <c r="H78" s="10"/>
      <c r="I78" s="10"/>
    </row>
    <row r="79" spans="1:9">
      <c r="A79" s="10" t="str">
        <f ca="1">IFERROR(__xludf.DUMMYFUNCTION("""COMPUTED_VALUE"""),"MONATIK")</f>
        <v>MONATIK</v>
      </c>
      <c r="B79" s="10"/>
      <c r="C79" s="10" t="str">
        <f ca="1">IFERROR(__xludf.DUMMYFUNCTION("""COMPUTED_VALUE"""),"Boulevard Depo")</f>
        <v>Boulevard Depo</v>
      </c>
      <c r="D79" s="10"/>
      <c r="E79" s="10" t="str">
        <f ca="1">IFERROR(__xludf.DUMMYFUNCTION("""COMPUTED_VALUE"""),"Tiësto")</f>
        <v>Tiësto</v>
      </c>
      <c r="F79" s="10"/>
      <c r="G79" s="10"/>
      <c r="H79" s="10"/>
      <c r="I79" s="10"/>
    </row>
    <row r="80" spans="1:9">
      <c r="A80" s="10" t="str">
        <f ca="1">IFERROR(__xludf.DUMMYFUNCTION("""COMPUTED_VALUE"""),"Zhadan i Sobaky")</f>
        <v>Zhadan i Sobaky</v>
      </c>
      <c r="B80" s="10"/>
      <c r="C80" s="10" t="str">
        <f ca="1">IFERROR(__xludf.DUMMYFUNCTION("""COMPUTED_VALUE"""),"нексюша")</f>
        <v>нексюша</v>
      </c>
      <c r="D80" s="10"/>
      <c r="E80" s="10" t="str">
        <f ca="1">IFERROR(__xludf.DUMMYFUNCTION("""COMPUTED_VALUE"""),"ACRAZE")</f>
        <v>ACRAZE</v>
      </c>
      <c r="F80" s="10"/>
      <c r="G80" s="10"/>
      <c r="H80" s="10"/>
      <c r="I80" s="10"/>
    </row>
    <row r="81" spans="1:9">
      <c r="A81" s="10" t="str">
        <f ca="1">IFERROR(__xludf.DUMMYFUNCTION("""COMPUTED_VALUE"""),"Мері")</f>
        <v>Мері</v>
      </c>
      <c r="B81" s="10"/>
      <c r="C81" s="10" t="str">
        <f ca="1">IFERROR(__xludf.DUMMYFUNCTION("""COMPUTED_VALUE"""),"Nervy")</f>
        <v>Nervy</v>
      </c>
      <c r="D81" s="10"/>
      <c r="E81" s="10" t="str">
        <f ca="1">IFERROR(__xludf.DUMMYFUNCTION("""COMPUTED_VALUE"""),"Sia")</f>
        <v>Sia</v>
      </c>
      <c r="F81" s="10"/>
      <c r="G81" s="10"/>
      <c r="H81" s="10"/>
      <c r="I81" s="10"/>
    </row>
    <row r="82" spans="1:9">
      <c r="A82" s="10" t="str">
        <f ca="1">IFERROR(__xludf.DUMMYFUNCTION("""COMPUTED_VALUE"""),"Taras Chubay")</f>
        <v>Taras Chubay</v>
      </c>
      <c r="B82" s="10"/>
      <c r="C82" s="10" t="str">
        <f ca="1">IFERROR(__xludf.DUMMYFUNCTION("""COMPUTED_VALUE"""),"Alyona Shvets")</f>
        <v>Alyona Shvets</v>
      </c>
      <c r="D82" s="10"/>
      <c r="E82" s="10" t="str">
        <f ca="1">IFERROR(__xludf.DUMMYFUNCTION("""COMPUTED_VALUE"""),"LISA")</f>
        <v>LISA</v>
      </c>
      <c r="F82" s="10"/>
      <c r="G82" s="10"/>
      <c r="H82" s="10"/>
      <c r="I82" s="10"/>
    </row>
    <row r="83" spans="1:9">
      <c r="A83" s="10" t="str">
        <f ca="1">IFERROR(__xludf.DUMMYFUNCTION("""COMPUTED_VALUE"""),"PROBASS ∆ HARDI")</f>
        <v>PROBASS ∆ HARDI</v>
      </c>
      <c r="B83" s="10"/>
      <c r="C83" s="10" t="str">
        <f ca="1">IFERROR(__xludf.DUMMYFUNCTION("""COMPUTED_VALUE"""),"MAYOT")</f>
        <v>MAYOT</v>
      </c>
      <c r="D83" s="10"/>
      <c r="E83" s="10" t="str">
        <f ca="1">IFERROR(__xludf.DUMMYFUNCTION("""COMPUTED_VALUE"""),"Jaymes Young")</f>
        <v>Jaymes Young</v>
      </c>
      <c r="F83" s="10"/>
      <c r="G83" s="10"/>
      <c r="H83" s="10"/>
      <c r="I83" s="10"/>
    </row>
    <row r="84" spans="1:9">
      <c r="A84" s="10" t="str">
        <f ca="1">IFERROR(__xludf.DUMMYFUNCTION("""COMPUTED_VALUE"""),"Go_A")</f>
        <v>Go_A</v>
      </c>
      <c r="B84" s="10"/>
      <c r="C84" s="10" t="str">
        <f ca="1">IFERROR(__xludf.DUMMYFUNCTION("""COMPUTED_VALUE"""),"SLAVA MARLOW")</f>
        <v>SLAVA MARLOW</v>
      </c>
      <c r="D84" s="10"/>
      <c r="E84" s="10" t="str">
        <f ca="1">IFERROR(__xludf.DUMMYFUNCTION("""COMPUTED_VALUE"""),"Rebzyyx")</f>
        <v>Rebzyyx</v>
      </c>
      <c r="F84" s="10"/>
      <c r="G84" s="10"/>
      <c r="H84" s="10"/>
      <c r="I84" s="10"/>
    </row>
    <row r="85" spans="1:9">
      <c r="A85" s="10" t="str">
        <f ca="1">IFERROR(__xludf.DUMMYFUNCTION("""COMPUTED_VALUE"""),"BOTASHE")</f>
        <v>BOTASHE</v>
      </c>
      <c r="B85" s="10"/>
      <c r="C85" s="10" t="str">
        <f ca="1">IFERROR(__xludf.DUMMYFUNCTION("""COMPUTED_VALUE"""),"Xcho")</f>
        <v>Xcho</v>
      </c>
      <c r="D85" s="10"/>
      <c r="E85" s="10" t="str">
        <f ca="1">IFERROR(__xludf.DUMMYFUNCTION("""COMPUTED_VALUE"""),"siouxxie sixxsta")</f>
        <v>siouxxie sixxsta</v>
      </c>
      <c r="F85" s="10"/>
      <c r="G85" s="10"/>
      <c r="H85" s="10"/>
      <c r="I85" s="10"/>
    </row>
    <row r="86" spans="1:9">
      <c r="A86" s="10" t="str">
        <f ca="1">IFERROR(__xludf.DUMMYFUNCTION("""COMPUTED_VALUE"""),"Skryabin")</f>
        <v>Skryabin</v>
      </c>
      <c r="B86" s="10"/>
      <c r="C86" s="10" t="str">
        <f ca="1">IFERROR(__xludf.DUMMYFUNCTION("""COMPUTED_VALUE"""),"Violetta Sokolova")</f>
        <v>Violetta Sokolova</v>
      </c>
      <c r="D86" s="10"/>
      <c r="E86" s="10" t="str">
        <f ca="1">IFERROR(__xludf.DUMMYFUNCTION("""COMPUTED_VALUE"""),"Emma Louise")</f>
        <v>Emma Louise</v>
      </c>
      <c r="F86" s="10"/>
      <c r="G86" s="10"/>
      <c r="H86" s="10"/>
      <c r="I86" s="10"/>
    </row>
    <row r="87" spans="1:9">
      <c r="A87" s="10" t="str">
        <f ca="1">IFERROR(__xludf.DUMMYFUNCTION("""COMPUTED_VALUE"""),"The Kiffness")</f>
        <v>The Kiffness</v>
      </c>
      <c r="B87" s="10"/>
      <c r="C87" s="10" t="str">
        <f ca="1">IFERROR(__xludf.DUMMYFUNCTION("""COMPUTED_VALUE"""),"ATELLWULF")</f>
        <v>ATELLWULF</v>
      </c>
      <c r="D87" s="10"/>
      <c r="E87" s="10" t="str">
        <f ca="1">IFERROR(__xludf.DUMMYFUNCTION("""COMPUTED_VALUE"""),"Rogue Dave")</f>
        <v>Rogue Dave</v>
      </c>
      <c r="F87" s="10"/>
      <c r="G87" s="10"/>
      <c r="H87" s="10"/>
      <c r="I87" s="10"/>
    </row>
    <row r="88" spans="1:9">
      <c r="A88" s="10" t="str">
        <f ca="1">IFERROR(__xludf.DUMMYFUNCTION("""COMPUTED_VALUE"""),"Hensonn")</f>
        <v>Hensonn</v>
      </c>
      <c r="B88" s="10"/>
      <c r="C88" s="10" t="str">
        <f ca="1">IFERROR(__xludf.DUMMYFUNCTION("""COMPUTED_VALUE"""),"конец солнечных дней")</f>
        <v>конец солнечных дней</v>
      </c>
      <c r="D88" s="10"/>
      <c r="E88" s="10" t="str">
        <f ca="1">IFERROR(__xludf.DUMMYFUNCTION("""COMPUTED_VALUE"""),"lil Shordie Scott")</f>
        <v>lil Shordie Scott</v>
      </c>
      <c r="F88" s="10"/>
      <c r="G88" s="10"/>
      <c r="H88" s="10"/>
      <c r="I88" s="10"/>
    </row>
    <row r="89" spans="1:9">
      <c r="A89" s="10" t="str">
        <f ca="1">IFERROR(__xludf.DUMMYFUNCTION("""COMPUTED_VALUE"""),"Нумер 482")</f>
        <v>Нумер 482</v>
      </c>
      <c r="B89" s="10"/>
      <c r="C89" s="10" t="str">
        <f ca="1">IFERROR(__xludf.DUMMYFUNCTION("""COMPUTED_VALUE"""),"KENTUKKI")</f>
        <v>KENTUKKI</v>
      </c>
      <c r="D89" s="10"/>
      <c r="E89" s="10" t="str">
        <f ca="1">IFERROR(__xludf.DUMMYFUNCTION("""COMPUTED_VALUE"""),"southstar")</f>
        <v>southstar</v>
      </c>
      <c r="F89" s="10"/>
      <c r="G89" s="10"/>
      <c r="H89" s="10"/>
      <c r="I89" s="10"/>
    </row>
    <row r="90" spans="1:9">
      <c r="A90" s="10" t="str">
        <f ca="1">IFERROR(__xludf.DUMMYFUNCTION("""COMPUTED_VALUE"""),"SadSvit")</f>
        <v>SadSvit</v>
      </c>
      <c r="B90" s="10"/>
      <c r="C90" s="10" t="str">
        <f ca="1">IFERROR(__xludf.DUMMYFUNCTION("""COMPUTED_VALUE"""),"LIZER")</f>
        <v>LIZER</v>
      </c>
      <c r="D90" s="10"/>
      <c r="E90" s="10" t="str">
        <f ca="1">IFERROR(__xludf.DUMMYFUNCTION("""COMPUTED_VALUE"""),"CORPSE")</f>
        <v>CORPSE</v>
      </c>
      <c r="F90" s="10"/>
      <c r="G90" s="10"/>
      <c r="H90" s="10"/>
      <c r="I90" s="10"/>
    </row>
    <row r="91" spans="1:9">
      <c r="A91" s="10" t="str">
        <f ca="1">IFERROR(__xludf.DUMMYFUNCTION("""COMPUTED_VALUE"""),"The Hardkiss")</f>
        <v>The Hardkiss</v>
      </c>
      <c r="B91" s="10"/>
      <c r="C91" s="10" t="str">
        <f ca="1">IFERROR(__xludf.DUMMYFUNCTION("""COMPUTED_VALUE"""),"The Limba")</f>
        <v>The Limba</v>
      </c>
      <c r="D91" s="10"/>
      <c r="E91" s="32" t="str">
        <f ca="1">IFERROR(__xludf.DUMMYFUNCTION("""COMPUTED_VALUE"""),"Scarlxrd")</f>
        <v>Scarlxrd</v>
      </c>
      <c r="F91" s="10"/>
      <c r="G91" s="10"/>
      <c r="H91" s="10"/>
      <c r="I91" s="10"/>
    </row>
    <row r="92" spans="1:9">
      <c r="A92" s="10" t="str">
        <f ca="1">IFERROR(__xludf.DUMMYFUNCTION("""COMPUTED_VALUE"""),"The Yurcash")</f>
        <v>The Yurcash</v>
      </c>
      <c r="B92" s="10"/>
      <c r="C92" s="10" t="str">
        <f ca="1">IFERROR(__xludf.DUMMYFUNCTION("""COMPUTED_VALUE"""),"Кореш")</f>
        <v>Кореш</v>
      </c>
      <c r="D92" s="10"/>
      <c r="E92" s="10" t="str">
        <f ca="1">IFERROR(__xludf.DUMMYFUNCTION("""COMPUTED_VALUE"""),"OneRepublic")</f>
        <v>OneRepublic</v>
      </c>
      <c r="F92" s="10"/>
      <c r="G92" s="10"/>
      <c r="H92" s="10"/>
      <c r="I92" s="10"/>
    </row>
    <row r="93" spans="1:9">
      <c r="A93" s="10" t="str">
        <f ca="1">IFERROR(__xludf.DUMMYFUNCTION("""COMPUTED_VALUE"""),"Oisho btz")</f>
        <v>Oisho btz</v>
      </c>
      <c r="B93" s="10"/>
      <c r="C93" s="10" t="str">
        <f ca="1">IFERROR(__xludf.DUMMYFUNCTION("""COMPUTED_VALUE"""),"OBLADAET")</f>
        <v>OBLADAET</v>
      </c>
      <c r="D93" s="10"/>
      <c r="E93" s="10" t="str">
        <f ca="1">IFERROR(__xludf.DUMMYFUNCTION("""COMPUTED_VALUE"""),"Yeat")</f>
        <v>Yeat</v>
      </c>
      <c r="F93" s="10"/>
      <c r="G93" s="10"/>
      <c r="H93" s="10"/>
      <c r="I93" s="10"/>
    </row>
    <row r="94" spans="1:9">
      <c r="A94" s="10" t="str">
        <f ca="1">IFERROR(__xludf.DUMMYFUNCTION("""COMPUTED_VALUE"""),"BEZ OBMEZHEN")</f>
        <v>BEZ OBMEZHEN</v>
      </c>
      <c r="B94" s="10"/>
      <c r="C94" s="10" t="str">
        <f ca="1">IFERROR(__xludf.DUMMYFUNCTION("""COMPUTED_VALUE"""),"MUPP")</f>
        <v>MUPP</v>
      </c>
      <c r="D94" s="10"/>
      <c r="E94" s="10" t="str">
        <f ca="1">IFERROR(__xludf.DUMMYFUNCTION("""COMPUTED_VALUE"""),"1nonly")</f>
        <v>1nonly</v>
      </c>
      <c r="F94" s="10"/>
      <c r="G94" s="10"/>
      <c r="H94" s="10"/>
      <c r="I94" s="10"/>
    </row>
    <row r="95" spans="1:9">
      <c r="A95" s="33" t="str">
        <f ca="1">IFERROR(__xludf.DUMMYFUNCTION("""COMPUTED_VALUE"""),"Skofka")</f>
        <v>Skofka</v>
      </c>
      <c r="B95" s="10"/>
      <c r="C95" s="10" t="str">
        <f ca="1">IFERROR(__xludf.DUMMYFUNCTION("""COMPUTED_VALUE"""),"Nurik Smit")</f>
        <v>Nurik Smit</v>
      </c>
      <c r="D95" s="10"/>
      <c r="E95" s="32" t="str">
        <f ca="1">IFERROR(__xludf.DUMMYFUNCTION("""COMPUTED_VALUE"""),"SXMPRA")</f>
        <v>SXMPRA</v>
      </c>
      <c r="F95" s="10"/>
      <c r="G95" s="10"/>
      <c r="H95" s="10"/>
      <c r="I95" s="10"/>
    </row>
    <row r="96" spans="1:9">
      <c r="A96" s="33" t="str">
        <f ca="1">IFERROR(__xludf.DUMMYFUNCTION("""COMPUTED_VALUE"""),"KALUSH, Skofka")</f>
        <v>KALUSH, Skofka</v>
      </c>
      <c r="B96" s="10"/>
      <c r="C96" s="10" t="str">
        <f ca="1">IFERROR(__xludf.DUMMYFUNCTION("""COMPUTED_VALUE"""),"Макс Корж")</f>
        <v>Макс Корж</v>
      </c>
      <c r="D96" s="10"/>
      <c r="E96" s="10" t="str">
        <f ca="1">IFERROR(__xludf.DUMMYFUNCTION("""COMPUTED_VALUE"""),"AURORA")</f>
        <v>AURORA</v>
      </c>
      <c r="F96" s="10"/>
      <c r="G96" s="10"/>
      <c r="H96" s="10"/>
      <c r="I96" s="10"/>
    </row>
    <row r="97" spans="1:9">
      <c r="A97" s="10" t="str">
        <f ca="1">IFERROR(__xludf.DUMMYFUNCTION("""COMPUTED_VALUE"""),"Chico, Qatoshi")</f>
        <v>Chico, Qatoshi</v>
      </c>
      <c r="B97" s="10"/>
      <c r="C97" s="10" t="str">
        <f ca="1">IFERROR(__xludf.DUMMYFUNCTION("""COMPUTED_VALUE"""),"Max Korzh")</f>
        <v>Max Korzh</v>
      </c>
      <c r="D97" s="10"/>
      <c r="E97" s="10" t="str">
        <f ca="1">IFERROR(__xludf.DUMMYFUNCTION("""COMPUTED_VALUE"""),"Rosa Walton")</f>
        <v>Rosa Walton</v>
      </c>
      <c r="F97" s="10"/>
      <c r="G97" s="10"/>
      <c r="H97" s="10"/>
      <c r="I97" s="10"/>
    </row>
    <row r="98" spans="1:9">
      <c r="A98" s="10" t="str">
        <f ca="1">IFERROR(__xludf.DUMMYFUNCTION("""COMPUTED_VALUE"""),"alyona alyona")</f>
        <v>alyona alyona</v>
      </c>
      <c r="B98" s="10"/>
      <c r="C98" s="10" t="str">
        <f ca="1">IFERROR(__xludf.DUMMYFUNCTION("""COMPUTED_VALUE"""),"xxxmanera")</f>
        <v>xxxmanera</v>
      </c>
      <c r="D98" s="10"/>
      <c r="E98" s="32" t="str">
        <f ca="1">IFERROR(__xludf.DUMMYFUNCTION("""COMPUTED_VALUE"""),"Hallie Coggins")</f>
        <v>Hallie Coggins</v>
      </c>
      <c r="F98" s="10"/>
      <c r="G98" s="10"/>
      <c r="H98" s="10"/>
      <c r="I98" s="10"/>
    </row>
    <row r="99" spans="1:9">
      <c r="A99" s="32" t="str">
        <f ca="1">IFERROR(__xludf.DUMMYFUNCTION("""COMPUTED_VALUE"""),"Jerry Heil")</f>
        <v>Jerry Heil</v>
      </c>
      <c r="B99" s="10"/>
      <c r="C99" s="10" t="str">
        <f ca="1">IFERROR(__xludf.DUMMYFUNCTION("""COMPUTED_VALUE"""),"Markul")</f>
        <v>Markul</v>
      </c>
      <c r="D99" s="10"/>
      <c r="E99" s="10" t="str">
        <f ca="1">IFERROR(__xludf.DUMMYFUNCTION("""COMPUTED_VALUE"""),"d4vd")</f>
        <v>d4vd</v>
      </c>
      <c r="F99" s="10"/>
      <c r="G99" s="10"/>
      <c r="H99" s="10"/>
      <c r="I99" s="10"/>
    </row>
    <row r="100" spans="1:9">
      <c r="A100" s="33" t="str">
        <f ca="1">IFERROR(__xludf.DUMMYFUNCTION("""COMPUTED_VALUE"""),"Sasha Chemerov")</f>
        <v>Sasha Chemerov</v>
      </c>
      <c r="B100" s="10"/>
      <c r="C100" s="10" t="str">
        <f ca="1">IFERROR(__xludf.DUMMYFUNCTION("""COMPUTED_VALUE"""),"zhanulka")</f>
        <v>zhanulka</v>
      </c>
      <c r="D100" s="10"/>
      <c r="E100" s="10" t="str">
        <f ca="1">IFERROR(__xludf.DUMMYFUNCTION("""COMPUTED_VALUE"""),"Juice WRLD")</f>
        <v>Juice WRLD</v>
      </c>
      <c r="F100" s="10"/>
      <c r="G100" s="10"/>
      <c r="H100" s="10"/>
      <c r="I100" s="10"/>
    </row>
    <row r="101" spans="1:9">
      <c r="A101" s="10" t="str">
        <f ca="1">IFERROR(__xludf.DUMMYFUNCTION("""COMPUTED_VALUE"""),"BALKON")</f>
        <v>BALKON</v>
      </c>
      <c r="B101" s="10"/>
      <c r="C101" s="10" t="str">
        <f ca="1">IFERROR(__xludf.DUMMYFUNCTION("""COMPUTED_VALUE"""),"дипинс")</f>
        <v>дипинс</v>
      </c>
      <c r="D101" s="10"/>
      <c r="E101" s="10" t="str">
        <f ca="1">IFERROR(__xludf.DUMMYFUNCTION("""COMPUTED_VALUE"""),"Funk Tribu")</f>
        <v>Funk Tribu</v>
      </c>
      <c r="F101" s="10"/>
      <c r="G101" s="10"/>
      <c r="H101" s="10"/>
      <c r="I101" s="10"/>
    </row>
    <row r="102" spans="1:9">
      <c r="A102" s="10" t="str">
        <f ca="1">IFERROR(__xludf.DUMMYFUNCTION("""COMPUTED_VALUE"""),"Valentin Strykalo")</f>
        <v>Valentin Strykalo</v>
      </c>
      <c r="B102" s="10"/>
      <c r="C102" s="10" t="str">
        <f ca="1">IFERROR(__xludf.DUMMYFUNCTION("""COMPUTED_VALUE"""),"O.G EzzY")</f>
        <v>O.G EzzY</v>
      </c>
      <c r="D102" s="10"/>
      <c r="E102" s="10" t="str">
        <f ca="1">IFERROR(__xludf.DUMMYFUNCTION("""COMPUTED_VALUE"""),"Lil Yachty")</f>
        <v>Lil Yachty</v>
      </c>
      <c r="F102" s="10"/>
      <c r="G102" s="10"/>
      <c r="H102" s="10"/>
      <c r="I102" s="10"/>
    </row>
    <row r="103" spans="1:9">
      <c r="A103" s="10" t="str">
        <f ca="1">IFERROR(__xludf.DUMMYFUNCTION("""COMPUTED_VALUE"""),"Verka Serduchka")</f>
        <v>Verka Serduchka</v>
      </c>
      <c r="B103" s="10"/>
      <c r="C103" s="10" t="str">
        <f ca="1">IFERROR(__xludf.DUMMYFUNCTION("""COMPUTED_VALUE"""),"АКУЛИЧ")</f>
        <v>АКУЛИЧ</v>
      </c>
      <c r="D103" s="10"/>
      <c r="E103" s="10" t="str">
        <f ca="1">IFERROR(__xludf.DUMMYFUNCTION("""COMPUTED_VALUE"""),"MGMT")</f>
        <v>MGMT</v>
      </c>
      <c r="F103" s="10"/>
      <c r="G103" s="10"/>
      <c r="H103" s="10"/>
      <c r="I103" s="10"/>
    </row>
    <row r="104" spans="1:9">
      <c r="A104" s="10" t="str">
        <f ca="1">IFERROR(__xludf.DUMMYFUNCTION("""COMPUTED_VALUE"""),"Medovyi Polyn")</f>
        <v>Medovyi Polyn</v>
      </c>
      <c r="B104" s="10"/>
      <c r="C104" s="32" t="str">
        <f ca="1">IFERROR(__xludf.DUMMYFUNCTION("""COMPUTED_VALUE"""),"vafom")</f>
        <v>vafom</v>
      </c>
      <c r="D104" s="10"/>
      <c r="E104" s="10" t="str">
        <f ca="1">IFERROR(__xludf.DUMMYFUNCTION("""COMPUTED_VALUE"""),"Miley Cyrus")</f>
        <v>Miley Cyrus</v>
      </c>
      <c r="F104" s="10"/>
      <c r="G104" s="10"/>
      <c r="H104" s="10"/>
      <c r="I104" s="10"/>
    </row>
    <row r="105" spans="1:9">
      <c r="A105" s="10" t="str">
        <f ca="1">IFERROR(__xludf.DUMMYFUNCTION("""COMPUTED_VALUE"""),"Lely45")</f>
        <v>Lely45</v>
      </c>
      <c r="B105" s="10"/>
      <c r="C105" s="32" t="str">
        <f ca="1">IFERROR(__xludf.DUMMYFUNCTION("""COMPUTED_VALUE"""),"Jakone")</f>
        <v>Jakone</v>
      </c>
      <c r="D105" s="10"/>
      <c r="E105" s="10" t="str">
        <f ca="1">IFERROR(__xludf.DUMMYFUNCTION("""COMPUTED_VALUE"""),"Sam Smith &amp; Kim Petras")</f>
        <v>Sam Smith &amp; Kim Petras</v>
      </c>
      <c r="F105" s="10"/>
      <c r="G105" s="10"/>
      <c r="H105" s="10"/>
      <c r="I105" s="10"/>
    </row>
    <row r="106" spans="1:9">
      <c r="A106" s="10" t="str">
        <f ca="1">IFERROR(__xludf.DUMMYFUNCTION("""COMPUTED_VALUE"""),"vioria")</f>
        <v>vioria</v>
      </c>
      <c r="B106" s="10"/>
      <c r="C106" s="32" t="str">
        <f ca="1">IFERROR(__xludf.DUMMYFUNCTION("""COMPUTED_VALUE"""),"A.V.G")</f>
        <v>A.V.G</v>
      </c>
      <c r="D106" s="10"/>
      <c r="E106" s="10" t="str">
        <f ca="1">IFERROR(__xludf.DUMMYFUNCTION("""COMPUTED_VALUE"""),"JAY-Z &amp; Kanye West")</f>
        <v>JAY-Z &amp; Kanye West</v>
      </c>
      <c r="F106" s="10"/>
      <c r="G106" s="10"/>
      <c r="H106" s="10"/>
      <c r="I106" s="10"/>
    </row>
    <row r="107" spans="1:9">
      <c r="A107" s="10" t="str">
        <f ca="1">IFERROR(__xludf.DUMMYFUNCTION("""COMPUTED_VALUE"""),"анастимоза")</f>
        <v>анастимоза</v>
      </c>
      <c r="B107" s="10"/>
      <c r="C107" s="32" t="str">
        <f ca="1">IFERROR(__xludf.DUMMYFUNCTION("""COMPUTED_VALUE"""),"Итачи")</f>
        <v>Итачи</v>
      </c>
      <c r="D107" s="10"/>
      <c r="E107" s="10" t="str">
        <f ca="1">IFERROR(__xludf.DUMMYFUNCTION("""COMPUTED_VALUE"""),"Gibbs")</f>
        <v>Gibbs</v>
      </c>
      <c r="F107" s="10"/>
      <c r="G107" s="10"/>
      <c r="H107" s="10"/>
      <c r="I107" s="10"/>
    </row>
    <row r="108" spans="1:9">
      <c r="A108" s="10" t="str">
        <f ca="1">IFERROR(__xludf.DUMMYFUNCTION("""COMPUTED_VALUE"""),"хейтспіч")</f>
        <v>хейтспіч</v>
      </c>
      <c r="B108" s="10"/>
      <c r="C108" s="32" t="str">
        <f ca="1">IFERROR(__xludf.DUMMYFUNCTION("""COMPUTED_VALUE"""),"Egor Kreed")</f>
        <v>Egor Kreed</v>
      </c>
      <c r="D108" s="10"/>
      <c r="E108" s="10" t="str">
        <f ca="1">IFERROR(__xludf.DUMMYFUNCTION("""COMPUTED_VALUE"""),"Chanel")</f>
        <v>Chanel</v>
      </c>
      <c r="F108" s="10"/>
      <c r="G108" s="10"/>
      <c r="H108" s="10"/>
      <c r="I108" s="10"/>
    </row>
    <row r="109" spans="1:9">
      <c r="A109" s="10" t="str">
        <f ca="1">IFERROR(__xludf.DUMMYFUNCTION("""COMPUTED_VALUE"""),"Xantesha")</f>
        <v>Xantesha</v>
      </c>
      <c r="B109" s="10"/>
      <c r="C109" s="32" t="str">
        <f ca="1">IFERROR(__xludf.DUMMYFUNCTION("""COMPUTED_VALUE"""),"H8.HOOD")</f>
        <v>H8.HOOD</v>
      </c>
      <c r="D109" s="10"/>
      <c r="E109" s="10" t="str">
        <f ca="1">IFERROR(__xludf.DUMMYFUNCTION("""COMPUTED_VALUE"""),"Jack Harlow")</f>
        <v>Jack Harlow</v>
      </c>
      <c r="F109" s="10"/>
      <c r="G109" s="10"/>
      <c r="H109" s="10"/>
      <c r="I109" s="10"/>
    </row>
    <row r="110" spans="1:9">
      <c r="A110" s="10" t="str">
        <f ca="1">IFERROR(__xludf.DUMMYFUNCTION("""COMPUTED_VALUE"""),"Tof")</f>
        <v>Tof</v>
      </c>
      <c r="B110" s="10"/>
      <c r="C110" s="32" t="str">
        <f ca="1">IFERROR(__xludf.DUMMYFUNCTION("""COMPUTED_VALUE"""),"Второй Ка")</f>
        <v>Второй Ка</v>
      </c>
      <c r="D110" s="10"/>
      <c r="E110" s="10" t="str">
        <f ca="1">IFERROR(__xludf.DUMMYFUNCTION("""COMPUTED_VALUE"""),"Kendrick Lamar")</f>
        <v>Kendrick Lamar</v>
      </c>
      <c r="F110" s="10"/>
      <c r="G110" s="10"/>
      <c r="H110" s="10"/>
      <c r="I110" s="10"/>
    </row>
    <row r="111" spans="1:9">
      <c r="A111" s="32" t="str">
        <f ca="1">IFERROR(__xludf.DUMMYFUNCTION("""COMPUTED_VALUE"""),"Білий Бо")</f>
        <v>Білий Бо</v>
      </c>
      <c r="B111" s="10"/>
      <c r="C111" s="32" t="str">
        <f ca="1">IFERROR(__xludf.DUMMYFUNCTION("""COMPUTED_VALUE"""),"Showbiz School")</f>
        <v>Showbiz School</v>
      </c>
      <c r="D111" s="10"/>
      <c r="E111" s="10" t="str">
        <f ca="1">IFERROR(__xludf.DUMMYFUNCTION("""COMPUTED_VALUE"""),"The Beatnuts")</f>
        <v>The Beatnuts</v>
      </c>
      <c r="F111" s="10"/>
      <c r="G111" s="10"/>
      <c r="H111" s="10"/>
      <c r="I111" s="10"/>
    </row>
    <row r="112" spans="1:9">
      <c r="A112" s="10" t="str">
        <f ca="1">IFERROR(__xludf.DUMMYFUNCTION("""COMPUTED_VALUE"""),"elarm")</f>
        <v>elarm</v>
      </c>
      <c r="B112" s="10"/>
      <c r="C112" s="32" t="str">
        <f ca="1">IFERROR(__xludf.DUMMYFUNCTION("""COMPUTED_VALUE"""),"Кишлак")</f>
        <v>Кишлак</v>
      </c>
      <c r="D112" s="10"/>
      <c r="E112" s="10" t="str">
        <f ca="1">IFERROR(__xludf.DUMMYFUNCTION("""COMPUTED_VALUE"""),"Sam Ryder")</f>
        <v>Sam Ryder</v>
      </c>
      <c r="F112" s="10"/>
      <c r="G112" s="10"/>
      <c r="H112" s="10"/>
      <c r="I112" s="10"/>
    </row>
    <row r="113" spans="1:9">
      <c r="A113" s="10" t="str">
        <f ca="1">IFERROR(__xludf.DUMMYFUNCTION("""COMPUTED_VALUE"""),"ASKEt")</f>
        <v>ASKEt</v>
      </c>
      <c r="B113" s="10"/>
      <c r="C113" s="32" t="str">
        <f ca="1">IFERROR(__xludf.DUMMYFUNCTION("""COMPUTED_VALUE"""),"Aarne")</f>
        <v>Aarne</v>
      </c>
      <c r="D113" s="10"/>
      <c r="E113" s="10" t="str">
        <f ca="1">IFERROR(__xludf.DUMMYFUNCTION("""COMPUTED_VALUE"""),"Cornelia Jakobs")</f>
        <v>Cornelia Jakobs</v>
      </c>
      <c r="F113" s="10"/>
      <c r="G113" s="10"/>
      <c r="H113" s="10"/>
      <c r="I113" s="10"/>
    </row>
    <row r="114" spans="1:9">
      <c r="A114" s="10" t="str">
        <f ca="1">IFERROR(__xludf.DUMMYFUNCTION("""COMPUTED_VALUE"""),"Karta Svitu")</f>
        <v>Karta Svitu</v>
      </c>
      <c r="B114" s="10"/>
      <c r="C114" s="32" t="str">
        <f ca="1">IFERROR(__xludf.DUMMYFUNCTION("""COMPUTED_VALUE"""),"Yanix")</f>
        <v>Yanix</v>
      </c>
      <c r="D114" s="10"/>
      <c r="E114" s="10" t="str">
        <f ca="1">IFERROR(__xludf.DUMMYFUNCTION("""COMPUTED_VALUE"""),"Ochman")</f>
        <v>Ochman</v>
      </c>
      <c r="F114" s="10"/>
      <c r="G114" s="10"/>
      <c r="H114" s="10"/>
      <c r="I114" s="10"/>
    </row>
    <row r="115" spans="1:9">
      <c r="A115" s="10" t="str">
        <f ca="1">IFERROR(__xludf.DUMMYFUNCTION("""COMPUTED_VALUE"""),"SCXR SOUL")</f>
        <v>SCXR SOUL</v>
      </c>
      <c r="B115" s="10"/>
      <c r="C115" s="32" t="str">
        <f ca="1">IFERROR(__xludf.DUMMYFUNCTION("""COMPUTED_VALUE"""),"SEEMEE")</f>
        <v>SEEMEE</v>
      </c>
      <c r="D115" s="10"/>
      <c r="E115" s="10" t="str">
        <f ca="1">IFERROR(__xludf.DUMMYFUNCTION("""COMPUTED_VALUE"""),"Jérémie Makiese")</f>
        <v>Jérémie Makiese</v>
      </c>
      <c r="F115" s="10"/>
      <c r="G115" s="10"/>
      <c r="H115" s="10"/>
      <c r="I115" s="10"/>
    </row>
    <row r="116" spans="1:9">
      <c r="A116" s="32" t="str">
        <f ca="1">IFERROR(__xludf.DUMMYFUNCTION("""COMPUTED_VALUE"""),"Sx1nxwy")</f>
        <v>Sx1nxwy</v>
      </c>
      <c r="B116" s="10"/>
      <c r="C116" s="32" t="str">
        <f ca="1">IFERROR(__xludf.DUMMYFUNCTION("""COMPUTED_VALUE"""),"ONIMXRU")</f>
        <v>ONIMXRU</v>
      </c>
      <c r="D116" s="10"/>
      <c r="E116" s="10" t="str">
        <f ca="1">IFERROR(__xludf.DUMMYFUNCTION("""COMPUTED_VALUE"""),"Megan Thee Stallion &amp; Dua Lipa")</f>
        <v>Megan Thee Stallion &amp; Dua Lipa</v>
      </c>
      <c r="F116" s="10"/>
      <c r="G116" s="10"/>
      <c r="H116" s="10"/>
      <c r="I116" s="10"/>
    </row>
    <row r="117" spans="1:9">
      <c r="A117" s="10" t="str">
        <f ca="1">IFERROR(__xludf.DUMMYFUNCTION("""COMPUTED_VALUE"""),"MBreeze")</f>
        <v>MBreeze</v>
      </c>
      <c r="B117" s="10"/>
      <c r="C117" s="32" t="str">
        <f ca="1">IFERROR(__xludf.DUMMYFUNCTION("""COMPUTED_VALUE"""),"ARBUZOVA")</f>
        <v>ARBUZOVA</v>
      </c>
      <c r="D117" s="10"/>
      <c r="E117" s="10" t="str">
        <f ca="1">IFERROR(__xludf.DUMMYFUNCTION("""COMPUTED_VALUE"""),"Labrinth &amp; Zendaya")</f>
        <v>Labrinth &amp; Zendaya</v>
      </c>
      <c r="F117" s="10"/>
      <c r="G117" s="10"/>
      <c r="H117" s="10"/>
      <c r="I117" s="10"/>
    </row>
    <row r="118" spans="1:9">
      <c r="A118" s="10" t="str">
        <f ca="1">IFERROR(__xludf.DUMMYFUNCTION("""COMPUTED_VALUE"""),"Анна Трінчер")</f>
        <v>Анна Трінчер</v>
      </c>
      <c r="B118" s="10"/>
      <c r="C118" s="32" t="str">
        <f ca="1">IFERROR(__xludf.DUMMYFUNCTION("""COMPUTED_VALUE"""),"Айки")</f>
        <v>Айки</v>
      </c>
      <c r="D118" s="10"/>
      <c r="E118" s="10"/>
      <c r="F118" s="10"/>
      <c r="G118" s="10"/>
      <c r="H118" s="10"/>
      <c r="I118" s="10"/>
    </row>
    <row r="119" spans="1:9">
      <c r="A119" s="32" t="str">
        <f ca="1">IFERROR(__xludf.DUMMYFUNCTION("""COMPUTED_VALUE"""),"MBreeze")</f>
        <v>MBreeze</v>
      </c>
      <c r="B119" s="10"/>
      <c r="C119" s="10" t="str">
        <f ca="1">IFERROR(__xludf.DUMMYFUNCTION("""COMPUTED_VALUE"""),"nkeeei")</f>
        <v>nkeeei</v>
      </c>
      <c r="D119" s="10"/>
      <c r="E119" s="10"/>
      <c r="F119" s="10"/>
      <c r="G119" s="10"/>
      <c r="H119" s="10"/>
      <c r="I119" s="10"/>
    </row>
    <row r="120" spans="1:9">
      <c r="A120" s="10" t="str">
        <f ca="1">IFERROR(__xludf.DUMMYFUNCTION("""COMPUTED_VALUE"""),"TVORCHI")</f>
        <v>TVORCHI</v>
      </c>
      <c r="B120" s="10"/>
      <c r="C120" s="32" t="str">
        <f ca="1">IFERROR(__xludf.DUMMYFUNCTION("""COMPUTED_VALUE"""),"MAYOT")</f>
        <v>MAYOT</v>
      </c>
      <c r="D120" s="10"/>
      <c r="E120" s="10"/>
      <c r="F120" s="10"/>
      <c r="G120" s="10"/>
      <c r="H120" s="10"/>
      <c r="I120" s="10"/>
    </row>
    <row r="121" spans="1:9">
      <c r="A121" s="10" t="str">
        <f ca="1">IFERROR(__xludf.DUMMYFUNCTION("""COMPUTED_VALUE"""),"Golubenko")</f>
        <v>Golubenko</v>
      </c>
      <c r="B121" s="10"/>
      <c r="C121" s="32" t="str">
        <f ca="1">IFERROR(__xludf.DUMMYFUNCTION("""COMPUTED_VALUE"""),"SHILOVETS")</f>
        <v>SHILOVETS</v>
      </c>
      <c r="D121" s="10"/>
      <c r="E121" s="10"/>
      <c r="F121" s="10"/>
      <c r="G121" s="10"/>
      <c r="H121" s="10"/>
      <c r="I121" s="10"/>
    </row>
    <row r="122" spans="1:9">
      <c r="A122" s="32" t="str">
        <f ca="1">IFERROR(__xludf.DUMMYFUNCTION("""COMPUTED_VALUE"""),"Clonnex")</f>
        <v>Clonnex</v>
      </c>
      <c r="B122" s="10"/>
      <c r="C122" s="32" t="str">
        <f ca="1">IFERROR(__xludf.DUMMYFUNCTION("""COMPUTED_VALUE"""),"ARTEM")</f>
        <v>ARTEM</v>
      </c>
      <c r="D122" s="10"/>
      <c r="E122" s="10" t="str">
        <f ca="1">IFERROR(__xludf.DUMMYFUNCTION("""COMPUTED_VALUE"""),"Lady Gaga")</f>
        <v>Lady Gaga</v>
      </c>
      <c r="F122" s="10"/>
      <c r="G122" s="10"/>
      <c r="H122" s="10"/>
      <c r="I122" s="10"/>
    </row>
    <row r="123" spans="1:9">
      <c r="A123" s="10" t="str">
        <f ca="1">IFERROR(__xludf.DUMMYFUNCTION("""COMPUTED_VALUE"""),"Grohotsky")</f>
        <v>Grohotsky</v>
      </c>
      <c r="B123" s="10"/>
      <c r="C123" s="32" t="str">
        <f ca="1">IFERROR(__xludf.DUMMYFUNCTION("""COMPUTED_VALUE"""),"uniqe")</f>
        <v>uniqe</v>
      </c>
      <c r="D123" s="10"/>
      <c r="E123" s="10" t="str">
        <f ca="1">IFERROR(__xludf.DUMMYFUNCTION("""COMPUTED_VALUE"""),"The Cramps")</f>
        <v>The Cramps</v>
      </c>
      <c r="F123" s="10"/>
      <c r="G123" s="10"/>
      <c r="H123" s="10"/>
      <c r="I123" s="10"/>
    </row>
    <row r="124" spans="1:9">
      <c r="A124" s="10" t="str">
        <f ca="1">IFERROR(__xludf.DUMMYFUNCTION("""COMPUTED_VALUE"""),"BARABANDA")</f>
        <v>BARABANDA</v>
      </c>
      <c r="B124" s="10"/>
      <c r="C124" s="33" t="str">
        <f ca="1">IFERROR(__xludf.DUMMYFUNCTION("""COMPUTED_VALUE"""),"Arut")</f>
        <v>Arut</v>
      </c>
      <c r="D124" s="10"/>
      <c r="E124" s="10" t="str">
        <f ca="1">IFERROR(__xludf.DUMMYFUNCTION("""COMPUTED_VALUE"""),"Lil Uzi Vert")</f>
        <v>Lil Uzi Vert</v>
      </c>
      <c r="F124" s="10"/>
      <c r="G124" s="10"/>
      <c r="H124" s="10"/>
      <c r="I124" s="10"/>
    </row>
    <row r="125" spans="1:9">
      <c r="A125" s="32" t="str">
        <f ca="1">IFERROR(__xludf.DUMMYFUNCTION("""COMPUTED_VALUE"""),"Kalush Orchestra")</f>
        <v>Kalush Orchestra</v>
      </c>
      <c r="B125" s="10"/>
      <c r="C125" s="34" t="str">
        <f ca="1">IFERROR(__xludf.DUMMYFUNCTION("""COMPUTED_VALUE"""),"Big Baby Tape")</f>
        <v>Big Baby Tape</v>
      </c>
      <c r="D125" s="10"/>
      <c r="E125" s="10" t="str">
        <f ca="1">IFERROR(__xludf.DUMMYFUNCTION("""COMPUTED_VALUE"""),"ThxSoMch")</f>
        <v>ThxSoMch</v>
      </c>
      <c r="F125" s="10"/>
      <c r="G125" s="10"/>
      <c r="H125" s="10"/>
      <c r="I125" s="10"/>
    </row>
    <row r="126" spans="1:9">
      <c r="A126" s="32" t="str">
        <f ca="1">IFERROR(__xludf.DUMMYFUNCTION("""COMPUTED_VALUE"""),"KOZAK SIROMAHA")</f>
        <v>KOZAK SIROMAHA</v>
      </c>
      <c r="B126" s="10"/>
      <c r="C126" s="10" t="str">
        <f ca="1">IFERROR(__xludf.DUMMYFUNCTION("""COMPUTED_VALUE"""),"uglystephan archive")</f>
        <v>uglystephan archive</v>
      </c>
      <c r="D126" s="10"/>
      <c r="E126" s="32" t="str">
        <f ca="1">IFERROR(__xludf.DUMMYFUNCTION("""COMPUTED_VALUE"""),"21 Savage")</f>
        <v>21 Savage</v>
      </c>
      <c r="F126" s="10"/>
      <c r="G126" s="10"/>
      <c r="H126" s="10"/>
      <c r="I126" s="10"/>
    </row>
    <row r="127" spans="1:9">
      <c r="A127" s="32" t="str">
        <f ca="1">IFERROR(__xludf.DUMMYFUNCTION("""COMPUTED_VALUE"""),"KALUSH")</f>
        <v>KALUSH</v>
      </c>
      <c r="B127" s="10"/>
      <c r="C127" s="10" t="str">
        <f ca="1">IFERROR(__xludf.DUMMYFUNCTION("""COMPUTED_VALUE"""),"LOVV66")</f>
        <v>LOVV66</v>
      </c>
      <c r="D127" s="10"/>
      <c r="E127" s="10" t="str">
        <f ca="1">IFERROR(__xludf.DUMMYFUNCTION("""COMPUTED_VALUE"""),"Drake")</f>
        <v>Drake</v>
      </c>
      <c r="F127" s="10"/>
      <c r="G127" s="10"/>
      <c r="H127" s="10"/>
      <c r="I127" s="10"/>
    </row>
    <row r="128" spans="1:9">
      <c r="A128" s="10" t="str">
        <f ca="1">IFERROR(__xludf.DUMMYFUNCTION("""COMPUTED_VALUE"""),"Parfeniuk")</f>
        <v>Parfeniuk</v>
      </c>
      <c r="B128" s="10"/>
      <c r="C128" s="32" t="str">
        <f ca="1">IFERROR(__xludf.DUMMYFUNCTION("""COMPUTED_VALUE"""),"Платина")</f>
        <v>Платина</v>
      </c>
      <c r="D128" s="10"/>
      <c r="E128" s="10" t="str">
        <f ca="1">IFERROR(__xludf.DUMMYFUNCTION("""COMPUTED_VALUE"""),"Masked Wolf")</f>
        <v>Masked Wolf</v>
      </c>
      <c r="F128" s="10"/>
      <c r="G128" s="10"/>
      <c r="H128" s="10"/>
      <c r="I128" s="10"/>
    </row>
    <row r="129" spans="1:9">
      <c r="A129" s="10" t="str">
        <f ca="1">IFERROR(__xludf.DUMMYFUNCTION("""COMPUTED_VALUE"""),"Quest Pistols Official")</f>
        <v>Quest Pistols Official</v>
      </c>
      <c r="B129" s="10"/>
      <c r="C129" s="10" t="str">
        <f ca="1">IFERROR(__xludf.DUMMYFUNCTION("""COMPUTED_VALUE"""),"V $ X V PRiNCE")</f>
        <v>V $ X V PRiNCE</v>
      </c>
      <c r="D129" s="10"/>
      <c r="E129" s="10" t="str">
        <f ca="1">IFERROR(__xludf.DUMMYFUNCTION("""COMPUTED_VALUE"""),"SALES")</f>
        <v>SALES</v>
      </c>
      <c r="F129" s="10"/>
      <c r="G129" s="10"/>
      <c r="H129" s="10"/>
      <c r="I129" s="10"/>
    </row>
    <row r="130" spans="1:9">
      <c r="A130" s="10" t="str">
        <f ca="1">IFERROR(__xludf.DUMMYFUNCTION("""COMPUTED_VALUE"""),"Fiinka")</f>
        <v>Fiinka</v>
      </c>
      <c r="B130" s="10"/>
      <c r="C130" s="33" t="str">
        <f ca="1">IFERROR(__xludf.DUMMYFUNCTION("""COMPUTED_VALUE"""),"LSP")</f>
        <v>LSP</v>
      </c>
      <c r="D130" s="10"/>
      <c r="E130" s="10" t="str">
        <f ca="1">IFERROR(__xludf.DUMMYFUNCTION("""COMPUTED_VALUE"""),"Andy Williams")</f>
        <v>Andy Williams</v>
      </c>
      <c r="F130" s="10"/>
      <c r="G130" s="10"/>
      <c r="H130" s="10"/>
      <c r="I130" s="10"/>
    </row>
    <row r="131" spans="1:9">
      <c r="A131" s="10" t="str">
        <f ca="1">IFERROR(__xludf.DUMMYFUNCTION("""COMPUTED_VALUE"""),"Артем Пивоваров")</f>
        <v>Артем Пивоваров</v>
      </c>
      <c r="B131" s="10"/>
      <c r="C131" s="34" t="str">
        <f ca="1">IFERROR(__xludf.DUMMYFUNCTION("""COMPUTED_VALUE"""),"MORGENSHTERN")</f>
        <v>MORGENSHTERN</v>
      </c>
      <c r="D131" s="10"/>
      <c r="E131" s="10" t="str">
        <f ca="1">IFERROR(__xludf.DUMMYFUNCTION("""COMPUTED_VALUE"""),"Michael Bublé")</f>
        <v>Michael Bublé</v>
      </c>
      <c r="F131" s="10"/>
      <c r="G131" s="10"/>
      <c r="H131" s="10"/>
      <c r="I131" s="10"/>
    </row>
    <row r="132" spans="1:9">
      <c r="A132" s="35" t="str">
        <f ca="1">IFERROR(__xludf.DUMMYFUNCTION("""COMPUTED_VALUE"""),"NK")</f>
        <v>NK</v>
      </c>
      <c r="B132" s="10"/>
      <c r="C132" s="10" t="str">
        <f ca="1">IFERROR(__xludf.DUMMYFUNCTION("""COMPUTED_VALUE"""),"Даня Милохин")</f>
        <v>Даня Милохин</v>
      </c>
      <c r="D132" s="10"/>
      <c r="E132" s="10" t="str">
        <f ca="1">IFERROR(__xludf.DUMMYFUNCTION("""COMPUTED_VALUE"""),"Ezekiel")</f>
        <v>Ezekiel</v>
      </c>
      <c r="F132" s="10"/>
      <c r="G132" s="10"/>
      <c r="H132" s="10"/>
      <c r="I132" s="10"/>
    </row>
    <row r="133" spans="1:9">
      <c r="A133" s="10" t="str">
        <f ca="1">IFERROR(__xludf.DUMMYFUNCTION("""COMPUTED_VALUE"""),"Артем Пивоваров &amp; NK")</f>
        <v>Артем Пивоваров &amp; NK</v>
      </c>
      <c r="B133" s="10"/>
      <c r="C133" s="10" t="str">
        <f ca="1">IFERROR(__xludf.DUMMYFUNCTION("""COMPUTED_VALUE"""),"IC3PEAK")</f>
        <v>IC3PEAK</v>
      </c>
      <c r="D133" s="10"/>
      <c r="E133" s="10" t="str">
        <f ca="1">IFERROR(__xludf.DUMMYFUNCTION("""COMPUTED_VALUE"""),"Swedish House Mafia")</f>
        <v>Swedish House Mafia</v>
      </c>
      <c r="F133" s="10"/>
      <c r="G133" s="10"/>
      <c r="H133" s="10"/>
      <c r="I133" s="10"/>
    </row>
    <row r="134" spans="1:9">
      <c r="A134" s="10" t="str">
        <f ca="1">IFERROR(__xludf.DUMMYFUNCTION("""COMPUTED_VALUE"""),"Skofka &amp; KALUSH")</f>
        <v>Skofka &amp; KALUSH</v>
      </c>
      <c r="B134" s="10"/>
      <c r="C134" s="10" t="str">
        <f ca="1">IFERROR(__xludf.DUMMYFUNCTION("""COMPUTED_VALUE"""),"METAN")</f>
        <v>METAN</v>
      </c>
      <c r="D134" s="10"/>
      <c r="E134" s="10" t="str">
        <f ca="1">IFERROR(__xludf.DUMMYFUNCTION("""COMPUTED_VALUE"""),"BONES")</f>
        <v>BONES</v>
      </c>
      <c r="F134" s="10"/>
      <c r="G134" s="10"/>
      <c r="H134" s="10"/>
      <c r="I134" s="10"/>
    </row>
    <row r="135" spans="1:9">
      <c r="A135" s="10" t="str">
        <f ca="1">IFERROR(__xludf.DUMMYFUNCTION("""COMPUTED_VALUE"""),"Дорофеєва Надія")</f>
        <v>Дорофеєва Надія</v>
      </c>
      <c r="B135" s="10"/>
      <c r="C135" s="10" t="str">
        <f ca="1">IFERROR(__xludf.DUMMYFUNCTION("""COMPUTED_VALUE"""),"HammAli &amp; Navai")</f>
        <v>HammAli &amp; Navai</v>
      </c>
      <c r="D135" s="10"/>
      <c r="E135" s="10" t="str">
        <f ca="1">IFERROR(__xludf.DUMMYFUNCTION("""COMPUTED_VALUE"""),"Doja Cat")</f>
        <v>Doja Cat</v>
      </c>
      <c r="F135" s="10"/>
      <c r="G135" s="10"/>
      <c r="H135" s="10"/>
      <c r="I135" s="10"/>
    </row>
    <row r="136" spans="1:9">
      <c r="A136" s="10" t="str">
        <f ca="1">IFERROR(__xludf.DUMMYFUNCTION("""COMPUTED_VALUE"""),"Артем Пивоваров &amp; Дорофеєва Надія")</f>
        <v>Артем Пивоваров &amp; Дорофеєва Надія</v>
      </c>
      <c r="B136" s="10"/>
      <c r="C136" s="10" t="str">
        <f ca="1">IFERROR(__xludf.DUMMYFUNCTION("""COMPUTED_VALUE"""),"3TERNITY")</f>
        <v>3TERNITY</v>
      </c>
      <c r="D136" s="10"/>
      <c r="E136" s="10" t="str">
        <f ca="1">IFERROR(__xludf.DUMMYFUNCTION("""COMPUTED_VALUE"""),"Yung Lean")</f>
        <v>Yung Lean</v>
      </c>
      <c r="F136" s="10"/>
      <c r="G136" s="10"/>
      <c r="H136" s="10"/>
      <c r="I136" s="10"/>
    </row>
    <row r="137" spans="1:9">
      <c r="A137" s="10" t="str">
        <f ca="1">IFERROR(__xludf.DUMMYFUNCTION("""COMPUTED_VALUE"""),"YAKTAK")</f>
        <v>YAKTAK</v>
      </c>
      <c r="B137" s="10"/>
      <c r="C137" s="10" t="str">
        <f ca="1">IFERROR(__xludf.DUMMYFUNCTION("""COMPUTED_VALUE"""),"BRANYA")</f>
        <v>BRANYA</v>
      </c>
      <c r="D137" s="10"/>
      <c r="E137" s="10" t="str">
        <f ca="1">IFERROR(__xludf.DUMMYFUNCTION("""COMPUTED_VALUE"""),"The Rare Occasions")</f>
        <v>The Rare Occasions</v>
      </c>
      <c r="F137" s="10"/>
      <c r="G137" s="10"/>
      <c r="H137" s="10"/>
      <c r="I137" s="10"/>
    </row>
    <row r="138" spans="1:9">
      <c r="A138" s="10" t="str">
        <f ca="1">IFERROR(__xludf.DUMMYFUNCTION("""COMPUTED_VALUE"""),"Dima Prokopov")</f>
        <v>Dima Prokopov</v>
      </c>
      <c r="B138" s="10"/>
      <c r="C138" s="10" t="str">
        <f ca="1">IFERROR(__xludf.DUMMYFUNCTION("""COMPUTED_VALUE"""),"Mnogoznaal")</f>
        <v>Mnogoznaal</v>
      </c>
      <c r="D138" s="10"/>
      <c r="E138" s="10" t="str">
        <f ca="1">IFERROR(__xludf.DUMMYFUNCTION("""COMPUTED_VALUE"""),"Lana Del Rey")</f>
        <v>Lana Del Rey</v>
      </c>
      <c r="F138" s="10"/>
      <c r="G138" s="10"/>
      <c r="H138" s="10"/>
      <c r="I138" s="10"/>
    </row>
    <row r="139" spans="1:9">
      <c r="A139" s="10" t="str">
        <f ca="1">IFERROR(__xludf.DUMMYFUNCTION("""COMPUTED_VALUE"""),"KALUSH &amp; Kalush Orchestra")</f>
        <v>KALUSH &amp; Kalush Orchestra</v>
      </c>
      <c r="B139" s="10"/>
      <c r="C139" s="10" t="str">
        <f ca="1">IFERROR(__xludf.DUMMYFUNCTION("""COMPUTED_VALUE"""),"Kush Lovers")</f>
        <v>Kush Lovers</v>
      </c>
      <c r="D139" s="10"/>
      <c r="E139" s="10" t="str">
        <f ca="1">IFERROR(__xludf.DUMMYFUNCTION("""COMPUTED_VALUE"""),"Labrinth")</f>
        <v>Labrinth</v>
      </c>
      <c r="F139" s="10"/>
      <c r="G139" s="10"/>
      <c r="H139" s="10"/>
      <c r="I139" s="10"/>
    </row>
    <row r="140" spans="1:9">
      <c r="A140" s="10" t="str">
        <f ca="1">IFERROR(__xludf.DUMMYFUNCTION("""COMPUTED_VALUE"""),"100лиця &amp; SKYLERR")</f>
        <v>100лиця &amp; SKYLERR</v>
      </c>
      <c r="B140" s="10"/>
      <c r="C140" s="10" t="str">
        <f ca="1">IFERROR(__xludf.DUMMYFUNCTION("""COMPUTED_VALUE"""),"Платина")</f>
        <v>Платина</v>
      </c>
      <c r="D140" s="10"/>
      <c r="E140" s="10" t="str">
        <f ca="1">IFERROR(__xludf.DUMMYFUNCTION("""COMPUTED_VALUE"""),"IVOXYGEN")</f>
        <v>IVOXYGEN</v>
      </c>
      <c r="F140" s="10"/>
      <c r="G140" s="10"/>
      <c r="H140" s="10"/>
      <c r="I140" s="10"/>
    </row>
    <row r="141" spans="1:9">
      <c r="A141" s="35" t="str">
        <f ca="1">IFERROR(__xludf.DUMMYFUNCTION("""COMPUTED_VALUE"""),"100лиця")</f>
        <v>100лиця</v>
      </c>
      <c r="B141" s="10"/>
      <c r="C141" s="10" t="str">
        <f ca="1">IFERROR(__xludf.DUMMYFUNCTION("""COMPUTED_VALUE"""),"DEAD BLONDE")</f>
        <v>DEAD BLONDE</v>
      </c>
      <c r="D141" s="10"/>
      <c r="E141" s="10" t="str">
        <f ca="1">IFERROR(__xludf.DUMMYFUNCTION("""COMPUTED_VALUE"""),"Gunna")</f>
        <v>Gunna</v>
      </c>
      <c r="F141" s="10"/>
      <c r="G141" s="10"/>
      <c r="H141" s="10"/>
      <c r="I141" s="10"/>
    </row>
    <row r="142" spans="1:9">
      <c r="A142" s="35" t="str">
        <f ca="1">IFERROR(__xludf.DUMMYFUNCTION("""COMPUTED_VALUE"""),"SKYLERR")</f>
        <v>SKYLERR</v>
      </c>
      <c r="B142" s="10"/>
      <c r="C142" s="10" t="str">
        <f ca="1">IFERROR(__xludf.DUMMYFUNCTION("""COMPUTED_VALUE"""),"MiyaGi")</f>
        <v>MiyaGi</v>
      </c>
      <c r="D142" s="10"/>
      <c r="E142" s="10" t="str">
        <f ca="1">IFERROR(__xludf.DUMMYFUNCTION("""COMPUTED_VALUE"""),"$NOT")</f>
        <v>$NOT</v>
      </c>
      <c r="F142" s="10"/>
      <c r="G142" s="10"/>
      <c r="H142" s="10"/>
      <c r="I142" s="10"/>
    </row>
    <row r="143" spans="1:9">
      <c r="A143" s="10" t="str">
        <f ca="1">IFERROR(__xludf.DUMMYFUNCTION("""COMPUTED_VALUE"""),"Qatoshi &amp; Chico")</f>
        <v>Qatoshi &amp; Chico</v>
      </c>
      <c r="B143" s="10"/>
      <c r="C143" s="10" t="str">
        <f ca="1">IFERROR(__xludf.DUMMYFUNCTION("""COMPUTED_VALUE"""),"ЛЯЛЬКА")</f>
        <v>ЛЯЛЬКА</v>
      </c>
      <c r="D143" s="10"/>
      <c r="E143" s="10" t="str">
        <f ca="1">IFERROR(__xludf.DUMMYFUNCTION("""COMPUTED_VALUE"""),"Red Hot Chili Peppers")</f>
        <v>Red Hot Chili Peppers</v>
      </c>
      <c r="F143" s="10"/>
      <c r="G143" s="10"/>
      <c r="H143" s="10"/>
      <c r="I143" s="10"/>
    </row>
    <row r="144" spans="1:9">
      <c r="A144" s="10" t="str">
        <f ca="1">IFERROR(__xludf.DUMMYFUNCTION("""COMPUTED_VALUE"""),"ANGY KREYDA")</f>
        <v>ANGY KREYDA</v>
      </c>
      <c r="B144" s="10"/>
      <c r="C144" s="10" t="str">
        <f ca="1">IFERROR(__xludf.DUMMYFUNCTION("""COMPUTED_VALUE"""),"Ежемесячные")</f>
        <v>Ежемесячные</v>
      </c>
      <c r="D144" s="10"/>
      <c r="E144" s="10" t="str">
        <f ca="1">IFERROR(__xludf.DUMMYFUNCTION("""COMPUTED_VALUE"""),"Jung Kook")</f>
        <v>Jung Kook</v>
      </c>
      <c r="F144" s="10"/>
      <c r="G144" s="10"/>
      <c r="H144" s="10"/>
      <c r="I144" s="10"/>
    </row>
    <row r="145" spans="1:9">
      <c r="A145" s="10" t="str">
        <f ca="1">IFERROR(__xludf.DUMMYFUNCTION("""COMPUTED_VALUE"""),"Маша Краш")</f>
        <v>Маша Краш</v>
      </c>
      <c r="B145" s="10"/>
      <c r="C145" s="10" t="str">
        <f ca="1">IFERROR(__xludf.DUMMYFUNCTION("""COMPUTED_VALUE"""),"Ollane")</f>
        <v>Ollane</v>
      </c>
      <c r="D145" s="10"/>
      <c r="E145" s="10" t="str">
        <f ca="1">IFERROR(__xludf.DUMMYFUNCTION("""COMPUTED_VALUE"""),"Cypis")</f>
        <v>Cypis</v>
      </c>
      <c r="F145" s="10"/>
      <c r="G145" s="10"/>
      <c r="H145" s="10"/>
      <c r="I145" s="10"/>
    </row>
    <row r="146" spans="1:9">
      <c r="A146" s="10" t="str">
        <f ca="1">IFERROR(__xludf.DUMMYFUNCTION("""COMPUTED_VALUE"""),"ЛЮСЯ КАВА")</f>
        <v>ЛЮСЯ КАВА</v>
      </c>
      <c r="B146" s="10"/>
      <c r="C146" s="10" t="str">
        <f ca="1">IFERROR(__xludf.DUMMYFUNCTION("""COMPUTED_VALUE"""),"GUMA")</f>
        <v>GUMA</v>
      </c>
      <c r="D146" s="10"/>
      <c r="E146" s="10" t="str">
        <f ca="1">IFERROR(__xludf.DUMMYFUNCTION("""COMPUTED_VALUE"""),"Griffinilla")</f>
        <v>Griffinilla</v>
      </c>
      <c r="F146" s="10"/>
      <c r="G146" s="10"/>
      <c r="H146" s="10"/>
      <c r="I146" s="10"/>
    </row>
    <row r="147" spans="1:9">
      <c r="A147" s="10" t="str">
        <f ca="1">IFERROR(__xludf.DUMMYFUNCTION("""COMPUTED_VALUE"""),"NAZVA")</f>
        <v>NAZVA</v>
      </c>
      <c r="B147" s="10"/>
      <c r="C147" s="10" t="str">
        <f ca="1">IFERROR(__xludf.DUMMYFUNCTION("""COMPUTED_VALUE"""),"Kaito Shoma")</f>
        <v>Kaito Shoma</v>
      </c>
      <c r="D147" s="10"/>
      <c r="E147" s="10" t="str">
        <f ca="1">IFERROR(__xludf.DUMMYFUNCTION("""COMPUTED_VALUE"""),"Ishowsped")</f>
        <v>Ishowsped</v>
      </c>
      <c r="F147" s="10"/>
      <c r="G147" s="10"/>
      <c r="H147" s="10"/>
      <c r="I147" s="10"/>
    </row>
    <row r="148" spans="1:9">
      <c r="A148" s="10" t="str">
        <f ca="1">IFERROR(__xludf.DUMMYFUNCTION("""COMPUTED_VALUE"""),"Олександр Валерійович Пономарьов, Михайло Хома, Тарас Тополя, --, -- &amp; Петро Чорний")</f>
        <v>Олександр Валерійович Пономарьов, Михайло Хома, Тарас Тополя, --, -- &amp; Петро Чорний</v>
      </c>
      <c r="B148" s="10"/>
      <c r="C148" s="10" t="str">
        <f ca="1">IFERROR(__xludf.DUMMYFUNCTION("""COMPUTED_VALUE"""),"MiyaGi &amp; Endspiel")</f>
        <v>MiyaGi &amp; Endspiel</v>
      </c>
      <c r="D148" s="10"/>
      <c r="E148" s="10" t="str">
        <f ca="1">IFERROR(__xludf.DUMMYFUNCTION("""COMPUTED_VALUE"""),"Daft Punk")</f>
        <v>Daft Punk</v>
      </c>
      <c r="F148" s="10"/>
      <c r="G148" s="10"/>
      <c r="H148" s="10"/>
      <c r="I148" s="10"/>
    </row>
    <row r="149" spans="1:9">
      <c r="A149" s="35" t="str">
        <f ca="1">IFERROR(__xludf.DUMMYFUNCTION("""COMPUTED_VALUE"""),"Петро Чорний")</f>
        <v>Петро Чорний</v>
      </c>
      <c r="B149" s="10"/>
      <c r="C149" s="10" t="str">
        <f ca="1">IFERROR(__xludf.DUMMYFUNCTION("""COMPUTED_VALUE"""),"Ваня Дмитриенко")</f>
        <v>Ваня Дмитриенко</v>
      </c>
      <c r="D149" s="10"/>
      <c r="E149" s="10" t="str">
        <f ca="1">IFERROR(__xludf.DUMMYFUNCTION("""COMPUTED_VALUE"""),"Rammstein")</f>
        <v>Rammstein</v>
      </c>
      <c r="F149" s="10"/>
      <c r="G149" s="10"/>
      <c r="H149" s="10"/>
      <c r="I149" s="10"/>
    </row>
    <row r="150" spans="1:9">
      <c r="A150" s="35" t="str">
        <f ca="1">IFERROR(__xludf.DUMMYFUNCTION("""COMPUTED_VALUE"""),"Тарас Тополя")</f>
        <v>Тарас Тополя</v>
      </c>
      <c r="B150" s="10"/>
      <c r="C150" s="10" t="str">
        <f ca="1">IFERROR(__xludf.DUMMYFUNCTION("""COMPUTED_VALUE"""),"Galibri &amp; Mavik")</f>
        <v>Galibri &amp; Mavik</v>
      </c>
      <c r="D150" s="10"/>
      <c r="E150" s="10" t="str">
        <f ca="1">IFERROR(__xludf.DUMMYFUNCTION("""COMPUTED_VALUE"""),"Stray Kids")</f>
        <v>Stray Kids</v>
      </c>
      <c r="F150" s="10"/>
      <c r="G150" s="10"/>
      <c r="H150" s="10"/>
      <c r="I150" s="10"/>
    </row>
    <row r="151" spans="1:9">
      <c r="A151" s="35" t="str">
        <f ca="1">IFERROR(__xludf.DUMMYFUNCTION("""COMPUTED_VALUE"""),"Михайло Хома")</f>
        <v>Михайло Хома</v>
      </c>
      <c r="B151" s="10"/>
      <c r="C151" s="10" t="str">
        <f ca="1">IFERROR(__xludf.DUMMYFUNCTION("""COMPUTED_VALUE"""),"Arthur Pirozhkov")</f>
        <v>Arthur Pirozhkov</v>
      </c>
      <c r="D151" s="10"/>
      <c r="E151" s="10" t="str">
        <f ca="1">IFERROR(__xludf.DUMMYFUNCTION("""COMPUTED_VALUE"""),"Demi Lovato")</f>
        <v>Demi Lovato</v>
      </c>
      <c r="F151" s="10"/>
      <c r="G151" s="10"/>
      <c r="H151" s="10"/>
      <c r="I151" s="10"/>
    </row>
    <row r="152" spans="1:9">
      <c r="A152" s="35" t="str">
        <f ca="1">IFERROR(__xludf.DUMMYFUNCTION("""COMPUTED_VALUE"""),"Олександр Валерійович Пономарьов")</f>
        <v>Олександр Валерійович Пономарьов</v>
      </c>
      <c r="B152" s="10"/>
      <c r="C152" s="10" t="str">
        <f ca="1">IFERROR(__xludf.DUMMYFUNCTION("""COMPUTED_VALUE"""),"FrozenGangBeatz")</f>
        <v>FrozenGangBeatz</v>
      </c>
      <c r="D152" s="10"/>
      <c r="E152" s="10" t="str">
        <f ca="1">IFERROR(__xludf.DUMMYFUNCTION("""COMPUTED_VALUE"""),"AnnenMayKantereit")</f>
        <v>AnnenMayKantereit</v>
      </c>
      <c r="F152" s="10"/>
      <c r="G152" s="10"/>
      <c r="H152" s="10"/>
      <c r="I152" s="10"/>
    </row>
    <row r="153" spans="1:9">
      <c r="A153" s="10" t="str">
        <f ca="1">IFERROR(__xludf.DUMMYFUNCTION("""COMPUTED_VALUE"""),"Quest Pistols")</f>
        <v>Quest Pistols</v>
      </c>
      <c r="B153" s="10"/>
      <c r="C153" s="10" t="str">
        <f ca="1">IFERROR(__xludf.DUMMYFUNCTION("""COMPUTED_VALUE"""),"Dzharakhov")</f>
        <v>Dzharakhov</v>
      </c>
      <c r="D153" s="10"/>
      <c r="E153" s="10" t="str">
        <f ca="1">IFERROR(__xludf.DUMMYFUNCTION("""COMPUTED_VALUE"""),"Oliver Tree")</f>
        <v>Oliver Tree</v>
      </c>
      <c r="F153" s="10"/>
      <c r="G153" s="10"/>
      <c r="H153" s="10"/>
      <c r="I153" s="10"/>
    </row>
    <row r="154" spans="1:9">
      <c r="A154" s="10" t="str">
        <f ca="1">IFERROR(__xludf.DUMMYFUNCTION("""COMPUTED_VALUE"""),"Степан Гіга")</f>
        <v>Степан Гіга</v>
      </c>
      <c r="B154" s="10"/>
      <c r="C154" s="10" t="str">
        <f ca="1">IFERROR(__xludf.DUMMYFUNCTION("""COMPUTED_VALUE"""),"Grigory Leps")</f>
        <v>Grigory Leps</v>
      </c>
      <c r="D154" s="10"/>
      <c r="E154" s="32" t="str">
        <f ca="1">IFERROR(__xludf.DUMMYFUNCTION("""COMPUTED_VALUE"""),"Robin Schulz")</f>
        <v>Robin Schulz</v>
      </c>
      <c r="F154" s="10"/>
      <c r="G154" s="10"/>
      <c r="H154" s="10"/>
      <c r="I154" s="10"/>
    </row>
    <row r="155" spans="1:9">
      <c r="A155" s="10" t="str">
        <f ca="1">IFERROR(__xludf.DUMMYFUNCTION("""COMPUTED_VALUE"""),"Роман Скорпіон &amp; Yuriana")</f>
        <v>Роман Скорпіон &amp; Yuriana</v>
      </c>
      <c r="B155" s="10"/>
      <c r="C155" s="10" t="str">
        <f ca="1">IFERROR(__xludf.DUMMYFUNCTION("""COMPUTED_VALUE"""),"Tima Belorusskih")</f>
        <v>Tima Belorusskih</v>
      </c>
      <c r="D155" s="10"/>
      <c r="E155" s="10" t="str">
        <f ca="1">IFERROR(__xludf.DUMMYFUNCTION("""COMPUTED_VALUE"""),"Isolate.exe")</f>
        <v>Isolate.exe</v>
      </c>
      <c r="F155" s="10"/>
      <c r="G155" s="10"/>
      <c r="H155" s="10"/>
      <c r="I155" s="10"/>
    </row>
    <row r="156" spans="1:9">
      <c r="A156" s="10" t="str">
        <f ca="1">IFERROR(__xludf.DUMMYFUNCTION("""COMPUTED_VALUE"""),"Роман Скорпіон")</f>
        <v>Роман Скорпіон</v>
      </c>
      <c r="B156" s="10"/>
      <c r="C156" s="10" t="str">
        <f ca="1">IFERROR(__xludf.DUMMYFUNCTION("""COMPUTED_VALUE"""),"LOLIWZ")</f>
        <v>LOLIWZ</v>
      </c>
      <c r="D156" s="10"/>
      <c r="E156" s="10" t="str">
        <f ca="1">IFERROR(__xludf.DUMMYFUNCTION("""COMPUTED_VALUE"""),"Eliza Rose")</f>
        <v>Eliza Rose</v>
      </c>
      <c r="F156" s="10"/>
      <c r="G156" s="10"/>
      <c r="H156" s="10"/>
      <c r="I156" s="10"/>
    </row>
    <row r="157" spans="1:9">
      <c r="A157" s="10" t="str">
        <f ca="1">IFERROR(__xludf.DUMMYFUNCTION("""COMPUTED_VALUE"""),"Yuriana")</f>
        <v>Yuriana</v>
      </c>
      <c r="B157" s="10"/>
      <c r="C157" s="10" t="str">
        <f ca="1">IFERROR(__xludf.DUMMYFUNCTION("""COMPUTED_VALUE"""),"Geegun")</f>
        <v>Geegun</v>
      </c>
      <c r="D157" s="10"/>
      <c r="E157" s="32" t="str">
        <f ca="1">IFERROR(__xludf.DUMMYFUNCTION("""COMPUTED_VALUE"""),"Interplanetary Criminal")</f>
        <v>Interplanetary Criminal</v>
      </c>
      <c r="F157" s="10"/>
      <c r="G157" s="10"/>
      <c r="H157" s="10"/>
      <c r="I157" s="10"/>
    </row>
    <row r="158" spans="1:9">
      <c r="A158" s="10" t="str">
        <f ca="1">IFERROR(__xludf.DUMMYFUNCTION("""COMPUTED_VALUE"""),"Колін")</f>
        <v>Колін</v>
      </c>
      <c r="B158" s="10"/>
      <c r="C158" s="10" t="str">
        <f ca="1">IFERROR(__xludf.DUMMYFUNCTION("""COMPUTED_VALUE"""),"Diskoteka Avariya")</f>
        <v>Diskoteka Avariya</v>
      </c>
      <c r="D158" s="10"/>
      <c r="E158" s="10" t="str">
        <f ca="1">IFERROR(__xludf.DUMMYFUNCTION("""COMPUTED_VALUE"""),"David Guetta")</f>
        <v>David Guetta</v>
      </c>
      <c r="F158" s="10"/>
      <c r="G158" s="10"/>
      <c r="H158" s="10"/>
      <c r="I158" s="10"/>
    </row>
    <row r="159" spans="1:9">
      <c r="A159" s="10" t="str">
        <f ca="1">IFERROR(__xludf.DUMMYFUNCTION("""COMPUTED_VALUE"""),"ZOZULYA")</f>
        <v>ZOZULYA</v>
      </c>
      <c r="B159" s="10"/>
      <c r="C159" s="10" t="str">
        <f ca="1">IFERROR(__xludf.DUMMYFUNCTION("""COMPUTED_VALUE"""),"Lesha Svik")</f>
        <v>Lesha Svik</v>
      </c>
      <c r="D159" s="10"/>
      <c r="E159" s="32" t="str">
        <f ca="1">IFERROR(__xludf.DUMMYFUNCTION("""COMPUTED_VALUE"""),"Bebe Rexha")</f>
        <v>Bebe Rexha</v>
      </c>
      <c r="F159" s="10"/>
      <c r="G159" s="10"/>
      <c r="H159" s="10"/>
      <c r="I159" s="10"/>
    </row>
    <row r="160" spans="1:9">
      <c r="A160" s="10" t="str">
        <f ca="1">IFERROR(__xludf.DUMMYFUNCTION("""COMPUTED_VALUE"""),"Ірина Федишин")</f>
        <v>Ірина Федишин</v>
      </c>
      <c r="B160" s="10"/>
      <c r="C160" s="10" t="str">
        <f ca="1">IFERROR(__xludf.DUMMYFUNCTION("""COMPUTED_VALUE"""),"MUKKA")</f>
        <v>MUKKA</v>
      </c>
      <c r="D160" s="10"/>
      <c r="E160" s="10" t="str">
        <f ca="1">IFERROR(__xludf.DUMMYFUNCTION("""COMPUTED_VALUE"""),"Pixies")</f>
        <v>Pixies</v>
      </c>
      <c r="F160" s="10"/>
      <c r="G160" s="10"/>
      <c r="H160" s="10"/>
      <c r="I160" s="10"/>
    </row>
    <row r="161" spans="1:9">
      <c r="A161" s="10" t="str">
        <f ca="1">IFERROR(__xludf.DUMMYFUNCTION("""COMPUTED_VALUE"""),"SadSvit &amp; СТРУКТУРА ЩАСТЯ")</f>
        <v>SadSvit &amp; СТРУКТУРА ЩАСТЯ</v>
      </c>
      <c r="B161" s="10"/>
      <c r="C161" s="10" t="str">
        <f ca="1">IFERROR(__xludf.DUMMYFUNCTION("""COMPUTED_VALUE"""),"Badcurt")</f>
        <v>Badcurt</v>
      </c>
      <c r="D161" s="10"/>
      <c r="E161" s="10" t="str">
        <f ca="1">IFERROR(__xludf.DUMMYFUNCTION("""COMPUTED_VALUE"""),"Steve Lacy")</f>
        <v>Steve Lacy</v>
      </c>
      <c r="F161" s="10"/>
      <c r="G161" s="10"/>
      <c r="H161" s="10"/>
      <c r="I161" s="10"/>
    </row>
    <row r="162" spans="1:9">
      <c r="A162" s="10" t="str">
        <f ca="1">IFERROR(__xludf.DUMMYFUNCTION("""COMPUTED_VALUE"""),"Трінчер Анна Леонідівна &amp; POSITIFF")</f>
        <v>Трінчер Анна Леонідівна &amp; POSITIFF</v>
      </c>
      <c r="B162" s="10"/>
      <c r="C162" s="10" t="str">
        <f ca="1">IFERROR(__xludf.DUMMYFUNCTION("""COMPUTED_VALUE"""),"ANNA ASTI")</f>
        <v>ANNA ASTI</v>
      </c>
      <c r="D162" s="10"/>
      <c r="E162" s="10" t="str">
        <f ca="1">IFERROR(__xludf.DUMMYFUNCTION("""COMPUTED_VALUE"""),"Kinneret")</f>
        <v>Kinneret</v>
      </c>
      <c r="F162" s="10"/>
      <c r="G162" s="10"/>
      <c r="H162" s="10"/>
      <c r="I162" s="10"/>
    </row>
    <row r="163" spans="1:9">
      <c r="A163" s="10" t="str">
        <f ca="1">IFERROR(__xludf.DUMMYFUNCTION("""COMPUTED_VALUE"""),"Трінчер Анна Леонідівна")</f>
        <v>Трінчер Анна Леонідівна</v>
      </c>
      <c r="B163" s="10"/>
      <c r="C163" s="10" t="str">
        <f ca="1">IFERROR(__xludf.DUMMYFUNCTION("""COMPUTED_VALUE"""),"Pathetic")</f>
        <v>Pathetic</v>
      </c>
      <c r="D163" s="10"/>
      <c r="E163" s="10" t="str">
        <f ca="1">IFERROR(__xludf.DUMMYFUNCTION("""COMPUTED_VALUE"""),"Fujii Kaze")</f>
        <v>Fujii Kaze</v>
      </c>
      <c r="F163" s="10"/>
      <c r="G163" s="10"/>
      <c r="H163" s="10"/>
      <c r="I163" s="10"/>
    </row>
    <row r="164" spans="1:9">
      <c r="A164" s="10" t="str">
        <f ca="1">IFERROR(__xludf.DUMMYFUNCTION("""COMPUTED_VALUE"""),"POSITIFF")</f>
        <v>POSITIFF</v>
      </c>
      <c r="B164" s="10"/>
      <c r="C164" s="10" t="str">
        <f ca="1">IFERROR(__xludf.DUMMYFUNCTION("""COMPUTED_VALUE"""),"Rodionis")</f>
        <v>Rodionis</v>
      </c>
      <c r="D164" s="10"/>
      <c r="E164" s="10" t="str">
        <f ca="1">IFERROR(__xludf.DUMMYFUNCTION("""COMPUTED_VALUE"""),"Sam Smith")</f>
        <v>Sam Smith</v>
      </c>
      <c r="F164" s="10"/>
      <c r="G164" s="10"/>
      <c r="H164" s="10"/>
      <c r="I164" s="10"/>
    </row>
    <row r="165" spans="1:9">
      <c r="A165" s="10" t="str">
        <f ca="1">IFERROR(__xludf.DUMMYFUNCTION("""COMPUTED_VALUE"""),"Марина Тимофійчук")</f>
        <v>Марина Тимофійчук</v>
      </c>
      <c r="B165" s="10"/>
      <c r="C165" s="10" t="str">
        <f ca="1">IFERROR(__xludf.DUMMYFUNCTION("""COMPUTED_VALUE"""),"CMH")</f>
        <v>CMH</v>
      </c>
      <c r="D165" s="10"/>
      <c r="E165" s="32" t="str">
        <f ca="1">IFERROR(__xludf.DUMMYFUNCTION("""COMPUTED_VALUE"""),"Kim Petras")</f>
        <v>Kim Petras</v>
      </c>
      <c r="F165" s="10"/>
      <c r="G165" s="10"/>
      <c r="H165" s="10"/>
      <c r="I165" s="10"/>
    </row>
    <row r="166" spans="1:9">
      <c r="A166" s="10" t="str">
        <f ca="1">IFERROR(__xludf.DUMMYFUNCTION("""COMPUTED_VALUE"""),"Ірина Білик, Тіна Кароль, Олег Юрійович Скрипка, Олександр Валерійович Пономарьов, DZIDZIO &amp; Алєксєєв Микита Володимирович")</f>
        <v>Ірина Білик, Тіна Кароль, Олег Юрійович Скрипка, Олександр Валерійович Пономарьов, DZIDZIO &amp; Алєксєєв Микита Володимирович</v>
      </c>
      <c r="B166" s="10"/>
      <c r="C166" s="10" t="str">
        <f ca="1">IFERROR(__xludf.DUMMYFUNCTION("""COMPUTED_VALUE"""),"NЮ")</f>
        <v>NЮ</v>
      </c>
      <c r="D166" s="10"/>
      <c r="E166" s="10" t="str">
        <f ca="1">IFERROR(__xludf.DUMMYFUNCTION("""COMPUTED_VALUE"""),"RAT BOY")</f>
        <v>RAT BOY</v>
      </c>
      <c r="F166" s="10"/>
      <c r="G166" s="10"/>
      <c r="H166" s="10"/>
      <c r="I166" s="10"/>
    </row>
    <row r="167" spans="1:9">
      <c r="A167" s="10" t="str">
        <f ca="1">IFERROR(__xludf.DUMMYFUNCTION("""COMPUTED_VALUE"""),"Ірина Білик")</f>
        <v>Ірина Білик</v>
      </c>
      <c r="B167" s="10"/>
      <c r="C167" s="10" t="str">
        <f ca="1">IFERROR(__xludf.DUMMYFUNCTION("""COMPUTED_VALUE"""),"Daybe")</f>
        <v>Daybe</v>
      </c>
      <c r="D167" s="10"/>
      <c r="E167" s="32" t="str">
        <f ca="1">IFERROR(__xludf.DUMMYFUNCTION("""COMPUTED_VALUE"""),"IBDY")</f>
        <v>IBDY</v>
      </c>
      <c r="F167" s="10"/>
      <c r="G167" s="10"/>
      <c r="H167" s="10"/>
      <c r="I167" s="10"/>
    </row>
    <row r="168" spans="1:9">
      <c r="A168" s="35" t="str">
        <f ca="1">IFERROR(__xludf.DUMMYFUNCTION("""COMPUTED_VALUE"""),"DZIDZIO")</f>
        <v>DZIDZIO</v>
      </c>
      <c r="B168" s="10"/>
      <c r="C168" s="10" t="str">
        <f ca="1">IFERROR(__xludf.DUMMYFUNCTION("""COMPUTED_VALUE"""),"Artik &amp; Asti")</f>
        <v>Artik &amp; Asti</v>
      </c>
      <c r="D168" s="10"/>
      <c r="E168" s="10" t="str">
        <f ca="1">IFERROR(__xludf.DUMMYFUNCTION("""COMPUTED_VALUE"""),"mazie")</f>
        <v>mazie</v>
      </c>
      <c r="F168" s="10"/>
      <c r="G168" s="10"/>
      <c r="H168" s="10"/>
      <c r="I168" s="10"/>
    </row>
    <row r="169" spans="1:9">
      <c r="A169" s="35" t="str">
        <f ca="1">IFERROR(__xludf.DUMMYFUNCTION("""COMPUTED_VALUE"""),"Олександр Валерійович Пономарьов")</f>
        <v>Олександр Валерійович Пономарьов</v>
      </c>
      <c r="B169" s="10"/>
      <c r="C169" s="10" t="str">
        <f ca="1">IFERROR(__xludf.DUMMYFUNCTION("""COMPUTED_VALUE"""),"Konfuz")</f>
        <v>Konfuz</v>
      </c>
      <c r="D169" s="10"/>
      <c r="E169" s="10" t="str">
        <f ca="1">IFERROR(__xludf.DUMMYFUNCTION("""COMPUTED_VALUE"""),"Twisted Sister")</f>
        <v>Twisted Sister</v>
      </c>
      <c r="F169" s="10"/>
      <c r="G169" s="10"/>
      <c r="H169" s="10"/>
      <c r="I169" s="10"/>
    </row>
    <row r="170" spans="1:9">
      <c r="A170" s="35" t="str">
        <f ca="1">IFERROR(__xludf.DUMMYFUNCTION("""COMPUTED_VALUE"""),"Олег Юрійович Скрипка")</f>
        <v>Олег Юрійович Скрипка</v>
      </c>
      <c r="B170" s="10"/>
      <c r="C170" s="10" t="str">
        <f ca="1">IFERROR(__xludf.DUMMYFUNCTION("""COMPUTED_VALUE"""),"17 SEVENTEEN")</f>
        <v>17 SEVENTEEN</v>
      </c>
      <c r="D170" s="10"/>
      <c r="E170" s="10" t="str">
        <f ca="1">IFERROR(__xludf.DUMMYFUNCTION("""COMPUTED_VALUE"""),"Lil God Dan")</f>
        <v>Lil God Dan</v>
      </c>
      <c r="F170" s="10"/>
      <c r="G170" s="10"/>
      <c r="H170" s="10"/>
      <c r="I170" s="10"/>
    </row>
    <row r="171" spans="1:9">
      <c r="A171" s="35" t="str">
        <f ca="1">IFERROR(__xludf.DUMMYFUNCTION("""COMPUTED_VALUE"""),"Тіна Кароль")</f>
        <v>Тіна Кароль</v>
      </c>
      <c r="B171" s="10"/>
      <c r="C171" s="10" t="str">
        <f ca="1">IFERROR(__xludf.DUMMYFUNCTION("""COMPUTED_VALUE"""),"Basic Boy")</f>
        <v>Basic Boy</v>
      </c>
      <c r="D171" s="10"/>
      <c r="E171" s="10" t="str">
        <f ca="1">IFERROR(__xludf.DUMMYFUNCTION("""COMPUTED_VALUE"""),"girl in red")</f>
        <v>girl in red</v>
      </c>
      <c r="F171" s="10"/>
      <c r="G171" s="10"/>
      <c r="H171" s="10"/>
      <c r="I171" s="10"/>
    </row>
    <row r="172" spans="1:9">
      <c r="A172" s="10" t="str">
        <f ca="1">IFERROR(__xludf.DUMMYFUNCTION("""COMPUTED_VALUE"""),"SKYLERR &amp; Sanaria")</f>
        <v>SKYLERR &amp; Sanaria</v>
      </c>
      <c r="B172" s="10"/>
      <c r="C172" s="10" t="str">
        <f ca="1">IFERROR(__xludf.DUMMYFUNCTION("""COMPUTED_VALUE"""),"LXNER")</f>
        <v>LXNER</v>
      </c>
      <c r="D172" s="10"/>
      <c r="E172" s="10" t="str">
        <f ca="1">IFERROR(__xludf.DUMMYFUNCTION("""COMPUTED_VALUE"""),"Coolio")</f>
        <v>Coolio</v>
      </c>
      <c r="F172" s="10"/>
      <c r="G172" s="10"/>
      <c r="H172" s="10"/>
      <c r="I172" s="10"/>
    </row>
    <row r="173" spans="1:9">
      <c r="A173" s="10" t="str">
        <f ca="1">IFERROR(__xludf.DUMMYFUNCTION("""COMPUTED_VALUE"""),"SKYLERR")</f>
        <v>SKYLERR</v>
      </c>
      <c r="B173" s="10"/>
      <c r="C173" s="10" t="str">
        <f ca="1">IFERROR(__xludf.DUMMYFUNCTION("""COMPUTED_VALUE"""),"Джизус")</f>
        <v>Джизус</v>
      </c>
      <c r="D173" s="10"/>
      <c r="E173" s="32" t="str">
        <f ca="1">IFERROR(__xludf.DUMMYFUNCTION("""COMPUTED_VALUE"""),"L.V.")</f>
        <v>L.V.</v>
      </c>
      <c r="F173" s="10"/>
      <c r="G173" s="10"/>
      <c r="H173" s="10"/>
      <c r="I173" s="10"/>
    </row>
    <row r="174" spans="1:9">
      <c r="A174" s="10" t="str">
        <f ca="1">IFERROR(__xludf.DUMMYFUNCTION("""COMPUTED_VALUE"""),"Sanaria")</f>
        <v>Sanaria</v>
      </c>
      <c r="B174" s="10"/>
      <c r="C174" s="10" t="str">
        <f ca="1">IFERROR(__xludf.DUMMYFUNCTION("""COMPUTED_VALUE"""),"SCIRENA")</f>
        <v>SCIRENA</v>
      </c>
      <c r="D174" s="10"/>
      <c r="E174" s="10" t="str">
        <f ca="1">IFERROR(__xludf.DUMMYFUNCTION("""COMPUTED_VALUE"""),"Kenshi Yonezu")</f>
        <v>Kenshi Yonezu</v>
      </c>
      <c r="F174" s="10"/>
      <c r="G174" s="10"/>
      <c r="H174" s="10"/>
      <c r="I174" s="10"/>
    </row>
    <row r="175" spans="1:9">
      <c r="A175" s="10" t="str">
        <f ca="1">IFERROR(__xludf.DUMMYFUNCTION("""COMPUTED_VALUE"""),"Артем Пивоваров &amp; Оля Полякова")</f>
        <v>Артем Пивоваров &amp; Оля Полякова</v>
      </c>
      <c r="B175" s="10"/>
      <c r="C175" s="10" t="str">
        <f ca="1">IFERROR(__xludf.DUMMYFUNCTION("""COMPUTED_VALUE"""),"ALEKS ATAMAN")</f>
        <v>ALEKS ATAMAN</v>
      </c>
      <c r="D175" s="10"/>
      <c r="E175" s="10" t="str">
        <f ca="1">IFERROR(__xludf.DUMMYFUNCTION("""COMPUTED_VALUE"""),"g3ox_em")</f>
        <v>g3ox_em</v>
      </c>
      <c r="F175" s="10"/>
      <c r="G175" s="10"/>
      <c r="H175" s="10"/>
      <c r="I175" s="10"/>
    </row>
    <row r="176" spans="1:9">
      <c r="A176" s="10" t="str">
        <f ca="1">IFERROR(__xludf.DUMMYFUNCTION("""COMPUTED_VALUE"""),"Артем Пивоваров")</f>
        <v>Артем Пивоваров</v>
      </c>
      <c r="B176" s="10"/>
      <c r="C176" s="10" t="str">
        <f ca="1">IFERROR(__xludf.DUMMYFUNCTION("""COMPUTED_VALUE"""),"Антон Токарев")</f>
        <v>Антон Токарев</v>
      </c>
      <c r="D176" s="10"/>
      <c r="E176" s="10" t="str">
        <f ca="1">IFERROR(__xludf.DUMMYFUNCTION("""COMPUTED_VALUE"""),"(G)I-DLE")</f>
        <v>(G)I-DLE</v>
      </c>
      <c r="F176" s="10"/>
      <c r="G176" s="10"/>
      <c r="H176" s="10"/>
      <c r="I176" s="10"/>
    </row>
    <row r="177" spans="1:9">
      <c r="A177" s="10" t="str">
        <f ca="1">IFERROR(__xludf.DUMMYFUNCTION("""COMPUTED_VALUE"""),"Оля Полякова")</f>
        <v>Оля Полякова</v>
      </c>
      <c r="B177" s="10"/>
      <c r="C177" s="10" t="str">
        <f ca="1">IFERROR(__xludf.DUMMYFUNCTION("""COMPUTED_VALUE"""),"Nekoglai")</f>
        <v>Nekoglai</v>
      </c>
      <c r="D177" s="10"/>
      <c r="E177" s="10" t="str">
        <f ca="1">IFERROR(__xludf.DUMMYFUNCTION("""COMPUTED_VALUE"""),"Taylor Swift")</f>
        <v>Taylor Swift</v>
      </c>
      <c r="F177" s="10"/>
      <c r="G177" s="10"/>
      <c r="H177" s="10"/>
      <c r="I177" s="10"/>
    </row>
    <row r="178" spans="1:9">
      <c r="A178" s="10" t="str">
        <f ca="1">IFERROR(__xludf.DUMMYFUNCTION("""COMPUTED_VALUE"""),"Анжеліна")</f>
        <v>Анжеліна</v>
      </c>
      <c r="B178" s="10"/>
      <c r="C178" s="10" t="str">
        <f ca="1">IFERROR(__xludf.DUMMYFUNCTION("""COMPUTED_VALUE"""),"MAYBE BABY")</f>
        <v>MAYBE BABY</v>
      </c>
      <c r="D178" s="10"/>
      <c r="E178" s="10" t="str">
        <f ca="1">IFERROR(__xludf.DUMMYFUNCTION("""COMPUTED_VALUE"""),"TWISTED")</f>
        <v>TWISTED</v>
      </c>
      <c r="F178" s="10"/>
      <c r="G178" s="10"/>
      <c r="H178" s="10"/>
      <c r="I178" s="10"/>
    </row>
    <row r="179" spans="1:9">
      <c r="A179" s="10" t="str">
        <f ca="1">IFERROR(__xludf.DUMMYFUNCTION("""COMPUTED_VALUE"""),"гурт VIP")</f>
        <v>гурт VIP</v>
      </c>
      <c r="B179" s="10"/>
      <c r="C179" s="10" t="str">
        <f ca="1">IFERROR(__xludf.DUMMYFUNCTION("""COMPUTED_VALUE"""),"Вектор А")</f>
        <v>Вектор А</v>
      </c>
      <c r="D179" s="10"/>
      <c r="E179" s="10" t="str">
        <f ca="1">IFERROR(__xludf.DUMMYFUNCTION("""COMPUTED_VALUE"""),"Kxllswxtch")</f>
        <v>Kxllswxtch</v>
      </c>
      <c r="F179" s="10"/>
      <c r="G179" s="10"/>
      <c r="H179" s="10"/>
      <c r="I179" s="10"/>
    </row>
    <row r="180" spans="1:9">
      <c r="A180" s="10" t="str">
        <f ca="1">IFERROR(__xludf.DUMMYFUNCTION("""COMPUTED_VALUE"""),"Олег Винник, Олександр Валерійович Пономарьов &amp; Таюне")</f>
        <v>Олег Винник, Олександр Валерійович Пономарьов &amp; Таюне</v>
      </c>
      <c r="B180" s="10"/>
      <c r="C180" s="10" t="str">
        <f ca="1">IFERROR(__xludf.DUMMYFUNCTION("""COMPUTED_VALUE"""),"Slattcrank")</f>
        <v>Slattcrank</v>
      </c>
      <c r="D180" s="10"/>
      <c r="E180" s="10" t="str">
        <f ca="1">IFERROR(__xludf.DUMMYFUNCTION("""COMPUTED_VALUE"""),"Freddie Dredd")</f>
        <v>Freddie Dredd</v>
      </c>
      <c r="F180" s="10"/>
      <c r="G180" s="10"/>
      <c r="H180" s="10"/>
      <c r="I180" s="10"/>
    </row>
    <row r="181" spans="1:9">
      <c r="A181" s="10" t="str">
        <f ca="1">IFERROR(__xludf.DUMMYFUNCTION("""COMPUTED_VALUE"""),"Олег Винник")</f>
        <v>Олег Винник</v>
      </c>
      <c r="B181" s="10"/>
      <c r="C181" s="10" t="str">
        <f ca="1">IFERROR(__xludf.DUMMYFUNCTION("""COMPUTED_VALUE"""),"Сны Саламандры")</f>
        <v>Сны Саламандры</v>
      </c>
      <c r="D181" s="10"/>
      <c r="E181" s="10" t="str">
        <f ca="1">IFERROR(__xludf.DUMMYFUNCTION("""COMPUTED_VALUE"""),"Isabel LaRosa")</f>
        <v>Isabel LaRosa</v>
      </c>
      <c r="F181" s="10"/>
      <c r="G181" s="10"/>
      <c r="H181" s="10"/>
      <c r="I181" s="10"/>
    </row>
    <row r="182" spans="1:9">
      <c r="A182" s="10" t="str">
        <f ca="1">IFERROR(__xludf.DUMMYFUNCTION("""COMPUTED_VALUE"""),"Таюне")</f>
        <v>Таюне</v>
      </c>
      <c r="B182" s="10"/>
      <c r="C182" s="10" t="str">
        <f ca="1">IFERROR(__xludf.DUMMYFUNCTION("""COMPUTED_VALUE"""),"Парнишка")</f>
        <v>Парнишка</v>
      </c>
      <c r="D182" s="10"/>
      <c r="E182" s="10" t="str">
        <f ca="1">IFERROR(__xludf.DUMMYFUNCTION("""COMPUTED_VALUE"""),"Aerosmith")</f>
        <v>Aerosmith</v>
      </c>
      <c r="F182" s="10"/>
      <c r="G182" s="10"/>
      <c r="H182" s="10"/>
      <c r="I182" s="10"/>
    </row>
    <row r="183" spans="1:9">
      <c r="A183" s="10" t="str">
        <f ca="1">IFERROR(__xludf.DUMMYFUNCTION("""COMPUTED_VALUE"""),"Трінчер Анна Леонідівна &amp; Voloshyn")</f>
        <v>Трінчер Анна Леонідівна &amp; Voloshyn</v>
      </c>
      <c r="B183" s="10"/>
      <c r="C183" s="10" t="str">
        <f ca="1">IFERROR(__xludf.DUMMYFUNCTION("""COMPUTED_VALUE"""),"BADTRIP MUSIC")</f>
        <v>BADTRIP MUSIC</v>
      </c>
      <c r="D183" s="10"/>
      <c r="E183" s="10" t="str">
        <f ca="1">IFERROR(__xludf.DUMMYFUNCTION("""COMPUTED_VALUE"""),"I Monster")</f>
        <v>I Monster</v>
      </c>
      <c r="F183" s="10"/>
      <c r="G183" s="10"/>
      <c r="H183" s="10"/>
      <c r="I183" s="10"/>
    </row>
    <row r="184" spans="1:9">
      <c r="A184" s="10" t="str">
        <f ca="1">IFERROR(__xludf.DUMMYFUNCTION("""COMPUTED_VALUE"""),"Voloshyn")</f>
        <v>Voloshyn</v>
      </c>
      <c r="B184" s="10"/>
      <c r="C184" s="10" t="str">
        <f ca="1">IFERROR(__xludf.DUMMYFUNCTION("""COMPUTED_VALUE"""),"Pharmacist")</f>
        <v>Pharmacist</v>
      </c>
      <c r="D184" s="10"/>
      <c r="E184" s="10" t="str">
        <f ca="1">IFERROR(__xludf.DUMMYFUNCTION("""COMPUTED_VALUE"""),"Metro Boomin")</f>
        <v>Metro Boomin</v>
      </c>
      <c r="F184" s="10"/>
      <c r="G184" s="10"/>
      <c r="H184" s="10"/>
      <c r="I184" s="10"/>
    </row>
    <row r="185" spans="1:9">
      <c r="A185" s="10" t="str">
        <f ca="1">IFERROR(__xludf.DUMMYFUNCTION("""COMPUTED_VALUE"""),"Наталія Валевська")</f>
        <v>Наталія Валевська</v>
      </c>
      <c r="B185" s="10"/>
      <c r="C185" s="10" t="str">
        <f ca="1">IFERROR(__xludf.DUMMYFUNCTION("""COMPUTED_VALUE"""),"plenka")</f>
        <v>plenka</v>
      </c>
      <c r="D185" s="10"/>
      <c r="E185" s="32" t="str">
        <f ca="1">IFERROR(__xludf.DUMMYFUNCTION("""COMPUTED_VALUE"""),"21 Savage")</f>
        <v>21 Savage</v>
      </c>
      <c r="F185" s="10"/>
      <c r="G185" s="10"/>
      <c r="H185" s="10"/>
      <c r="I185" s="10"/>
    </row>
    <row r="186" spans="1:9">
      <c r="A186" s="10" t="str">
        <f ca="1">IFERROR(__xludf.DUMMYFUNCTION("""COMPUTED_VALUE"""),"Kalush Orchestra &amp; KALUSH")</f>
        <v>Kalush Orchestra &amp; KALUSH</v>
      </c>
      <c r="B186" s="10"/>
      <c r="C186" s="10" t="str">
        <f ca="1">IFERROR(__xludf.DUMMYFUNCTION("""COMPUTED_VALUE"""),"Midix")</f>
        <v>Midix</v>
      </c>
      <c r="D186" s="10"/>
      <c r="E186" s="32" t="str">
        <f ca="1">IFERROR(__xludf.DUMMYFUNCTION("""COMPUTED_VALUE"""),"The Weeknd")</f>
        <v>The Weeknd</v>
      </c>
      <c r="F186" s="10"/>
      <c r="G186" s="10"/>
      <c r="H186" s="10"/>
      <c r="I186" s="10"/>
    </row>
    <row r="187" spans="1:9">
      <c r="A187" s="10" t="str">
        <f ca="1">IFERROR(__xludf.DUMMYFUNCTION("""COMPUTED_VALUE"""),"Андрій Михайлович Данилко")</f>
        <v>Андрій Михайлович Данилко</v>
      </c>
      <c r="B187" s="10"/>
      <c r="C187" s="10" t="str">
        <f ca="1">IFERROR(__xludf.DUMMYFUNCTION("""COMPUTED_VALUE"""),"ЯМАУГЛИ")</f>
        <v>ЯМАУГЛИ</v>
      </c>
      <c r="D187" s="10"/>
      <c r="E187" s="10" t="str">
        <f ca="1">IFERROR(__xludf.DUMMYFUNCTION("""COMPUTED_VALUE"""),"RM")</f>
        <v>RM</v>
      </c>
      <c r="F187" s="10"/>
      <c r="G187" s="10"/>
      <c r="H187" s="10"/>
      <c r="I187" s="10"/>
    </row>
    <row r="188" spans="1:9">
      <c r="A188" s="10" t="str">
        <f ca="1">IFERROR(__xludf.DUMMYFUNCTION("""COMPUTED_VALUE"""),"DZIDZIO &amp; Іван Попович")</f>
        <v>DZIDZIO &amp; Іван Попович</v>
      </c>
      <c r="B188" s="10"/>
      <c r="C188" s="10" t="str">
        <f ca="1">IFERROR(__xludf.DUMMYFUNCTION("""COMPUTED_VALUE"""),"Jakomo")</f>
        <v>Jakomo</v>
      </c>
      <c r="D188" s="10"/>
      <c r="E188" s="32" t="str">
        <f ca="1">IFERROR(__xludf.DUMMYFUNCTION("""COMPUTED_VALUE"""),"Youjeen")</f>
        <v>Youjeen</v>
      </c>
      <c r="F188" s="10"/>
      <c r="G188" s="10"/>
      <c r="H188" s="10"/>
      <c r="I188" s="10"/>
    </row>
    <row r="189" spans="1:9">
      <c r="A189" s="10" t="str">
        <f ca="1">IFERROR(__xludf.DUMMYFUNCTION("""COMPUTED_VALUE"""),"Іван Попович")</f>
        <v>Іван Попович</v>
      </c>
      <c r="B189" s="10"/>
      <c r="C189" s="10" t="str">
        <f ca="1">IFERROR(__xludf.DUMMYFUNCTION("""COMPUTED_VALUE"""),"Милана Хаметова")</f>
        <v>Милана Хаметова</v>
      </c>
      <c r="D189" s="10"/>
      <c r="E189" s="10" t="str">
        <f ca="1">IFERROR(__xludf.DUMMYFUNCTION("""COMPUTED_VALUE"""),"Том Оделл")</f>
        <v>Том Оделл</v>
      </c>
      <c r="F189" s="10"/>
      <c r="G189" s="10"/>
      <c r="H189" s="10"/>
      <c r="I189" s="10"/>
    </row>
    <row r="190" spans="1:9">
      <c r="A190" s="10" t="str">
        <f ca="1">IFERROR(__xludf.DUMMYFUNCTION("""COMPUTED_VALUE"""),"Маша Кондратенко &amp; MASHUKOVSKY")</f>
        <v>Маша Кондратенко &amp; MASHUKOVSKY</v>
      </c>
      <c r="B190" s="10"/>
      <c r="C190" s="32" t="str">
        <f ca="1">IFERROR(__xludf.DUMMYFUNCTION("""COMPUTED_VALUE"""),"Milana Star")</f>
        <v>Milana Star</v>
      </c>
      <c r="D190" s="10"/>
      <c r="E190" s="10" t="str">
        <f ca="1">IFERROR(__xludf.DUMMYFUNCTION("""COMPUTED_VALUE"""),"Sam Smith &amp; Ким Петрас")</f>
        <v>Sam Smith &amp; Ким Петрас</v>
      </c>
      <c r="F190" s="10"/>
      <c r="G190" s="10"/>
      <c r="H190" s="10"/>
      <c r="I190" s="10"/>
    </row>
    <row r="191" spans="1:9">
      <c r="A191" s="10" t="str">
        <f ca="1">IFERROR(__xludf.DUMMYFUNCTION("""COMPUTED_VALUE"""),"MASHUKOVSKY")</f>
        <v>MASHUKOVSKY</v>
      </c>
      <c r="B191" s="10"/>
      <c r="C191" s="10" t="str">
        <f ca="1">IFERROR(__xludf.DUMMYFUNCTION("""COMPUTED_VALUE"""),"БРЕДИШЬ")</f>
        <v>БРЕДИШЬ</v>
      </c>
      <c r="D191" s="10"/>
      <c r="E191" s="10" t="str">
        <f ca="1">IFERROR(__xludf.DUMMYFUNCTION("""COMPUTED_VALUE"""),"Ким Петрас")</f>
        <v>Ким Петрас</v>
      </c>
      <c r="F191" s="10"/>
      <c r="G191" s="10"/>
      <c r="H191" s="10"/>
      <c r="I191" s="10"/>
    </row>
    <row r="192" spans="1:9">
      <c r="A192" s="10" t="str">
        <f ca="1">IFERROR(__xludf.DUMMYFUNCTION("""COMPUTED_VALUE"""),"Маша Кондратенко")</f>
        <v>Маша Кондратенко</v>
      </c>
      <c r="B192" s="10"/>
      <c r="C192" s="10" t="str">
        <f ca="1">IFERROR(__xludf.DUMMYFUNCTION("""COMPUTED_VALUE"""),"VACÍO")</f>
        <v>VACÍO</v>
      </c>
      <c r="D192" s="10"/>
      <c r="E192" s="10" t="str">
        <f ca="1">IFERROR(__xludf.DUMMYFUNCTION("""COMPUTED_VALUE"""),"David Guetta &amp; Bebe Rexha")</f>
        <v>David Guetta &amp; Bebe Rexha</v>
      </c>
      <c r="F192" s="10"/>
      <c r="G192" s="10"/>
      <c r="H192" s="10"/>
      <c r="I192" s="10"/>
    </row>
    <row r="193" spans="1:9">
      <c r="A193" s="10" t="str">
        <f ca="1">IFERROR(__xludf.DUMMYFUNCTION("""COMPUTED_VALUE"""),"Monatik &amp; ROXOLANA")</f>
        <v>Monatik &amp; ROXOLANA</v>
      </c>
      <c r="B193" s="10"/>
      <c r="C193" s="32" t="str">
        <f ca="1">IFERROR(__xludf.DUMMYFUNCTION("""COMPUTED_VALUE"""),"MORGENSHTERN")</f>
        <v>MORGENSHTERN</v>
      </c>
      <c r="D193" s="10"/>
      <c r="E193" s="10" t="str">
        <f ca="1">IFERROR(__xludf.DUMMYFUNCTION("""COMPUTED_VALUE"""),"Еллі Дуе")</f>
        <v>Еллі Дуе</v>
      </c>
      <c r="F193" s="10"/>
      <c r="G193" s="10"/>
      <c r="H193" s="10"/>
      <c r="I193" s="10"/>
    </row>
    <row r="194" spans="1:9">
      <c r="A194" s="10" t="str">
        <f ca="1">IFERROR(__xludf.DUMMYFUNCTION("""COMPUTED_VALUE"""),"ROXOLANA")</f>
        <v>ROXOLANA</v>
      </c>
      <c r="B194" s="10"/>
      <c r="C194" s="10" t="str">
        <f ca="1">IFERROR(__xludf.DUMMYFUNCTION("""COMPUTED_VALUE"""),"yef")</f>
        <v>yef</v>
      </c>
      <c r="D194" s="10"/>
      <c r="E194" s="10" t="str">
        <f ca="1">IFERROR(__xludf.DUMMYFUNCTION("""COMPUTED_VALUE"""),"Оливер Три &amp; Робін Шульц")</f>
        <v>Оливер Три &amp; Робін Шульц</v>
      </c>
      <c r="F194" s="10"/>
      <c r="G194" s="10"/>
      <c r="H194" s="10"/>
      <c r="I194" s="10"/>
    </row>
    <row r="195" spans="1:9">
      <c r="A195" s="10" t="str">
        <f ca="1">IFERROR(__xludf.DUMMYFUNCTION("""COMPUTED_VALUE"""),"Monatik")</f>
        <v>Monatik</v>
      </c>
      <c r="B195" s="10"/>
      <c r="C195" s="10" t="str">
        <f ca="1">IFERROR(__xludf.DUMMYFUNCTION("""COMPUTED_VALUE"""),"Oxxxymiron")</f>
        <v>Oxxxymiron</v>
      </c>
      <c r="D195" s="10"/>
      <c r="E195" s="10" t="str">
        <f ca="1">IFERROR(__xludf.DUMMYFUNCTION("""COMPUTED_VALUE"""),"Оливер Три")</f>
        <v>Оливер Три</v>
      </c>
      <c r="F195" s="10"/>
      <c r="G195" s="10"/>
      <c r="H195" s="10"/>
      <c r="I195" s="10"/>
    </row>
    <row r="196" spans="1:9">
      <c r="A196" s="10" t="str">
        <f ca="1">IFERROR(__xludf.DUMMYFUNCTION("""COMPUTED_VALUE"""),"Потап і Настя")</f>
        <v>Потап і Настя</v>
      </c>
      <c r="B196" s="10"/>
      <c r="C196" s="10" t="str">
        <f ca="1">IFERROR(__xludf.DUMMYFUNCTION("""COMPUTED_VALUE"""),"Молодой Платон")</f>
        <v>Молодой Платон</v>
      </c>
      <c r="D196" s="10"/>
      <c r="E196" s="10" t="str">
        <f ca="1">IFERROR(__xludf.DUMMYFUNCTION("""COMPUTED_VALUE"""),"Робін Шульц")</f>
        <v>Робін Шульц</v>
      </c>
      <c r="F196" s="10"/>
      <c r="G196" s="10"/>
      <c r="H196" s="10"/>
      <c r="I196" s="10"/>
    </row>
    <row r="197" spans="1:9">
      <c r="A197" s="10" t="str">
        <f ca="1">IFERROR(__xludf.DUMMYFUNCTION("""COMPUTED_VALUE"""),"Бумбокс")</f>
        <v>Бумбокс</v>
      </c>
      <c r="B197" s="10"/>
      <c r="C197" s="32" t="str">
        <f ca="1">IFERROR(__xludf.DUMMYFUNCTION("""COMPUTED_VALUE"""),"Yanix")</f>
        <v>Yanix</v>
      </c>
      <c r="D197" s="10"/>
      <c r="E197" s="10" t="str">
        <f ca="1">IFERROR(__xludf.DUMMYFUNCTION("""COMPUTED_VALUE"""),"ABBA")</f>
        <v>ABBA</v>
      </c>
      <c r="F197" s="10"/>
      <c r="G197" s="10"/>
      <c r="H197" s="10"/>
      <c r="I197" s="10"/>
    </row>
    <row r="198" spans="1:9">
      <c r="A198" s="10" t="str">
        <f ca="1">IFERROR(__xludf.DUMMYFUNCTION("""COMPUTED_VALUE"""),"Тарас Григорович Чубай &amp; Плач Єремії")</f>
        <v>Тарас Григорович Чубай &amp; Плач Єремії</v>
      </c>
      <c r="B198" s="10"/>
      <c r="C198" s="32" t="str">
        <f ca="1">IFERROR(__xludf.DUMMYFUNCTION("""COMPUTED_VALUE"""),"Poshlaya Molly")</f>
        <v>Poshlaya Molly</v>
      </c>
      <c r="D198" s="10"/>
      <c r="E198" s="10" t="str">
        <f ca="1">IFERROR(__xludf.DUMMYFUNCTION("""COMPUTED_VALUE"""),"Miguel")</f>
        <v>Miguel</v>
      </c>
      <c r="F198" s="10"/>
      <c r="G198" s="10"/>
      <c r="H198" s="10"/>
      <c r="I198" s="10"/>
    </row>
    <row r="199" spans="1:9">
      <c r="A199" s="10" t="str">
        <f ca="1">IFERROR(__xludf.DUMMYFUNCTION("""COMPUTED_VALUE"""),"Тарас Григорович Чубай")</f>
        <v>Тарас Григорович Чубай</v>
      </c>
      <c r="B199" s="10"/>
      <c r="C199" s="10" t="str">
        <f ca="1">IFERROR(__xludf.DUMMYFUNCTION("""COMPUTED_VALUE"""),"Electroforez")</f>
        <v>Electroforez</v>
      </c>
      <c r="D199" s="10"/>
      <c r="E199" s="10" t="str">
        <f ca="1">IFERROR(__xludf.DUMMYFUNCTION("""COMPUTED_VALUE"""),"RAYE")</f>
        <v>RAYE</v>
      </c>
      <c r="F199" s="10"/>
      <c r="G199" s="10"/>
      <c r="H199" s="10"/>
      <c r="I199" s="10"/>
    </row>
    <row r="200" spans="1:9">
      <c r="A200" s="10" t="str">
        <f ca="1">IFERROR(__xludf.DUMMYFUNCTION("""COMPUTED_VALUE"""),"Плач Єремії")</f>
        <v>Плач Єремії</v>
      </c>
      <c r="B200" s="10"/>
      <c r="C200" s="32" t="str">
        <f ca="1">IFERROR(__xludf.DUMMYFUNCTION("""COMPUTED_VALUE"""),"superkomfort")</f>
        <v>superkomfort</v>
      </c>
      <c r="D200" s="10"/>
      <c r="E200" s="10" t="str">
        <f ca="1">IFERROR(__xludf.DUMMYFUNCTION("""COMPUTED_VALUE"""),"Bizarrap &amp; Shakira")</f>
        <v>Bizarrap &amp; Shakira</v>
      </c>
      <c r="F200" s="10"/>
      <c r="G200" s="10"/>
      <c r="H200" s="10"/>
      <c r="I200" s="10"/>
    </row>
    <row r="201" spans="1:9">
      <c r="A201" s="10" t="str">
        <f ca="1">IFERROR(__xludf.DUMMYFUNCTION("""COMPUTED_VALUE"""),"Шабля")</f>
        <v>Шабля</v>
      </c>
      <c r="B201" s="10"/>
      <c r="C201" s="10" t="str">
        <f ca="1">IFERROR(__xludf.DUMMYFUNCTION("""COMPUTED_VALUE"""),"Канги")</f>
        <v>Канги</v>
      </c>
      <c r="D201" s="10"/>
      <c r="E201" s="10" t="str">
        <f ca="1">IFERROR(__xludf.DUMMYFUNCTION("""COMPUTED_VALUE"""),"Elton John &amp; Dua Lipa")</f>
        <v>Elton John &amp; Dua Lipa</v>
      </c>
      <c r="F201" s="10"/>
      <c r="G201" s="10"/>
      <c r="H201" s="10"/>
      <c r="I201" s="10"/>
    </row>
    <row r="202" spans="1:9">
      <c r="A202" s="10" t="str">
        <f ca="1">IFERROR(__xludf.DUMMYFUNCTION("""COMPUTED_VALUE"""),"Quest Pistols Show")</f>
        <v>Quest Pistols Show</v>
      </c>
      <c r="B202" s="10"/>
      <c r="C202" s="32" t="str">
        <f ca="1">IFERROR(__xludf.DUMMYFUNCTION("""COMPUTED_VALUE"""),"Galust")</f>
        <v>Galust</v>
      </c>
      <c r="D202" s="10"/>
      <c r="E202" s="10" t="str">
        <f ca="1">IFERROR(__xludf.DUMMYFUNCTION("""COMPUTED_VALUE"""),"Lost Frequencies &amp; Calum Scott")</f>
        <v>Lost Frequencies &amp; Calum Scott</v>
      </c>
      <c r="F202" s="10"/>
      <c r="G202" s="10"/>
      <c r="H202" s="10"/>
      <c r="I202" s="10"/>
    </row>
    <row r="203" spans="1:9">
      <c r="A203" s="10" t="str">
        <f ca="1">IFERROR(__xludf.DUMMYFUNCTION("""COMPUTED_VALUE"""),"Artem Pivovarov &amp; NK")</f>
        <v>Artem Pivovarov &amp; NK</v>
      </c>
      <c r="B203" s="10"/>
      <c r="C203" s="10" t="str">
        <f ca="1">IFERROR(__xludf.DUMMYFUNCTION("""COMPUTED_VALUE"""),"TATISIZE")</f>
        <v>TATISIZE</v>
      </c>
      <c r="D203" s="10"/>
      <c r="E203" s="10" t="str">
        <f ca="1">IFERROR(__xludf.DUMMYFUNCTION("""COMPUTED_VALUE"""),"Tiësto &amp; Ava Max")</f>
        <v>Tiësto &amp; Ava Max</v>
      </c>
      <c r="F203" s="10"/>
      <c r="G203" s="10"/>
      <c r="H203" s="10"/>
      <c r="I203" s="10"/>
    </row>
    <row r="204" spans="1:9">
      <c r="A204" s="10" t="str">
        <f ca="1">IFERROR(__xludf.DUMMYFUNCTION("""COMPUTED_VALUE"""),"Artem Pivovarov &amp; DOROFEEVA")</f>
        <v>Artem Pivovarov &amp; DOROFEEVA</v>
      </c>
      <c r="B204" s="10"/>
      <c r="C204" s="32" t="str">
        <f ca="1">IFERROR(__xludf.DUMMYFUNCTION("""COMPUTED_VALUE"""),"PASHASNICKERS")</f>
        <v>PASHASNICKERS</v>
      </c>
      <c r="D204" s="10"/>
      <c r="E204" s="10" t="str">
        <f ca="1">IFERROR(__xludf.DUMMYFUNCTION("""COMPUTED_VALUE"""),"Baby Tate")</f>
        <v>Baby Tate</v>
      </c>
      <c r="F204" s="10"/>
      <c r="G204" s="10"/>
      <c r="H204" s="10"/>
      <c r="I204" s="10"/>
    </row>
    <row r="205" spans="1:9">
      <c r="A205" s="10" t="str">
        <f ca="1">IFERROR(__xludf.DUMMYFUNCTION("""COMPUTED_VALUE"""),"Chico &amp; Qatoshi")</f>
        <v>Chico &amp; Qatoshi</v>
      </c>
      <c r="B205" s="10"/>
      <c r="C205" s="10" t="str">
        <f ca="1">IFERROR(__xludf.DUMMYFUNCTION("""COMPUTED_VALUE"""),"SOSKA 69")</f>
        <v>SOSKA 69</v>
      </c>
      <c r="D205" s="10"/>
      <c r="E205" s="10" t="str">
        <f ca="1">IFERROR(__xludf.DUMMYFUNCTION("""COMPUTED_VALUE"""),"Oliver Tree &amp; Robin Schulz")</f>
        <v>Oliver Tree &amp; Robin Schulz</v>
      </c>
      <c r="F205" s="10"/>
      <c r="G205" s="10"/>
      <c r="H205" s="10"/>
      <c r="I205" s="10"/>
    </row>
    <row r="206" spans="1:9">
      <c r="A206" s="10" t="str">
        <f ca="1">IFERROR(__xludf.DUMMYFUNCTION("""COMPUTED_VALUE"""),"100лица &amp; SKYLERR")</f>
        <v>100лица &amp; SKYLERR</v>
      </c>
      <c r="B206" s="10"/>
      <c r="C206" s="10" t="str">
        <f ca="1">IFERROR(__xludf.DUMMYFUNCTION("""COMPUTED_VALUE"""),"Øneheart")</f>
        <v>Øneheart</v>
      </c>
      <c r="D206" s="10"/>
      <c r="E206" s="10" t="str">
        <f ca="1">IFERROR(__xludf.DUMMYFUNCTION("""COMPUTED_VALUE"""),"ディーン・マーティン")</f>
        <v>ディーン・マーティン</v>
      </c>
      <c r="F206" s="10"/>
      <c r="G206" s="10"/>
      <c r="H206" s="10"/>
      <c r="I206" s="10"/>
    </row>
    <row r="207" spans="1:9">
      <c r="A207" s="10" t="str">
        <f ca="1">IFERROR(__xludf.DUMMYFUNCTION("""COMPUTED_VALUE"""),"Ivan Dorn")</f>
        <v>Ivan Dorn</v>
      </c>
      <c r="B207" s="10"/>
      <c r="C207" s="32" t="str">
        <f ca="1">IFERROR(__xludf.DUMMYFUNCTION("""COMPUTED_VALUE"""),"reidenshi")</f>
        <v>reidenshi</v>
      </c>
      <c r="D207" s="10"/>
      <c r="E207" s="10" t="str">
        <f ca="1">IFERROR(__xludf.DUMMYFUNCTION("""COMPUTED_VALUE"""),"Elvis Presley")</f>
        <v>Elvis Presley</v>
      </c>
      <c r="F207" s="10"/>
      <c r="G207" s="10"/>
      <c r="H207" s="10"/>
      <c r="I207" s="10"/>
    </row>
    <row r="208" spans="1:9">
      <c r="A208" s="10" t="str">
        <f ca="1">IFERROR(__xludf.DUMMYFUNCTION("""COMPUTED_VALUE"""),"Один в каное")</f>
        <v>Один в каное</v>
      </c>
      <c r="B208" s="10"/>
      <c r="C208" s="10" t="str">
        <f ca="1">IFERROR(__xludf.DUMMYFUNCTION("""COMPUTED_VALUE"""),"Килджо")</f>
        <v>Килджо</v>
      </c>
      <c r="D208" s="10"/>
      <c r="E208" s="10" t="str">
        <f ca="1">IFERROR(__xludf.DUMMYFUNCTION("""COMPUTED_VALUE"""),"Frank Sinatra")</f>
        <v>Frank Sinatra</v>
      </c>
      <c r="F208" s="10"/>
      <c r="G208" s="10"/>
      <c r="H208" s="10"/>
      <c r="I208" s="10"/>
    </row>
    <row r="209" spans="1:9">
      <c r="A209" s="10" t="str">
        <f ca="1">IFERROR(__xludf.DUMMYFUNCTION("""COMPUTED_VALUE"""),"Adam")</f>
        <v>Adam</v>
      </c>
      <c r="B209" s="10"/>
      <c r="C209" s="32" t="str">
        <f ca="1">IFERROR(__xludf.DUMMYFUNCTION("""COMPUTED_VALUE"""),"shadowraze")</f>
        <v>shadowraze</v>
      </c>
      <c r="D209" s="10"/>
      <c r="E209" s="10" t="str">
        <f ca="1">IFERROR(__xludf.DUMMYFUNCTION("""COMPUTED_VALUE"""),"Kelly Clarkson")</f>
        <v>Kelly Clarkson</v>
      </c>
      <c r="F209" s="10"/>
      <c r="G209" s="10"/>
      <c r="H209" s="10"/>
      <c r="I209" s="10"/>
    </row>
    <row r="210" spans="1:9">
      <c r="A210" s="10" t="str">
        <f ca="1">IFERROR(__xludf.DUMMYFUNCTION("""COMPUTED_VALUE"""),"Alexander Teslenko")</f>
        <v>Alexander Teslenko</v>
      </c>
      <c r="B210" s="10"/>
      <c r="C210" s="10" t="str">
        <f ca="1">IFERROR(__xludf.DUMMYFUNCTION("""COMPUTED_VALUE"""),"Lida")</f>
        <v>Lida</v>
      </c>
      <c r="D210" s="10"/>
      <c r="E210" s="10" t="str">
        <f ca="1">IFERROR(__xludf.DUMMYFUNCTION("""COMPUTED_VALUE"""),"The Ronettes")</f>
        <v>The Ronettes</v>
      </c>
      <c r="F210" s="10"/>
      <c r="G210" s="10"/>
      <c r="H210" s="10"/>
      <c r="I210" s="10"/>
    </row>
    <row r="211" spans="1:9">
      <c r="A211" s="10" t="str">
        <f ca="1">IFERROR(__xludf.DUMMYFUNCTION("""COMPUTED_VALUE"""),"SKYLERR &amp; Golubenko")</f>
        <v>SKYLERR &amp; Golubenko</v>
      </c>
      <c r="B211" s="10"/>
      <c r="C211" s="10" t="str">
        <f ca="1">IFERROR(__xludf.DUMMYFUNCTION("""COMPUTED_VALUE"""),"Slavik Pogosov")</f>
        <v>Slavik Pogosov</v>
      </c>
      <c r="D211" s="10"/>
      <c r="E211" s="10" t="str">
        <f ca="1">IFERROR(__xludf.DUMMYFUNCTION("""COMPUTED_VALUE"""),"Dj Belite")</f>
        <v>Dj Belite</v>
      </c>
      <c r="F211" s="10"/>
      <c r="G211" s="10"/>
      <c r="H211" s="10"/>
      <c r="I211" s="10"/>
    </row>
    <row r="212" spans="1:9">
      <c r="A212" s="10" t="str">
        <f ca="1">IFERROR(__xludf.DUMMYFUNCTION("""COMPUTED_VALUE"""),"Майкола Вайнер")</f>
        <v>Майкола Вайнер</v>
      </c>
      <c r="B212" s="10"/>
      <c r="C212" s="10" t="str">
        <f ca="1">IFERROR(__xludf.DUMMYFUNCTION("""COMPUTED_VALUE"""),"MOSOVICH &amp; Batrai")</f>
        <v>MOSOVICH &amp; Batrai</v>
      </c>
      <c r="D212" s="10"/>
      <c r="E212" s="10" t="str">
        <f ca="1">IFERROR(__xludf.DUMMYFUNCTION("""COMPUTED_VALUE"""),"Eartha Kitt")</f>
        <v>Eartha Kitt</v>
      </c>
      <c r="F212" s="10"/>
      <c r="G212" s="10"/>
      <c r="H212" s="10"/>
      <c r="I212" s="10"/>
    </row>
    <row r="213" spans="1:9">
      <c r="A213" s="10" t="str">
        <f ca="1">IFERROR(__xludf.DUMMYFUNCTION("""COMPUTED_VALUE"""),"Baryk")</f>
        <v>Baryk</v>
      </c>
      <c r="B213" s="10"/>
      <c r="C213" s="10" t="str">
        <f ca="1">IFERROR(__xludf.DUMMYFUNCTION("""COMPUTED_VALUE"""),"MOSOVICH")</f>
        <v>MOSOVICH</v>
      </c>
      <c r="D213" s="10"/>
      <c r="E213" s="10" t="str">
        <f ca="1">IFERROR(__xludf.DUMMYFUNCTION("""COMPUTED_VALUE"""),"Darlene Love")</f>
        <v>Darlene Love</v>
      </c>
      <c r="F213" s="10"/>
      <c r="G213" s="10"/>
      <c r="H213" s="10"/>
      <c r="I213" s="10"/>
    </row>
    <row r="214" spans="1:9">
      <c r="A214" s="10" t="str">
        <f ca="1">IFERROR(__xludf.DUMMYFUNCTION("""COMPUTED_VALUE"""),"PURPLEH00D")</f>
        <v>PURPLEH00D</v>
      </c>
      <c r="B214" s="10"/>
      <c r="C214" s="10" t="str">
        <f ca="1">IFERROR(__xludf.DUMMYFUNCTION("""COMPUTED_VALUE"""),"Batrai")</f>
        <v>Batrai</v>
      </c>
      <c r="D214" s="10"/>
      <c r="E214" s="10" t="str">
        <f ca="1">IFERROR(__xludf.DUMMYFUNCTION("""COMPUTED_VALUE"""),"Nour")</f>
        <v>Nour</v>
      </c>
      <c r="F214" s="10"/>
      <c r="G214" s="10"/>
      <c r="H214" s="10"/>
      <c r="I214" s="10"/>
    </row>
    <row r="215" spans="1:9">
      <c r="A215" s="10" t="str">
        <f ca="1">IFERROR(__xludf.DUMMYFUNCTION("""COMPUTED_VALUE"""),"Анна Тринчер")</f>
        <v>Анна Тринчер</v>
      </c>
      <c r="B215" s="10"/>
      <c r="C215" s="10" t="str">
        <f ca="1">IFERROR(__xludf.DUMMYFUNCTION("""COMPUTED_VALUE"""),"DJ Smash &amp; NIVESTA")</f>
        <v>DJ Smash &amp; NIVESTA</v>
      </c>
      <c r="D215" s="10"/>
      <c r="E215" s="10" t="str">
        <f ca="1">IFERROR(__xludf.DUMMYFUNCTION("""COMPUTED_VALUE"""),"Drake &amp; 21 Savage")</f>
        <v>Drake &amp; 21 Savage</v>
      </c>
      <c r="F215" s="10"/>
      <c r="G215" s="10"/>
      <c r="H215" s="10"/>
      <c r="I215" s="10"/>
    </row>
    <row r="216" spans="1:9">
      <c r="A216" s="10" t="str">
        <f ca="1">IFERROR(__xludf.DUMMYFUNCTION("""COMPUTED_VALUE"""),"Tricky Nicki")</f>
        <v>Tricky Nicki</v>
      </c>
      <c r="B216" s="10"/>
      <c r="C216" s="10" t="str">
        <f ca="1">IFERROR(__xludf.DUMMYFUNCTION("""COMPUTED_VALUE"""),"DJ Smash")</f>
        <v>DJ Smash</v>
      </c>
      <c r="D216" s="10"/>
      <c r="E216" s="10" t="str">
        <f ca="1">IFERROR(__xludf.DUMMYFUNCTION("""COMPUTED_VALUE"""),"Metro Boomin &amp; Future")</f>
        <v>Metro Boomin &amp; Future</v>
      </c>
      <c r="F216" s="10"/>
      <c r="G216" s="10"/>
      <c r="H216" s="10"/>
      <c r="I216" s="10"/>
    </row>
    <row r="217" spans="1:9">
      <c r="A217" s="10" t="str">
        <f ca="1">IFERROR(__xludf.DUMMYFUNCTION("""COMPUTED_VALUE"""),"VINVONA")</f>
        <v>VINVONA</v>
      </c>
      <c r="B217" s="10"/>
      <c r="C217" s="35" t="str">
        <f ca="1">IFERROR(__xludf.DUMMYFUNCTION("""COMPUTED_VALUE"""),"NIVESTA")</f>
        <v>NIVESTA</v>
      </c>
      <c r="D217" s="10"/>
      <c r="E217" s="10" t="str">
        <f ca="1">IFERROR(__xludf.DUMMYFUNCTION("""COMPUTED_VALUE"""),"Metro Boomin")</f>
        <v>Metro Boomin</v>
      </c>
      <c r="F217" s="10"/>
      <c r="G217" s="10"/>
      <c r="H217" s="10"/>
      <c r="I217" s="10"/>
    </row>
    <row r="218" spans="1:9">
      <c r="A218" s="10" t="str">
        <f ca="1">IFERROR(__xludf.DUMMYFUNCTION("""COMPUTED_VALUE"""),"Анна Тринчер &amp; POSITIFF")</f>
        <v>Анна Тринчер &amp; POSITIFF</v>
      </c>
      <c r="B218" s="10"/>
      <c r="C218" s="10" t="str">
        <f ca="1">IFERROR(__xludf.DUMMYFUNCTION("""COMPUTED_VALUE"""),"Канги &amp; Galust")</f>
        <v>Канги &amp; Galust</v>
      </c>
      <c r="D218" s="10"/>
      <c r="E218" s="10" t="str">
        <f ca="1">IFERROR(__xludf.DUMMYFUNCTION("""COMPUTED_VALUE"""),"Future")</f>
        <v>Future</v>
      </c>
      <c r="F218" s="10"/>
      <c r="G218" s="10"/>
      <c r="H218" s="10"/>
      <c r="I218" s="10"/>
    </row>
    <row r="219" spans="1:9">
      <c r="A219" s="10" t="str">
        <f ca="1">IFERROR(__xludf.DUMMYFUNCTION("""COMPUTED_VALUE"""),"JKLN")</f>
        <v>JKLN</v>
      </c>
      <c r="B219" s="10"/>
      <c r="C219" s="10" t="str">
        <f ca="1">IFERROR(__xludf.DUMMYFUNCTION("""COMPUTED_VALUE"""),"Канги")</f>
        <v>Канги</v>
      </c>
      <c r="D219" s="10"/>
      <c r="E219" s="10" t="str">
        <f ca="1">IFERROR(__xludf.DUMMYFUNCTION("""COMPUTED_VALUE"""),"Beyoncé")</f>
        <v>Beyoncé</v>
      </c>
      <c r="F219" s="10"/>
      <c r="G219" s="10"/>
      <c r="H219" s="10"/>
      <c r="I219" s="10"/>
    </row>
    <row r="220" spans="1:9">
      <c r="A220" s="10" t="str">
        <f ca="1">IFERROR(__xludf.DUMMYFUNCTION("""COMPUTED_VALUE"""),"Томмі Версетті")</f>
        <v>Томмі Версетті</v>
      </c>
      <c r="B220" s="10"/>
      <c r="C220" s="10" t="str">
        <f ca="1">IFERROR(__xludf.DUMMYFUNCTION("""COMPUTED_VALUE"""),"Galust")</f>
        <v>Galust</v>
      </c>
      <c r="D220" s="10"/>
      <c r="E220" s="10" t="str">
        <f ca="1">IFERROR(__xludf.DUMMYFUNCTION("""COMPUTED_VALUE"""),"Rihanna")</f>
        <v>Rihanna</v>
      </c>
      <c r="F220" s="10"/>
      <c r="G220" s="10"/>
      <c r="H220" s="10"/>
      <c r="I220" s="10"/>
    </row>
    <row r="221" spans="1:9">
      <c r="A221" s="10" t="str">
        <f ca="1">IFERROR(__xludf.DUMMYFUNCTION("""COMPUTED_VALUE"""),"Averin &amp; CHURSANOV")</f>
        <v>Averin &amp; CHURSANOV</v>
      </c>
      <c r="B221" s="10"/>
      <c r="C221" s="10" t="str">
        <f ca="1">IFERROR(__xludf.DUMMYFUNCTION("""COMPUTED_VALUE"""),"84 &amp; Lookbuffalo")</f>
        <v>84 &amp; Lookbuffalo</v>
      </c>
      <c r="D221" s="10"/>
      <c r="E221" s="10" t="str">
        <f ca="1">IFERROR(__xludf.DUMMYFUNCTION("""COMPUTED_VALUE"""),"Jay.f.k beats")</f>
        <v>Jay.f.k beats</v>
      </c>
      <c r="F221" s="10"/>
      <c r="G221" s="10"/>
      <c r="H221" s="10"/>
      <c r="I221" s="10"/>
    </row>
    <row r="222" spans="1:9">
      <c r="A222" s="10" t="str">
        <f ca="1">IFERROR(__xludf.DUMMYFUNCTION("""COMPUTED_VALUE"""),"BURLA")</f>
        <v>BURLA</v>
      </c>
      <c r="B222" s="10"/>
      <c r="C222" s="36">
        <f ca="1">IFERROR(__xludf.DUMMYFUNCTION("""COMPUTED_VALUE"""),84)</f>
        <v>84</v>
      </c>
      <c r="D222" s="10"/>
      <c r="E222" s="10" t="str">
        <f ca="1">IFERROR(__xludf.DUMMYFUNCTION("""COMPUTED_VALUE"""),"Ms. Krazie")</f>
        <v>Ms. Krazie</v>
      </c>
      <c r="F222" s="10"/>
      <c r="G222" s="10"/>
      <c r="H222" s="10"/>
      <c r="I222" s="10"/>
    </row>
    <row r="223" spans="1:9">
      <c r="A223" s="10" t="str">
        <f ca="1">IFERROR(__xludf.DUMMYFUNCTION("""COMPUTED_VALUE"""),"Арсен Мірзоян")</f>
        <v>Арсен Мірзоян</v>
      </c>
      <c r="B223" s="10"/>
      <c r="C223" s="35" t="str">
        <f ca="1">IFERROR(__xludf.DUMMYFUNCTION("""COMPUTED_VALUE"""),"Lookbuffalo")</f>
        <v>Lookbuffalo</v>
      </c>
      <c r="D223" s="10"/>
      <c r="E223" s="10" t="str">
        <f ca="1">IFERROR(__xludf.DUMMYFUNCTION("""COMPUTED_VALUE"""),"Argy")</f>
        <v>Argy</v>
      </c>
      <c r="F223" s="10"/>
      <c r="G223" s="10"/>
      <c r="H223" s="10"/>
      <c r="I223" s="10"/>
    </row>
    <row r="224" spans="1:9">
      <c r="A224" s="10" t="str">
        <f ca="1">IFERROR(__xludf.DUMMYFUNCTION("""COMPUTED_VALUE"""),"KALUSH &amp; alyona alyona")</f>
        <v>KALUSH &amp; alyona alyona</v>
      </c>
      <c r="B224" s="10"/>
      <c r="C224" s="10" t="str">
        <f ca="1">IFERROR(__xludf.DUMMYFUNCTION("""COMPUTED_VALUE"""),"Milana Hametova &amp; Milana Star")</f>
        <v>Milana Hametova &amp; Milana Star</v>
      </c>
      <c r="D224" s="10"/>
      <c r="E224" s="10" t="str">
        <f ca="1">IFERROR(__xludf.DUMMYFUNCTION("""COMPUTED_VALUE"""),"Calvin Harris, Dua Lipa")</f>
        <v>Calvin Harris, Dua Lipa</v>
      </c>
      <c r="F224" s="10"/>
      <c r="G224" s="10"/>
      <c r="H224" s="10"/>
      <c r="I224" s="10"/>
    </row>
    <row r="225" spans="1:9">
      <c r="A225" s="10" t="str">
        <f ca="1">IFERROR(__xludf.DUMMYFUNCTION("""COMPUTED_VALUE"""),"Meri")</f>
        <v>Meri</v>
      </c>
      <c r="B225" s="10"/>
      <c r="C225" s="10" t="str">
        <f ca="1">IFERROR(__xludf.DUMMYFUNCTION("""COMPUTED_VALUE"""),"Milana Hametova")</f>
        <v>Milana Hametova</v>
      </c>
      <c r="D225" s="10"/>
      <c r="E225" s="10" t="str">
        <f ca="1">IFERROR(__xludf.DUMMYFUNCTION("""COMPUTED_VALUE"""),"Calvin Harris")</f>
        <v>Calvin Harris</v>
      </c>
      <c r="F225" s="10"/>
      <c r="G225" s="10"/>
      <c r="H225" s="10"/>
      <c r="I225" s="10"/>
    </row>
    <row r="226" spans="1:9">
      <c r="A226" s="10" t="str">
        <f ca="1">IFERROR(__xludf.DUMMYFUNCTION("""COMPUTED_VALUE"""),"Artem Pivovarov &amp; Olya Polyakova")</f>
        <v>Artem Pivovarov &amp; Olya Polyakova</v>
      </c>
      <c r="B226" s="10"/>
      <c r="C226" s="10" t="str">
        <f ca="1">IFERROR(__xludf.DUMMYFUNCTION("""COMPUTED_VALUE"""),"Markul &amp; Тося Чайкіна")</f>
        <v>Markul &amp; Тося Чайкіна</v>
      </c>
      <c r="D226" s="10"/>
      <c r="E226" s="10" t="str">
        <f ca="1">IFERROR(__xludf.DUMMYFUNCTION("""COMPUTED_VALUE"""),"Dua Lipa")</f>
        <v>Dua Lipa</v>
      </c>
      <c r="F226" s="10"/>
      <c r="G226" s="10"/>
      <c r="H226" s="10"/>
      <c r="I226" s="10"/>
    </row>
    <row r="227" spans="1:9">
      <c r="A227" s="10" t="str">
        <f ca="1">IFERROR(__xludf.DUMMYFUNCTION("""COMPUTED_VALUE"""),"Jerry Heil &amp; Verka Serduchka")</f>
        <v>Jerry Heil &amp; Verka Serduchka</v>
      </c>
      <c r="B227" s="10"/>
      <c r="C227" s="10" t="str">
        <f ca="1">IFERROR(__xludf.DUMMYFUNCTION("""COMPUTED_VALUE"""),"Markul")</f>
        <v>Markul</v>
      </c>
      <c r="D227" s="10"/>
      <c r="E227" s="10" t="str">
        <f ca="1">IFERROR(__xludf.DUMMYFUNCTION("""COMPUTED_VALUE"""),"S10")</f>
        <v>S10</v>
      </c>
      <c r="F227" s="10"/>
      <c r="G227" s="10"/>
      <c r="H227" s="10"/>
      <c r="I227" s="10"/>
    </row>
    <row r="228" spans="1:9">
      <c r="A228" s="10" t="str">
        <f ca="1">IFERROR(__xludf.DUMMYFUNCTION("""COMPUTED_VALUE"""),"Анна Тринчер &amp; MBreeze")</f>
        <v>Анна Тринчер &amp; MBreeze</v>
      </c>
      <c r="B228" s="10"/>
      <c r="C228" s="10" t="str">
        <f ca="1">IFERROR(__xludf.DUMMYFUNCTION("""COMPUTED_VALUE"""),"Тося Чайкіна")</f>
        <v>Тося Чайкіна</v>
      </c>
      <c r="D228" s="10"/>
      <c r="E228" s="10" t="str">
        <f ca="1">IFERROR(__xludf.DUMMYFUNCTION("""COMPUTED_VALUE"""),"Hozier")</f>
        <v>Hozier</v>
      </c>
      <c r="F228" s="10"/>
      <c r="G228" s="10"/>
      <c r="H228" s="10"/>
      <c r="I228" s="10"/>
    </row>
    <row r="229" spans="1:9">
      <c r="A229" s="10" t="str">
        <f ca="1">IFERROR(__xludf.DUMMYFUNCTION("""COMPUTED_VALUE"""),"Андрій Хливнюк &amp; Kiyany")</f>
        <v>Андрій Хливнюк &amp; Kiyany</v>
      </c>
      <c r="B229" s="10"/>
      <c r="C229" s="10" t="str">
        <f ca="1">IFERROR(__xludf.DUMMYFUNCTION("""COMPUTED_VALUE"""),"Sakit Səmədov")</f>
        <v>Sakit Səmədov</v>
      </c>
      <c r="D229" s="10"/>
      <c r="E229" s="10" t="str">
        <f ca="1">IFERROR(__xludf.DUMMYFUNCTION("""COMPUTED_VALUE"""),"Kanye West &amp; XXXTENTACION")</f>
        <v>Kanye West &amp; XXXTENTACION</v>
      </c>
      <c r="F229" s="10"/>
      <c r="G229" s="10"/>
      <c r="H229" s="10"/>
      <c r="I229" s="10"/>
    </row>
    <row r="230" spans="1:9">
      <c r="A230" s="10" t="str">
        <f ca="1">IFERROR(__xludf.DUMMYFUNCTION("""COMPUTED_VALUE"""),"Вася Демчук")</f>
        <v>Вася Демчук</v>
      </c>
      <c r="B230" s="10"/>
      <c r="C230" s="10" t="str">
        <f ca="1">IFERROR(__xludf.DUMMYFUNCTION("""COMPUTED_VALUE"""),"Єгор Ракітін")</f>
        <v>Єгор Ракітін</v>
      </c>
      <c r="D230" s="10"/>
      <c r="E230" s="10" t="str">
        <f ca="1">IFERROR(__xludf.DUMMYFUNCTION("""COMPUTED_VALUE"""),"Post Malone")</f>
        <v>Post Malone</v>
      </c>
      <c r="F230" s="10"/>
      <c r="G230" s="10"/>
      <c r="H230" s="10"/>
      <c r="I230" s="10"/>
    </row>
    <row r="231" spans="1:9">
      <c r="A231" s="10" t="str">
        <f ca="1">IFERROR(__xludf.DUMMYFUNCTION("""COMPUTED_VALUE"""),"Олександр Пономарьов, Mykhailo Khoma, Тарас Тополя, Євген Кошовий, Юрій Ткач &amp; Петро Чорний")</f>
        <v>Олександр Пономарьов, Mykhailo Khoma, Тарас Тополя, Євген Кошовий, Юрій Ткач &amp; Петро Чорний</v>
      </c>
      <c r="B231" s="10"/>
      <c r="C231" s="10" t="str">
        <f ca="1">IFERROR(__xludf.DUMMYFUNCTION("""COMPUTED_VALUE"""),"RASA")</f>
        <v>RASA</v>
      </c>
      <c r="D231" s="10"/>
      <c r="E231" s="10" t="str">
        <f ca="1">IFERROR(__xludf.DUMMYFUNCTION("""COMPUTED_VALUE"""),"Subwoolfer")</f>
        <v>Subwoolfer</v>
      </c>
      <c r="F231" s="10"/>
      <c r="G231" s="10"/>
      <c r="H231" s="10"/>
      <c r="I231" s="10"/>
    </row>
    <row r="232" spans="1:9">
      <c r="A232" s="10" t="str">
        <f ca="1">IFERROR(__xludf.DUMMYFUNCTION("""COMPUTED_VALUE"""),"Олександр Пономарьов")</f>
        <v>Олександр Пономарьов</v>
      </c>
      <c r="B232" s="10"/>
      <c r="C232" s="10" t="str">
        <f ca="1">IFERROR(__xludf.DUMMYFUNCTION("""COMPUTED_VALUE"""),"Дискотека Авария")</f>
        <v>Дискотека Авария</v>
      </c>
      <c r="D232" s="10"/>
      <c r="E232" s="10" t="str">
        <f ca="1">IFERROR(__xludf.DUMMYFUNCTION("""COMPUTED_VALUE"""),"AnnenMayKantereit &amp; Giant Rooks")</f>
        <v>AnnenMayKantereit &amp; Giant Rooks</v>
      </c>
      <c r="F232" s="10"/>
      <c r="G232" s="10"/>
      <c r="H232" s="10"/>
      <c r="I232" s="10"/>
    </row>
    <row r="233" spans="1:9">
      <c r="A233" s="10" t="str">
        <f ca="1">IFERROR(__xludf.DUMMYFUNCTION("""COMPUTED_VALUE"""),"Петро Чорний")</f>
        <v>Петро Чорний</v>
      </c>
      <c r="B233" s="10"/>
      <c r="C233" s="10" t="str">
        <f ca="1">IFERROR(__xludf.DUMMYFUNCTION("""COMPUTED_VALUE"""),"Ласковый май")</f>
        <v>Ласковый май</v>
      </c>
      <c r="D233" s="10"/>
      <c r="E233" s="10" t="str">
        <f ca="1">IFERROR(__xludf.DUMMYFUNCTION("""COMPUTED_VALUE"""),"Öwnboss &amp; SEVEK")</f>
        <v>Öwnboss &amp; SEVEK</v>
      </c>
      <c r="F233" s="10"/>
      <c r="G233" s="10"/>
      <c r="H233" s="10"/>
      <c r="I233" s="10"/>
    </row>
    <row r="234" spans="1:9">
      <c r="A234" s="10" t="str">
        <f ca="1">IFERROR(__xludf.DUMMYFUNCTION("""COMPUTED_VALUE"""),"Юрій Ткач")</f>
        <v>Юрій Ткач</v>
      </c>
      <c r="B234" s="10"/>
      <c r="C234" s="10" t="str">
        <f ca="1">IFERROR(__xludf.DUMMYFUNCTION("""COMPUTED_VALUE"""),"Сладкий сон &amp; Сергей Васюта")</f>
        <v>Сладкий сон &amp; Сергей Васюта</v>
      </c>
      <c r="D234" s="10"/>
      <c r="E234" s="10" t="str">
        <f ca="1">IFERROR(__xludf.DUMMYFUNCTION("""COMPUTED_VALUE"""),"The Kid LAROI &amp; Justin Bieber")</f>
        <v>The Kid LAROI &amp; Justin Bieber</v>
      </c>
      <c r="F234" s="10"/>
      <c r="G234" s="10"/>
      <c r="H234" s="10"/>
      <c r="I234" s="10"/>
    </row>
    <row r="235" spans="1:9">
      <c r="A235" s="10" t="str">
        <f ca="1">IFERROR(__xludf.DUMMYFUNCTION("""COMPUTED_VALUE"""),"Євген Кошовий")</f>
        <v>Євген Кошовий</v>
      </c>
      <c r="B235" s="10"/>
      <c r="C235" s="10" t="str">
        <f ca="1">IFERROR(__xludf.DUMMYFUNCTION("""COMPUTED_VALUE"""),"Сладкий сон")</f>
        <v>Сладкий сон</v>
      </c>
      <c r="D235" s="10"/>
      <c r="E235" s="10" t="str">
        <f ca="1">IFERROR(__xludf.DUMMYFUNCTION("""COMPUTED_VALUE"""),"Jnr Choi")</f>
        <v>Jnr Choi</v>
      </c>
      <c r="F235" s="10"/>
      <c r="G235" s="10"/>
      <c r="H235" s="10"/>
      <c r="I235" s="10"/>
    </row>
    <row r="236" spans="1:9">
      <c r="A236" s="10" t="str">
        <f ca="1">IFERROR(__xludf.DUMMYFUNCTION("""COMPUTED_VALUE"""),"Тарас Тополя")</f>
        <v>Тарас Тополя</v>
      </c>
      <c r="B236" s="10"/>
      <c r="C236" s="10" t="str">
        <f ca="1">IFERROR(__xludf.DUMMYFUNCTION("""COMPUTED_VALUE"""),"Сергей Васюта")</f>
        <v>Сергей Васюта</v>
      </c>
      <c r="D236" s="10"/>
      <c r="E236" s="10" t="str">
        <f ca="1">IFERROR(__xludf.DUMMYFUNCTION("""COMPUTED_VALUE"""),"Nicki Minaj &amp; Lil Baby")</f>
        <v>Nicki Minaj &amp; Lil Baby</v>
      </c>
      <c r="F236" s="10"/>
      <c r="G236" s="10"/>
      <c r="H236" s="10"/>
      <c r="I236" s="10"/>
    </row>
    <row r="237" spans="1:9">
      <c r="A237" s="10" t="str">
        <f ca="1">IFERROR(__xludf.DUMMYFUNCTION("""COMPUTED_VALUE"""),"Mykhailo Khoma")</f>
        <v>Mykhailo Khoma</v>
      </c>
      <c r="B237" s="10"/>
      <c r="C237" s="10" t="str">
        <f ca="1">IFERROR(__xludf.DUMMYFUNCTION("""COMPUTED_VALUE"""),"Султан Ураган &amp; Мурат Тхагалегов")</f>
        <v>Султан Ураган &amp; Мурат Тхагалегов</v>
      </c>
      <c r="D237" s="10"/>
      <c r="E237" s="10" t="str">
        <f ca="1">IFERROR(__xludf.DUMMYFUNCTION("""COMPUTED_VALUE"""),"Adele")</f>
        <v>Adele</v>
      </c>
      <c r="F237" s="10"/>
      <c r="G237" s="10"/>
      <c r="H237" s="10"/>
      <c r="I237" s="10"/>
    </row>
    <row r="238" spans="1:9">
      <c r="A238" s="10" t="str">
        <f ca="1">IFERROR(__xludf.DUMMYFUNCTION("""COMPUTED_VALUE"""),"Chekson")</f>
        <v>Chekson</v>
      </c>
      <c r="B238" s="10"/>
      <c r="C238" s="10" t="str">
        <f ca="1">IFERROR(__xludf.DUMMYFUNCTION("""COMPUTED_VALUE"""),"Султан Ураган")</f>
        <v>Султан Ураган</v>
      </c>
      <c r="D238" s="10"/>
      <c r="E238" s="10" t="str">
        <f ca="1">IFERROR(__xludf.DUMMYFUNCTION("""COMPUTED_VALUE"""),"Stromae")</f>
        <v>Stromae</v>
      </c>
      <c r="F238" s="10"/>
      <c r="G238" s="10"/>
      <c r="H238" s="10"/>
      <c r="I238" s="10"/>
    </row>
    <row r="239" spans="1:9">
      <c r="A239" s="10" t="str">
        <f ca="1">IFERROR(__xludf.DUMMYFUNCTION("""COMPUTED_VALUE"""),"David Golubenko")</f>
        <v>David Golubenko</v>
      </c>
      <c r="B239" s="10"/>
      <c r="C239" s="10" t="str">
        <f ca="1">IFERROR(__xludf.DUMMYFUNCTION("""COMPUTED_VALUE"""),"Мурат Тхагалегов")</f>
        <v>Мурат Тхагалегов</v>
      </c>
      <c r="D239" s="10"/>
      <c r="E239" s="10" t="str">
        <f ca="1">IFERROR(__xludf.DUMMYFUNCTION("""COMPUTED_VALUE"""),"Lil Nas X &amp; Jack Harlow")</f>
        <v>Lil Nas X &amp; Jack Harlow</v>
      </c>
      <c r="F239" s="10"/>
      <c r="G239" s="10"/>
      <c r="H239" s="10"/>
      <c r="I239" s="10"/>
    </row>
    <row r="240" spans="1:9">
      <c r="A240" s="10" t="str">
        <f ca="1">IFERROR(__xludf.DUMMYFUNCTION("""COMPUTED_VALUE"""),"Vladimir Dantes")</f>
        <v>Vladimir Dantes</v>
      </c>
      <c r="B240" s="10"/>
      <c r="C240" s="10" t="str">
        <f ca="1">IFERROR(__xludf.DUMMYFUNCTION("""COMPUTED_VALUE"""),"Христина Орбакайте")</f>
        <v>Христина Орбакайте</v>
      </c>
      <c r="D240" s="10"/>
      <c r="E240" s="10" t="str">
        <f ca="1">IFERROR(__xludf.DUMMYFUNCTION("""COMPUTED_VALUE"""),"Lauren Spencer-Smith")</f>
        <v>Lauren Spencer-Smith</v>
      </c>
      <c r="F240" s="10"/>
      <c r="G240" s="10"/>
      <c r="H240" s="10"/>
      <c r="I240" s="10"/>
    </row>
    <row r="241" spans="1:9">
      <c r="A241" s="10" t="str">
        <f ca="1">IFERROR(__xludf.DUMMYFUNCTION("""COMPUTED_VALUE"""),"Luckie Joe")</f>
        <v>Luckie Joe</v>
      </c>
      <c r="B241" s="10"/>
      <c r="C241" s="10" t="str">
        <f ca="1">IFERROR(__xludf.DUMMYFUNCTION("""COMPUTED_VALUE"""),"ALEKS ATAMAN &amp; FINIK")</f>
        <v>ALEKS ATAMAN &amp; FINIK</v>
      </c>
      <c r="D241" s="10"/>
      <c r="E241" s="10" t="str">
        <f ca="1">IFERROR(__xludf.DUMMYFUNCTION("""COMPUTED_VALUE"""),"Gunna &amp; Future")</f>
        <v>Gunna &amp; Future</v>
      </c>
      <c r="F241" s="10"/>
      <c r="G241" s="10"/>
      <c r="H241" s="10"/>
      <c r="I241" s="10"/>
    </row>
    <row r="242" spans="1:9">
      <c r="A242" s="10" t="str">
        <f ca="1">IFERROR(__xludf.DUMMYFUNCTION("""COMPUTED_VALUE"""),"Jamala")</f>
        <v>Jamala</v>
      </c>
      <c r="B242" s="10"/>
      <c r="C242" s="10" t="str">
        <f ca="1">IFERROR(__xludf.DUMMYFUNCTION("""COMPUTED_VALUE"""),"ALEKS ATAMAN")</f>
        <v>ALEKS ATAMAN</v>
      </c>
      <c r="D242" s="10"/>
      <c r="E242" s="10" t="str">
        <f ca="1">IFERROR(__xludf.DUMMYFUNCTION("""COMPUTED_VALUE"""),"Amaarae &amp; Moliy")</f>
        <v>Amaarae &amp; Moliy</v>
      </c>
      <c r="F242" s="10"/>
      <c r="G242" s="10"/>
      <c r="H242" s="10"/>
      <c r="I242" s="10"/>
    </row>
    <row r="243" spans="1:9">
      <c r="A243" s="10" t="str">
        <f ca="1">IFERROR(__xludf.DUMMYFUNCTION("""COMPUTED_VALUE"""),"Artem Pivovarov &amp; Лилу45")</f>
        <v>Artem Pivovarov &amp; Лилу45</v>
      </c>
      <c r="B243" s="10"/>
      <c r="C243" s="10" t="str">
        <f ca="1">IFERROR(__xludf.DUMMYFUNCTION("""COMPUTED_VALUE"""),"FINIK")</f>
        <v>FINIK</v>
      </c>
      <c r="D243" s="10"/>
      <c r="E243" s="10" t="str">
        <f ca="1">IFERROR(__xludf.DUMMYFUNCTION("""COMPUTED_VALUE"""),"Дюк Дюмон")</f>
        <v>Дюк Дюмон</v>
      </c>
      <c r="F243" s="10"/>
      <c r="G243" s="10"/>
      <c r="H243" s="10"/>
      <c r="I243" s="10"/>
    </row>
    <row r="244" spans="1:9">
      <c r="A244" s="10" t="str">
        <f ca="1">IFERROR(__xludf.DUMMYFUNCTION("""COMPUTED_VALUE"""),"KAZKA")</f>
        <v>KAZKA</v>
      </c>
      <c r="B244" s="10"/>
      <c r="C244" s="10" t="str">
        <f ca="1">IFERROR(__xludf.DUMMYFUNCTION("""COMPUTED_VALUE"""),"Big Baby Tape &amp; Aarne")</f>
        <v>Big Baby Tape &amp; Aarne</v>
      </c>
      <c r="D244" s="10"/>
      <c r="E244" s="10" t="str">
        <f ca="1">IFERROR(__xludf.DUMMYFUNCTION("""COMPUTED_VALUE"""),"Ашер")</f>
        <v>Ашер</v>
      </c>
      <c r="F244" s="10"/>
      <c r="G244" s="10"/>
      <c r="H244" s="10"/>
      <c r="I244" s="10"/>
    </row>
    <row r="245" spans="1:9">
      <c r="A245" s="10" t="str">
        <f ca="1">IFERROR(__xludf.DUMMYFUNCTION("""COMPUTED_VALUE"""),"Iryna Bilyk")</f>
        <v>Iryna Bilyk</v>
      </c>
      <c r="B245" s="10"/>
      <c r="C245" s="10" t="str">
        <f ca="1">IFERROR(__xludf.DUMMYFUNCTION("""COMPUTED_VALUE"""),"Endshpil")</f>
        <v>Endshpil</v>
      </c>
      <c r="D245" s="10"/>
      <c r="E245" s="10" t="str">
        <f ca="1">IFERROR(__xludf.DUMMYFUNCTION("""COMPUTED_VALUE"""),"Sting")</f>
        <v>Sting</v>
      </c>
      <c r="F245" s="10"/>
      <c r="G245" s="10"/>
      <c r="H245" s="10"/>
      <c r="I245" s="10"/>
    </row>
    <row r="246" spans="1:9">
      <c r="A246" s="10" t="str">
        <f ca="1">IFERROR(__xludf.DUMMYFUNCTION("""COMPUTED_VALUE"""),"Iryna Bilyk &amp; Svyatoslav Vakarchuk")</f>
        <v>Iryna Bilyk &amp; Svyatoslav Vakarchuk</v>
      </c>
      <c r="B246" s="10"/>
      <c r="C246" s="10" t="str">
        <f ca="1">IFERROR(__xludf.DUMMYFUNCTION("""COMPUTED_VALUE"""),"WHITE GALLOWS")</f>
        <v>WHITE GALLOWS</v>
      </c>
      <c r="D246" s="10"/>
      <c r="E246" s="10" t="str">
        <f ca="1">IFERROR(__xludf.DUMMYFUNCTION("""COMPUTED_VALUE"""),"Katy Perry")</f>
        <v>Katy Perry</v>
      </c>
      <c r="F246" s="10"/>
      <c r="G246" s="10"/>
      <c r="H246" s="10"/>
      <c r="I246" s="10"/>
    </row>
    <row r="247" spans="1:9">
      <c r="A247" s="10" t="str">
        <f ca="1">IFERROR(__xludf.DUMMYFUNCTION("""COMPUTED_VALUE"""),"Alina Pash")</f>
        <v>Alina Pash</v>
      </c>
      <c r="B247" s="10"/>
      <c r="C247" s="10" t="str">
        <f ca="1">IFERROR(__xludf.DUMMYFUNCTION("""COMPUTED_VALUE"""),"Scriptonite")</f>
        <v>Scriptonite</v>
      </c>
      <c r="D247" s="10"/>
      <c r="E247" s="10" t="str">
        <f ca="1">IFERROR(__xludf.DUMMYFUNCTION("""COMPUTED_VALUE"""),"Hà Lê")</f>
        <v>Hà Lê</v>
      </c>
      <c r="F247" s="10"/>
      <c r="G247" s="10"/>
      <c r="H247" s="10"/>
      <c r="I247" s="10"/>
    </row>
    <row r="248" spans="1:9">
      <c r="A248" s="10" t="str">
        <f ca="1">IFERROR(__xludf.DUMMYFUNCTION("""COMPUTED_VALUE"""),"Artem Pivovarov &amp; KALUSH")</f>
        <v>Artem Pivovarov &amp; KALUSH</v>
      </c>
      <c r="B248" s="10"/>
      <c r="C248" s="10" t="str">
        <f ca="1">IFERROR(__xludf.DUMMYFUNCTION("""COMPUTED_VALUE"""),"Markul &amp; Тося Чайкина")</f>
        <v>Markul &amp; Тося Чайкина</v>
      </c>
      <c r="D248" s="10"/>
      <c r="E248" s="10" t="str">
        <f ca="1">IFERROR(__xludf.DUMMYFUNCTION("""COMPUTED_VALUE"""),"Тия Ли")</f>
        <v>Тия Ли</v>
      </c>
      <c r="F248" s="10"/>
      <c r="G248" s="10"/>
      <c r="H248" s="10"/>
      <c r="I248" s="10"/>
    </row>
    <row r="249" spans="1:9">
      <c r="A249" s="10" t="str">
        <f ca="1">IFERROR(__xludf.DUMMYFUNCTION("""COMPUTED_VALUE"""),"Delamer")</f>
        <v>Delamer</v>
      </c>
      <c r="B249" s="10"/>
      <c r="C249" s="10" t="str">
        <f ca="1">IFERROR(__xludf.DUMMYFUNCTION("""COMPUTED_VALUE"""),"MACAN &amp; Xcho")</f>
        <v>MACAN &amp; Xcho</v>
      </c>
      <c r="D249" s="10"/>
      <c r="E249" s="10" t="str">
        <f ca="1">IFERROR(__xludf.DUMMYFUNCTION("""COMPUTED_VALUE"""),"Melisa &amp; Tommo")</f>
        <v>Melisa &amp; Tommo</v>
      </c>
      <c r="F249" s="10"/>
      <c r="G249" s="10"/>
      <c r="H249" s="10"/>
      <c r="I249" s="10"/>
    </row>
    <row r="250" spans="1:9">
      <c r="A250" s="10" t="str">
        <f ca="1">IFERROR(__xludf.DUMMYFUNCTION("""COMPUTED_VALUE"""),"De-ne-De")</f>
        <v>De-ne-De</v>
      </c>
      <c r="B250" s="10"/>
      <c r="C250" s="10" t="str">
        <f ca="1">IFERROR(__xludf.DUMMYFUNCTION("""COMPUTED_VALUE"""),"Xcho &amp; Ramil'")</f>
        <v>Xcho &amp; Ramil'</v>
      </c>
      <c r="D250" s="10"/>
      <c r="E250" s="10" t="str">
        <f ca="1">IFERROR(__xludf.DUMMYFUNCTION("""COMPUTED_VALUE"""),"A Million on My Soul (Remix) (feat. Alexiane)")</f>
        <v>A Million on My Soul (Remix) (feat. Alexiane)</v>
      </c>
      <c r="F250" s="10"/>
      <c r="G250" s="10"/>
      <c r="H250" s="10"/>
      <c r="I250" s="10"/>
    </row>
    <row r="251" spans="1:9">
      <c r="A251" s="10" t="str">
        <f ca="1">IFERROR(__xludf.DUMMYFUNCTION("""COMPUTED_VALUE"""),"Христина Соловій")</f>
        <v>Христина Соловій</v>
      </c>
      <c r="B251" s="10"/>
      <c r="C251" s="10" t="str">
        <f ca="1">IFERROR(__xludf.DUMMYFUNCTION("""COMPUTED_VALUE"""),"Miyagi &amp; Эндшпиль")</f>
        <v>Miyagi &amp; Эндшпиль</v>
      </c>
      <c r="D251" s="10"/>
      <c r="E251" s="10" t="str">
        <f ca="1">IFERROR(__xludf.DUMMYFUNCTION("""COMPUTED_VALUE"""),"Джей-Хоуп")</f>
        <v>Джей-Хоуп</v>
      </c>
      <c r="F251" s="10"/>
      <c r="G251" s="10"/>
      <c r="H251" s="10"/>
      <c r="I251" s="10"/>
    </row>
    <row r="252" spans="1:9">
      <c r="A252" s="10" t="str">
        <f ca="1">IFERROR(__xludf.DUMMYFUNCTION("""COMPUTED_VALUE"""),"Krutь")</f>
        <v>Krutь</v>
      </c>
      <c r="B252" s="10"/>
      <c r="C252" s="10" t="str">
        <f ca="1">IFERROR(__xludf.DUMMYFUNCTION("""COMPUTED_VALUE"""),"Kaspiyskiy Gruz")</f>
        <v>Kaspiyskiy Gruz</v>
      </c>
      <c r="D252" s="10"/>
      <c r="E252" s="10" t="str">
        <f ca="1">IFERROR(__xludf.DUMMYFUNCTION("""COMPUTED_VALUE"""),"Сем Райдер")</f>
        <v>Сем Райдер</v>
      </c>
      <c r="F252" s="10"/>
      <c r="G252" s="10"/>
      <c r="H252" s="10"/>
      <c r="I252" s="10"/>
    </row>
    <row r="253" spans="1:9">
      <c r="A253" s="10" t="str">
        <f ca="1">IFERROR(__xludf.DUMMYFUNCTION("""COMPUTED_VALUE"""),"GROSU")</f>
        <v>GROSU</v>
      </c>
      <c r="B253" s="10"/>
      <c r="C253" s="10" t="str">
        <f ca="1">IFERROR(__xludf.DUMMYFUNCTION("""COMPUTED_VALUE"""),"A.V.G &amp; Tatar")</f>
        <v>A.V.G &amp; Tatar</v>
      </c>
      <c r="D253" s="10"/>
      <c r="E253" s="10" t="str">
        <f ca="1">IFERROR(__xludf.DUMMYFUNCTION("""COMPUTED_VALUE"""),"Charlie Puth")</f>
        <v>Charlie Puth</v>
      </c>
      <c r="F253" s="10"/>
      <c r="G253" s="10"/>
      <c r="H253" s="10"/>
      <c r="I253" s="10"/>
    </row>
    <row r="254" spans="1:9">
      <c r="A254" s="10" t="str">
        <f ca="1">IFERROR(__xludf.DUMMYFUNCTION("""COMPUTED_VALUE"""),"Victoria Niro")</f>
        <v>Victoria Niro</v>
      </c>
      <c r="B254" s="10"/>
      <c r="C254" s="10" t="str">
        <f ca="1">IFERROR(__xludf.DUMMYFUNCTION("""COMPUTED_VALUE"""),"JANAGA, ДжиАш &amp; Вито &amp; MORRALY")</f>
        <v>JANAGA, ДжиАш &amp; Вито &amp; MORRALY</v>
      </c>
      <c r="D254" s="10"/>
      <c r="E254" s="10" t="str">
        <f ca="1">IFERROR(__xludf.DUMMYFUNCTION("""COMPUTED_VALUE"""),"Кейт Буш")</f>
        <v>Кейт Буш</v>
      </c>
      <c r="F254" s="10"/>
      <c r="G254" s="10"/>
      <c r="H254" s="10"/>
      <c r="I254" s="10"/>
    </row>
    <row r="255" spans="1:9">
      <c r="A255" s="10" t="str">
        <f ca="1">IFERROR(__xludf.DUMMYFUNCTION("""COMPUTED_VALUE"""),"ОЧІ В ОЧІ")</f>
        <v>ОЧІ В ОЧІ</v>
      </c>
      <c r="B255" s="10"/>
      <c r="C255" s="10" t="str">
        <f ca="1">IFERROR(__xludf.DUMMYFUNCTION("""COMPUTED_VALUE"""),"JANAGA")</f>
        <v>JANAGA</v>
      </c>
      <c r="D255" s="10"/>
      <c r="E255" s="10" t="str">
        <f ca="1">IFERROR(__xludf.DUMMYFUNCTION("""COMPUTED_VALUE"""),"PSY")</f>
        <v>PSY</v>
      </c>
      <c r="F255" s="10"/>
      <c r="G255" s="10"/>
      <c r="H255" s="10"/>
      <c r="I255" s="10"/>
    </row>
    <row r="256" spans="1:9">
      <c r="A256" s="10" t="str">
        <f ca="1">IFERROR(__xludf.DUMMYFUNCTION("""COMPUTED_VALUE"""),"Оксана Пекун")</f>
        <v>Оксана Пекун</v>
      </c>
      <c r="B256" s="10"/>
      <c r="C256" s="10" t="str">
        <f ca="1">IFERROR(__xludf.DUMMYFUNCTION("""COMPUTED_VALUE"""),"JONY &amp; ANNA ASTI")</f>
        <v>JONY &amp; ANNA ASTI</v>
      </c>
      <c r="D256" s="10"/>
      <c r="E256" s="10" t="str">
        <f ca="1">IFERROR(__xludf.DUMMYFUNCTION("""COMPUTED_VALUE"""),"Pluffaduff")</f>
        <v>Pluffaduff</v>
      </c>
      <c r="F256" s="10"/>
      <c r="G256" s="10"/>
      <c r="H256" s="10"/>
      <c r="I256" s="10"/>
    </row>
    <row r="257" spans="1:9">
      <c r="A257" s="10" t="str">
        <f ca="1">IFERROR(__xludf.DUMMYFUNCTION("""COMPUTED_VALUE"""),"Kristonko")</f>
        <v>Kristonko</v>
      </c>
      <c r="B257" s="10"/>
      <c r="C257" s="10" t="str">
        <f ca="1">IFERROR(__xludf.DUMMYFUNCTION("""COMPUTED_VALUE"""),"MORGENSHTERN &amp; Kizary")</f>
        <v>MORGENSHTERN &amp; Kizary</v>
      </c>
      <c r="D257" s="10"/>
      <c r="E257" s="10" t="str">
        <f ca="1">IFERROR(__xludf.DUMMYFUNCTION("""COMPUTED_VALUE"""),"ERS")</f>
        <v>ERS</v>
      </c>
      <c r="F257" s="10"/>
      <c r="G257" s="10"/>
      <c r="H257" s="10"/>
      <c r="I257" s="10"/>
    </row>
    <row r="258" spans="1:9">
      <c r="A258" s="10" t="str">
        <f ca="1">IFERROR(__xludf.DUMMYFUNCTION("""COMPUTED_VALUE"""),"Jerry Heil &amp; Людмила Шемаєва")</f>
        <v>Jerry Heil &amp; Людмила Шемаєва</v>
      </c>
      <c r="B258" s="10"/>
      <c r="C258" s="10" t="str">
        <f ca="1">IFERROR(__xludf.DUMMYFUNCTION("""COMPUTED_VALUE"""),"Пошлая Молли &amp; HOFMANNITA")</f>
        <v>Пошлая Молли &amp; HOFMANNITA</v>
      </c>
      <c r="D258" s="10"/>
      <c r="E258" s="10" t="str">
        <f ca="1">IFERROR(__xludf.DUMMYFUNCTION("""COMPUTED_VALUE"""),"INNA")</f>
        <v>INNA</v>
      </c>
      <c r="F258" s="10"/>
      <c r="G258" s="10"/>
      <c r="H258" s="10"/>
      <c r="I258" s="10"/>
    </row>
    <row r="259" spans="1:9">
      <c r="A259" s="10" t="str">
        <f ca="1">IFERROR(__xludf.DUMMYFUNCTION("""COMPUTED_VALUE"""),"Віталій Лобач")</f>
        <v>Віталій Лобач</v>
      </c>
      <c r="B259" s="10"/>
      <c r="C259" s="10" t="str">
        <f ca="1">IFERROR(__xludf.DUMMYFUNCTION("""COMPUTED_VALUE"""),"MORGENSHTERN &amp; The Limba")</f>
        <v>MORGENSHTERN &amp; The Limba</v>
      </c>
      <c r="D259" s="10"/>
      <c r="E259" s="10" t="str">
        <f ca="1">IFERROR(__xludf.DUMMYFUNCTION("""COMPUTED_VALUE"""),"Ненсі &amp; Ненсі Аджрам")</f>
        <v>Ненсі &amp; Ненсі Аджрам</v>
      </c>
      <c r="F259" s="10"/>
      <c r="G259" s="10"/>
      <c r="H259" s="10"/>
      <c r="I259" s="10"/>
    </row>
    <row r="260" spans="1:9">
      <c r="A260" s="10" t="str">
        <f ca="1">IFERROR(__xludf.DUMMYFUNCTION("""COMPUTED_VALUE"""),"Роман Скорпіон &amp; Тоня Матвієнко")</f>
        <v>Роман Скорпіон &amp; Тоня Матвієнко</v>
      </c>
      <c r="B260" s="10"/>
      <c r="C260" s="10" t="str">
        <f ca="1">IFERROR(__xludf.DUMMYFUNCTION("""COMPUTED_VALUE"""),"MORGENSHTERN &amp; LSP")</f>
        <v>MORGENSHTERN &amp; LSP</v>
      </c>
      <c r="D260" s="10"/>
      <c r="E260" s="10" t="str">
        <f ca="1">IFERROR(__xludf.DUMMYFUNCTION("""COMPUTED_VALUE"""),"-- &amp; EMR3YGUL")</f>
        <v>-- &amp; EMR3YGUL</v>
      </c>
      <c r="F260" s="10"/>
      <c r="G260" s="10"/>
      <c r="H260" s="10"/>
      <c r="I260" s="10"/>
    </row>
    <row r="261" spans="1:9">
      <c r="A261" s="10" t="str">
        <f ca="1">IFERROR(__xludf.DUMMYFUNCTION("""COMPUTED_VALUE"""),"Аркадій Аркадійович Войтюк")</f>
        <v>Аркадій Аркадійович Войтюк</v>
      </c>
      <c r="B261" s="10"/>
      <c r="C261" s="10" t="str">
        <f ca="1">IFERROR(__xludf.DUMMYFUNCTION("""COMPUTED_VALUE"""),"MORGENSHTERN &amp; Allj")</f>
        <v>MORGENSHTERN &amp; Allj</v>
      </c>
      <c r="D261" s="10"/>
      <c r="E261" s="10" t="str">
        <f ca="1">IFERROR(__xludf.DUMMYFUNCTION("""COMPUTED_VALUE"""),"CKay")</f>
        <v>CKay</v>
      </c>
      <c r="F261" s="10"/>
      <c r="G261" s="10"/>
      <c r="H261" s="10"/>
      <c r="I261" s="10"/>
    </row>
    <row r="262" spans="1:9">
      <c r="A262" s="10" t="str">
        <f ca="1">IFERROR(__xludf.DUMMYFUNCTION("""COMPUTED_VALUE"""),"LAZANOVSKYI I RIDNYI")</f>
        <v>LAZANOVSKYI I RIDNYI</v>
      </c>
      <c r="B262" s="10"/>
      <c r="C262" s="10" t="str">
        <f ca="1">IFERROR(__xludf.DUMMYFUNCTION("""COMPUTED_VALUE"""),"MORGENSHTERN &amp; Entype")</f>
        <v>MORGENSHTERN &amp; Entype</v>
      </c>
      <c r="D262" s="10"/>
      <c r="E262" s="10" t="str">
        <f ca="1">IFERROR(__xludf.DUMMYFUNCTION("""COMPUTED_VALUE"""),"Zubi, Anatu &amp; Ablaikan")</f>
        <v>Zubi, Anatu &amp; Ablaikan</v>
      </c>
      <c r="F262" s="10"/>
      <c r="G262" s="10"/>
      <c r="H262" s="10"/>
      <c r="I262" s="10"/>
    </row>
    <row r="263" spans="1:9">
      <c r="A263" s="10" t="str">
        <f ca="1">IFERROR(__xludf.DUMMYFUNCTION("""COMPUTED_VALUE"""),"YULIYA ROZNEN")</f>
        <v>YULIYA ROZNEN</v>
      </c>
      <c r="B263" s="10"/>
      <c r="C263" s="10" t="str">
        <f ca="1">IFERROR(__xludf.DUMMYFUNCTION("""COMPUTED_VALUE"""),"Arut &amp; MORGENSHTERN")</f>
        <v>Arut &amp; MORGENSHTERN</v>
      </c>
      <c r="D263" s="10"/>
      <c r="E263" s="10" t="str">
        <f ca="1">IFERROR(__xludf.DUMMYFUNCTION("""COMPUTED_VALUE"""),"Zubi")</f>
        <v>Zubi</v>
      </c>
      <c r="F263" s="10"/>
      <c r="G263" s="10"/>
      <c r="H263" s="10"/>
      <c r="I263" s="10"/>
    </row>
    <row r="264" spans="1:9">
      <c r="A264" s="10" t="str">
        <f ca="1">IFERROR(__xludf.DUMMYFUNCTION("""COMPUTED_VALUE"""),"IKSIY &amp; SESTRA")</f>
        <v>IKSIY &amp; SESTRA</v>
      </c>
      <c r="B264" s="10"/>
      <c r="C264" s="10" t="str">
        <f ca="1">IFERROR(__xludf.DUMMYFUNCTION("""COMPUTED_VALUE"""),"Scriptonite &amp; Райда")</f>
        <v>Scriptonite &amp; Райда</v>
      </c>
      <c r="D264" s="10"/>
      <c r="E264" s="10" t="str">
        <f ca="1">IFERROR(__xludf.DUMMYFUNCTION("""COMPUTED_VALUE"""),"Creeds")</f>
        <v>Creeds</v>
      </c>
      <c r="F264" s="10"/>
      <c r="G264" s="10"/>
      <c r="H264" s="10"/>
      <c r="I264" s="10"/>
    </row>
    <row r="265" spans="1:9">
      <c r="A265" s="10" t="str">
        <f ca="1">IFERROR(__xludf.DUMMYFUNCTION("""COMPUTED_VALUE"""),"Max Triss")</f>
        <v>Max Triss</v>
      </c>
      <c r="B265" s="10"/>
      <c r="C265" s="10" t="str">
        <f ca="1">IFERROR(__xludf.DUMMYFUNCTION("""COMPUTED_VALUE"""),"JONY")</f>
        <v>JONY</v>
      </c>
      <c r="D265" s="10"/>
      <c r="E265" s="10" t="str">
        <f ca="1">IFERROR(__xludf.DUMMYFUNCTION("""COMPUTED_VALUE"""),"Dj Belite &amp; 2Pac")</f>
        <v>Dj Belite &amp; 2Pac</v>
      </c>
      <c r="F265" s="10"/>
      <c r="G265" s="10"/>
      <c r="H265" s="10"/>
      <c r="I265" s="10"/>
    </row>
    <row r="266" spans="1:9">
      <c r="A266" s="10" t="str">
        <f ca="1">IFERROR(__xludf.DUMMYFUNCTION("""COMPUTED_VALUE"""),"Iво Бобул")</f>
        <v>Iво Бобул</v>
      </c>
      <c r="B266" s="10"/>
      <c r="C266" s="10" t="str">
        <f ca="1">IFERROR(__xludf.DUMMYFUNCTION("""COMPUTED_VALUE"""),"Arhangel")</f>
        <v>Arhangel</v>
      </c>
      <c r="D266" s="10"/>
      <c r="E266" s="10" t="str">
        <f ca="1">IFERROR(__xludf.DUMMYFUNCTION("""COMPUTED_VALUE"""),"Kaleo")</f>
        <v>Kaleo</v>
      </c>
      <c r="F266" s="10"/>
      <c r="G266" s="10"/>
      <c r="H266" s="10"/>
      <c r="I266" s="10"/>
    </row>
    <row r="267" spans="1:9">
      <c r="A267" s="10" t="str">
        <f ca="1">IFERROR(__xludf.DUMMYFUNCTION("""COMPUTED_VALUE"""),"СКАЙ")</f>
        <v>СКАЙ</v>
      </c>
      <c r="B267" s="10"/>
      <c r="C267" s="10" t="str">
        <f ca="1">IFERROR(__xludf.DUMMYFUNCTION("""COMPUTED_VALUE"""),"kizaru &amp; Milian Beatz")</f>
        <v>kizaru &amp; Milian Beatz</v>
      </c>
      <c r="D267" s="10"/>
      <c r="E267" s="10" t="str">
        <f ca="1">IFERROR(__xludf.DUMMYFUNCTION("""COMPUTED_VALUE"""),"Тхеян")</f>
        <v>Тхеян</v>
      </c>
      <c r="F267" s="10"/>
      <c r="G267" s="10"/>
      <c r="H267" s="10"/>
      <c r="I267" s="10"/>
    </row>
    <row r="268" spans="1:9">
      <c r="A268" s="10" t="str">
        <f ca="1">IFERROR(__xludf.DUMMYFUNCTION("""COMPUTED_VALUE"""),"Макс Барських &amp; ETOLUBOV")</f>
        <v>Макс Барських &amp; ETOLUBOV</v>
      </c>
      <c r="B268" s="10"/>
      <c r="C268" s="10" t="str">
        <f ca="1">IFERROR(__xludf.DUMMYFUNCTION("""COMPUTED_VALUE"""),"Big Baby Tape &amp; kizaru")</f>
        <v>Big Baby Tape &amp; kizaru</v>
      </c>
      <c r="D268" s="10"/>
      <c r="E268" s="10" t="str">
        <f ca="1">IFERROR(__xludf.DUMMYFUNCTION("""COMPUTED_VALUE"""),"Mark Ronson")</f>
        <v>Mark Ronson</v>
      </c>
      <c r="F268" s="10"/>
      <c r="G268" s="10"/>
      <c r="H268" s="10"/>
      <c r="I268" s="10"/>
    </row>
    <row r="269" spans="1:9">
      <c r="A269" s="10" t="str">
        <f ca="1">IFERROR(__xludf.DUMMYFUNCTION("""COMPUTED_VALUE"""),"Антитіла")</f>
        <v>Антитіла</v>
      </c>
      <c r="B269" s="10"/>
      <c r="C269" s="10" t="str">
        <f ca="1">IFERROR(__xludf.DUMMYFUNCTION("""COMPUTED_VALUE"""),"VACÍO &amp; MORGENSHTERN")</f>
        <v>VACÍO &amp; MORGENSHTERN</v>
      </c>
      <c r="D269" s="10"/>
      <c r="E269" s="10" t="str">
        <f ca="1">IFERROR(__xludf.DUMMYFUNCTION("""COMPUTED_VALUE"""),"Burak Yeter")</f>
        <v>Burak Yeter</v>
      </c>
      <c r="F269" s="10"/>
      <c r="G269" s="10"/>
      <c r="H269" s="10"/>
      <c r="I269" s="10"/>
    </row>
    <row r="270" spans="1:9">
      <c r="A270" s="10" t="str">
        <f ca="1">IFERROR(__xludf.DUMMYFUNCTION("""COMPUTED_VALUE"""),"Артем Пивоваров &amp; alyona alyona")</f>
        <v>Артем Пивоваров &amp; alyona alyona</v>
      </c>
      <c r="B270" s="10"/>
      <c r="C270" s="10" t="str">
        <f ca="1">IFERROR(__xludf.DUMMYFUNCTION("""COMPUTED_VALUE"""),"ANNA ASTI &amp; Philipp Kirkorov")</f>
        <v>ANNA ASTI &amp; Philipp Kirkorov</v>
      </c>
      <c r="D270" s="10"/>
      <c r="E270" s="10" t="str">
        <f ca="1">IFERROR(__xludf.DUMMYFUNCTION("""COMPUTED_VALUE"""),"Linkin Park")</f>
        <v>Linkin Park</v>
      </c>
      <c r="F270" s="10"/>
      <c r="G270" s="10"/>
      <c r="H270" s="10"/>
      <c r="I270" s="10"/>
    </row>
    <row r="271" spans="1:9">
      <c r="A271" s="10" t="str">
        <f ca="1">IFERROR(__xludf.DUMMYFUNCTION("""COMPUTED_VALUE"""),"Олег Кензов &amp; KRAZYRAF")</f>
        <v>Олег Кензов &amp; KRAZYRAF</v>
      </c>
      <c r="B271" s="10"/>
      <c r="C271" s="10" t="str">
        <f ca="1">IFERROR(__xludf.DUMMYFUNCTION("""COMPUTED_VALUE"""),"Mikhail Shufutinskiy")</f>
        <v>Mikhail Shufutinskiy</v>
      </c>
      <c r="D271" s="10"/>
      <c r="E271" s="10" t="str">
        <f ca="1">IFERROR(__xludf.DUMMYFUNCTION("""COMPUTED_VALUE"""),"G-Eazy &amp; Halsey")</f>
        <v>G-Eazy &amp; Halsey</v>
      </c>
      <c r="F271" s="10"/>
      <c r="G271" s="10"/>
      <c r="H271" s="10"/>
      <c r="I271" s="10"/>
    </row>
    <row r="272" spans="1:9">
      <c r="A272" s="10" t="str">
        <f ca="1">IFERROR(__xludf.DUMMYFUNCTION("""COMPUTED_VALUE"""),"Кузьма Скрябин")</f>
        <v>Кузьма Скрябин</v>
      </c>
      <c r="B272" s="10"/>
      <c r="C272" s="10" t="str">
        <f ca="1">IFERROR(__xludf.DUMMYFUNCTION("""COMPUTED_VALUE"""),"WHITE GALLOWS &amp; SCIRENA")</f>
        <v>WHITE GALLOWS &amp; SCIRENA</v>
      </c>
      <c r="D272" s="10"/>
      <c r="E272" s="10" t="str">
        <f ca="1">IFERROR(__xludf.DUMMYFUNCTION("""COMPUTED_VALUE"""),"Duck Sauce")</f>
        <v>Duck Sauce</v>
      </c>
      <c r="F272" s="10"/>
      <c r="G272" s="10"/>
      <c r="H272" s="10"/>
      <c r="I272" s="10"/>
    </row>
    <row r="273" spans="1:9">
      <c r="A273" s="10" t="str">
        <f ca="1">IFERROR(__xludf.DUMMYFUNCTION("""COMPUTED_VALUE"""),"Трінчер Анна Леонідівна &amp; MBreeze")</f>
        <v>Трінчер Анна Леонідівна &amp; MBreeze</v>
      </c>
      <c r="B273" s="10"/>
      <c r="C273" s="10" t="str">
        <f ca="1">IFERROR(__xludf.DUMMYFUNCTION("""COMPUTED_VALUE"""),"SCIRENA")</f>
        <v>SCIRENA</v>
      </c>
      <c r="D273" s="10"/>
      <c r="E273" s="10" t="str">
        <f ca="1">IFERROR(__xludf.DUMMYFUNCTION("""COMPUTED_VALUE"""),"The Weeknd &amp; Ariana Grande")</f>
        <v>The Weeknd &amp; Ariana Grande</v>
      </c>
      <c r="F273" s="10"/>
      <c r="G273" s="10"/>
      <c r="H273" s="10"/>
      <c r="I273" s="10"/>
    </row>
    <row r="274" spans="1:9">
      <c r="A274" s="10" t="str">
        <f ca="1">IFERROR(__xludf.DUMMYFUNCTION("""COMPUTED_VALUE"""),"Kolaba &amp; Yoxden")</f>
        <v>Kolaba &amp; Yoxden</v>
      </c>
      <c r="B274" s="10"/>
      <c r="C274" s="10" t="str">
        <f ca="1">IFERROR(__xludf.DUMMYFUNCTION("""COMPUTED_VALUE"""),"Aarne &amp; Big Baby Tape")</f>
        <v>Aarne &amp; Big Baby Tape</v>
      </c>
      <c r="D274" s="10"/>
      <c r="E274" s="10" t="str">
        <f ca="1">IFERROR(__xludf.DUMMYFUNCTION("""COMPUTED_VALUE"""),"Rihanna")</f>
        <v>Rihanna</v>
      </c>
      <c r="F274" s="10"/>
      <c r="G274" s="10"/>
      <c r="H274" s="10"/>
      <c r="I274" s="10"/>
    </row>
    <row r="275" spans="1:9">
      <c r="A275" s="10" t="str">
        <f ca="1">IFERROR(__xludf.DUMMYFUNCTION("""COMPUTED_VALUE"""),"ВІА Кіп'яток")</f>
        <v>ВІА Кіп'яток</v>
      </c>
      <c r="B275" s="10"/>
      <c r="C275" s="10" t="str">
        <f ca="1">IFERROR(__xludf.DUMMYFUNCTION("""COMPUTED_VALUE"""),"MORGENSHTERN &amp; Aarne")</f>
        <v>MORGENSHTERN &amp; Aarne</v>
      </c>
      <c r="D275" s="10"/>
      <c r="E275" s="10" t="str">
        <f ca="1">IFERROR(__xludf.DUMMYFUNCTION("""COMPUTED_VALUE"""),"Ляпис Трубецкой")</f>
        <v>Ляпис Трубецкой</v>
      </c>
      <c r="F275" s="10"/>
      <c r="G275" s="10"/>
      <c r="H275" s="10"/>
      <c r="I275" s="10"/>
    </row>
    <row r="276" spans="1:9">
      <c r="A276" s="10" t="str">
        <f ca="1">IFERROR(__xludf.DUMMYFUNCTION("""COMPUTED_VALUE"""),"Volkanov")</f>
        <v>Volkanov</v>
      </c>
      <c r="B276" s="10"/>
      <c r="C276" s="10" t="str">
        <f ca="1">IFERROR(__xludf.DUMMYFUNCTION("""COMPUTED_VALUE"""),"Aarne &amp; OBLADAET")</f>
        <v>Aarne &amp; OBLADAET</v>
      </c>
      <c r="D276" s="10"/>
      <c r="E276" s="10"/>
      <c r="F276" s="10"/>
      <c r="G276" s="10"/>
      <c r="H276" s="10"/>
      <c r="I276" s="10"/>
    </row>
    <row r="277" spans="1:9">
      <c r="A277" s="10" t="str">
        <f ca="1">IFERROR(__xludf.DUMMYFUNCTION("""COMPUTED_VALUE"""),"Mirami")</f>
        <v>Mirami</v>
      </c>
      <c r="B277" s="10"/>
      <c r="C277" s="10" t="str">
        <f ca="1">IFERROR(__xludf.DUMMYFUNCTION("""COMPUTED_VALUE"""),"Aarne &amp; FEDUK")</f>
        <v>Aarne &amp; FEDUK</v>
      </c>
      <c r="D277" s="10"/>
      <c r="E277" s="10"/>
      <c r="F277" s="10"/>
      <c r="G277" s="10"/>
      <c r="H277" s="10"/>
      <c r="I277" s="10"/>
    </row>
    <row r="278" spans="1:9">
      <c r="A278" s="10" t="str">
        <f ca="1">IFERROR(__xludf.DUMMYFUNCTION("""COMPUTED_VALUE"""),"Latexfauna")</f>
        <v>Latexfauna</v>
      </c>
      <c r="B278" s="10"/>
      <c r="C278" s="10" t="str">
        <f ca="1">IFERROR(__xludf.DUMMYFUNCTION("""COMPUTED_VALUE"""),"Arut &amp; Big Baby Tape")</f>
        <v>Arut &amp; Big Baby Tape</v>
      </c>
      <c r="D278" s="10"/>
      <c r="E278" s="10"/>
      <c r="F278" s="10"/>
      <c r="G278" s="10"/>
      <c r="H278" s="10"/>
      <c r="I278" s="10"/>
    </row>
    <row r="279" spans="1:9">
      <c r="A279" s="10" t="str">
        <f ca="1">IFERROR(__xludf.DUMMYFUNCTION("""COMPUTED_VALUE"""),"alyona alyona &amp; Jerry Heil")</f>
        <v>alyona alyona &amp; Jerry Heil</v>
      </c>
      <c r="B279" s="10"/>
      <c r="C279" s="10" t="str">
        <f ca="1">IFERROR(__xludf.DUMMYFUNCTION("""COMPUTED_VALUE"""),"The Limba &amp; MORGENSHTERN")</f>
        <v>The Limba &amp; MORGENSHTERN</v>
      </c>
      <c r="D279" s="10"/>
      <c r="E279" s="10"/>
      <c r="F279" s="10"/>
      <c r="G279" s="10"/>
      <c r="H279" s="10"/>
      <c r="I279" s="10"/>
    </row>
    <row r="280" spans="1:9">
      <c r="A280" s="10" t="str">
        <f ca="1">IFERROR(__xludf.DUMMYFUNCTION("""COMPUTED_VALUE"""),"Макс Барських")</f>
        <v>Макс Барських</v>
      </c>
      <c r="B280" s="10"/>
      <c r="C280" s="10" t="str">
        <f ca="1">IFERROR(__xludf.DUMMYFUNCTION("""COMPUTED_VALUE"""),"Zivert &amp; LYRIQ")</f>
        <v>Zivert &amp; LYRIQ</v>
      </c>
      <c r="D280" s="10"/>
      <c r="E280" s="10"/>
      <c r="F280" s="10"/>
      <c r="G280" s="10"/>
      <c r="H280" s="10"/>
      <c r="I280" s="10"/>
    </row>
    <row r="281" spans="1:9">
      <c r="A281" s="10" t="str">
        <f ca="1">IFERROR(__xludf.DUMMYFUNCTION("""COMPUTED_VALUE"""),"Океан Ельзи")</f>
        <v>Океан Ельзи</v>
      </c>
      <c r="B281" s="10"/>
      <c r="C281" s="10" t="str">
        <f ca="1">IFERROR(__xludf.DUMMYFUNCTION("""COMPUTED_VALUE"""),"Zivert")</f>
        <v>Zivert</v>
      </c>
      <c r="D281" s="10"/>
      <c r="E281" s="10"/>
      <c r="F281" s="10"/>
      <c r="G281" s="10"/>
      <c r="H281" s="10"/>
      <c r="I281" s="10"/>
    </row>
    <row r="282" spans="1:9">
      <c r="A282" s="10" t="str">
        <f ca="1">IFERROR(__xludf.DUMMYFUNCTION("""COMPUTED_VALUE"""),"Океан Ельзи &amp; Один в каное")</f>
        <v>Океан Ельзи &amp; Один в каное</v>
      </c>
      <c r="B282" s="10"/>
      <c r="C282" s="10" t="str">
        <f ca="1">IFERROR(__xludf.DUMMYFUNCTION("""COMPUTED_VALUE"""),"LYRIQ")</f>
        <v>LYRIQ</v>
      </c>
      <c r="D282" s="10"/>
      <c r="E282" s="10"/>
      <c r="F282" s="10"/>
      <c r="G282" s="10"/>
      <c r="H282" s="10"/>
      <c r="I282" s="10"/>
    </row>
    <row r="283" spans="1:9">
      <c r="A283" s="10" t="str">
        <f ca="1">IFERROR(__xludf.DUMMYFUNCTION("""COMPUTED_VALUE"""),"Наталія Могилевська")</f>
        <v>Наталія Могилевська</v>
      </c>
      <c r="B283" s="10"/>
      <c r="C283" s="10" t="str">
        <f ca="1">IFERROR(__xludf.DUMMYFUNCTION("""COMPUTED_VALUE"""),"LSP &amp; MORGENSHTERN")</f>
        <v>LSP &amp; MORGENSHTERN</v>
      </c>
      <c r="D283" s="10"/>
      <c r="E283" s="10"/>
      <c r="F283" s="10"/>
      <c r="G283" s="10"/>
      <c r="H283" s="10"/>
      <c r="I283" s="10"/>
    </row>
    <row r="284" spans="1:9">
      <c r="A284" s="10" t="str">
        <f ca="1">IFERROR(__xludf.DUMMYFUNCTION("""COMPUTED_VALUE"""),"Lida Lee &amp; Ukranian United Artists")</f>
        <v>Lida Lee &amp; Ukranian United Artists</v>
      </c>
      <c r="B284" s="10"/>
      <c r="C284" s="10" t="str">
        <f ca="1">IFERROR(__xludf.DUMMYFUNCTION("""COMPUTED_VALUE"""),"BRANYA &amp; MACAN")</f>
        <v>BRANYA &amp; MACAN</v>
      </c>
      <c r="D284" s="10"/>
      <c r="E284" s="10"/>
      <c r="F284" s="10"/>
      <c r="G284" s="10"/>
      <c r="H284" s="10"/>
      <c r="I284" s="10"/>
    </row>
    <row r="285" spans="1:9">
      <c r="A285" s="10" t="str">
        <f ca="1">IFERROR(__xludf.DUMMYFUNCTION("""COMPUTED_VALUE"""),"Spiv Brativ")</f>
        <v>Spiv Brativ</v>
      </c>
      <c r="B285" s="10"/>
      <c r="C285" s="10" t="str">
        <f ca="1">IFERROR(__xludf.DUMMYFUNCTION("""COMPUTED_VALUE"""),"By Индия")</f>
        <v>By Индия</v>
      </c>
      <c r="D285" s="10"/>
      <c r="E285" s="10"/>
      <c r="F285" s="10"/>
      <c r="G285" s="10"/>
      <c r="H285" s="10"/>
      <c r="I285" s="10"/>
    </row>
    <row r="286" spans="1:9">
      <c r="A286" s="10" t="str">
        <f ca="1">IFERROR(__xludf.DUMMYFUNCTION("""COMPUTED_VALUE"""),"Eileen")</f>
        <v>Eileen</v>
      </c>
      <c r="B286" s="10"/>
      <c r="C286" s="10" t="str">
        <f ca="1">IFERROR(__xludf.DUMMYFUNCTION("""COMPUTED_VALUE"""),"Egor Kreed &amp; MakSim")</f>
        <v>Egor Kreed &amp; MakSim</v>
      </c>
      <c r="D286" s="10"/>
      <c r="E286" s="10"/>
      <c r="F286" s="10"/>
      <c r="G286" s="10"/>
      <c r="H286" s="10"/>
      <c r="I286" s="10"/>
    </row>
    <row r="287" spans="1:9">
      <c r="A287" s="10" t="str">
        <f ca="1">IFERROR(__xludf.DUMMYFUNCTION("""COMPUTED_VALUE"""),"Kozak System")</f>
        <v>Kozak System</v>
      </c>
      <c r="B287" s="10"/>
      <c r="C287" s="10" t="str">
        <f ca="1">IFERROR(__xludf.DUMMYFUNCTION("""COMPUTED_VALUE"""),"ФОГЕЛЬ")</f>
        <v>ФОГЕЛЬ</v>
      </c>
      <c r="D287" s="10"/>
      <c r="E287" s="10"/>
      <c r="F287" s="10"/>
      <c r="G287" s="10"/>
      <c r="H287" s="10"/>
      <c r="I287" s="10"/>
    </row>
    <row r="288" spans="1:9">
      <c r="A288" s="10" t="str">
        <f ca="1">IFERROR(__xludf.DUMMYFUNCTION("""COMPUTED_VALUE""")," Ірина Білик")</f>
        <v xml:space="preserve"> Ірина Білик</v>
      </c>
      <c r="B288" s="10"/>
      <c r="C288" s="10" t="str">
        <f ca="1">IFERROR(__xludf.DUMMYFUNCTION("""COMPUTED_VALUE"""),"МОТ")</f>
        <v>МОТ</v>
      </c>
      <c r="D288" s="10"/>
      <c r="E288" s="10"/>
      <c r="F288" s="10"/>
      <c r="G288" s="10"/>
      <c r="H288" s="10"/>
      <c r="I288" s="10"/>
    </row>
    <row r="289" spans="1:9">
      <c r="A289" s="10" t="str">
        <f ca="1">IFERROR(__xludf.DUMMYFUNCTION("""COMPUTED_VALUE"""),"Bakun")</f>
        <v>Bakun</v>
      </c>
      <c r="B289" s="10"/>
      <c r="C289" s="10" t="str">
        <f ca="1">IFERROR(__xludf.DUMMYFUNCTION("""COMPUTED_VALUE"""),"10AGE &amp; Ramil'")</f>
        <v>10AGE &amp; Ramil'</v>
      </c>
      <c r="D289" s="10"/>
      <c r="E289" s="10"/>
      <c r="F289" s="10"/>
      <c r="G289" s="10"/>
      <c r="H289" s="10"/>
      <c r="I289" s="10"/>
    </row>
    <row r="290" spans="1:9">
      <c r="A290" s="10" t="str">
        <f ca="1">IFERROR(__xludf.DUMMYFUNCTION("""COMPUTED_VALUE"""),"TOLOKA")</f>
        <v>TOLOKA</v>
      </c>
      <c r="B290" s="10"/>
      <c r="C290" s="10" t="str">
        <f ca="1">IFERROR(__xludf.DUMMYFUNCTION("""COMPUTED_VALUE"""),"HammAli &amp; Эллаи")</f>
        <v>HammAli &amp; Эллаи</v>
      </c>
      <c r="D290" s="10"/>
      <c r="E290" s="10"/>
      <c r="F290" s="10"/>
      <c r="G290" s="10"/>
      <c r="H290" s="10"/>
      <c r="I290" s="10"/>
    </row>
    <row r="291" spans="1:9">
      <c r="A291" s="10" t="str">
        <f ca="1">IFERROR(__xludf.DUMMYFUNCTION("""COMPUTED_VALUE"""),"Друга Ріка")</f>
        <v>Друга Ріка</v>
      </c>
      <c r="B291" s="10"/>
      <c r="C291" s="10" t="str">
        <f ca="1">IFERROR(__xludf.DUMMYFUNCTION("""COMPUTED_VALUE"""),"Ramil' &amp; MACAN")</f>
        <v>Ramil' &amp; MACAN</v>
      </c>
      <c r="D291" s="10"/>
      <c r="E291" s="10"/>
      <c r="F291" s="10"/>
      <c r="G291" s="10"/>
      <c r="H291" s="10"/>
      <c r="I291" s="10"/>
    </row>
    <row r="292" spans="1:9">
      <c r="A292" s="10" t="str">
        <f ca="1">IFERROR(__xludf.DUMMYFUNCTION("""COMPUTED_VALUE"""),"Тіна Кароль &amp; Юлія Саніна")</f>
        <v>Тіна Кароль &amp; Юлія Саніна</v>
      </c>
      <c r="B292" s="10"/>
      <c r="C292" s="10" t="str">
        <f ca="1">IFERROR(__xludf.DUMMYFUNCTION("""COMPUTED_VALUE"""),"Jakomo &amp; A.V.G")</f>
        <v>Jakomo &amp; A.V.G</v>
      </c>
      <c r="D292" s="10"/>
      <c r="E292" s="10"/>
      <c r="F292" s="10"/>
      <c r="G292" s="10"/>
      <c r="H292" s="10"/>
      <c r="I292" s="10"/>
    </row>
    <row r="293" spans="1:9">
      <c r="A293" s="10" t="str">
        <f ca="1">IFERROR(__xludf.DUMMYFUNCTION("""COMPUTED_VALUE"""),"Артем Пивоваров &amp; Злата Огнєвіч")</f>
        <v>Артем Пивоваров &amp; Злата Огнєвіч</v>
      </c>
      <c r="B293" s="10"/>
      <c r="C293" s="10" t="str">
        <f ca="1">IFERROR(__xludf.DUMMYFUNCTION("""COMPUTED_VALUE"""),"OG Buda &amp; Dora")</f>
        <v>OG Buda &amp; Dora</v>
      </c>
      <c r="D293" s="10"/>
      <c r="E293" s="10"/>
      <c r="F293" s="10"/>
      <c r="G293" s="10"/>
      <c r="H293" s="10"/>
      <c r="I293" s="10"/>
    </row>
    <row r="294" spans="1:9">
      <c r="A294" s="10" t="str">
        <f ca="1">IFERROR(__xludf.DUMMYFUNCTION("""COMPUTED_VALUE"""),"Приходько Анастасія Костянтинівна")</f>
        <v>Приходько Анастасія Костянтинівна</v>
      </c>
      <c r="B294" s="10"/>
      <c r="C294" s="10" t="str">
        <f ca="1">IFERROR(__xludf.DUMMYFUNCTION("""COMPUTED_VALUE"""),"Big Baby Tape &amp; Молодой Платон")</f>
        <v>Big Baby Tape &amp; Молодой Платон</v>
      </c>
      <c r="D294" s="10"/>
      <c r="E294" s="10"/>
      <c r="F294" s="10"/>
      <c r="G294" s="10"/>
      <c r="H294" s="10"/>
      <c r="I294" s="10"/>
    </row>
    <row r="295" spans="1:9">
      <c r="A295" s="10" t="str">
        <f ca="1">IFERROR(__xludf.DUMMYFUNCTION("""COMPUTED_VALUE"""),"БЕЗ ОБМЕЖЕНЬ")</f>
        <v>БЕЗ ОБМЕЖЕНЬ</v>
      </c>
      <c r="B295" s="10"/>
      <c r="C295" s="10" t="str">
        <f ca="1">IFERROR(__xludf.DUMMYFUNCTION("""COMPUTED_VALUE"""),"Scally Milano &amp; OG Buda")</f>
        <v>Scally Milano &amp; OG Buda</v>
      </c>
      <c r="D295" s="10"/>
      <c r="E295" s="10"/>
      <c r="F295" s="10"/>
      <c r="G295" s="10"/>
      <c r="H295" s="10"/>
      <c r="I295" s="10"/>
    </row>
    <row r="296" spans="1:9">
      <c r="A296" s="10" t="str">
        <f ca="1">IFERROR(__xludf.DUMMYFUNCTION("""COMPUTED_VALUE"""),"YAKTAK &amp; Jerry Heil")</f>
        <v>YAKTAK &amp; Jerry Heil</v>
      </c>
      <c r="B296" s="10"/>
      <c r="C296" s="10" t="str">
        <f ca="1">IFERROR(__xludf.DUMMYFUNCTION("""COMPUTED_VALUE"""),"SHAMI")</f>
        <v>SHAMI</v>
      </c>
      <c r="D296" s="10"/>
      <c r="E296" s="10"/>
      <c r="F296" s="10"/>
      <c r="G296" s="10"/>
      <c r="H296" s="10"/>
      <c r="I296" s="10"/>
    </row>
    <row r="297" spans="1:9">
      <c r="A297" s="10" t="str">
        <f ca="1">IFERROR(__xludf.DUMMYFUNCTION("""COMPUTED_VALUE"""),"Zinchenko")</f>
        <v>Zinchenko</v>
      </c>
      <c r="B297" s="10"/>
      <c r="C297" s="10" t="str">
        <f ca="1">IFERROR(__xludf.DUMMYFUNCTION("""COMPUTED_VALUE"""),"Guf")</f>
        <v>Guf</v>
      </c>
      <c r="D297" s="10"/>
      <c r="E297" s="10"/>
      <c r="F297" s="10"/>
      <c r="G297" s="10"/>
      <c r="H297" s="10"/>
      <c r="I297" s="10"/>
    </row>
    <row r="298" spans="1:9">
      <c r="A298" s="10" t="str">
        <f ca="1">IFERROR(__xludf.DUMMYFUNCTION("""COMPUTED_VALUE"""),"Награш band")</f>
        <v>Награш band</v>
      </c>
      <c r="B298" s="10"/>
      <c r="C298" s="10" t="str">
        <f ca="1">IFERROR(__xludf.DUMMYFUNCTION("""COMPUTED_VALUE"""),"HammAli &amp; Navai &amp; Jah Khalib")</f>
        <v>HammAli &amp; Navai &amp; Jah Khalib</v>
      </c>
      <c r="D298" s="10"/>
      <c r="E298" s="10"/>
      <c r="F298" s="10"/>
      <c r="G298" s="10"/>
      <c r="H298" s="10"/>
      <c r="I298" s="10"/>
    </row>
    <row r="299" spans="1:9">
      <c r="A299" s="10" t="str">
        <f ca="1">IFERROR(__xludf.DUMMYFUNCTION("""COMPUTED_VALUE"""),"Діти Фрістайла")</f>
        <v>Діти Фрістайла</v>
      </c>
      <c r="B299" s="10"/>
      <c r="C299" s="10" t="str">
        <f ca="1">IFERROR(__xludf.DUMMYFUNCTION("""COMPUTED_VALUE"""),"JONY &amp; HammAli")</f>
        <v>JONY &amp; HammAli</v>
      </c>
      <c r="D299" s="10"/>
      <c r="E299" s="10"/>
      <c r="F299" s="10"/>
      <c r="G299" s="10"/>
      <c r="H299" s="10"/>
      <c r="I299" s="10"/>
    </row>
    <row r="300" spans="1:9">
      <c r="A300" s="10" t="str">
        <f ca="1">IFERROR(__xludf.DUMMYFUNCTION("""COMPUTED_VALUE"""),"Nick de Grand")</f>
        <v>Nick de Grand</v>
      </c>
      <c r="B300" s="10"/>
      <c r="C300" s="10" t="str">
        <f ca="1">IFERROR(__xludf.DUMMYFUNCTION("""COMPUTED_VALUE"""),"Olga Seryabkina")</f>
        <v>Olga Seryabkina</v>
      </c>
      <c r="D300" s="10"/>
      <c r="E300" s="10"/>
      <c r="F300" s="10"/>
      <c r="G300" s="10"/>
      <c r="H300" s="10"/>
      <c r="I300" s="10"/>
    </row>
    <row r="301" spans="1:9">
      <c r="A301" s="10" t="str">
        <f ca="1">IFERROR(__xludf.DUMMYFUNCTION("""COMPUTED_VALUE"""),"Василь Мельникович")</f>
        <v>Василь Мельникович</v>
      </c>
      <c r="B301" s="10"/>
      <c r="C301" s="10" t="str">
        <f ca="1">IFERROR(__xludf.DUMMYFUNCTION("""COMPUTED_VALUE"""),"HammAli &amp; Navai &amp; MACAN")</f>
        <v>HammAli &amp; Navai &amp; MACAN</v>
      </c>
      <c r="D301" s="10"/>
      <c r="E301" s="10"/>
      <c r="F301" s="10"/>
      <c r="G301" s="10"/>
      <c r="H301" s="10"/>
      <c r="I301" s="10"/>
    </row>
    <row r="302" spans="1:9">
      <c r="A302" s="10" t="str">
        <f ca="1">IFERROR(__xludf.DUMMYFUNCTION("""COMPUTED_VALUE"""),"Юлія Думанська")</f>
        <v>Юлія Думанська</v>
      </c>
      <c r="B302" s="10"/>
      <c r="C302" s="10" t="str">
        <f ca="1">IFERROR(__xludf.DUMMYFUNCTION("""COMPUTED_VALUE"""),"Артём Качер")</f>
        <v>Артём Качер</v>
      </c>
      <c r="D302" s="10"/>
      <c r="E302" s="10"/>
      <c r="F302" s="10"/>
      <c r="G302" s="10"/>
      <c r="H302" s="10"/>
      <c r="I302" s="10"/>
    </row>
    <row r="303" spans="1:9">
      <c r="A303" s="10" t="str">
        <f ca="1">IFERROR(__xludf.DUMMYFUNCTION("""COMPUTED_VALUE"""),"Maks Shoom")</f>
        <v>Maks Shoom</v>
      </c>
      <c r="B303" s="10"/>
      <c r="C303" s="10" t="str">
        <f ca="1">IFERROR(__xludf.DUMMYFUNCTION("""COMPUTED_VALUE"""),"Jakomo &amp; A.V.G.")</f>
        <v>Jakomo &amp; A.V.G.</v>
      </c>
      <c r="D303" s="10"/>
      <c r="E303" s="10"/>
      <c r="F303" s="10"/>
      <c r="G303" s="10"/>
      <c r="H303" s="10"/>
      <c r="I303" s="10"/>
    </row>
    <row r="304" spans="1:9">
      <c r="A304" s="10" t="str">
        <f ca="1">IFERROR(__xludf.DUMMYFUNCTION("""COMPUTED_VALUE"""),"Пирятин")</f>
        <v>Пирятин</v>
      </c>
      <c r="B304" s="10"/>
      <c r="C304" s="10" t="str">
        <f ca="1">IFERROR(__xludf.DUMMYFUNCTION("""COMPUTED_VALUE"""),"Скриптонит")</f>
        <v>Скриптонит</v>
      </c>
      <c r="D304" s="10"/>
      <c r="E304" s="10"/>
      <c r="F304" s="10"/>
      <c r="G304" s="10"/>
      <c r="H304" s="10"/>
      <c r="I304" s="10"/>
    </row>
    <row r="305" spans="1:9">
      <c r="A305" s="10" t="str">
        <f ca="1">IFERROR(__xludf.DUMMYFUNCTION("""COMPUTED_VALUE"""),"Дима Коляденко")</f>
        <v>Дима Коляденко</v>
      </c>
      <c r="B305" s="10"/>
      <c r="C305" s="10" t="str">
        <f ca="1">IFERROR(__xludf.DUMMYFUNCTION("""COMPUTED_VALUE"""),"NЮ &amp; kavabanga Depo kolibri")</f>
        <v>NЮ &amp; kavabanga Depo kolibri</v>
      </c>
      <c r="D305" s="10"/>
      <c r="E305" s="10"/>
      <c r="F305" s="10"/>
      <c r="G305" s="10"/>
      <c r="H305" s="10"/>
      <c r="I305" s="10"/>
    </row>
    <row r="306" spans="1:9">
      <c r="A306" s="10" t="str">
        <f ca="1">IFERROR(__xludf.DUMMYFUNCTION("""COMPUTED_VALUE"""),"Slyzexx")</f>
        <v>Slyzexx</v>
      </c>
      <c r="B306" s="10"/>
      <c r="C306" s="10" t="str">
        <f ca="1">IFERROR(__xludf.DUMMYFUNCTION("""COMPUTED_VALUE"""),"163ONMYNECK &amp; OG Buda")</f>
        <v>163ONMYNECK &amp; OG Buda</v>
      </c>
      <c r="D306" s="10"/>
      <c r="E306" s="10"/>
      <c r="F306" s="10"/>
      <c r="G306" s="10"/>
      <c r="H306" s="10"/>
      <c r="I306" s="10"/>
    </row>
    <row r="307" spans="1:9">
      <c r="A307" s="10" t="str">
        <f ca="1">IFERROR(__xludf.DUMMYFUNCTION("""COMPUTED_VALUE"""),"Наталя Бунь")</f>
        <v>Наталя Бунь</v>
      </c>
      <c r="B307" s="10"/>
      <c r="C307" s="10" t="str">
        <f ca="1">IFERROR(__xludf.DUMMYFUNCTION("""COMPUTED_VALUE"""),"Джарахов &amp; Markul")</f>
        <v>Джарахов &amp; Markul</v>
      </c>
      <c r="D307" s="10"/>
      <c r="E307" s="10"/>
      <c r="F307" s="10"/>
      <c r="G307" s="10"/>
      <c r="H307" s="10"/>
      <c r="I307" s="10"/>
    </row>
    <row r="308" spans="1:9">
      <c r="A308" s="10" t="str">
        <f ca="1">IFERROR(__xludf.DUMMYFUNCTION("""COMPUTED_VALUE"""),"Володимир Дантес")</f>
        <v>Володимир Дантес</v>
      </c>
      <c r="B308" s="10"/>
      <c r="C308" s="10" t="str">
        <f ca="1">IFERROR(__xludf.DUMMYFUNCTION("""COMPUTED_VALUE"""),"Basta")</f>
        <v>Basta</v>
      </c>
      <c r="D308" s="10"/>
      <c r="E308" s="10"/>
      <c r="F308" s="10"/>
      <c r="G308" s="10"/>
      <c r="H308" s="10"/>
      <c r="I308" s="10"/>
    </row>
    <row r="309" spans="1:9">
      <c r="A309" s="10" t="str">
        <f ca="1">IFERROR(__xludf.DUMMYFUNCTION("""COMPUTED_VALUE"""),"Jalsomino")</f>
        <v>Jalsomino</v>
      </c>
      <c r="B309" s="10"/>
      <c r="C309" s="10" t="str">
        <f ca="1">IFERROR(__xludf.DUMMYFUNCTION("""COMPUTED_VALUE"""),"KOSMONAVTOV NET")</f>
        <v>KOSMONAVTOV NET</v>
      </c>
      <c r="D309" s="10"/>
      <c r="E309" s="10"/>
      <c r="F309" s="10"/>
      <c r="G309" s="10"/>
      <c r="H309" s="10"/>
      <c r="I309" s="10"/>
    </row>
    <row r="310" spans="1:9">
      <c r="A310" s="10" t="str">
        <f ca="1">IFERROR(__xludf.DUMMYFUNCTION("""COMPUTED_VALUE"""),"Спів Братів")</f>
        <v>Спів Братів</v>
      </c>
      <c r="B310" s="10"/>
      <c r="C310" s="10" t="str">
        <f ca="1">IFERROR(__xludf.DUMMYFUNCTION("""COMPUTED_VALUE"""),"Джарахов")</f>
        <v>Джарахов</v>
      </c>
      <c r="D310" s="10"/>
      <c r="E310" s="10"/>
      <c r="F310" s="10"/>
      <c r="G310" s="10"/>
      <c r="H310" s="10"/>
      <c r="I310" s="10"/>
    </row>
    <row r="311" spans="1:9">
      <c r="A311" s="10" t="str">
        <f ca="1">IFERROR(__xludf.DUMMYFUNCTION("""COMPUTED_VALUE"""),"Ірина Федишин &amp; Євген Хмара")</f>
        <v>Ірина Федишин &amp; Євген Хмара</v>
      </c>
      <c r="B311" s="10"/>
      <c r="C311" s="10" t="str">
        <f ca="1">IFERROR(__xludf.DUMMYFUNCTION("""COMPUTED_VALUE"""),"escape")</f>
        <v>escape</v>
      </c>
      <c r="D311" s="10"/>
      <c r="E311" s="10"/>
      <c r="F311" s="10"/>
      <c r="G311" s="10"/>
      <c r="H311" s="10"/>
      <c r="I311" s="10"/>
    </row>
    <row r="312" spans="1:9">
      <c r="A312" s="10" t="str">
        <f ca="1">IFERROR(__xludf.DUMMYFUNCTION("""COMPUTED_VALUE"""),"Romax")</f>
        <v>Romax</v>
      </c>
      <c r="B312" s="10"/>
      <c r="C312" s="10" t="str">
        <f ca="1">IFERROR(__xludf.DUMMYFUNCTION("""COMPUTED_VALUE"""),"Mari Kraymbreri")</f>
        <v>Mari Kraymbreri</v>
      </c>
      <c r="D312" s="10"/>
      <c r="E312" s="10"/>
      <c r="F312" s="10"/>
      <c r="G312" s="10"/>
      <c r="H312" s="10"/>
      <c r="I312" s="10"/>
    </row>
    <row r="313" spans="1:9">
      <c r="A313" s="10" t="str">
        <f ca="1">IFERROR(__xludf.DUMMYFUNCTION("""COMPUTED_VALUE"""),"Олександр Кварта")</f>
        <v>Олександр Кварта</v>
      </c>
      <c r="B313" s="10"/>
      <c r="C313" s="10" t="str">
        <f ca="1">IFERROR(__xludf.DUMMYFUNCTION("""COMPUTED_VALUE"""),"Ramil'")</f>
        <v>Ramil'</v>
      </c>
      <c r="D313" s="10"/>
      <c r="E313" s="10"/>
      <c r="F313" s="10"/>
      <c r="G313" s="10"/>
      <c r="H313" s="10"/>
      <c r="I313" s="10"/>
    </row>
    <row r="314" spans="1:9">
      <c r="A314" s="10" t="str">
        <f ca="1">IFERROR(__xludf.DUMMYFUNCTION("""COMPUTED_VALUE"""),"ЛАУД")</f>
        <v>ЛАУД</v>
      </c>
      <c r="B314" s="10"/>
      <c r="C314" s="10" t="str">
        <f ca="1">IFERROR(__xludf.DUMMYFUNCTION("""COMPUTED_VALUE"""),"Bittuev")</f>
        <v>Bittuev</v>
      </c>
      <c r="D314" s="10"/>
      <c r="E314" s="10"/>
      <c r="F314" s="10"/>
      <c r="G314" s="10"/>
      <c r="H314" s="10"/>
      <c r="I314" s="10"/>
    </row>
    <row r="315" spans="1:9">
      <c r="A315" s="10" t="str">
        <f ca="1">IFERROR(__xludf.DUMMYFUNCTION("""COMPUTED_VALUE"""),"Віктор Франкович Павлік")</f>
        <v>Віктор Франкович Павлік</v>
      </c>
      <c r="B315" s="10"/>
      <c r="C315" s="10" t="str">
        <f ca="1">IFERROR(__xludf.DUMMYFUNCTION("""COMPUTED_VALUE"""),"GaoDagamo &amp; NeSvyat")</f>
        <v>GaoDagamo &amp; NeSvyat</v>
      </c>
      <c r="D315" s="10"/>
      <c r="E315" s="10"/>
      <c r="F315" s="10"/>
      <c r="G315" s="10"/>
      <c r="H315" s="10"/>
      <c r="I315" s="10"/>
    </row>
    <row r="316" spans="1:9">
      <c r="A316" s="10" t="str">
        <f ca="1">IFERROR(__xludf.DUMMYFUNCTION("""COMPUTED_VALUE"""),"Дмитро Яремчук, Михайло Грицкан, Віктор Франкович Павлік, Іво Бобул, Оксана Білозір,  Ірина Білик, Aurica Rotaru, Ірина Зінковська, Катерина Бужинська, Павло Зібров, Назарій ЯРЕМЧУК молодший, Петро Чорний, --, Оксана Пекун, Тетяна Піскарьова, Ольга СУМСЬК"&amp;"А, Наталія Бучинська, Гарік Кричевський &amp; Володимир Будейчук")</f>
        <v>Дмитро Яремчук, Михайло Грицкан, Віктор Франкович Павлік, Іво Бобул, Оксана Білозір,  Ірина Білик, Aurica Rotaru, Ірина Зінковська, Катерина Бужинська, Павло Зібров, Назарій ЯРЕМЧУК молодший, Петро Чорний, --, Оксана Пекун, Тетяна Піскарьова, Ольга СУМСЬКА, Наталія Бучинська, Гарік Кричевський &amp; Володимир Будейчук</v>
      </c>
      <c r="B316" s="10"/>
      <c r="C316" s="10" t="str">
        <f ca="1">IFERROR(__xludf.DUMMYFUNCTION("""COMPUTED_VALUE"""),"DJ SMASH &amp; Poёt")</f>
        <v>DJ SMASH &amp; Poёt</v>
      </c>
      <c r="D316" s="10"/>
      <c r="E316" s="10"/>
      <c r="F316" s="10"/>
      <c r="G316" s="10"/>
      <c r="H316" s="10"/>
      <c r="I316" s="10"/>
    </row>
    <row r="317" spans="1:9">
      <c r="A317" s="10" t="str">
        <f ca="1">IFERROR(__xludf.DUMMYFUNCTION("""COMPUTED_VALUE"""),"Дмитро Яремчук, Михайло Грицкан, Віктор Франкович Павлік, Іво Бобул, Оксана Білозір,  Ірина Білик, Aurica Rotaru, Ірина Зінковська, Катерина Бужинська, Павло Зібров, Назарій ЯРЕМЧУК молодший, Петро Чорний, --, Оксана Пекун, Тетяна Піскарьова, Ольга СУМСЬК"&amp;"А, Наталія Бучинська, Гарік Кричевський")</f>
        <v>Дмитро Яремчук, Михайло Грицкан, Віктор Франкович Павлік, Іво Бобул, Оксана Білозір,  Ірина Білик, Aurica Rotaru, Ірина Зінковська, Катерина Бужинська, Павло Зібров, Назарій ЯРЕМЧУК молодший, Петро Чорний, --, Оксана Пекун, Тетяна Піскарьова, Ольга СУМСЬКА, Наталія Бучинська, Гарік Кричевський</v>
      </c>
      <c r="B317" s="10"/>
      <c r="C317" s="10" t="str">
        <f ca="1">IFERROR(__xludf.DUMMYFUNCTION("""COMPUTED_VALUE"""),"Guf &amp; Murovei")</f>
        <v>Guf &amp; Murovei</v>
      </c>
      <c r="D317" s="10"/>
      <c r="E317" s="10"/>
      <c r="F317" s="10"/>
      <c r="G317" s="10"/>
      <c r="H317" s="10"/>
      <c r="I317" s="10"/>
    </row>
    <row r="318" spans="1:9">
      <c r="A318" s="10" t="str">
        <f ca="1">IFERROR(__xludf.DUMMYFUNCTION("""COMPUTED_VALUE"""),"Дмитро Яремчук")</f>
        <v>Дмитро Яремчук</v>
      </c>
      <c r="B318" s="10"/>
      <c r="C318" s="10" t="str">
        <f ca="1">IFERROR(__xludf.DUMMYFUNCTION("""COMPUTED_VALUE"""),"Kristina Si")</f>
        <v>Kristina Si</v>
      </c>
      <c r="D318" s="10"/>
      <c r="E318" s="10"/>
      <c r="F318" s="10"/>
      <c r="G318" s="10"/>
      <c r="H318" s="10"/>
      <c r="I318" s="10"/>
    </row>
    <row r="319" spans="1:9">
      <c r="A319" s="10" t="str">
        <f ca="1">IFERROR(__xludf.DUMMYFUNCTION("""COMPUTED_VALUE"""),"Оля Полякова &amp; Олег Винник")</f>
        <v>Оля Полякова &amp; Олег Винник</v>
      </c>
      <c r="B319" s="10"/>
      <c r="C319" s="10" t="str">
        <f ca="1">IFERROR(__xludf.DUMMYFUNCTION("""COMPUTED_VALUE"""),"Mumiy Troll &amp; Даня Милохин")</f>
        <v>Mumiy Troll &amp; Даня Милохин</v>
      </c>
      <c r="D319" s="10"/>
      <c r="E319" s="10"/>
      <c r="F319" s="10"/>
      <c r="G319" s="10"/>
      <c r="H319" s="10"/>
      <c r="I319" s="10"/>
    </row>
    <row r="320" spans="1:9">
      <c r="A320" s="10" t="str">
        <f ca="1">IFERROR(__xludf.DUMMYFUNCTION("""COMPUTED_VALUE"""),"Воплі Відоплясова")</f>
        <v>Воплі Відоплясова</v>
      </c>
      <c r="B320" s="10"/>
      <c r="C320" s="10" t="str">
        <f ca="1">IFERROR(__xludf.DUMMYFUNCTION("""COMPUTED_VALUE"""),"Султан Лагучев")</f>
        <v>Султан Лагучев</v>
      </c>
      <c r="D320" s="10"/>
      <c r="E320" s="10"/>
      <c r="F320" s="10"/>
      <c r="G320" s="10"/>
      <c r="H320" s="10"/>
      <c r="I320" s="10"/>
    </row>
    <row r="321" spans="1:9">
      <c r="A321" s="10" t="str">
        <f ca="1">IFERROR(__xludf.DUMMYFUNCTION("""COMPUTED_VALUE"""),"Natalia Falion &amp; Lisapetniy Batalyon (Лісапетний Батальйон)")</f>
        <v>Natalia Falion &amp; Lisapetniy Batalyon (Лісапетний Батальйон)</v>
      </c>
      <c r="B321" s="10"/>
      <c r="C321" s="10" t="str">
        <f ca="1">IFERROR(__xludf.DUMMYFUNCTION("""COMPUTED_VALUE"""),"FEDUK")</f>
        <v>FEDUK</v>
      </c>
      <c r="D321" s="10"/>
      <c r="E321" s="10"/>
      <c r="F321" s="10"/>
      <c r="G321" s="10"/>
      <c r="H321" s="10"/>
      <c r="I321" s="10"/>
    </row>
    <row r="322" spans="1:9">
      <c r="A322" s="10" t="str">
        <f ca="1">IFERROR(__xludf.DUMMYFUNCTION("""COMPUTED_VALUE""")," Мотор'Ролла")</f>
        <v xml:space="preserve"> Мотор'Ролла</v>
      </c>
      <c r="B322" s="10"/>
      <c r="C322" s="10" t="str">
        <f ca="1">IFERROR(__xludf.DUMMYFUNCTION("""COMPUTED_VALUE"""),"dora &amp; МЭЙБИ БЭЙБИ")</f>
        <v>dora &amp; МЭЙБИ БЭЙБИ</v>
      </c>
      <c r="D322" s="10"/>
      <c r="E322" s="10"/>
      <c r="F322" s="10"/>
      <c r="G322" s="10"/>
      <c r="H322" s="10"/>
      <c r="I322" s="10"/>
    </row>
    <row r="323" spans="1:9">
      <c r="A323" s="10" t="str">
        <f ca="1">IFERROR(__xludf.DUMMYFUNCTION("""COMPUTED_VALUE"""),"Святослав Вакарчук")</f>
        <v>Святослав Вакарчук</v>
      </c>
      <c r="B323" s="10"/>
      <c r="C323" s="10" t="str">
        <f ca="1">IFERROR(__xludf.DUMMYFUNCTION("""COMPUTED_VALUE"""),"Ramil' &amp; Rompasso")</f>
        <v>Ramil' &amp; Rompasso</v>
      </c>
      <c r="D323" s="10"/>
      <c r="E323" s="10"/>
      <c r="F323" s="10"/>
      <c r="G323" s="10"/>
      <c r="H323" s="10"/>
      <c r="I323" s="10"/>
    </row>
    <row r="324" spans="1:9">
      <c r="A324" s="10" t="str">
        <f ca="1">IFERROR(__xludf.DUMMYFUNCTION("""COMPUTED_VALUE"""),"Сергій Бабкін")</f>
        <v>Сергій Бабкін</v>
      </c>
      <c r="B324" s="10"/>
      <c r="C324" s="10" t="str">
        <f ca="1">IFERROR(__xludf.DUMMYFUNCTION("""COMPUTED_VALUE"""),"Chris Yank")</f>
        <v>Chris Yank</v>
      </c>
      <c r="D324" s="10"/>
      <c r="E324" s="10"/>
      <c r="F324" s="10"/>
      <c r="G324" s="10"/>
      <c r="H324" s="10"/>
      <c r="I324" s="10"/>
    </row>
    <row r="325" spans="1:9">
      <c r="A325" s="10" t="str">
        <f ca="1">IFERROR(__xludf.DUMMYFUNCTION("""COMPUTED_VALUE"""),"Тнмк")</f>
        <v>Тнмк</v>
      </c>
      <c r="B325" s="10"/>
      <c r="C325" s="10" t="str">
        <f ca="1">IFERROR(__xludf.DUMMYFUNCTION("""COMPUTED_VALUE"""),"FACE")</f>
        <v>FACE</v>
      </c>
      <c r="D325" s="10"/>
      <c r="E325" s="10"/>
      <c r="F325" s="10"/>
      <c r="G325" s="10"/>
      <c r="H325" s="10"/>
      <c r="I325" s="10"/>
    </row>
    <row r="326" spans="1:9">
      <c r="A326" s="10" t="str">
        <f ca="1">IFERROR(__xludf.DUMMYFUNCTION("""COMPUTED_VALUE"""),"Віталій Білоножко (Молодший)")</f>
        <v>Віталій Білоножко (Молодший)</v>
      </c>
      <c r="B326" s="10"/>
      <c r="C326" s="10" t="str">
        <f ca="1">IFERROR(__xludf.DUMMYFUNCTION("""COMPUTED_VALUE"""),"Arthur Pirozhkov &amp; Klava Koka")</f>
        <v>Arthur Pirozhkov &amp; Klava Koka</v>
      </c>
      <c r="D326" s="10"/>
      <c r="E326" s="10"/>
      <c r="F326" s="10"/>
      <c r="G326" s="10"/>
      <c r="H326" s="10"/>
      <c r="I326" s="10"/>
    </row>
    <row r="327" spans="1:9">
      <c r="A327" s="10" t="str">
        <f ca="1">IFERROR(__xludf.DUMMYFUNCTION("""COMPUTED_VALUE"""),"Святослав Вакарчук &amp; --")</f>
        <v>Святослав Вакарчук &amp; --</v>
      </c>
      <c r="B327" s="10"/>
      <c r="C327" s="10" t="str">
        <f ca="1">IFERROR(__xludf.DUMMYFUNCTION("""COMPUTED_VALUE"""),"OG Buda &amp; MAYOT")</f>
        <v>OG Buda &amp; MAYOT</v>
      </c>
      <c r="D327" s="10"/>
      <c r="E327" s="10"/>
      <c r="F327" s="10"/>
      <c r="G327" s="10"/>
      <c r="H327" s="10"/>
      <c r="I327" s="10"/>
    </row>
    <row r="328" spans="1:9">
      <c r="A328" s="10" t="str">
        <f ca="1">IFERROR(__xludf.DUMMYFUNCTION("""COMPUTED_VALUE"""),"Артем Пивоваров &amp; KALUSH")</f>
        <v>Артем Пивоваров &amp; KALUSH</v>
      </c>
      <c r="B328" s="10"/>
      <c r="C328" s="10" t="str">
        <f ca="1">IFERROR(__xludf.DUMMYFUNCTION("""COMPUTED_VALUE"""),"MUJEVA")</f>
        <v>MUJEVA</v>
      </c>
      <c r="D328" s="10"/>
      <c r="E328" s="10"/>
      <c r="F328" s="10"/>
      <c r="G328" s="10"/>
      <c r="H328" s="10"/>
      <c r="I328" s="10"/>
    </row>
    <row r="329" spans="1:9">
      <c r="A329" s="10" t="str">
        <f ca="1">IFERROR(__xludf.DUMMYFUNCTION("""COMPUTED_VALUE"""),"Артем Пивоваров &amp; KALUSH")</f>
        <v>Артем Пивоваров &amp; KALUSH</v>
      </c>
      <c r="B329" s="10"/>
      <c r="C329" s="10" t="str">
        <f ca="1">IFERROR(__xludf.DUMMYFUNCTION("""COMPUTED_VALUE"""),"Lolita &amp; Costa Lacoste")</f>
        <v>Lolita &amp; Costa Lacoste</v>
      </c>
      <c r="D329" s="10"/>
      <c r="E329" s="10"/>
      <c r="F329" s="10"/>
      <c r="G329" s="10"/>
      <c r="H329" s="10"/>
      <c r="I329" s="10"/>
    </row>
    <row r="330" spans="1:9">
      <c r="A330" s="10" t="str">
        <f ca="1">IFERROR(__xludf.DUMMYFUNCTION("""COMPUTED_VALUE"""),"Назарій Яремчук &amp; Дмитро Яремчук")</f>
        <v>Назарій Яремчук &amp; Дмитро Яремчук</v>
      </c>
      <c r="B330" s="10"/>
      <c r="C330" s="10" t="str">
        <f ca="1">IFERROR(__xludf.DUMMYFUNCTION("""COMPUTED_VALUE"""),"JONY &amp; The Limba")</f>
        <v>JONY &amp; The Limba</v>
      </c>
      <c r="D330" s="10"/>
      <c r="E330" s="10"/>
      <c r="F330" s="10"/>
      <c r="G330" s="10"/>
      <c r="H330" s="10"/>
      <c r="I330" s="10"/>
    </row>
    <row r="331" spans="1:9">
      <c r="A331" s="10" t="str">
        <f ca="1">IFERROR(__xludf.DUMMYFUNCTION("""COMPUTED_VALUE"""),"Андрій Михайлович Данилко")</f>
        <v>Андрій Михайлович Данилко</v>
      </c>
      <c r="B331" s="10"/>
      <c r="C331" s="10" t="str">
        <f ca="1">IFERROR(__xludf.DUMMYFUNCTION("""COMPUTED_VALUE"""),"Moya Mishel")</f>
        <v>Moya Mishel</v>
      </c>
      <c r="D331" s="10"/>
      <c r="E331" s="10"/>
      <c r="F331" s="10"/>
      <c r="G331" s="10"/>
      <c r="H331" s="10"/>
      <c r="I331" s="10"/>
    </row>
    <row r="332" spans="1:9">
      <c r="A332" s="10" t="str">
        <f ca="1">IFERROR(__xludf.DUMMYFUNCTION("""COMPUTED_VALUE"""),"DOVI")</f>
        <v>DOVI</v>
      </c>
      <c r="B332" s="10"/>
      <c r="C332" s="10" t="str">
        <f ca="1">IFERROR(__xludf.DUMMYFUNCTION("""COMPUTED_VALUE"""),"Rakhim &amp; JONY")</f>
        <v>Rakhim &amp; JONY</v>
      </c>
      <c r="D332" s="10"/>
      <c r="E332" s="10"/>
      <c r="F332" s="10"/>
      <c r="G332" s="10"/>
      <c r="H332" s="10"/>
      <c r="I332" s="10"/>
    </row>
    <row r="333" spans="1:9">
      <c r="A333" s="10" t="str">
        <f ca="1">IFERROR(__xludf.DUMMYFUNCTION("""COMPUTED_VALUE"""),"Tery &amp; Libenson")</f>
        <v>Tery &amp; Libenson</v>
      </c>
      <c r="B333" s="10"/>
      <c r="C333" s="10" t="str">
        <f ca="1">IFERROR(__xludf.DUMMYFUNCTION("""COMPUTED_VALUE"""),"Dima Bilan &amp; Mari Kraymbreri")</f>
        <v>Dima Bilan &amp; Mari Kraymbreri</v>
      </c>
      <c r="D333" s="10"/>
      <c r="E333" s="10"/>
      <c r="F333" s="10"/>
      <c r="G333" s="10"/>
      <c r="H333" s="10"/>
      <c r="I333" s="10"/>
    </row>
    <row r="334" spans="1:9">
      <c r="A334" s="10" t="str">
        <f ca="1">IFERROR(__xludf.DUMMYFUNCTION("""COMPUTED_VALUE"""),"Vsivdoma")</f>
        <v>Vsivdoma</v>
      </c>
      <c r="B334" s="10"/>
      <c r="C334" s="10" t="str">
        <f ca="1">IFERROR(__xludf.DUMMYFUNCTION("""COMPUTED_VALUE"""),"Люся Чеботіна")</f>
        <v>Люся Чеботіна</v>
      </c>
      <c r="D334" s="10"/>
      <c r="E334" s="10"/>
      <c r="F334" s="10"/>
      <c r="G334" s="10"/>
      <c r="H334" s="10"/>
      <c r="I334" s="10"/>
    </row>
    <row r="335" spans="1:9">
      <c r="A335" s="10" t="str">
        <f ca="1">IFERROR(__xludf.DUMMYFUNCTION("""COMPUTED_VALUE"""),"KALUSH &amp; KOZAK SIROMAHA")</f>
        <v>KALUSH &amp; KOZAK SIROMAHA</v>
      </c>
      <c r="B335" s="10"/>
      <c r="C335" s="10" t="str">
        <f ca="1">IFERROR(__xludf.DUMMYFUNCTION("""COMPUTED_VALUE"""),"Эндшпиль")</f>
        <v>Эндшпиль</v>
      </c>
      <c r="D335" s="10"/>
      <c r="E335" s="10"/>
      <c r="F335" s="10"/>
      <c r="G335" s="10"/>
      <c r="H335" s="10"/>
      <c r="I335" s="10"/>
    </row>
    <row r="336" spans="1:9">
      <c r="A336" s="10" t="str">
        <f ca="1">IFERROR(__xludf.DUMMYFUNCTION("""COMPUTED_VALUE"""),"Kuzmer &amp; MANARITA")</f>
        <v>Kuzmer &amp; MANARITA</v>
      </c>
      <c r="B336" s="10"/>
      <c r="C336" s="10" t="str">
        <f ca="1">IFERROR(__xludf.DUMMYFUNCTION("""COMPUTED_VALUE"""),"Sivchik &amp; Паша Морис")</f>
        <v>Sivchik &amp; Паша Морис</v>
      </c>
      <c r="D336" s="10"/>
      <c r="E336" s="10"/>
      <c r="F336" s="10"/>
      <c r="G336" s="10"/>
      <c r="H336" s="10"/>
      <c r="I336" s="10"/>
    </row>
    <row r="337" spans="1:9">
      <c r="A337" s="10" t="str">
        <f ca="1">IFERROR(__xludf.DUMMYFUNCTION("""COMPUTED_VALUE"""),"KOZAK SIROMAHA")</f>
        <v>KOZAK SIROMAHA</v>
      </c>
      <c r="B337" s="10"/>
      <c r="C337" s="10" t="str">
        <f ca="1">IFERROR(__xludf.DUMMYFUNCTION("""COMPUTED_VALUE"""),"--")</f>
        <v>--</v>
      </c>
      <c r="D337" s="10"/>
      <c r="E337" s="10"/>
      <c r="F337" s="10"/>
      <c r="G337" s="10"/>
      <c r="H337" s="10"/>
      <c r="I337" s="10"/>
    </row>
    <row r="338" spans="1:9">
      <c r="A338" s="10" t="str">
        <f ca="1">IFERROR(__xludf.DUMMYFUNCTION("""COMPUTED_VALUE"""),"Made in Ukraine")</f>
        <v>Made in Ukraine</v>
      </c>
      <c r="B338" s="10"/>
      <c r="C338" s="10" t="str">
        <f ca="1">IFERROR(__xludf.DUMMYFUNCTION("""COMPUTED_VALUE"""),"FINIK &amp; ALEKS ATAMAN")</f>
        <v>FINIK &amp; ALEKS ATAMAN</v>
      </c>
      <c r="D338" s="10"/>
      <c r="E338" s="10"/>
      <c r="F338" s="10"/>
      <c r="G338" s="10"/>
      <c r="H338" s="10"/>
      <c r="I338" s="10"/>
    </row>
    <row r="339" spans="1:9">
      <c r="A339" s="10" t="str">
        <f ca="1">IFERROR(__xludf.DUMMYFUNCTION("""COMPUTED_VALUE"""),"Артем Пивоваров &amp; Христина Соловій")</f>
        <v>Артем Пивоваров &amp; Христина Соловій</v>
      </c>
      <c r="B339" s="10"/>
      <c r="C339" s="10" t="str">
        <f ca="1">IFERROR(__xludf.DUMMYFUNCTION("""COMPUTED_VALUE"""),"Ногу звело!")</f>
        <v>Ногу звело!</v>
      </c>
      <c r="D339" s="10"/>
      <c r="E339" s="10"/>
      <c r="F339" s="10"/>
      <c r="G339" s="10"/>
      <c r="H339" s="10"/>
      <c r="I339" s="10"/>
    </row>
    <row r="340" spans="1:9">
      <c r="A340" s="10" t="str">
        <f ca="1">IFERROR(__xludf.DUMMYFUNCTION("""COMPUTED_VALUE"""),"Мотор'Ролла")</f>
        <v>Мотор'Ролла</v>
      </c>
      <c r="B340" s="10"/>
      <c r="C340" s="10" t="str">
        <f ca="1">IFERROR(__xludf.DUMMYFUNCTION("""COMPUTED_VALUE"""),"Григорий Лепс")</f>
        <v>Григорий Лепс</v>
      </c>
      <c r="D340" s="10"/>
      <c r="E340" s="10"/>
      <c r="F340" s="10"/>
      <c r="G340" s="10"/>
      <c r="H340" s="10"/>
      <c r="I340" s="10"/>
    </row>
    <row r="341" spans="1:9">
      <c r="A341" s="10" t="str">
        <f ca="1">IFERROR(__xludf.DUMMYFUNCTION("""COMPUTED_VALUE"""),"MamaRika &amp; KOLA")</f>
        <v>MamaRika &amp; KOLA</v>
      </c>
      <c r="B341" s="10"/>
      <c r="C341" s="10" t="str">
        <f ca="1">IFERROR(__xludf.DUMMYFUNCTION("""COMPUTED_VALUE"""),"Люся Чеботина")</f>
        <v>Люся Чеботина</v>
      </c>
      <c r="D341" s="10"/>
      <c r="E341" s="10"/>
      <c r="F341" s="10"/>
      <c r="G341" s="10"/>
      <c r="H341" s="10"/>
      <c r="I341" s="10"/>
    </row>
    <row r="342" spans="1:9">
      <c r="A342" s="10" t="str">
        <f ca="1">IFERROR(__xludf.DUMMYFUNCTION("""COMPUTED_VALUE"""),"Олексій Потапенко")</f>
        <v>Олексій Потапенко</v>
      </c>
      <c r="B342" s="10"/>
      <c r="C342" s="10" t="str">
        <f ca="1">IFERROR(__xludf.DUMMYFUNCTION("""COMPUTED_VALUE"""),"Полум'я")</f>
        <v>Полум'я</v>
      </c>
      <c r="D342" s="10"/>
      <c r="E342" s="10"/>
      <c r="F342" s="10"/>
      <c r="G342" s="10"/>
      <c r="H342" s="10"/>
      <c r="I342" s="10"/>
    </row>
    <row r="343" spans="1:9">
      <c r="A343" s="10" t="str">
        <f ca="1">IFERROR(__xludf.DUMMYFUNCTION("""COMPUTED_VALUE"""),"Анна Трінчер &amp; POSITIFF")</f>
        <v>Анна Трінчер &amp; POSITIFF</v>
      </c>
      <c r="B343" s="10"/>
      <c r="C343" s="10" t="str">
        <f ca="1">IFERROR(__xludf.DUMMYFUNCTION("""COMPUTED_VALUE"""),"SHAMAN")</f>
        <v>SHAMAN</v>
      </c>
      <c r="D343" s="10"/>
      <c r="E343" s="10"/>
      <c r="F343" s="10"/>
      <c r="G343" s="10"/>
      <c r="H343" s="10"/>
      <c r="I343" s="10"/>
    </row>
    <row r="344" spans="1:9">
      <c r="A344" s="10" t="str">
        <f ca="1">IFERROR(__xludf.DUMMYFUNCTION("""COMPUTED_VALUE"""),"Марія Арбузова")</f>
        <v>Марія Арбузова</v>
      </c>
      <c r="B344" s="10"/>
      <c r="C344" s="10" t="str">
        <f ca="1">IFERROR(__xludf.DUMMYFUNCTION("""COMPUTED_VALUE"""),"f0lk")</f>
        <v>f0lk</v>
      </c>
      <c r="D344" s="10"/>
      <c r="E344" s="10"/>
      <c r="F344" s="10"/>
      <c r="G344" s="10"/>
      <c r="H344" s="10"/>
      <c r="I344" s="10"/>
    </row>
    <row r="345" spans="1:9">
      <c r="A345" s="10" t="str">
        <f ca="1">IFERROR(__xludf.DUMMYFUNCTION("""COMPUTED_VALUE"""),"MASHA DANILOVA")</f>
        <v>MASHA DANILOVA</v>
      </c>
      <c r="B345" s="10"/>
      <c r="C345" s="10" t="str">
        <f ca="1">IFERROR(__xludf.DUMMYFUNCTION("""COMPUTED_VALUE"""),"Іслам Ітляшев")</f>
        <v>Іслам Ітляшев</v>
      </c>
      <c r="D345" s="10"/>
      <c r="E345" s="10"/>
      <c r="F345" s="10"/>
      <c r="G345" s="10"/>
      <c r="H345" s="10"/>
      <c r="I345" s="10"/>
    </row>
    <row r="346" spans="1:9">
      <c r="A346" s="10" t="str">
        <f ca="1">IFERROR(__xludf.DUMMYFUNCTION("""COMPUTED_VALUE"""),"Ivan Navi")</f>
        <v>Ivan Navi</v>
      </c>
      <c r="B346" s="10"/>
      <c r="C346" s="10" t="str">
        <f ca="1">IFERROR(__xludf.DUMMYFUNCTION("""COMPUTED_VALUE"""),"Ані Лорак")</f>
        <v>Ані Лорак</v>
      </c>
      <c r="D346" s="10"/>
      <c r="E346" s="10"/>
      <c r="F346" s="10"/>
      <c r="G346" s="10"/>
      <c r="H346" s="10"/>
      <c r="I346" s="10"/>
    </row>
    <row r="347" spans="1:9">
      <c r="A347" s="10" t="str">
        <f ca="1">IFERROR(__xludf.DUMMYFUNCTION("""COMPUTED_VALUE"""),"SAGE")</f>
        <v>SAGE</v>
      </c>
      <c r="B347" s="10"/>
      <c r="C347" s="10" t="str">
        <f ca="1">IFERROR(__xludf.DUMMYFUNCTION("""COMPUTED_VALUE"""),"MORGENSHTERN &amp; Элджей")</f>
        <v>MORGENSHTERN &amp; Элджей</v>
      </c>
      <c r="D347" s="10"/>
      <c r="E347" s="10"/>
      <c r="F347" s="10"/>
      <c r="G347" s="10"/>
      <c r="H347" s="10"/>
      <c r="I347" s="10"/>
    </row>
    <row r="348" spans="1:9">
      <c r="A348" s="10"/>
      <c r="B348" s="10"/>
      <c r="C348" s="10" t="str">
        <f ca="1">IFERROR(__xludf.DUMMYFUNCTION("""COMPUTED_VALUE"""),"Sivchik")</f>
        <v>Sivchik</v>
      </c>
      <c r="D348" s="10"/>
      <c r="E348" s="10"/>
      <c r="F348" s="10"/>
      <c r="G348" s="10"/>
      <c r="H348" s="10"/>
      <c r="I348" s="10"/>
    </row>
    <row r="349" spans="1:9">
      <c r="A349" s="10"/>
      <c r="B349" s="10"/>
      <c r="C349" s="10" t="str">
        <f ca="1">IFERROR(__xludf.DUMMYFUNCTION("""COMPUTED_VALUE"""),"Еріка Лундмоен")</f>
        <v>Еріка Лундмоен</v>
      </c>
      <c r="D349" s="10"/>
      <c r="E349" s="10"/>
      <c r="F349" s="10"/>
      <c r="G349" s="10"/>
      <c r="H349" s="10"/>
      <c r="I349" s="10"/>
    </row>
    <row r="350" spans="1:9">
      <c r="A350" s="10"/>
      <c r="B350" s="10"/>
      <c r="C350" s="10" t="str">
        <f ca="1">IFERROR(__xludf.DUMMYFUNCTION("""COMPUTED_VALUE"""),"Павел Соколов")</f>
        <v>Павел Соколов</v>
      </c>
      <c r="D350" s="10"/>
      <c r="E350" s="10"/>
      <c r="F350" s="10"/>
      <c r="G350" s="10"/>
      <c r="H350" s="10"/>
      <c r="I350" s="10"/>
    </row>
    <row r="351" spans="1:9">
      <c r="A351" s="10"/>
      <c r="B351" s="10"/>
      <c r="C351" s="10" t="str">
        <f ca="1">IFERROR(__xludf.DUMMYFUNCTION("""COMPUTED_VALUE"""),"ANNA ASTI &amp; Филип Кіркоров")</f>
        <v>ANNA ASTI &amp; Филип Кіркоров</v>
      </c>
      <c r="D351" s="10"/>
      <c r="E351" s="10"/>
      <c r="F351" s="10"/>
      <c r="G351" s="10"/>
      <c r="H351" s="10"/>
      <c r="I351" s="10"/>
    </row>
    <row r="352" spans="1:9">
      <c r="A352" s="10"/>
      <c r="B352" s="10"/>
      <c r="C352" s="10" t="str">
        <f ca="1">IFERROR(__xludf.DUMMYFUNCTION("""COMPUTED_VALUE"""),"Егор Крид")</f>
        <v>Егор Крид</v>
      </c>
      <c r="D352" s="10"/>
      <c r="E352" s="10"/>
      <c r="F352" s="10"/>
      <c r="G352" s="10"/>
      <c r="H352" s="10"/>
      <c r="I352" s="10"/>
    </row>
    <row r="353" spans="1:9">
      <c r="A353" s="10"/>
      <c r="B353" s="10"/>
      <c r="C353" s="10" t="str">
        <f ca="1">IFERROR(__xludf.DUMMYFUNCTION("""COMPUTED_VALUE"""),"АрХангел")</f>
        <v>АрХангел</v>
      </c>
      <c r="D353" s="10"/>
      <c r="E353" s="10"/>
      <c r="F353" s="10"/>
      <c r="G353" s="10"/>
      <c r="H353" s="10"/>
      <c r="I353" s="10"/>
    </row>
    <row r="354" spans="1:9">
      <c r="A354" s="10"/>
      <c r="B354" s="10"/>
      <c r="C354" s="10" t="str">
        <f ca="1">IFERROR(__xludf.DUMMYFUNCTION("""COMPUTED_VALUE"""),"Михайло Шуфутинський")</f>
        <v>Михайло Шуфутинський</v>
      </c>
      <c r="D354" s="10"/>
      <c r="E354" s="10"/>
      <c r="F354" s="10"/>
      <c r="G354" s="10"/>
      <c r="H354" s="10"/>
      <c r="I354" s="10"/>
    </row>
    <row r="355" spans="1:9">
      <c r="A355" s="10"/>
      <c r="B355" s="10"/>
      <c r="C355" s="10" t="str">
        <f ca="1">IFERROR(__xludf.DUMMYFUNCTION("""COMPUTED_VALUE"""),"Mr. Credo")</f>
        <v>Mr. Credo</v>
      </c>
      <c r="D355" s="10"/>
      <c r="E355" s="10"/>
      <c r="F355" s="10"/>
      <c r="G355" s="10"/>
      <c r="H355" s="10"/>
      <c r="I355" s="10"/>
    </row>
    <row r="356" spans="1:9">
      <c r="A356" s="10"/>
      <c r="B356" s="10"/>
      <c r="C356" s="10" t="str">
        <f ca="1">IFERROR(__xludf.DUMMYFUNCTION("""COMPUTED_VALUE"""),"Юрій Шатунов")</f>
        <v>Юрій Шатунов</v>
      </c>
      <c r="D356" s="10"/>
      <c r="E356" s="10"/>
      <c r="F356" s="10"/>
      <c r="G356" s="10"/>
      <c r="H356" s="10"/>
      <c r="I356" s="10"/>
    </row>
    <row r="357" spans="1:9">
      <c r="A357" s="10"/>
      <c r="B357" s="10"/>
      <c r="C357" s="10" t="str">
        <f ca="1">IFERROR(__xludf.DUMMYFUNCTION("""COMPUTED_VALUE"""),"ЛСП &amp; MORGENSHTERN")</f>
        <v>ЛСП &amp; MORGENSHTERN</v>
      </c>
      <c r="D357" s="10"/>
      <c r="E357" s="10"/>
      <c r="F357" s="10"/>
      <c r="G357" s="10"/>
      <c r="H357" s="10"/>
      <c r="I357" s="10"/>
    </row>
    <row r="358" spans="1:9">
      <c r="A358" s="10"/>
      <c r="B358" s="10"/>
      <c r="C358" s="10" t="str">
        <f ca="1">IFERROR(__xludf.DUMMYFUNCTION("""COMPUTED_VALUE"""),"Сергій Любавін")</f>
        <v>Сергій Любавін</v>
      </c>
      <c r="D358" s="10"/>
      <c r="E358" s="10"/>
      <c r="F358" s="10"/>
      <c r="G358" s="10"/>
      <c r="H358" s="10"/>
      <c r="I358" s="10"/>
    </row>
    <row r="359" spans="1:9">
      <c r="A359" s="10"/>
      <c r="B359" s="10"/>
      <c r="C359" s="10" t="str">
        <f ca="1">IFERROR(__xludf.DUMMYFUNCTION("""COMPUTED_VALUE"""),"DJ Smash &amp; Artik &amp; Asti")</f>
        <v>DJ Smash &amp; Artik &amp; Asti</v>
      </c>
      <c r="D359" s="10"/>
      <c r="E359" s="10"/>
      <c r="F359" s="10"/>
      <c r="G359" s="10"/>
      <c r="H359" s="10"/>
      <c r="I359" s="10"/>
    </row>
    <row r="360" spans="1:9">
      <c r="A360" s="10"/>
      <c r="B360" s="10"/>
      <c r="C360" s="10" t="str">
        <f ca="1">IFERROR(__xludf.DUMMYFUNCTION("""COMPUTED_VALUE"""),"Фати Царикаева")</f>
        <v>Фати Царикаева</v>
      </c>
      <c r="D360" s="10"/>
      <c r="E360" s="10"/>
      <c r="F360" s="10"/>
      <c r="G360" s="10"/>
      <c r="H360" s="10"/>
      <c r="I360" s="10"/>
    </row>
    <row r="361" spans="1:9">
      <c r="A361" s="10"/>
      <c r="B361" s="10"/>
      <c r="C361" s="10" t="str">
        <f ca="1">IFERROR(__xludf.DUMMYFUNCTION("""COMPUTED_VALUE"""),"Arut &amp; Єгор Ракітін")</f>
        <v>Arut &amp; Єгор Ракітін</v>
      </c>
      <c r="D361" s="10"/>
      <c r="E361" s="10"/>
      <c r="F361" s="10"/>
      <c r="G361" s="10"/>
      <c r="H361" s="10"/>
      <c r="I361" s="10"/>
    </row>
    <row r="362" spans="1:9">
      <c r="A362" s="10"/>
      <c r="B362" s="10"/>
      <c r="C362" s="10" t="str">
        <f ca="1">IFERROR(__xludf.DUMMYFUNCTION("""COMPUTED_VALUE"""),"Ленінград")</f>
        <v>Ленінград</v>
      </c>
      <c r="D362" s="10"/>
      <c r="E362" s="10"/>
      <c r="F362" s="10"/>
      <c r="G362" s="10"/>
      <c r="H362" s="10"/>
      <c r="I362" s="10"/>
    </row>
    <row r="363" spans="1:9">
      <c r="A363" s="10"/>
      <c r="B363" s="10"/>
      <c r="C363" s="10" t="str">
        <f ca="1">IFERROR(__xludf.DUMMYFUNCTION("""COMPUTED_VALUE"""),"Little Big")</f>
        <v>Little Big</v>
      </c>
      <c r="D363" s="10"/>
      <c r="E363" s="10"/>
      <c r="F363" s="10"/>
      <c r="G363" s="10"/>
      <c r="H363" s="10"/>
      <c r="I363" s="10"/>
    </row>
    <row r="364" spans="1:9">
      <c r="A364" s="10"/>
      <c r="B364" s="10"/>
      <c r="C364" s="10" t="str">
        <f ca="1">IFERROR(__xludf.DUMMYFUNCTION("""COMPUTED_VALUE"""),"Клава Кока")</f>
        <v>Клава Кока</v>
      </c>
      <c r="D364" s="10"/>
      <c r="E364" s="10"/>
      <c r="F364" s="10"/>
      <c r="G364" s="10"/>
      <c r="H364" s="10"/>
      <c r="I364" s="10"/>
    </row>
    <row r="365" spans="1:9">
      <c r="A365" s="10"/>
      <c r="B365" s="10"/>
      <c r="C365" s="10" t="str">
        <f ca="1">IFERROR(__xludf.DUMMYFUNCTION("""COMPUTED_VALUE"""),"Kamazz")</f>
        <v>Kamazz</v>
      </c>
      <c r="D365" s="10"/>
      <c r="E365" s="10"/>
      <c r="F365" s="10"/>
      <c r="G365" s="10"/>
      <c r="H365" s="10"/>
      <c r="I365" s="10"/>
    </row>
    <row r="366" spans="1:9">
      <c r="A366" s="10"/>
      <c r="B366" s="10"/>
      <c r="C366" s="10" t="str">
        <f ca="1">IFERROR(__xludf.DUMMYFUNCTION("""COMPUTED_VALUE"""),"Поліна Гагаріна")</f>
        <v>Поліна Гагаріна</v>
      </c>
      <c r="D366" s="10"/>
      <c r="E366" s="10"/>
      <c r="F366" s="10"/>
      <c r="G366" s="10"/>
      <c r="H366" s="10"/>
      <c r="I366" s="10"/>
    </row>
    <row r="367" spans="1:9">
      <c r="A367" s="10"/>
      <c r="B367" s="10"/>
      <c r="C367" s="10" t="str">
        <f ca="1">IFERROR(__xludf.DUMMYFUNCTION("""COMPUTED_VALUE"""),"Скриптоніт &amp; Райда")</f>
        <v>Скриптоніт &amp; Райда</v>
      </c>
      <c r="D367" s="10"/>
      <c r="E367" s="10"/>
      <c r="F367" s="10"/>
      <c r="G367" s="10"/>
      <c r="H367" s="10"/>
      <c r="I367" s="10"/>
    </row>
    <row r="368" spans="1:9">
      <c r="A368" s="10"/>
      <c r="B368" s="10"/>
      <c r="C368" s="10" t="str">
        <f ca="1">IFERROR(__xludf.DUMMYFUNCTION("""COMPUTED_VALUE"""),"МЭЙБИ БЭЙБИ")</f>
        <v>МЭЙБИ БЭЙБИ</v>
      </c>
      <c r="D368" s="10"/>
      <c r="E368" s="10"/>
      <c r="F368" s="10"/>
      <c r="G368" s="10"/>
      <c r="H368" s="10"/>
      <c r="I368" s="10"/>
    </row>
    <row r="369" spans="1:9">
      <c r="A369" s="10"/>
      <c r="B369" s="10"/>
      <c r="C369" s="10" t="str">
        <f ca="1">IFERROR(__xludf.DUMMYFUNCTION("""COMPUTED_VALUE"""),"Єгор Ракітін &amp; KIZARU")</f>
        <v>Єгор Ракітін &amp; KIZARU</v>
      </c>
      <c r="D369" s="10"/>
      <c r="E369" s="10"/>
      <c r="F369" s="10"/>
      <c r="G369" s="10"/>
      <c r="H369" s="10"/>
      <c r="I369" s="10"/>
    </row>
    <row r="370" spans="1:9">
      <c r="A370" s="10"/>
      <c r="B370" s="10"/>
      <c r="C370" s="10" t="str">
        <f ca="1">IFERROR(__xludf.DUMMYFUNCTION("""COMPUTED_VALUE"""),"Баста &amp; Дарина Яніна")</f>
        <v>Баста &amp; Дарина Яніна</v>
      </c>
      <c r="D370" s="10"/>
      <c r="E370" s="10"/>
      <c r="F370" s="10"/>
      <c r="G370" s="10"/>
      <c r="H370" s="10"/>
      <c r="I370" s="10"/>
    </row>
    <row r="371" spans="1:9">
      <c r="A371" s="10"/>
      <c r="B371" s="10"/>
      <c r="C371" s="10" t="str">
        <f ca="1">IFERROR(__xludf.DUMMYFUNCTION("""COMPUTED_VALUE"""),"Земфіра")</f>
        <v>Земфіра</v>
      </c>
      <c r="D371" s="10"/>
      <c r="E371" s="10"/>
      <c r="F371" s="10"/>
      <c r="G371" s="10"/>
      <c r="H371" s="10"/>
      <c r="I371" s="10"/>
    </row>
    <row r="372" spans="1:9">
      <c r="A372" s="10"/>
      <c r="B372" s="10"/>
      <c r="C372" s="10" t="str">
        <f ca="1">IFERROR(__xludf.DUMMYFUNCTION("""COMPUTED_VALUE"""),"Bahh Tee &amp; Turken")</f>
        <v>Bahh Tee &amp; Turken</v>
      </c>
      <c r="D372" s="10"/>
      <c r="E372" s="10"/>
      <c r="F372" s="10"/>
      <c r="G372" s="10"/>
      <c r="H372" s="10"/>
      <c r="I372" s="10"/>
    </row>
    <row r="373" spans="1:9">
      <c r="A373" s="10"/>
      <c r="B373" s="10"/>
      <c r="C373" s="10" t="str">
        <f ca="1">IFERROR(__xludf.DUMMYFUNCTION("""COMPUTED_VALUE"""),"Льоша Свік")</f>
        <v>Льоша Свік</v>
      </c>
      <c r="D373" s="10"/>
      <c r="E373" s="10"/>
      <c r="F373" s="10"/>
      <c r="G373" s="10"/>
      <c r="H373" s="10"/>
      <c r="I373" s="10"/>
    </row>
    <row r="374" spans="1:9">
      <c r="A374" s="10"/>
      <c r="B374" s="10"/>
      <c r="C374" s="10" t="str">
        <f ca="1">IFERROR(__xludf.DUMMYFUNCTION("""COMPUTED_VALUE"""),"Компот")</f>
        <v>Компот</v>
      </c>
      <c r="D374" s="10"/>
      <c r="E374" s="10"/>
      <c r="F374" s="10"/>
      <c r="G374" s="10"/>
      <c r="H374" s="10"/>
      <c r="I374" s="10"/>
    </row>
    <row r="375" spans="1:9">
      <c r="A375" s="10"/>
      <c r="B375" s="10"/>
      <c r="C375" s="10" t="str">
        <f ca="1">IFERROR(__xludf.DUMMYFUNCTION("""COMPUTED_VALUE"""),"Тальков Ігор")</f>
        <v>Тальков Ігор</v>
      </c>
      <c r="D375" s="10"/>
      <c r="E375" s="10"/>
      <c r="F375" s="10"/>
      <c r="G375" s="10"/>
      <c r="H375" s="10"/>
      <c r="I375" s="10"/>
    </row>
    <row r="376" spans="1:9">
      <c r="A376" s="10"/>
      <c r="B376" s="10"/>
      <c r="C376" s="10" t="str">
        <f ca="1">IFERROR(__xludf.DUMMYFUNCTION("""COMPUTED_VALUE"""),"RAIKAHO")</f>
        <v>RAIKAHO</v>
      </c>
      <c r="D376" s="10"/>
      <c r="E376" s="10"/>
      <c r="F376" s="10"/>
      <c r="G376" s="10"/>
      <c r="H376" s="10"/>
      <c r="I376" s="10"/>
    </row>
    <row r="377" spans="1:9">
      <c r="A377" s="10"/>
      <c r="B377" s="10"/>
      <c r="C377" s="10" t="str">
        <f ca="1">IFERROR(__xludf.DUMMYFUNCTION("""COMPUTED_VALUE"""),"Остап Парфёнов &amp; Nvkrn134")</f>
        <v>Остап Парфёнов &amp; Nvkrn134</v>
      </c>
      <c r="D377" s="10"/>
      <c r="E377" s="10"/>
      <c r="F377" s="10"/>
      <c r="G377" s="10"/>
      <c r="H377" s="10"/>
      <c r="I377" s="10"/>
    </row>
    <row r="378" spans="1:9">
      <c r="A378" s="10"/>
      <c r="B378" s="10"/>
      <c r="C378" s="10" t="str">
        <f ca="1">IFERROR(__xludf.DUMMYFUNCTION("""COMPUTED_VALUE"""),"Рустам Нахушев")</f>
        <v>Рустам Нахушев</v>
      </c>
      <c r="D378" s="10"/>
      <c r="E378" s="10"/>
      <c r="F378" s="10"/>
      <c r="G378" s="10"/>
      <c r="H378" s="10"/>
      <c r="I378" s="10"/>
    </row>
    <row r="379" spans="1:9">
      <c r="A379" s="10"/>
      <c r="B379" s="10"/>
      <c r="C379" s="10" t="str">
        <f ca="1">IFERROR(__xludf.DUMMYFUNCTION("""COMPUTED_VALUE"""),"Альона Швець")</f>
        <v>Альона Швець</v>
      </c>
      <c r="D379" s="10"/>
      <c r="E379" s="10"/>
      <c r="F379" s="10"/>
      <c r="G379" s="10"/>
      <c r="H379" s="10"/>
      <c r="I379" s="10"/>
    </row>
    <row r="380" spans="1:9">
      <c r="A380" s="10"/>
      <c r="B380" s="10"/>
      <c r="C380" s="10" t="str">
        <f ca="1">IFERROR(__xludf.DUMMYFUNCTION("""COMPUTED_VALUE"""),"Мері Гу")</f>
        <v>Мері Гу</v>
      </c>
      <c r="D380" s="10"/>
      <c r="E380" s="10"/>
      <c r="F380" s="10"/>
      <c r="G380" s="10"/>
      <c r="H380" s="10"/>
      <c r="I380" s="10"/>
    </row>
    <row r="381" spans="1:9">
      <c r="A381" s="10"/>
      <c r="B381" s="10"/>
      <c r="C381" s="10" t="str">
        <f ca="1">IFERROR(__xludf.DUMMYFUNCTION("""COMPUTED_VALUE"""),"Ревва Олександр Володимирович &amp; Клава Кока")</f>
        <v>Ревва Олександр Володимирович &amp; Клава Кока</v>
      </c>
      <c r="D381" s="10"/>
      <c r="E381" s="10"/>
      <c r="F381" s="10"/>
      <c r="G381" s="10"/>
      <c r="H381" s="10"/>
      <c r="I381" s="10"/>
    </row>
    <row r="382" spans="1:9">
      <c r="A382" s="10"/>
      <c r="B382" s="10"/>
      <c r="C382" s="10" t="str">
        <f ca="1">IFERROR(__xludf.DUMMYFUNCTION("""COMPUTED_VALUE"""),"Хабиб &amp; Galibri &amp; Mavik")</f>
        <v>Хабиб &amp; Galibri &amp; Mavik</v>
      </c>
      <c r="D382" s="10"/>
      <c r="E382" s="10"/>
      <c r="F382" s="10"/>
      <c r="G382" s="10"/>
      <c r="H382" s="10"/>
      <c r="I382" s="10"/>
    </row>
    <row r="383" spans="1:9">
      <c r="A383" s="10"/>
      <c r="B383" s="10"/>
      <c r="C383" s="10" t="str">
        <f ca="1">IFERROR(__xludf.DUMMYFUNCTION("""COMPUTED_VALUE"""),"Ольга Серябкіна")</f>
        <v>Ольга Серябкіна</v>
      </c>
      <c r="D383" s="10"/>
      <c r="E383" s="10"/>
      <c r="F383" s="10"/>
      <c r="G383" s="10"/>
      <c r="H383" s="10"/>
      <c r="I383" s="10"/>
    </row>
    <row r="384" spans="1:9">
      <c r="A384" s="10"/>
      <c r="B384" s="10"/>
      <c r="C384" s="10" t="str">
        <f ca="1">IFERROR(__xludf.DUMMYFUNCTION("""COMPUTED_VALUE"""),"Григорій Лепс")</f>
        <v>Григорій Лепс</v>
      </c>
      <c r="D384" s="10"/>
      <c r="E384" s="10"/>
      <c r="F384" s="10"/>
      <c r="G384" s="10"/>
      <c r="H384" s="10"/>
      <c r="I384" s="10"/>
    </row>
    <row r="385" spans="1:9">
      <c r="A385" s="10"/>
      <c r="B385" s="10"/>
      <c r="C385" s="10" t="str">
        <f ca="1">IFERROR(__xludf.DUMMYFUNCTION("""COMPUTED_VALUE"""),"Егор Крид &amp; МакSим")</f>
        <v>Егор Крид &amp; МакSим</v>
      </c>
      <c r="D385" s="10"/>
      <c r="E385" s="10"/>
      <c r="F385" s="10"/>
      <c r="G385" s="10"/>
      <c r="H385" s="10"/>
      <c r="I385" s="10"/>
    </row>
    <row r="386" spans="1:9">
      <c r="A386" s="10"/>
      <c r="B386" s="10"/>
      <c r="C386" s="10" t="str">
        <f ca="1">IFERROR(__xludf.DUMMYFUNCTION("""COMPUTED_VALUE"""),"Артем Качер &amp; Ані Лорак")</f>
        <v>Артем Качер &amp; Ані Лорак</v>
      </c>
      <c r="D386" s="10"/>
      <c r="E386" s="10"/>
      <c r="F386" s="10"/>
      <c r="G386" s="10"/>
      <c r="H386" s="10"/>
      <c r="I386" s="10"/>
    </row>
    <row r="387" spans="1:9">
      <c r="A387" s="10"/>
      <c r="B387" s="10"/>
      <c r="C387" s="10" t="str">
        <f ca="1">IFERROR(__xludf.DUMMYFUNCTION("""COMPUTED_VALUE"""),"GAYAZOV$ BROTHER$ &amp; Filatov &amp; Karas")</f>
        <v>GAYAZOV$ BROTHER$ &amp; Filatov &amp; Karas</v>
      </c>
      <c r="D387" s="10"/>
      <c r="E387" s="10"/>
      <c r="F387" s="10"/>
      <c r="G387" s="10"/>
      <c r="H387" s="10"/>
      <c r="I387" s="10"/>
    </row>
    <row r="388" spans="1:9">
      <c r="A388" s="10"/>
      <c r="B388" s="10"/>
      <c r="C388" s="10" t="str">
        <f ca="1">IFERROR(__xludf.DUMMYFUNCTION("""COMPUTED_VALUE"""),"дора &amp; МЭЙБИ БЭЙБИ")</f>
        <v>дора &amp; МЭЙБИ БЭЙБИ</v>
      </c>
      <c r="D388" s="10"/>
      <c r="E388" s="10"/>
      <c r="F388" s="10"/>
      <c r="G388" s="10"/>
      <c r="H388" s="10"/>
      <c r="I388" s="10"/>
    </row>
    <row r="389" spans="1:9">
      <c r="A389" s="10"/>
      <c r="B389" s="10"/>
      <c r="C389" s="10" t="str">
        <f ca="1">IFERROR(__xludf.DUMMYFUNCTION("""COMPUTED_VALUE"""),"Ваня Дмитриенко &amp; Хабиб")</f>
        <v>Ваня Дмитриенко &amp; Хабиб</v>
      </c>
      <c r="D389" s="10"/>
      <c r="E389" s="10"/>
      <c r="F389" s="10"/>
      <c r="G389" s="10"/>
      <c r="H389" s="10"/>
      <c r="I389" s="10"/>
    </row>
    <row r="390" spans="1:9">
      <c r="A390" s="10"/>
      <c r="B390" s="10"/>
      <c r="C390" s="10" t="str">
        <f ca="1">IFERROR(__xludf.DUMMYFUNCTION("""COMPUTED_VALUE"""),"ДДТ")</f>
        <v>ДДТ</v>
      </c>
      <c r="D390" s="10"/>
      <c r="E390" s="10"/>
      <c r="F390" s="10"/>
      <c r="G390" s="10"/>
      <c r="H390" s="10"/>
      <c r="I390" s="10"/>
    </row>
    <row r="391" spans="1:9">
      <c r="A391" s="10"/>
      <c r="B391" s="10"/>
      <c r="C391" s="10" t="str">
        <f ca="1">IFERROR(__xludf.DUMMYFUNCTION("""COMPUTED_VALUE"""),"Андрей Куряев")</f>
        <v>Андрей Куряев</v>
      </c>
      <c r="D391" s="10"/>
      <c r="E391" s="10"/>
      <c r="F391" s="10"/>
      <c r="G391" s="10"/>
      <c r="H391" s="10"/>
      <c r="I391" s="10"/>
    </row>
    <row r="392" spans="1:9">
      <c r="A392" s="10"/>
      <c r="B392" s="10"/>
      <c r="C392" s="10" t="str">
        <f ca="1">IFERROR(__xludf.DUMMYFUNCTION("""COMPUTED_VALUE"""),"Xassa")</f>
        <v>Xassa</v>
      </c>
      <c r="D392" s="10"/>
      <c r="E392" s="10"/>
      <c r="F392" s="10"/>
      <c r="G392" s="10"/>
      <c r="H392" s="10"/>
      <c r="I392" s="10"/>
    </row>
    <row r="393" spans="1:9">
      <c r="A393" s="10"/>
      <c r="B393" s="10"/>
      <c r="C393" s="10" t="str">
        <f ca="1">IFERROR(__xludf.DUMMYFUNCTION("""COMPUTED_VALUE"""),"БИ-2")</f>
        <v>БИ-2</v>
      </c>
      <c r="D393" s="10"/>
      <c r="E393" s="10"/>
      <c r="F393" s="10"/>
      <c r="G393" s="10"/>
      <c r="H393" s="10"/>
      <c r="I393" s="10"/>
    </row>
    <row r="394" spans="1:9">
      <c r="A394" s="10"/>
      <c r="B394" s="10"/>
      <c r="C394" s="10" t="str">
        <f ca="1">IFERROR(__xludf.DUMMYFUNCTION("""COMPUTED_VALUE"""),"Лолита &amp; Коста Лакоста")</f>
        <v>Лолита &amp; Коста Лакоста</v>
      </c>
      <c r="D394" s="10"/>
      <c r="E394" s="10"/>
      <c r="F394" s="10"/>
      <c r="G394" s="10"/>
      <c r="H394" s="10"/>
      <c r="I394" s="10"/>
    </row>
    <row r="395" spans="1:9">
      <c r="A395" s="10"/>
      <c r="B395" s="10"/>
      <c r="C395" s="10" t="str">
        <f ca="1">IFERROR(__xludf.DUMMYFUNCTION("""COMPUTED_VALUE"""),"Pharaoh &amp; Boulevard Depo")</f>
        <v>Pharaoh &amp; Boulevard Depo</v>
      </c>
      <c r="D395" s="10"/>
      <c r="E395" s="10"/>
      <c r="F395" s="10"/>
      <c r="G395" s="10"/>
      <c r="H395" s="10"/>
      <c r="I395" s="10"/>
    </row>
    <row r="396" spans="1:9">
      <c r="A396" s="10"/>
      <c r="B396" s="10"/>
      <c r="C396" s="10" t="str">
        <f ca="1">IFERROR(__xludf.DUMMYFUNCTION("""COMPUTED_VALUE"""),"HammAli, Navai &amp; Jah Khalib")</f>
        <v>HammAli, Navai &amp; Jah Khalib</v>
      </c>
      <c r="D396" s="10"/>
      <c r="E396" s="10"/>
      <c r="F396" s="10"/>
      <c r="G396" s="10"/>
      <c r="H396" s="10"/>
      <c r="I396" s="10"/>
    </row>
    <row r="397" spans="1:9">
      <c r="A397" s="10"/>
      <c r="B397" s="10"/>
      <c r="C397" s="10" t="str">
        <f ca="1">IFERROR(__xludf.DUMMYFUNCTION("""COMPUTED_VALUE"""),"HammAli")</f>
        <v>HammAli</v>
      </c>
      <c r="D397" s="10"/>
      <c r="E397" s="10"/>
      <c r="F397" s="10"/>
      <c r="G397" s="10"/>
      <c r="H397" s="10"/>
      <c r="I397" s="10"/>
    </row>
    <row r="398" spans="1:9">
      <c r="A398" s="10"/>
      <c r="B398" s="10"/>
      <c r="C398" s="10" t="str">
        <f ca="1">IFERROR(__xludf.DUMMYFUNCTION("""COMPUTED_VALUE"""),"Jora Shahinyan")</f>
        <v>Jora Shahinyan</v>
      </c>
      <c r="D398" s="10"/>
      <c r="E398" s="10"/>
      <c r="F398" s="10"/>
      <c r="G398" s="10"/>
      <c r="H398" s="10"/>
      <c r="I398" s="10"/>
    </row>
    <row r="399" spans="1:9">
      <c r="A399" s="10"/>
      <c r="B399" s="10"/>
      <c r="C399" s="10" t="str">
        <f ca="1">IFERROR(__xludf.DUMMYFUNCTION("""COMPUTED_VALUE"""),"Ендшпіль &amp; MiyaGi &amp; Endshpil")</f>
        <v>Ендшпіль &amp; MiyaGi &amp; Endshpil</v>
      </c>
      <c r="D399" s="10"/>
      <c r="E399" s="10"/>
      <c r="F399" s="10"/>
      <c r="G399" s="10"/>
      <c r="H399" s="10"/>
      <c r="I399" s="10"/>
    </row>
    <row r="400" spans="1:9">
      <c r="A400" s="10"/>
      <c r="B400" s="10"/>
      <c r="C400" s="10" t="str">
        <f ca="1">IFERROR(__xludf.DUMMYFUNCTION("""COMPUTED_VALUE"""),"Рейсан Магомедкеримов &amp; Михаил Черняев")</f>
        <v>Рейсан Магомедкеримов &amp; Михаил Черняев</v>
      </c>
      <c r="D400" s="10"/>
      <c r="E400" s="10"/>
      <c r="F400" s="10"/>
      <c r="G400" s="10"/>
      <c r="H400" s="10"/>
      <c r="I400" s="10"/>
    </row>
    <row r="401" spans="1:9">
      <c r="A401" s="10"/>
      <c r="B401" s="10"/>
      <c r="C401" s="10" t="str">
        <f ca="1">IFERROR(__xludf.DUMMYFUNCTION("""COMPUTED_VALUE"""),"Білан Дмитро &amp; Мари Краймбрери")</f>
        <v>Білан Дмитро &amp; Мари Краймбрери</v>
      </c>
      <c r="D401" s="10"/>
      <c r="E401" s="10"/>
      <c r="F401" s="10"/>
      <c r="G401" s="10"/>
      <c r="H401" s="10"/>
      <c r="I401" s="10"/>
    </row>
    <row r="402" spans="1:9">
      <c r="A402" s="10"/>
      <c r="B402" s="10"/>
      <c r="C402" s="10" t="str">
        <f ca="1">IFERROR(__xludf.DUMMYFUNCTION("""COMPUTED_VALUE"""),"Глюк'OZA")</f>
        <v>Глюк'OZA</v>
      </c>
      <c r="D402" s="10"/>
      <c r="E402" s="10"/>
      <c r="F402" s="10"/>
      <c r="G402" s="10"/>
      <c r="H402" s="10"/>
      <c r="I402" s="10"/>
    </row>
    <row r="403" spans="1:9">
      <c r="A403" s="10"/>
      <c r="B403" s="10"/>
      <c r="C403" s="10" t="str">
        <f ca="1">IFERROR(__xludf.DUMMYFUNCTION("""COMPUTED_VALUE"""),"Скриптоніт")</f>
        <v>Скриптоніт</v>
      </c>
      <c r="D403" s="10"/>
      <c r="E403" s="10"/>
      <c r="F403" s="10"/>
      <c r="G403" s="10"/>
      <c r="H403" s="10"/>
      <c r="I403" s="10"/>
    </row>
    <row r="404" spans="1:9">
      <c r="A404" s="10"/>
      <c r="B404" s="10"/>
      <c r="C404" s="10" t="str">
        <f ca="1">IFERROR(__xludf.DUMMYFUNCTION("""COMPUTED_VALUE"""),"Агата Крісті")</f>
        <v>Агата Крісті</v>
      </c>
      <c r="D404" s="10"/>
      <c r="E404" s="10"/>
      <c r="F404" s="10"/>
      <c r="G404" s="10"/>
      <c r="H404" s="10"/>
      <c r="I404" s="10"/>
    </row>
    <row r="405" spans="1:9">
      <c r="A405" s="10"/>
      <c r="B405" s="10"/>
      <c r="C405" s="10" t="str">
        <f ca="1">IFERROR(__xludf.DUMMYFUNCTION("""COMPUTED_VALUE"""),"Остап Парфёнов")</f>
        <v>Остап Парфёнов</v>
      </c>
      <c r="D405" s="10"/>
      <c r="E405" s="10"/>
      <c r="F405" s="10"/>
      <c r="G405" s="10"/>
      <c r="H405" s="10"/>
      <c r="I405" s="10"/>
    </row>
    <row r="406" spans="1:9">
      <c r="A406" s="10"/>
      <c r="B406" s="10"/>
      <c r="C406" s="10" t="str">
        <f ca="1">IFERROR(__xludf.DUMMYFUNCTION("""COMPUTED_VALUE"""),"Niletto")</f>
        <v>Niletto</v>
      </c>
      <c r="D406" s="10"/>
      <c r="E406" s="10"/>
      <c r="F406" s="10"/>
      <c r="G406" s="10"/>
      <c r="H406" s="10"/>
      <c r="I406" s="10"/>
    </row>
    <row r="407" spans="1:9">
      <c r="A407" s="10"/>
      <c r="B407" s="10"/>
      <c r="C407" s="10" t="str">
        <f ca="1">IFERROR(__xludf.DUMMYFUNCTION("""COMPUTED_VALUE"""),"Vírus")</f>
        <v>Vírus</v>
      </c>
      <c r="D407" s="10"/>
      <c r="E407" s="10"/>
      <c r="F407" s="10"/>
      <c r="G407" s="10"/>
      <c r="H407" s="10"/>
      <c r="I407" s="10"/>
    </row>
    <row r="408" spans="1:9">
      <c r="A408" s="10"/>
      <c r="B408" s="10"/>
      <c r="C408" s="10" t="str">
        <f ca="1">IFERROR(__xludf.DUMMYFUNCTION("""COMPUTED_VALUE"""),"Enrasta")</f>
        <v>Enrasta</v>
      </c>
      <c r="D408" s="10"/>
      <c r="E408" s="10"/>
      <c r="F408" s="10"/>
      <c r="G408" s="10"/>
      <c r="H408" s="10"/>
      <c r="I408" s="10"/>
    </row>
    <row r="409" spans="1:9">
      <c r="A409" s="10"/>
      <c r="B409" s="10"/>
      <c r="C409" s="10" t="str">
        <f ca="1">IFERROR(__xludf.DUMMYFUNCTION("""COMPUTED_VALUE"""),"Danya Milohin &amp; Мумий Тролль")</f>
        <v>Danya Milohin &amp; Мумий Тролль</v>
      </c>
      <c r="D409" s="10"/>
      <c r="E409" s="10"/>
      <c r="F409" s="10"/>
      <c r="G409" s="10"/>
      <c r="H409" s="10"/>
      <c r="I409" s="10"/>
    </row>
    <row r="410" spans="1:9">
      <c r="A410" s="10"/>
      <c r="B410" s="10"/>
      <c r="C410" s="10" t="str">
        <f ca="1">IFERROR(__xludf.DUMMYFUNCTION("""COMPUTED_VALUE"""),"Градусы")</f>
        <v>Градусы</v>
      </c>
      <c r="D410" s="10"/>
      <c r="E410" s="10"/>
      <c r="F410" s="10"/>
      <c r="G410" s="10"/>
      <c r="H410" s="10"/>
      <c r="I410" s="10"/>
    </row>
    <row r="411" spans="1:9">
      <c r="A411" s="10"/>
      <c r="B411" s="10"/>
      <c r="C411" s="10" t="str">
        <f ca="1">IFERROR(__xludf.DUMMYFUNCTION("""COMPUTED_VALUE"""),"Григорій Лепс &amp; Ані Лорак")</f>
        <v>Григорій Лепс &amp; Ані Лорак</v>
      </c>
      <c r="D411" s="10"/>
      <c r="E411" s="10"/>
      <c r="F411" s="10"/>
      <c r="G411" s="10"/>
      <c r="H411" s="10"/>
      <c r="I411" s="10"/>
    </row>
    <row r="412" spans="1:9">
      <c r="A412" s="10"/>
      <c r="B412" s="10"/>
      <c r="C412" s="10" t="str">
        <f ca="1">IFERROR(__xludf.DUMMYFUNCTION("""COMPUTED_VALUE"""),"Sharliz &amp; FULLER")</f>
        <v>Sharliz &amp; FULLER</v>
      </c>
      <c r="D412" s="10"/>
      <c r="E412" s="10"/>
      <c r="F412" s="10"/>
      <c r="G412" s="10"/>
      <c r="H412" s="10"/>
      <c r="I412" s="10"/>
    </row>
    <row r="413" spans="1:9">
      <c r="A413" s="10"/>
      <c r="B413" s="10"/>
      <c r="C413" s="10" t="str">
        <f ca="1">IFERROR(__xludf.DUMMYFUNCTION("""COMPUTED_VALUE"""),"Слава")</f>
        <v>Слава</v>
      </c>
      <c r="D413" s="10"/>
      <c r="E413" s="10"/>
      <c r="F413" s="10"/>
      <c r="G413" s="10"/>
      <c r="H413" s="10"/>
      <c r="I413" s="10"/>
    </row>
    <row r="414" spans="1:9">
      <c r="A414" s="10"/>
      <c r="B414" s="10"/>
      <c r="C414" s="10" t="str">
        <f ca="1">IFERROR(__xludf.DUMMYFUNCTION("""COMPUTED_VALUE"""),"Xassa &amp; Bodiev")</f>
        <v>Xassa &amp; Bodiev</v>
      </c>
      <c r="D414" s="10"/>
      <c r="E414" s="10"/>
      <c r="F414" s="10"/>
      <c r="G414" s="10"/>
      <c r="H414" s="10"/>
      <c r="I414" s="10"/>
    </row>
    <row r="415" spans="1:9">
      <c r="A415" s="10"/>
      <c r="B415" s="10"/>
      <c r="C415" s="10" t="str">
        <f ca="1">IFERROR(__xludf.DUMMYFUNCTION("""COMPUTED_VALUE"""),"Руки Вверх! &amp; HammAli &amp; Navai")</f>
        <v>Руки Вверх! &amp; HammAli &amp; Navai</v>
      </c>
      <c r="D415" s="10"/>
      <c r="E415" s="10"/>
      <c r="F415" s="10"/>
      <c r="G415" s="10"/>
      <c r="H415" s="10"/>
      <c r="I415" s="10"/>
    </row>
    <row r="416" spans="1:9">
      <c r="A416" s="10"/>
      <c r="B416" s="10"/>
      <c r="C416" s="10" t="str">
        <f ca="1">IFERROR(__xludf.DUMMYFUNCTION("""COMPUTED_VALUE"""),"Хабиб")</f>
        <v>Хабиб</v>
      </c>
      <c r="D416" s="10"/>
      <c r="E416" s="10"/>
      <c r="F416" s="10"/>
      <c r="G416" s="10"/>
      <c r="H416" s="10"/>
      <c r="I416" s="10"/>
    </row>
    <row r="417" spans="1:9">
      <c r="A417" s="10"/>
      <c r="B417" s="10"/>
      <c r="C417" s="10" t="str">
        <f ca="1">IFERROR(__xludf.DUMMYFUNCTION("""COMPUTED_VALUE"""),"Єгор Ракітін &amp; Молодой Платон")</f>
        <v>Єгор Ракітін &amp; Молодой Платон</v>
      </c>
      <c r="D417" s="10"/>
      <c r="E417" s="10"/>
      <c r="F417" s="10"/>
      <c r="G417" s="10"/>
      <c r="H417" s="10"/>
      <c r="I417" s="10"/>
    </row>
    <row r="418" spans="1:9">
      <c r="A418" s="10"/>
      <c r="B418" s="10"/>
      <c r="C418" s="10" t="str">
        <f ca="1">IFERROR(__xludf.DUMMYFUNCTION("""COMPUTED_VALUE"""),"ХАННА &amp; Міша Марвін")</f>
        <v>ХАННА &amp; Міша Марвін</v>
      </c>
      <c r="D418" s="10"/>
      <c r="E418" s="10"/>
      <c r="F418" s="10"/>
      <c r="G418" s="10"/>
      <c r="H418" s="10"/>
      <c r="I418" s="10"/>
    </row>
    <row r="419" spans="1:9">
      <c r="A419" s="10"/>
      <c r="B419" s="10"/>
      <c r="C419" s="10" t="str">
        <f ca="1">IFERROR(__xludf.DUMMYFUNCTION("""COMPUTED_VALUE"""),"RaiM, Артур &amp; --")</f>
        <v>RaiM, Артур &amp; --</v>
      </c>
      <c r="D419" s="10"/>
      <c r="E419" s="10"/>
      <c r="F419" s="10"/>
      <c r="G419" s="10"/>
      <c r="H419" s="10"/>
      <c r="I419" s="10"/>
    </row>
    <row r="420" spans="1:9">
      <c r="A420" s="10"/>
      <c r="B420" s="10"/>
      <c r="C420" s="10" t="str">
        <f ca="1">IFERROR(__xludf.DUMMYFUNCTION("""COMPUTED_VALUE"""),"RaiM")</f>
        <v>RaiM</v>
      </c>
      <c r="D420" s="10"/>
      <c r="E420" s="10"/>
      <c r="F420" s="10"/>
      <c r="G420" s="10"/>
      <c r="H420" s="10"/>
      <c r="I420" s="10"/>
    </row>
    <row r="421" spans="1:9">
      <c r="A421" s="10"/>
      <c r="B421" s="10"/>
      <c r="C421" s="10" t="str">
        <f ca="1">IFERROR(__xludf.DUMMYFUNCTION("""COMPUTED_VALUE"""),"Артем Качер")</f>
        <v>Артем Качер</v>
      </c>
      <c r="D421" s="10"/>
      <c r="E421" s="10"/>
      <c r="F421" s="10"/>
      <c r="G421" s="10"/>
      <c r="H421" s="10"/>
      <c r="I421" s="10"/>
    </row>
    <row r="422" spans="1:9">
      <c r="A422" s="10"/>
      <c r="B422" s="10"/>
      <c r="C422" s="10" t="str">
        <f ca="1">IFERROR(__xludf.DUMMYFUNCTION("""COMPUTED_VALUE"""),"Джарахов &amp; Стас Костюшкин")</f>
        <v>Джарахов &amp; Стас Костюшкин</v>
      </c>
      <c r="D422" s="10"/>
      <c r="E422" s="10"/>
      <c r="F422" s="10"/>
      <c r="G422" s="10"/>
      <c r="H422" s="10"/>
      <c r="I422" s="10"/>
    </row>
    <row r="423" spans="1:9">
      <c r="A423" s="10"/>
      <c r="B423" s="10"/>
      <c r="C423" s="10" t="str">
        <f ca="1">IFERROR(__xludf.DUMMYFUNCTION("""COMPUTED_VALUE"""),"Іслам Ітляшев &amp; Ірина Круг")</f>
        <v>Іслам Ітляшев &amp; Ірина Круг</v>
      </c>
      <c r="D423" s="10"/>
      <c r="E423" s="10"/>
      <c r="F423" s="10"/>
      <c r="G423" s="10"/>
      <c r="H423" s="10"/>
      <c r="I423" s="10"/>
    </row>
    <row r="424" spans="1:9">
      <c r="A424" s="10"/>
      <c r="B424" s="10"/>
      <c r="C424" s="10" t="str">
        <f ca="1">IFERROR(__xludf.DUMMYFUNCTION("""COMPUTED_VALUE"""),"Ельбрус Джанмірзоєв &amp; Елвін Грей")</f>
        <v>Ельбрус Джанмірзоєв &amp; Елвін Грей</v>
      </c>
      <c r="D424" s="10"/>
      <c r="E424" s="10"/>
      <c r="F424" s="10"/>
      <c r="G424" s="10"/>
      <c r="H424" s="10"/>
      <c r="I424" s="10"/>
    </row>
    <row r="425" spans="1:9">
      <c r="A425" s="10"/>
      <c r="B425" s="10"/>
      <c r="C425" s="10" t="str">
        <f ca="1">IFERROR(__xludf.DUMMYFUNCTION("""COMPUTED_VALUE"""),"DAVA")</f>
        <v>DAVA</v>
      </c>
      <c r="D425" s="10"/>
      <c r="E425" s="10"/>
      <c r="F425" s="10"/>
      <c r="G425" s="10"/>
      <c r="H425" s="10"/>
      <c r="I425" s="10"/>
    </row>
    <row r="426" spans="1:9">
      <c r="A426" s="10"/>
      <c r="B426" s="10"/>
      <c r="C426" s="10" t="str">
        <f ca="1">IFERROR(__xludf.DUMMYFUNCTION("""COMPUTED_VALUE"""),"Григорій Лепс &amp; Аллегрова Ірина")</f>
        <v>Григорій Лепс &amp; Аллегрова Ірина</v>
      </c>
      <c r="D426" s="10"/>
      <c r="E426" s="10"/>
      <c r="F426" s="10"/>
      <c r="G426" s="10"/>
      <c r="H426" s="10"/>
      <c r="I426" s="10"/>
    </row>
    <row r="427" spans="1:9">
      <c r="A427" s="10"/>
      <c r="B427" s="10"/>
      <c r="C427" s="10" t="str">
        <f ca="1">IFERROR(__xludf.DUMMYFUNCTION("""COMPUTED_VALUE"""),"Ревва Олександр Володимирович")</f>
        <v>Ревва Олександр Володимирович</v>
      </c>
      <c r="D427" s="10"/>
      <c r="E427" s="10"/>
      <c r="F427" s="10"/>
      <c r="G427" s="10"/>
      <c r="H427" s="10"/>
      <c r="I427" s="10"/>
    </row>
    <row r="428" spans="1:9">
      <c r="A428" s="10"/>
      <c r="B428" s="10"/>
      <c r="C428" s="10" t="str">
        <f ca="1">IFERROR(__xludf.DUMMYFUNCTION("""COMPUTED_VALUE"""),"Руки Вверх!")</f>
        <v>Руки Вверх!</v>
      </c>
      <c r="D428" s="10"/>
      <c r="E428" s="10"/>
      <c r="F428" s="10"/>
      <c r="G428" s="10"/>
      <c r="H428" s="10"/>
      <c r="I428" s="10"/>
    </row>
    <row r="429" spans="1:9">
      <c r="A429" s="10"/>
      <c r="B429" s="10"/>
      <c r="C429" s="10" t="str">
        <f ca="1">IFERROR(__xludf.DUMMYFUNCTION("""COMPUTED_VALUE"""),"NЮ &amp; Асия")</f>
        <v>NЮ &amp; Асия</v>
      </c>
      <c r="D429" s="10"/>
      <c r="E429" s="10"/>
      <c r="F429" s="10"/>
      <c r="G429" s="10"/>
      <c r="H429" s="10"/>
      <c r="I429" s="10"/>
    </row>
    <row r="430" spans="1:9">
      <c r="A430" s="10"/>
      <c r="B430" s="10"/>
      <c r="C430" s="10" t="str">
        <f ca="1">IFERROR(__xludf.DUMMYFUNCTION("""COMPUTED_VALUE"""),"ГУДЗОН")</f>
        <v>ГУДЗОН</v>
      </c>
      <c r="D430" s="10"/>
      <c r="E430" s="10"/>
      <c r="F430" s="10"/>
      <c r="G430" s="10"/>
      <c r="H430" s="10"/>
      <c r="I430" s="10"/>
    </row>
    <row r="431" spans="1:9">
      <c r="A431" s="10"/>
      <c r="B431" s="10"/>
      <c r="C431" s="10" t="str">
        <f ca="1">IFERROR(__xludf.DUMMYFUNCTION("""COMPUTED_VALUE"""),"Сергій Лазарєв &amp; Влад Топалов")</f>
        <v>Сергій Лазарєв &amp; Влад Топалов</v>
      </c>
      <c r="D431" s="10"/>
      <c r="E431" s="10"/>
      <c r="F431" s="10"/>
      <c r="G431" s="10"/>
      <c r="H431" s="10"/>
      <c r="I431" s="10"/>
    </row>
    <row r="432" spans="1:9">
      <c r="A432" s="10"/>
      <c r="B432" s="10"/>
      <c r="C432" s="10" t="str">
        <f ca="1">IFERROR(__xludf.DUMMYFUNCTION("""COMPUTED_VALUE"""),"MONEYKEN &amp; Instasamka")</f>
        <v>MONEYKEN &amp; Instasamka</v>
      </c>
      <c r="D432" s="10"/>
      <c r="E432" s="10"/>
      <c r="F432" s="10"/>
      <c r="G432" s="10"/>
      <c r="H432" s="10"/>
      <c r="I432" s="10"/>
    </row>
    <row r="433" spans="1:9">
      <c r="A433" s="10"/>
      <c r="B433" s="10"/>
      <c r="C433" s="10" t="str">
        <f ca="1">IFERROR(__xludf.DUMMYFUNCTION("""COMPUTED_VALUE"""),"Григорій Лепс &amp; Юрій Антонов")</f>
        <v>Григорій Лепс &amp; Юрій Антонов</v>
      </c>
      <c r="D433" s="10"/>
      <c r="E433" s="10"/>
      <c r="F433" s="10"/>
      <c r="G433" s="10"/>
      <c r="H433" s="10"/>
      <c r="I433" s="10"/>
    </row>
    <row r="434" spans="1:9">
      <c r="A434" s="10"/>
      <c r="B434" s="10"/>
      <c r="C434" s="10" t="str">
        <f ca="1">IFERROR(__xludf.DUMMYFUNCTION("""COMPUTED_VALUE"""),"PIKA")</f>
        <v>PIKA</v>
      </c>
      <c r="D434" s="10"/>
      <c r="E434" s="10"/>
      <c r="F434" s="10"/>
      <c r="G434" s="10"/>
      <c r="H434" s="10"/>
      <c r="I434" s="10"/>
    </row>
    <row r="435" spans="1:9">
      <c r="A435" s="10"/>
      <c r="B435" s="10"/>
      <c r="C435" s="10" t="str">
        <f ca="1">IFERROR(__xludf.DUMMYFUNCTION("""COMPUTED_VALUE"""),"Ендшпіль")</f>
        <v>Ендшпіль</v>
      </c>
      <c r="D435" s="10"/>
      <c r="E435" s="10"/>
      <c r="F435" s="10"/>
      <c r="G435" s="10"/>
      <c r="H435" s="10"/>
      <c r="I435" s="10"/>
    </row>
    <row r="436" spans="1:9">
      <c r="A436" s="10"/>
      <c r="B436" s="10"/>
      <c r="C436" s="10" t="str">
        <f ca="1">IFERROR(__xludf.DUMMYFUNCTION("""COMPUTED_VALUE"""),"Єгор Ракітін &amp; Aarne")</f>
        <v>Єгор Ракітін &amp; Aarne</v>
      </c>
      <c r="D436" s="10"/>
      <c r="E436" s="10"/>
      <c r="F436" s="10"/>
      <c r="G436" s="10"/>
      <c r="H436" s="10"/>
      <c r="I436" s="10"/>
    </row>
    <row r="437" spans="1:9">
      <c r="A437" s="10"/>
      <c r="B437" s="10"/>
      <c r="C437" s="10"/>
      <c r="D437" s="10"/>
      <c r="E437" s="10"/>
      <c r="F437" s="10"/>
      <c r="G437" s="10"/>
      <c r="H437" s="10"/>
      <c r="I437" s="10"/>
    </row>
    <row r="438" spans="1:9">
      <c r="A438" s="10"/>
      <c r="B438" s="10"/>
      <c r="C438" s="10"/>
      <c r="D438" s="10"/>
      <c r="E438" s="10"/>
      <c r="F438" s="10"/>
      <c r="G438" s="10"/>
      <c r="H438" s="10"/>
      <c r="I438" s="10"/>
    </row>
    <row r="439" spans="1:9">
      <c r="A439" s="10"/>
      <c r="B439" s="10"/>
      <c r="C439" s="10"/>
      <c r="D439" s="10"/>
      <c r="E439" s="10"/>
      <c r="F439" s="10"/>
      <c r="G439" s="10"/>
      <c r="H439" s="10"/>
      <c r="I439" s="10"/>
    </row>
    <row r="440" spans="1:9">
      <c r="A440" s="10" t="str">
        <f ca="1">IFERROR(__xludf.DUMMYFUNCTION("""COMPUTED_VALUE"""),"Grandma's Smuzi")</f>
        <v>Grandma's Smuzi</v>
      </c>
      <c r="B440" s="10"/>
      <c r="C440" s="10" t="str">
        <f ca="1">IFERROR(__xludf.DUMMYFUNCTION("""COMPUTED_VALUE"""),"Xolidayboy")</f>
        <v>Xolidayboy</v>
      </c>
      <c r="D440" s="10"/>
      <c r="E440" s="10"/>
      <c r="F440" s="10"/>
      <c r="G440" s="10"/>
      <c r="H440" s="10"/>
      <c r="I440" s="10"/>
    </row>
    <row r="441" spans="1:9">
      <c r="A441" s="10" t="str">
        <f ca="1">IFERROR(__xludf.DUMMYFUNCTION("""COMPUTED_VALUE"""),"ETOLUBOV")</f>
        <v>ETOLUBOV</v>
      </c>
      <c r="B441" s="10"/>
      <c r="C441" s="10" t="str">
        <f ca="1">IFERROR(__xludf.DUMMYFUNCTION("""COMPUTED_VALUE"""),"Sivchik &amp; Ульяна Столярова")</f>
        <v>Sivchik &amp; Ульяна Столярова</v>
      </c>
      <c r="D441" s="10"/>
      <c r="E441" s="10"/>
      <c r="F441" s="10"/>
      <c r="G441" s="10"/>
      <c r="H441" s="10"/>
      <c r="I441" s="10"/>
    </row>
    <row r="442" spans="1:9">
      <c r="A442" s="10" t="str">
        <f ca="1">IFERROR(__xludf.DUMMYFUNCTION("""COMPUTED_VALUE"""),"Sever &amp; Marilyn Myller")</f>
        <v>Sever &amp; Marilyn Myller</v>
      </c>
      <c r="B442" s="10"/>
      <c r="C442" s="10" t="str">
        <f ca="1">IFERROR(__xludf.DUMMYFUNCTION("""COMPUTED_VALUE"""),"Sivchik")</f>
        <v>Sivchik</v>
      </c>
      <c r="D442" s="10"/>
      <c r="E442" s="10"/>
      <c r="F442" s="10"/>
      <c r="G442" s="10"/>
      <c r="H442" s="10"/>
      <c r="I442" s="10"/>
    </row>
    <row r="443" spans="1:9">
      <c r="A443" s="10" t="str">
        <f ca="1">IFERROR(__xludf.DUMMYFUNCTION("""COMPUTED_VALUE"""),"Sever")</f>
        <v>Sever</v>
      </c>
      <c r="B443" s="10"/>
      <c r="C443" s="10" t="str">
        <f ca="1">IFERROR(__xludf.DUMMYFUNCTION("""COMPUTED_VALUE"""),"Ульяна Столярова")</f>
        <v>Ульяна Столярова</v>
      </c>
      <c r="D443" s="10"/>
      <c r="E443" s="10"/>
      <c r="F443" s="10"/>
      <c r="G443" s="10"/>
      <c r="H443" s="10"/>
      <c r="I443" s="10"/>
    </row>
    <row r="444" spans="1:9">
      <c r="A444" s="10" t="str">
        <f ca="1">IFERROR(__xludf.DUMMYFUNCTION("""COMPUTED_VALUE"""),"Marilyn Myller")</f>
        <v>Marilyn Myller</v>
      </c>
      <c r="B444" s="10"/>
      <c r="C444" s="10" t="str">
        <f ca="1">IFERROR(__xludf.DUMMYFUNCTION("""COMPUTED_VALUE"""),"Бумер")</f>
        <v>Бумер</v>
      </c>
      <c r="D444" s="10"/>
      <c r="E444" s="10"/>
      <c r="F444" s="10"/>
      <c r="G444" s="10"/>
      <c r="H444" s="10"/>
      <c r="I444" s="10"/>
    </row>
    <row r="445" spans="1:9">
      <c r="A445" s="10" t="str">
        <f ca="1">IFERROR(__xludf.DUMMYFUNCTION("""COMPUTED_VALUE"""),"Polina Dashkova")</f>
        <v>Polina Dashkova</v>
      </c>
      <c r="B445" s="10"/>
      <c r="C445" s="10" t="str">
        <f ca="1">IFERROR(__xludf.DUMMYFUNCTION("""COMPUTED_VALUE"""),"Каспійський груз")</f>
        <v>Каспійський груз</v>
      </c>
      <c r="D445" s="10"/>
      <c r="E445" s="10"/>
      <c r="F445" s="10"/>
      <c r="G445" s="10"/>
      <c r="H445" s="10"/>
      <c r="I445" s="10"/>
    </row>
    <row r="446" spans="1:9">
      <c r="A446" s="10" t="str">
        <f ca="1">IFERROR(__xludf.DUMMYFUNCTION("""COMPUTED_VALUE"""),"Vendetta")</f>
        <v>Vendetta</v>
      </c>
      <c r="B446" s="10"/>
      <c r="C446" s="10" t="str">
        <f ca="1">IFERROR(__xludf.DUMMYFUNCTION("""COMPUTED_VALUE"""),"Bakr")</f>
        <v>Bakr</v>
      </c>
      <c r="D446" s="10"/>
      <c r="E446" s="10"/>
      <c r="F446" s="10"/>
      <c r="G446" s="10"/>
      <c r="H446" s="10"/>
      <c r="I446" s="10"/>
    </row>
    <row r="447" spans="1:9">
      <c r="A447" s="10" t="str">
        <f ca="1">IFERROR(__xludf.DUMMYFUNCTION("""COMPUTED_VALUE"""),"Гурт «Експрес»")</f>
        <v>Гурт «Експрес»</v>
      </c>
      <c r="B447" s="10"/>
      <c r="C447" s="10"/>
      <c r="D447" s="10"/>
      <c r="E447" s="10"/>
      <c r="F447" s="10"/>
      <c r="G447" s="10"/>
      <c r="H447" s="10"/>
      <c r="I447" s="10"/>
    </row>
    <row r="448" spans="1:9">
      <c r="A448" s="10" t="str">
        <f ca="1">IFERROR(__xludf.DUMMYFUNCTION("""COMPUTED_VALUE"""),"OPG SVYATIE")</f>
        <v>OPG SVYATIE</v>
      </c>
      <c r="B448" s="10"/>
      <c r="C448" s="10" t="str">
        <f ca="1">IFERROR(__xludf.DUMMYFUNCTION("""COMPUTED_VALUE"""),"LOBODA")</f>
        <v>LOBODA</v>
      </c>
      <c r="D448" s="10"/>
      <c r="E448" s="10"/>
      <c r="F448" s="10"/>
      <c r="G448" s="10"/>
      <c r="H448" s="10"/>
      <c r="I448" s="10"/>
    </row>
    <row r="449" spans="1:9">
      <c r="A449" s="10"/>
      <c r="B449" s="10"/>
      <c r="C449" s="10" t="str">
        <f ca="1">IFERROR(__xludf.DUMMYFUNCTION("""COMPUTED_VALUE"""),"Скруджі")</f>
        <v>Скруджі</v>
      </c>
      <c r="D449" s="10"/>
      <c r="E449" s="10"/>
      <c r="F449" s="10"/>
      <c r="G449" s="10"/>
      <c r="H449" s="10"/>
      <c r="I449" s="10"/>
    </row>
    <row r="450" spans="1:9">
      <c r="A450" s="10" t="str">
        <f ca="1">IFERROR(__xludf.DUMMYFUNCTION("""COMPUTED_VALUE"""),"Mozgi")</f>
        <v>Mozgi</v>
      </c>
      <c r="B450" s="10"/>
      <c r="C450" s="10"/>
      <c r="D450" s="10"/>
      <c r="E450" s="10"/>
      <c r="F450" s="10"/>
      <c r="G450" s="10"/>
      <c r="H450" s="10"/>
      <c r="I450" s="10"/>
    </row>
    <row r="451" spans="1:9">
      <c r="A451" s="10"/>
      <c r="B451" s="10"/>
      <c r="C451" s="10" t="str">
        <f ca="1">IFERROR(__xludf.DUMMYFUNCTION("""COMPUTED_VALUE"""),"Jah Khalib")</f>
        <v>Jah Khalib</v>
      </c>
      <c r="D451" s="10"/>
      <c r="E451" s="10"/>
      <c r="F451" s="10"/>
      <c r="G451" s="10"/>
      <c r="H451" s="10"/>
      <c r="I451" s="10"/>
    </row>
    <row r="452" spans="1:9">
      <c r="A452" s="10" t="str">
        <f ca="1">IFERROR(__xludf.DUMMYFUNCTION("""COMPUTED_VALUE"""),"Алєксєєв Микита Володимирович")</f>
        <v>Алєксєєв Микита Володимирович</v>
      </c>
      <c r="B452" s="10"/>
      <c r="C452" s="10" t="str">
        <f ca="1">IFERROR(__xludf.DUMMYFUNCTION("""COMPUTED_VALUE"""),"ELMAN &amp; Mona")</f>
        <v>ELMAN &amp; Mona</v>
      </c>
      <c r="D452" s="10"/>
      <c r="E452" s="10"/>
      <c r="F452" s="10"/>
      <c r="G452" s="10"/>
      <c r="H452" s="10"/>
      <c r="I452" s="10"/>
    </row>
    <row r="453" spans="1:9">
      <c r="A453" s="10"/>
      <c r="B453" s="10"/>
      <c r="C453" s="10" t="str">
        <f ca="1">IFERROR(__xludf.DUMMYFUNCTION("""COMPUTED_VALUE"""),"ELMAN")</f>
        <v>ELMAN</v>
      </c>
      <c r="D453" s="10"/>
      <c r="E453" s="10"/>
      <c r="F453" s="10"/>
      <c r="G453" s="10"/>
      <c r="H453" s="10"/>
      <c r="I453" s="10"/>
    </row>
    <row r="454" spans="1:9">
      <c r="A454" s="10" t="str">
        <f ca="1">IFERROR(__xludf.DUMMYFUNCTION("""COMPUTED_VALUE"""),"DOVI &amp; NICHKA")</f>
        <v>DOVI &amp; NICHKA</v>
      </c>
      <c r="B454" s="10"/>
      <c r="C454" s="10" t="str">
        <f ca="1">IFERROR(__xludf.DUMMYFUNCTION("""COMPUTED_VALUE"""),"Mona")</f>
        <v>Mona</v>
      </c>
      <c r="D454" s="10"/>
      <c r="E454" s="10"/>
      <c r="F454" s="10"/>
      <c r="G454" s="10"/>
      <c r="H454" s="10"/>
      <c r="I454" s="10"/>
    </row>
    <row r="455" spans="1:9">
      <c r="A455" s="10" t="str">
        <f ca="1">IFERROR(__xludf.DUMMYFUNCTION("""COMPUTED_VALUE"""),"DOVI")</f>
        <v>DOVI</v>
      </c>
      <c r="B455" s="10"/>
      <c r="C455" s="10" t="str">
        <f ca="1">IFERROR(__xludf.DUMMYFUNCTION("""COMPUTED_VALUE"""),"Damaji")</f>
        <v>Damaji</v>
      </c>
      <c r="D455" s="10"/>
      <c r="E455" s="10"/>
      <c r="F455" s="10"/>
      <c r="G455" s="10"/>
      <c r="H455" s="10"/>
      <c r="I455" s="10"/>
    </row>
    <row r="456" spans="1:9">
      <c r="A456" s="10" t="str">
        <f ca="1">IFERROR(__xludf.DUMMYFUNCTION("""COMPUTED_VALUE"""),"NICHKA")</f>
        <v>NICHKA</v>
      </c>
      <c r="B456" s="10"/>
      <c r="C456" s="10" t="str">
        <f ca="1">IFERROR(__xludf.DUMMYFUNCTION("""COMPUTED_VALUE"""),"ALISHKA")</f>
        <v>ALISHKA</v>
      </c>
      <c r="D456" s="10"/>
      <c r="E456" s="10"/>
      <c r="F456" s="10"/>
      <c r="G456" s="10"/>
      <c r="H456" s="10"/>
      <c r="I456" s="10"/>
    </row>
    <row r="457" spans="1:9">
      <c r="A457" s="10"/>
      <c r="B457" s="10"/>
      <c r="C457" s="10" t="str">
        <f ca="1">IFERROR(__xludf.DUMMYFUNCTION("""COMPUTED_VALUE"""),"Goro")</f>
        <v>Goro</v>
      </c>
      <c r="D457" s="10"/>
      <c r="E457" s="10"/>
      <c r="F457" s="10"/>
      <c r="G457" s="10"/>
      <c r="H457" s="10"/>
      <c r="I457" s="10"/>
    </row>
    <row r="458" spans="1:9">
      <c r="A458" s="10" t="str">
        <f ca="1">IFERROR(__xludf.DUMMYFUNCTION("""COMPUTED_VALUE"""),"Mosty")</f>
        <v>Mosty</v>
      </c>
      <c r="B458" s="10"/>
      <c r="C458" s="10" t="str">
        <f ca="1">IFERROR(__xludf.DUMMYFUNCTION("""COMPUTED_VALUE"""),"Filatov &amp; Karas &amp; Minelli")</f>
        <v>Filatov &amp; Karas &amp; Minelli</v>
      </c>
      <c r="D458" s="10"/>
      <c r="E458" s="10"/>
      <c r="F458" s="10"/>
      <c r="G458" s="10"/>
      <c r="H458" s="10"/>
      <c r="I458" s="10"/>
    </row>
    <row r="459" spans="1:9">
      <c r="A459" s="10" t="str">
        <f ca="1">IFERROR(__xludf.DUMMYFUNCTION("""COMPUTED_VALUE"""),"T-Fest")</f>
        <v>T-Fest</v>
      </c>
      <c r="B459" s="10"/>
      <c r="C459" s="10" t="str">
        <f ca="1">IFERROR(__xludf.DUMMYFUNCTION("""COMPUTED_VALUE"""),"Tanir")</f>
        <v>Tanir</v>
      </c>
      <c r="D459" s="10"/>
      <c r="E459" s="10"/>
      <c r="F459" s="10"/>
      <c r="G459" s="10"/>
      <c r="H459" s="10"/>
      <c r="I459" s="10"/>
    </row>
    <row r="460" spans="1:9">
      <c r="A460" s="10" t="str">
        <f ca="1">IFERROR(__xludf.DUMMYFUNCTION("""COMPUTED_VALUE"""),"ETOLUBOV &amp; MAX BARSKIH")</f>
        <v>ETOLUBOV &amp; MAX BARSKIH</v>
      </c>
      <c r="B460" s="10"/>
      <c r="C460" s="10" t="str">
        <f ca="1">IFERROR(__xludf.DUMMYFUNCTION("""COMPUTED_VALUE"""),"Ислам Мальсуйгенов &amp; Зульфия Чотчаева")</f>
        <v>Ислам Мальсуйгенов &amp; Зульфия Чотчаева</v>
      </c>
      <c r="D460" s="10"/>
      <c r="E460" s="10"/>
      <c r="F460" s="10"/>
      <c r="G460" s="10"/>
      <c r="H460" s="10"/>
      <c r="I460" s="10"/>
    </row>
    <row r="461" spans="1:9">
      <c r="A461" s="10"/>
      <c r="B461" s="10"/>
      <c r="C461" s="10" t="str">
        <f ca="1">IFERROR(__xludf.DUMMYFUNCTION("""COMPUTED_VALUE"""),"Dabro")</f>
        <v>Dabro</v>
      </c>
      <c r="D461" s="10"/>
      <c r="E461" s="10"/>
      <c r="F461" s="10"/>
      <c r="G461" s="10"/>
      <c r="H461" s="10"/>
      <c r="I461" s="10"/>
    </row>
    <row r="462" spans="1:9">
      <c r="A462" s="10" t="str">
        <f ca="1">IFERROR(__xludf.DUMMYFUNCTION("""COMPUTED_VALUE"""),"Qatoshi")</f>
        <v>Qatoshi</v>
      </c>
      <c r="B462" s="10"/>
      <c r="C462" s="10" t="str">
        <f ca="1">IFERROR(__xludf.DUMMYFUNCTION("""COMPUTED_VALUE"""),"TalanT")</f>
        <v>TalanT</v>
      </c>
      <c r="D462" s="10"/>
      <c r="E462" s="10"/>
      <c r="F462" s="10"/>
      <c r="G462" s="10"/>
      <c r="H462" s="10"/>
      <c r="I462" s="10"/>
    </row>
    <row r="463" spans="1:9">
      <c r="A463" s="10"/>
      <c r="B463" s="10"/>
      <c r="C463" s="10" t="str">
        <f ca="1">IFERROR(__xludf.DUMMYFUNCTION("""COMPUTED_VALUE"""),"ЯРОСЛАВ ЕВДОКИМОВ")</f>
        <v>ЯРОСЛАВ ЕВДОКИМОВ</v>
      </c>
      <c r="D463" s="10"/>
      <c r="E463" s="10"/>
      <c r="F463" s="10"/>
      <c r="G463" s="10"/>
      <c r="H463" s="10"/>
      <c r="I463" s="10"/>
    </row>
    <row r="464" spans="1:9">
      <c r="A464" s="10"/>
      <c r="B464" s="10"/>
      <c r="C464" s="10" t="str">
        <f ca="1">IFERROR(__xludf.DUMMYFUNCTION("""COMPUTED_VALUE"""),"Лєпріконси")</f>
        <v>Лєпріконси</v>
      </c>
      <c r="D464" s="10"/>
      <c r="E464" s="10"/>
      <c r="F464" s="10"/>
      <c r="G464" s="10"/>
      <c r="H464" s="10"/>
      <c r="I464" s="10"/>
    </row>
    <row r="465" spans="1:9">
      <c r="A465" s="10"/>
      <c r="B465" s="10"/>
      <c r="C465" s="10" t="str">
        <f ca="1">IFERROR(__xludf.DUMMYFUNCTION("""COMPUTED_VALUE"""),"Ельбрус Джанмірзоєв")</f>
        <v>Ельбрус Джанмірзоєв</v>
      </c>
      <c r="D465" s="10"/>
      <c r="E465" s="10"/>
      <c r="F465" s="10"/>
      <c r="G465" s="10"/>
      <c r="H465" s="10"/>
      <c r="I465" s="10"/>
    </row>
    <row r="466" spans="1:9">
      <c r="A466" s="10"/>
      <c r="B466" s="10"/>
      <c r="C466" s="10" t="str">
        <f ca="1">IFERROR(__xludf.DUMMYFUNCTION("""COMPUTED_VALUE"""),"Руслан Набієв &amp; Dj Fat Maxx")</f>
        <v>Руслан Набієв &amp; Dj Fat Maxx</v>
      </c>
      <c r="D466" s="10"/>
      <c r="E466" s="10"/>
      <c r="F466" s="10"/>
      <c r="G466" s="10"/>
      <c r="H466" s="10"/>
      <c r="I466" s="10"/>
    </row>
    <row r="467" spans="1:9">
      <c r="A467" s="10"/>
      <c r="B467" s="10"/>
      <c r="C467" s="10" t="str">
        <f ca="1">IFERROR(__xludf.DUMMYFUNCTION("""COMPUTED_VALUE"""),"Ненсі")</f>
        <v>Ненсі</v>
      </c>
      <c r="D467" s="10"/>
      <c r="E467" s="10"/>
      <c r="F467" s="10"/>
      <c r="G467" s="10"/>
      <c r="H467" s="10"/>
      <c r="I467" s="10"/>
    </row>
    <row r="468" spans="1:9">
      <c r="A468" s="10"/>
      <c r="B468" s="10"/>
      <c r="C468" s="10" t="str">
        <f ca="1">IFERROR(__xludf.DUMMYFUNCTION("""COMPUTED_VALUE"""),"VESNA305")</f>
        <v>VESNA305</v>
      </c>
      <c r="D468" s="10"/>
      <c r="E468" s="10"/>
      <c r="F468" s="10"/>
      <c r="G468" s="10"/>
      <c r="H468" s="10"/>
      <c r="I468" s="10"/>
    </row>
    <row r="469" spans="1:9">
      <c r="A469" s="10"/>
      <c r="B469" s="10"/>
      <c r="C469" s="10" t="str">
        <f ca="1">IFERROR(__xludf.DUMMYFUNCTION("""COMPUTED_VALUE"""),"Skrudzhi")</f>
        <v>Skrudzhi</v>
      </c>
      <c r="D469" s="10"/>
      <c r="E469" s="10"/>
      <c r="F469" s="10"/>
      <c r="G469" s="10"/>
      <c r="H469" s="10"/>
      <c r="I469" s="10"/>
    </row>
    <row r="470" spans="1:9">
      <c r="A470" s="10"/>
      <c r="B470" s="10"/>
      <c r="C470" s="10" t="str">
        <f ca="1">IFERROR(__xludf.DUMMYFUNCTION("""COMPUTED_VALUE"""),"LIL KRYSTALLL")</f>
        <v>LIL KRYSTALLL</v>
      </c>
      <c r="D470" s="10"/>
      <c r="E470" s="10"/>
      <c r="F470" s="10"/>
      <c r="G470" s="10"/>
      <c r="H470" s="10"/>
      <c r="I470" s="10"/>
    </row>
    <row r="471" spans="1:9">
      <c r="A471" s="10"/>
      <c r="B471" s="10"/>
      <c r="C471" s="10"/>
      <c r="D471" s="10"/>
      <c r="E471" s="10"/>
      <c r="F471" s="10"/>
      <c r="G471" s="10"/>
      <c r="H471" s="10"/>
      <c r="I471" s="10"/>
    </row>
    <row r="472" spans="1:9">
      <c r="A472" s="10"/>
      <c r="B472" s="10"/>
      <c r="C472" s="10" t="str">
        <f ca="1">IFERROR(__xludf.DUMMYFUNCTION("""COMPUTED_VALUE"""),"Nikitata &amp; FindMyName")</f>
        <v>Nikitata &amp; FindMyName</v>
      </c>
      <c r="D472" s="10"/>
      <c r="E472" s="10"/>
      <c r="F472" s="10"/>
      <c r="G472" s="10"/>
      <c r="H472" s="10"/>
      <c r="I472" s="10"/>
    </row>
    <row r="473" spans="1:9">
      <c r="A473" s="10"/>
      <c r="B473" s="10"/>
      <c r="C473" s="10"/>
      <c r="D473" s="10"/>
      <c r="E473" s="10"/>
      <c r="F473" s="10"/>
      <c r="G473" s="10"/>
      <c r="H473" s="10"/>
      <c r="I473" s="10"/>
    </row>
    <row r="474" spans="1:9">
      <c r="A474" s="10"/>
      <c r="B474" s="10"/>
      <c r="C474" s="10" t="str">
        <f ca="1">IFERROR(__xludf.DUMMYFUNCTION("""COMPUTED_VALUE"""),"uglystephan &amp; Scally Milano")</f>
        <v>uglystephan &amp; Scally Milano</v>
      </c>
      <c r="D474" s="10"/>
      <c r="E474" s="10"/>
      <c r="F474" s="10"/>
      <c r="G474" s="10"/>
      <c r="H474" s="10"/>
      <c r="I474" s="10"/>
    </row>
    <row r="475" spans="1:9">
      <c r="A475" s="10"/>
      <c r="B475" s="10"/>
      <c r="C475" s="10" t="str">
        <f ca="1">IFERROR(__xludf.DUMMYFUNCTION("""COMPUTED_VALUE"""),"OBLADAET &amp; LIL KRYSTALLL")</f>
        <v>OBLADAET &amp; LIL KRYSTALLL</v>
      </c>
      <c r="D475" s="10"/>
      <c r="E475" s="10"/>
      <c r="F475" s="10"/>
      <c r="G475" s="10"/>
      <c r="H475" s="10"/>
      <c r="I475" s="10"/>
    </row>
    <row r="476" spans="1:9">
      <c r="A476" s="10"/>
      <c r="B476" s="10"/>
      <c r="C476" s="10" t="str">
        <f ca="1">IFERROR(__xludf.DUMMYFUNCTION("""COMPUTED_VALUE"""),"NEEL &amp; Nasty Babe")</f>
        <v>NEEL &amp; Nasty Babe</v>
      </c>
      <c r="D476" s="10"/>
      <c r="E476" s="10"/>
      <c r="F476" s="10"/>
      <c r="G476" s="10"/>
      <c r="H476" s="10"/>
      <c r="I476" s="10"/>
    </row>
    <row r="477" spans="1:9">
      <c r="A477" s="10"/>
      <c r="B477" s="10"/>
      <c r="C477" s="10" t="str">
        <f ca="1">IFERROR(__xludf.DUMMYFUNCTION("""COMPUTED_VALUE"""),"NEEL")</f>
        <v>NEEL</v>
      </c>
      <c r="D477" s="10"/>
      <c r="E477" s="10"/>
      <c r="F477" s="10"/>
      <c r="G477" s="10"/>
      <c r="H477" s="10"/>
      <c r="I477" s="10"/>
    </row>
    <row r="478" spans="1:9">
      <c r="A478" s="10"/>
      <c r="B478" s="10"/>
      <c r="C478" s="10" t="str">
        <f ca="1">IFERROR(__xludf.DUMMYFUNCTION("""COMPUTED_VALUE"""),"Nasty Babe")</f>
        <v>Nasty Babe</v>
      </c>
      <c r="D478" s="10"/>
      <c r="E478" s="10"/>
      <c r="F478" s="10"/>
      <c r="G478" s="10"/>
      <c r="H478" s="10"/>
      <c r="I478" s="10"/>
    </row>
    <row r="479" spans="1:9">
      <c r="A479" s="10"/>
      <c r="B479" s="10"/>
      <c r="C479" s="10" t="str">
        <f ca="1">IFERROR(__xludf.DUMMYFUNCTION("""COMPUTED_VALUE"""),"Ulukmanapo &amp; Bakr")</f>
        <v>Ulukmanapo &amp; Bakr</v>
      </c>
      <c r="D479" s="10"/>
      <c r="E479" s="10"/>
      <c r="F479" s="10"/>
      <c r="G479" s="10"/>
      <c r="H479" s="10"/>
      <c r="I479" s="10"/>
    </row>
    <row r="480" spans="1:9">
      <c r="A480" s="10"/>
      <c r="B480" s="10"/>
      <c r="C480" s="10" t="str">
        <f ca="1">IFERROR(__xludf.DUMMYFUNCTION("""COMPUTED_VALUE"""),"Ulukmanapo")</f>
        <v>Ulukmanapo</v>
      </c>
      <c r="D480" s="10"/>
      <c r="E480" s="10"/>
      <c r="F480" s="10"/>
      <c r="G480" s="10"/>
      <c r="H480" s="10"/>
      <c r="I480" s="10"/>
    </row>
    <row r="481" spans="1:9">
      <c r="A481" s="10"/>
      <c r="B481" s="10"/>
      <c r="C481" s="10" t="str">
        <f ca="1">IFERROR(__xludf.DUMMYFUNCTION("""COMPUTED_VALUE"""),"Andro")</f>
        <v>Andro</v>
      </c>
      <c r="D481" s="10"/>
      <c r="E481" s="10"/>
      <c r="F481" s="10"/>
      <c r="G481" s="10"/>
      <c r="H481" s="10"/>
      <c r="I481" s="10"/>
    </row>
    <row r="482" spans="1:9">
      <c r="A482" s="10"/>
      <c r="B482" s="10"/>
      <c r="C482" s="10" t="str">
        <f ca="1">IFERROR(__xludf.DUMMYFUNCTION("""COMPUTED_VALUE"""),"ALEKS ATAMAN &amp; Finik.Finya")</f>
        <v>ALEKS ATAMAN &amp; Finik.Finya</v>
      </c>
      <c r="D482" s="10"/>
      <c r="E482" s="10"/>
      <c r="F482" s="10"/>
      <c r="G482" s="10"/>
      <c r="H482" s="10"/>
      <c r="I482" s="10"/>
    </row>
    <row r="483" spans="1:9">
      <c r="A483" s="10"/>
      <c r="B483" s="10"/>
      <c r="C483" s="10" t="str">
        <f ca="1">IFERROR(__xludf.DUMMYFUNCTION("""COMPUTED_VALUE"""),"Akmal'")</f>
        <v>Akmal'</v>
      </c>
      <c r="D483" s="10"/>
      <c r="E483" s="10"/>
      <c r="F483" s="10"/>
      <c r="G483" s="10"/>
      <c r="H483" s="10"/>
      <c r="I483" s="10"/>
    </row>
    <row r="484" spans="1:9">
      <c r="A484" s="10"/>
      <c r="B484" s="10"/>
      <c r="C484" s="10" t="str">
        <f ca="1">IFERROR(__xludf.DUMMYFUNCTION("""COMPUTED_VALUE"""),"ANIKV")</f>
        <v>ANIKV</v>
      </c>
      <c r="D484" s="10"/>
      <c r="E484" s="10"/>
      <c r="F484" s="10"/>
      <c r="G484" s="10"/>
      <c r="H484" s="10"/>
      <c r="I484" s="10"/>
    </row>
    <row r="485" spans="1:9">
      <c r="A485" s="10"/>
      <c r="B485" s="10"/>
      <c r="C485" s="10"/>
      <c r="D485" s="10"/>
      <c r="E485" s="10"/>
      <c r="F485" s="10"/>
      <c r="G485" s="10"/>
      <c r="H485" s="10"/>
      <c r="I485" s="10"/>
    </row>
    <row r="486" spans="1:9">
      <c r="A486" s="10"/>
      <c r="B486" s="10"/>
      <c r="C486" s="10" t="str">
        <f ca="1">IFERROR(__xludf.DUMMYFUNCTION("""COMPUTED_VALUE"""),"Jah Khalib &amp; Akha")</f>
        <v>Jah Khalib &amp; Akha</v>
      </c>
      <c r="D486" s="10"/>
      <c r="E486" s="10"/>
      <c r="F486" s="10"/>
      <c r="G486" s="10"/>
      <c r="H486" s="10"/>
      <c r="I486" s="10"/>
    </row>
    <row r="487" spans="1:9">
      <c r="A487" s="10"/>
      <c r="B487" s="10"/>
      <c r="C487" s="10"/>
      <c r="D487" s="10"/>
      <c r="E487" s="10"/>
      <c r="F487" s="10"/>
      <c r="G487" s="10"/>
      <c r="H487" s="10"/>
      <c r="I487" s="10"/>
    </row>
    <row r="488" spans="1:9">
      <c r="A488" s="10"/>
      <c r="B488" s="10"/>
      <c r="C488" s="10"/>
      <c r="D488" s="10"/>
      <c r="E488" s="10"/>
      <c r="F488" s="10"/>
      <c r="G488" s="10"/>
      <c r="H488" s="10"/>
      <c r="I488" s="10"/>
    </row>
    <row r="489" spans="1:9">
      <c r="A489" s="10"/>
      <c r="B489" s="10"/>
      <c r="C489" s="10"/>
      <c r="D489" s="10"/>
      <c r="E489" s="10"/>
      <c r="F489" s="10"/>
      <c r="G489" s="10"/>
      <c r="H489" s="10"/>
      <c r="I489" s="10"/>
    </row>
    <row r="490" spans="1:9">
      <c r="A490" s="10"/>
      <c r="B490" s="10"/>
      <c r="C490" s="10"/>
      <c r="D490" s="10"/>
      <c r="E490" s="10"/>
      <c r="F490" s="10"/>
      <c r="G490" s="10"/>
      <c r="H490" s="10"/>
      <c r="I490" s="10"/>
    </row>
    <row r="491" spans="1:9">
      <c r="A491" s="10"/>
      <c r="B491" s="10"/>
      <c r="C491" s="10"/>
      <c r="D491" s="10"/>
      <c r="E491" s="10"/>
      <c r="F491" s="10"/>
      <c r="G491" s="10"/>
      <c r="H491" s="10"/>
      <c r="I491" s="10"/>
    </row>
    <row r="492" spans="1:9">
      <c r="A492" s="10"/>
      <c r="B492" s="10"/>
      <c r="C492" s="10"/>
      <c r="D492" s="10"/>
      <c r="E492" s="10"/>
      <c r="F492" s="10"/>
      <c r="G492" s="10"/>
      <c r="H492" s="10"/>
      <c r="I492" s="10"/>
    </row>
    <row r="493" spans="1:9">
      <c r="A493" s="10"/>
      <c r="B493" s="10"/>
      <c r="C493" s="10"/>
      <c r="D493" s="10"/>
      <c r="E493" s="10"/>
      <c r="F493" s="10"/>
      <c r="G493" s="10"/>
      <c r="H493" s="10"/>
      <c r="I493" s="10"/>
    </row>
    <row r="494" spans="1:9">
      <c r="A494" s="10"/>
      <c r="B494" s="10"/>
      <c r="C494" s="10"/>
      <c r="D494" s="10"/>
      <c r="E494" s="10"/>
      <c r="F494" s="10"/>
      <c r="G494" s="10"/>
      <c r="H494" s="10"/>
      <c r="I494" s="10"/>
    </row>
    <row r="495" spans="1:9">
      <c r="A495" s="10"/>
      <c r="B495" s="10"/>
      <c r="C495" s="10"/>
      <c r="D495" s="10"/>
      <c r="E495" s="10"/>
      <c r="F495" s="10"/>
      <c r="G495" s="10"/>
      <c r="H495" s="10"/>
      <c r="I495" s="10"/>
    </row>
    <row r="496" spans="1:9">
      <c r="A496" s="10"/>
      <c r="B496" s="10"/>
      <c r="C496" s="10"/>
      <c r="D496" s="10"/>
      <c r="E496" s="10"/>
      <c r="F496" s="10"/>
      <c r="G496" s="10"/>
      <c r="H496" s="10"/>
      <c r="I496" s="10"/>
    </row>
    <row r="497" spans="1:9">
      <c r="A497" s="10"/>
      <c r="B497" s="10"/>
      <c r="C497" s="10"/>
      <c r="D497" s="10"/>
      <c r="E497" s="10"/>
      <c r="F497" s="10"/>
      <c r="G497" s="10"/>
      <c r="H497" s="10"/>
      <c r="I497" s="10"/>
    </row>
    <row r="498" spans="1:9">
      <c r="A498" s="10"/>
      <c r="B498" s="10"/>
      <c r="C498" s="10"/>
      <c r="D498" s="10"/>
      <c r="E498" s="10"/>
      <c r="F498" s="10"/>
      <c r="G498" s="10"/>
      <c r="H498" s="10"/>
      <c r="I498" s="10"/>
    </row>
    <row r="499" spans="1:9">
      <c r="A499" s="10"/>
      <c r="B499" s="10"/>
      <c r="C499" s="10"/>
      <c r="D499" s="10"/>
      <c r="E499" s="10"/>
      <c r="F499" s="10"/>
      <c r="G499" s="10"/>
      <c r="H499" s="10"/>
      <c r="I499" s="10"/>
    </row>
    <row r="500" spans="1:9">
      <c r="A500" s="10"/>
      <c r="B500" s="10"/>
      <c r="C500" s="10"/>
      <c r="D500" s="10"/>
      <c r="E500" s="10"/>
      <c r="F500" s="10"/>
      <c r="G500" s="10"/>
      <c r="H500" s="10"/>
      <c r="I500" s="10"/>
    </row>
    <row r="501" spans="1:9">
      <c r="A501" s="10"/>
      <c r="B501" s="10"/>
      <c r="C501" s="10"/>
      <c r="D501" s="10"/>
      <c r="E501" s="10"/>
      <c r="F501" s="10"/>
      <c r="G501" s="10"/>
      <c r="H501" s="10"/>
      <c r="I501" s="10"/>
    </row>
    <row r="502" spans="1:9">
      <c r="A502" s="10"/>
      <c r="B502" s="10"/>
      <c r="C502" s="10"/>
      <c r="D502" s="10"/>
      <c r="E502" s="10"/>
      <c r="F502" s="10"/>
      <c r="G502" s="10"/>
      <c r="H502" s="10"/>
      <c r="I502" s="10"/>
    </row>
    <row r="503" spans="1:9">
      <c r="A503" s="10"/>
      <c r="B503" s="10"/>
      <c r="C503" s="10"/>
      <c r="D503" s="10"/>
      <c r="E503" s="10"/>
      <c r="F503" s="10"/>
      <c r="G503" s="10"/>
      <c r="H503" s="10"/>
      <c r="I503" s="10"/>
    </row>
    <row r="504" spans="1:9">
      <c r="A504" s="10"/>
      <c r="B504" s="10"/>
      <c r="C504" s="10"/>
      <c r="D504" s="10"/>
      <c r="E504" s="10"/>
      <c r="F504" s="10"/>
      <c r="G504" s="10"/>
      <c r="H504" s="10"/>
      <c r="I504" s="10"/>
    </row>
    <row r="505" spans="1:9">
      <c r="A505" s="10"/>
      <c r="B505" s="10"/>
      <c r="C505" s="10"/>
      <c r="D505" s="10"/>
      <c r="E505" s="10"/>
      <c r="F505" s="10"/>
      <c r="G505" s="10"/>
      <c r="H505" s="10"/>
      <c r="I505" s="10"/>
    </row>
    <row r="506" spans="1:9">
      <c r="A506" s="10"/>
      <c r="B506" s="10"/>
      <c r="C506" s="10"/>
      <c r="D506" s="10"/>
      <c r="E506" s="10"/>
      <c r="F506" s="10"/>
      <c r="G506" s="10"/>
      <c r="H506" s="10"/>
      <c r="I506" s="10"/>
    </row>
    <row r="507" spans="1:9">
      <c r="A507" s="10"/>
      <c r="B507" s="10"/>
      <c r="C507" s="10"/>
      <c r="D507" s="10"/>
      <c r="E507" s="10"/>
      <c r="F507" s="10"/>
      <c r="G507" s="10"/>
      <c r="H507" s="10"/>
      <c r="I507" s="10"/>
    </row>
    <row r="508" spans="1:9">
      <c r="A508" s="10"/>
      <c r="B508" s="10"/>
      <c r="C508" s="10"/>
      <c r="D508" s="10"/>
      <c r="E508" s="10"/>
      <c r="F508" s="10"/>
      <c r="G508" s="10"/>
      <c r="H508" s="10"/>
      <c r="I508" s="10"/>
    </row>
    <row r="509" spans="1:9">
      <c r="A509" s="10"/>
      <c r="B509" s="10"/>
      <c r="C509" s="10"/>
      <c r="D509" s="10"/>
      <c r="E509" s="10"/>
      <c r="F509" s="10"/>
      <c r="G509" s="10"/>
      <c r="H509" s="10"/>
      <c r="I509" s="10"/>
    </row>
    <row r="510" spans="1:9">
      <c r="A510" s="10"/>
      <c r="B510" s="10"/>
      <c r="C510" s="10"/>
      <c r="D510" s="10"/>
      <c r="E510" s="10"/>
      <c r="F510" s="10"/>
      <c r="G510" s="10"/>
      <c r="H510" s="10"/>
      <c r="I510" s="10"/>
    </row>
    <row r="511" spans="1:9">
      <c r="A511" s="10"/>
      <c r="B511" s="10"/>
      <c r="C511" s="10"/>
      <c r="D511" s="10"/>
      <c r="E511" s="10"/>
      <c r="F511" s="10"/>
      <c r="G511" s="10"/>
      <c r="H511" s="10"/>
      <c r="I511" s="10"/>
    </row>
    <row r="512" spans="1:9">
      <c r="A512" s="10"/>
      <c r="B512" s="10"/>
      <c r="C512" s="10"/>
      <c r="D512" s="10"/>
      <c r="E512" s="10"/>
      <c r="F512" s="10"/>
      <c r="G512" s="10"/>
      <c r="H512" s="10"/>
      <c r="I512" s="10"/>
    </row>
    <row r="513" spans="1:9">
      <c r="A513" s="10"/>
      <c r="B513" s="10"/>
      <c r="C513" s="10"/>
      <c r="D513" s="10"/>
      <c r="E513" s="10"/>
      <c r="F513" s="10"/>
      <c r="G513" s="10"/>
      <c r="H513" s="10"/>
      <c r="I513" s="10"/>
    </row>
    <row r="514" spans="1:9">
      <c r="A514" s="10"/>
      <c r="B514" s="10"/>
      <c r="C514" s="10"/>
      <c r="D514" s="10"/>
      <c r="E514" s="10"/>
      <c r="F514" s="10"/>
      <c r="G514" s="10"/>
      <c r="H514" s="10"/>
      <c r="I514" s="10"/>
    </row>
    <row r="515" spans="1:9">
      <c r="A515" s="10"/>
      <c r="B515" s="10"/>
      <c r="C515" s="10"/>
      <c r="D515" s="10"/>
      <c r="E515" s="10"/>
      <c r="F515" s="10"/>
      <c r="G515" s="10"/>
      <c r="H515" s="10"/>
      <c r="I515" s="10"/>
    </row>
    <row r="516" spans="1:9">
      <c r="A516" s="10"/>
      <c r="B516" s="10"/>
      <c r="C516" s="10"/>
      <c r="D516" s="10"/>
      <c r="E516" s="10"/>
      <c r="F516" s="10"/>
      <c r="G516" s="10"/>
      <c r="H516" s="10"/>
      <c r="I516" s="10"/>
    </row>
    <row r="517" spans="1:9">
      <c r="A517" s="10"/>
      <c r="B517" s="10"/>
      <c r="C517" s="10"/>
      <c r="D517" s="10"/>
      <c r="E517" s="10"/>
      <c r="F517" s="10"/>
      <c r="G517" s="10"/>
      <c r="H517" s="10"/>
      <c r="I517" s="10"/>
    </row>
    <row r="518" spans="1:9">
      <c r="A518" s="10"/>
      <c r="B518" s="10"/>
      <c r="C518" s="10"/>
      <c r="D518" s="10"/>
      <c r="E518" s="10"/>
      <c r="F518" s="10"/>
      <c r="G518" s="10"/>
      <c r="H518" s="10"/>
      <c r="I518" s="10"/>
    </row>
    <row r="519" spans="1:9">
      <c r="A519" s="10"/>
      <c r="B519" s="10"/>
      <c r="C519" s="10"/>
      <c r="D519" s="10"/>
      <c r="E519" s="10"/>
      <c r="F519" s="10"/>
      <c r="G519" s="10"/>
      <c r="H519" s="10"/>
      <c r="I519" s="10"/>
    </row>
    <row r="520" spans="1:9">
      <c r="A520" s="10"/>
      <c r="B520" s="10"/>
      <c r="C520" s="10"/>
      <c r="D520" s="10"/>
      <c r="E520" s="10"/>
      <c r="F520" s="10"/>
      <c r="G520" s="10"/>
      <c r="H520" s="10"/>
      <c r="I520" s="10"/>
    </row>
    <row r="521" spans="1:9">
      <c r="A521" s="10"/>
      <c r="B521" s="10"/>
      <c r="C521" s="10"/>
      <c r="D521" s="10"/>
      <c r="E521" s="10"/>
      <c r="F521" s="10"/>
      <c r="G521" s="10"/>
      <c r="H521" s="10"/>
      <c r="I521" s="10"/>
    </row>
    <row r="522" spans="1:9">
      <c r="A522" s="10"/>
      <c r="B522" s="10"/>
      <c r="C522" s="10"/>
      <c r="D522" s="10"/>
      <c r="E522" s="10"/>
      <c r="F522" s="10"/>
      <c r="G522" s="10"/>
      <c r="H522" s="10"/>
      <c r="I522" s="10"/>
    </row>
    <row r="523" spans="1:9">
      <c r="A523" s="10"/>
      <c r="B523" s="10"/>
      <c r="C523" s="10"/>
      <c r="D523" s="10"/>
      <c r="E523" s="10"/>
      <c r="F523" s="10"/>
      <c r="G523" s="10"/>
      <c r="H523" s="10"/>
      <c r="I523" s="10"/>
    </row>
    <row r="524" spans="1:9">
      <c r="A524" s="10"/>
      <c r="B524" s="10"/>
      <c r="C524" s="10"/>
      <c r="D524" s="10"/>
      <c r="E524" s="10"/>
      <c r="F524" s="10"/>
      <c r="G524" s="10"/>
      <c r="H524" s="10"/>
      <c r="I524" s="10"/>
    </row>
    <row r="525" spans="1:9">
      <c r="A525" s="10"/>
      <c r="B525" s="10"/>
      <c r="C525" s="10"/>
      <c r="D525" s="10"/>
      <c r="E525" s="10"/>
      <c r="F525" s="10"/>
      <c r="G525" s="10"/>
      <c r="H525" s="10"/>
      <c r="I525" s="10"/>
    </row>
    <row r="526" spans="1:9">
      <c r="A526" s="10"/>
      <c r="B526" s="10"/>
      <c r="C526" s="10"/>
      <c r="D526" s="10"/>
      <c r="E526" s="10"/>
      <c r="F526" s="10"/>
      <c r="G526" s="10"/>
      <c r="H526" s="10"/>
      <c r="I526" s="10"/>
    </row>
    <row r="527" spans="1:9">
      <c r="A527" s="10"/>
      <c r="B527" s="10"/>
      <c r="C527" s="10"/>
      <c r="D527" s="10"/>
      <c r="E527" s="10"/>
      <c r="F527" s="10"/>
      <c r="G527" s="10"/>
      <c r="H527" s="10"/>
      <c r="I527" s="10"/>
    </row>
    <row r="528" spans="1:9">
      <c r="A528" s="10"/>
      <c r="B528" s="10"/>
      <c r="C528" s="10"/>
      <c r="D528" s="10"/>
      <c r="E528" s="10"/>
      <c r="F528" s="10"/>
      <c r="G528" s="10"/>
      <c r="H528" s="10"/>
      <c r="I528" s="10"/>
    </row>
    <row r="529" spans="1:9">
      <c r="A529" s="10"/>
      <c r="B529" s="10"/>
      <c r="C529" s="10"/>
      <c r="D529" s="10"/>
      <c r="E529" s="10"/>
      <c r="F529" s="10"/>
      <c r="G529" s="10"/>
      <c r="H529" s="10"/>
      <c r="I529" s="10"/>
    </row>
    <row r="530" spans="1:9">
      <c r="A530" s="10"/>
      <c r="B530" s="10"/>
      <c r="C530" s="10"/>
      <c r="D530" s="10"/>
      <c r="E530" s="10"/>
      <c r="F530" s="10"/>
      <c r="G530" s="10"/>
      <c r="H530" s="10"/>
      <c r="I530" s="10"/>
    </row>
    <row r="531" spans="1:9">
      <c r="A531" s="10"/>
      <c r="B531" s="10"/>
      <c r="C531" s="10"/>
      <c r="D531" s="10"/>
      <c r="E531" s="10"/>
      <c r="F531" s="10"/>
      <c r="G531" s="10"/>
      <c r="H531" s="10"/>
      <c r="I531" s="10"/>
    </row>
    <row r="532" spans="1:9">
      <c r="A532" s="10"/>
      <c r="B532" s="10"/>
      <c r="C532" s="10"/>
      <c r="D532" s="10"/>
      <c r="E532" s="10"/>
      <c r="F532" s="10"/>
      <c r="G532" s="10"/>
      <c r="H532" s="10"/>
      <c r="I532" s="10"/>
    </row>
    <row r="533" spans="1:9">
      <c r="A533" s="10"/>
      <c r="B533" s="10"/>
      <c r="C533" s="10"/>
      <c r="D533" s="10"/>
      <c r="E533" s="10"/>
      <c r="F533" s="10"/>
      <c r="G533" s="10"/>
      <c r="H533" s="10"/>
      <c r="I533" s="10"/>
    </row>
    <row r="534" spans="1:9">
      <c r="A534" s="10"/>
      <c r="B534" s="10"/>
      <c r="C534" s="10"/>
      <c r="D534" s="10"/>
      <c r="E534" s="10"/>
      <c r="F534" s="10"/>
      <c r="G534" s="10"/>
      <c r="H534" s="10"/>
      <c r="I534" s="10"/>
    </row>
    <row r="535" spans="1:9">
      <c r="A535" s="10"/>
      <c r="B535" s="10"/>
      <c r="C535" s="10"/>
      <c r="D535" s="10"/>
      <c r="E535" s="10"/>
      <c r="F535" s="10"/>
      <c r="G535" s="10"/>
      <c r="H535" s="10"/>
      <c r="I535" s="10"/>
    </row>
    <row r="536" spans="1:9">
      <c r="A536" s="10"/>
      <c r="B536" s="10"/>
      <c r="C536" s="10"/>
      <c r="D536" s="10"/>
      <c r="E536" s="10"/>
      <c r="F536" s="10"/>
      <c r="G536" s="10"/>
      <c r="H536" s="10"/>
      <c r="I536" s="10"/>
    </row>
    <row r="537" spans="1:9">
      <c r="A537" s="10"/>
      <c r="B537" s="10"/>
      <c r="C537" s="10"/>
      <c r="D537" s="10"/>
      <c r="E537" s="10"/>
      <c r="F537" s="10"/>
      <c r="G537" s="10"/>
      <c r="H537" s="10"/>
      <c r="I537" s="10"/>
    </row>
    <row r="538" spans="1:9">
      <c r="A538" s="10"/>
      <c r="B538" s="10"/>
      <c r="C538" s="10"/>
      <c r="D538" s="10"/>
      <c r="E538" s="10"/>
      <c r="F538" s="10"/>
      <c r="G538" s="10"/>
      <c r="H538" s="10"/>
      <c r="I538" s="10"/>
    </row>
    <row r="539" spans="1:9">
      <c r="A539" s="10"/>
      <c r="B539" s="10"/>
      <c r="C539" s="10"/>
      <c r="D539" s="10"/>
      <c r="E539" s="10"/>
      <c r="F539" s="10"/>
      <c r="G539" s="10"/>
      <c r="H539" s="10"/>
      <c r="I539" s="10"/>
    </row>
    <row r="540" spans="1:9">
      <c r="A540" s="10"/>
      <c r="B540" s="10"/>
      <c r="C540" s="10"/>
      <c r="D540" s="10"/>
      <c r="E540" s="10"/>
      <c r="F540" s="10"/>
      <c r="G540" s="10"/>
      <c r="H540" s="10"/>
      <c r="I540" s="10"/>
    </row>
    <row r="541" spans="1:9">
      <c r="A541" s="10"/>
      <c r="B541" s="10"/>
      <c r="C541" s="10"/>
      <c r="D541" s="10"/>
      <c r="E541" s="10"/>
      <c r="F541" s="10"/>
      <c r="G541" s="10"/>
      <c r="H541" s="10"/>
      <c r="I541" s="10"/>
    </row>
    <row r="542" spans="1:9">
      <c r="A542" s="10"/>
      <c r="B542" s="10"/>
      <c r="C542" s="10"/>
      <c r="D542" s="10"/>
      <c r="E542" s="10"/>
      <c r="F542" s="10"/>
      <c r="G542" s="10"/>
      <c r="H542" s="10"/>
      <c r="I542" s="10"/>
    </row>
    <row r="543" spans="1:9">
      <c r="A543" s="10"/>
      <c r="B543" s="10"/>
      <c r="C543" s="10"/>
      <c r="D543" s="10"/>
      <c r="E543" s="10"/>
      <c r="F543" s="10"/>
      <c r="G543" s="10"/>
      <c r="H543" s="10"/>
      <c r="I543" s="10"/>
    </row>
    <row r="544" spans="1:9">
      <c r="A544" s="10"/>
      <c r="B544" s="10"/>
      <c r="C544" s="10"/>
      <c r="D544" s="10"/>
      <c r="E544" s="10"/>
      <c r="F544" s="10"/>
      <c r="G544" s="10"/>
      <c r="H544" s="10"/>
      <c r="I544" s="10"/>
    </row>
    <row r="545" spans="1:9">
      <c r="A545" s="10"/>
      <c r="B545" s="10"/>
      <c r="C545" s="10"/>
      <c r="D545" s="10"/>
      <c r="E545" s="10"/>
      <c r="F545" s="10"/>
      <c r="G545" s="10"/>
      <c r="H545" s="10"/>
      <c r="I545" s="10"/>
    </row>
    <row r="546" spans="1:9">
      <c r="A546" s="10"/>
      <c r="B546" s="10"/>
      <c r="C546" s="10"/>
      <c r="D546" s="10"/>
      <c r="E546" s="10"/>
      <c r="F546" s="10"/>
      <c r="G546" s="10"/>
      <c r="H546" s="10"/>
      <c r="I546" s="10"/>
    </row>
    <row r="547" spans="1:9">
      <c r="A547" s="10"/>
      <c r="B547" s="10"/>
      <c r="C547" s="10"/>
      <c r="D547" s="10"/>
      <c r="E547" s="10"/>
      <c r="F547" s="10"/>
      <c r="G547" s="10"/>
      <c r="H547" s="10"/>
      <c r="I547" s="10"/>
    </row>
    <row r="548" spans="1:9">
      <c r="A548" s="10"/>
      <c r="B548" s="10"/>
      <c r="C548" s="10"/>
      <c r="D548" s="10"/>
      <c r="E548" s="10"/>
      <c r="F548" s="10"/>
      <c r="G548" s="10"/>
      <c r="H548" s="10"/>
      <c r="I548" s="10"/>
    </row>
    <row r="549" spans="1:9">
      <c r="A549" s="10"/>
      <c r="B549" s="10"/>
      <c r="C549" s="10"/>
      <c r="D549" s="10"/>
      <c r="E549" s="10"/>
      <c r="F549" s="10"/>
      <c r="G549" s="10"/>
      <c r="H549" s="10"/>
      <c r="I549" s="10"/>
    </row>
    <row r="550" spans="1:9">
      <c r="A550" s="10"/>
      <c r="B550" s="10"/>
      <c r="C550" s="10"/>
      <c r="D550" s="10"/>
      <c r="E550" s="10"/>
      <c r="F550" s="10"/>
      <c r="G550" s="10"/>
      <c r="H550" s="10"/>
      <c r="I550" s="10"/>
    </row>
    <row r="551" spans="1:9">
      <c r="A551" s="10"/>
      <c r="B551" s="10"/>
      <c r="C551" s="10"/>
      <c r="D551" s="10"/>
      <c r="E551" s="10"/>
      <c r="F551" s="10"/>
      <c r="G551" s="10"/>
      <c r="H551" s="10"/>
      <c r="I551" s="10"/>
    </row>
    <row r="552" spans="1:9">
      <c r="A552" s="10"/>
      <c r="B552" s="10"/>
      <c r="C552" s="10"/>
      <c r="D552" s="10"/>
      <c r="E552" s="10"/>
      <c r="F552" s="10"/>
      <c r="G552" s="10"/>
      <c r="H552" s="10"/>
      <c r="I552" s="10"/>
    </row>
    <row r="553" spans="1:9">
      <c r="A553" s="10"/>
      <c r="B553" s="10"/>
      <c r="C553" s="10"/>
      <c r="D553" s="10"/>
      <c r="E553" s="10"/>
      <c r="F553" s="10"/>
      <c r="G553" s="10"/>
      <c r="H553" s="10"/>
      <c r="I553" s="10"/>
    </row>
    <row r="554" spans="1:9">
      <c r="A554" s="10"/>
      <c r="B554" s="10"/>
      <c r="C554" s="10"/>
      <c r="D554" s="10"/>
      <c r="E554" s="10"/>
      <c r="F554" s="10"/>
      <c r="G554" s="10"/>
      <c r="H554" s="10"/>
      <c r="I554" s="10"/>
    </row>
    <row r="555" spans="1:9">
      <c r="A555" s="10"/>
      <c r="B555" s="10"/>
      <c r="C555" s="10"/>
      <c r="D555" s="10"/>
      <c r="E555" s="10"/>
      <c r="F555" s="10"/>
      <c r="G555" s="10"/>
      <c r="H555" s="10"/>
      <c r="I555" s="10"/>
    </row>
    <row r="556" spans="1:9">
      <c r="A556" s="10"/>
      <c r="B556" s="10"/>
      <c r="C556" s="10"/>
      <c r="D556" s="10"/>
      <c r="E556" s="10"/>
      <c r="F556" s="10"/>
      <c r="G556" s="10"/>
      <c r="H556" s="10"/>
      <c r="I556" s="10"/>
    </row>
    <row r="557" spans="1:9">
      <c r="A557" s="10"/>
      <c r="B557" s="10"/>
      <c r="C557" s="10"/>
      <c r="D557" s="10"/>
      <c r="E557" s="10"/>
      <c r="F557" s="10"/>
      <c r="G557" s="10"/>
      <c r="H557" s="10"/>
      <c r="I557" s="10"/>
    </row>
    <row r="558" spans="1:9">
      <c r="A558" s="10"/>
      <c r="B558" s="10"/>
      <c r="C558" s="10"/>
      <c r="D558" s="10"/>
      <c r="E558" s="10"/>
      <c r="F558" s="10"/>
      <c r="G558" s="10"/>
      <c r="H558" s="10"/>
      <c r="I558" s="10"/>
    </row>
    <row r="559" spans="1:9">
      <c r="A559" s="10"/>
      <c r="B559" s="10"/>
      <c r="C559" s="10"/>
      <c r="D559" s="10"/>
      <c r="E559" s="10"/>
      <c r="F559" s="10"/>
      <c r="G559" s="10"/>
      <c r="H559" s="10"/>
      <c r="I559" s="10"/>
    </row>
    <row r="560" spans="1:9">
      <c r="A560" s="10"/>
      <c r="B560" s="10"/>
      <c r="C560" s="10"/>
      <c r="D560" s="10"/>
      <c r="E560" s="10"/>
      <c r="F560" s="10"/>
      <c r="G560" s="10"/>
      <c r="H560" s="10"/>
      <c r="I560" s="10"/>
    </row>
    <row r="561" spans="1:9">
      <c r="A561" s="10"/>
      <c r="B561" s="10"/>
      <c r="C561" s="10"/>
      <c r="D561" s="10"/>
      <c r="E561" s="10"/>
      <c r="F561" s="10"/>
      <c r="G561" s="10"/>
      <c r="H561" s="10"/>
      <c r="I561" s="10"/>
    </row>
    <row r="562" spans="1:9">
      <c r="A562" s="10"/>
      <c r="B562" s="10"/>
      <c r="C562" s="10"/>
      <c r="D562" s="10"/>
      <c r="E562" s="10"/>
      <c r="F562" s="10"/>
      <c r="G562" s="10"/>
      <c r="H562" s="10"/>
      <c r="I562" s="10"/>
    </row>
    <row r="563" spans="1:9">
      <c r="A563" s="10"/>
      <c r="B563" s="10"/>
      <c r="C563" s="10"/>
      <c r="D563" s="10"/>
      <c r="E563" s="10"/>
      <c r="F563" s="10"/>
      <c r="G563" s="10"/>
      <c r="H563" s="10"/>
      <c r="I563" s="10"/>
    </row>
    <row r="564" spans="1:9">
      <c r="A564" s="10"/>
      <c r="B564" s="10"/>
      <c r="C564" s="10"/>
      <c r="D564" s="10"/>
      <c r="E564" s="10"/>
      <c r="F564" s="10"/>
      <c r="G564" s="10"/>
      <c r="H564" s="10"/>
      <c r="I564" s="10"/>
    </row>
    <row r="565" spans="1:9">
      <c r="A565" s="10"/>
      <c r="B565" s="10"/>
      <c r="C565" s="10"/>
      <c r="D565" s="10"/>
      <c r="E565" s="10"/>
      <c r="F565" s="10"/>
      <c r="G565" s="10"/>
      <c r="H565" s="10"/>
      <c r="I565" s="10"/>
    </row>
    <row r="566" spans="1:9">
      <c r="A566" s="10"/>
      <c r="B566" s="10"/>
      <c r="C566" s="10"/>
      <c r="D566" s="10"/>
      <c r="E566" s="10"/>
      <c r="F566" s="10"/>
      <c r="G566" s="10"/>
      <c r="H566" s="10"/>
      <c r="I566" s="10"/>
    </row>
    <row r="567" spans="1:9">
      <c r="A567" s="10"/>
      <c r="B567" s="10"/>
      <c r="C567" s="10"/>
      <c r="D567" s="10"/>
      <c r="E567" s="10"/>
      <c r="F567" s="10"/>
      <c r="G567" s="10"/>
      <c r="H567" s="10"/>
      <c r="I567" s="10"/>
    </row>
    <row r="568" spans="1:9">
      <c r="A568" s="10"/>
      <c r="B568" s="10"/>
      <c r="C568" s="10"/>
      <c r="D568" s="10"/>
      <c r="E568" s="10"/>
      <c r="F568" s="10"/>
      <c r="G568" s="10"/>
      <c r="H568" s="10"/>
      <c r="I568" s="10"/>
    </row>
    <row r="569" spans="1:9">
      <c r="A569" s="10"/>
      <c r="B569" s="10"/>
      <c r="C569" s="10"/>
      <c r="D569" s="10"/>
      <c r="E569" s="10"/>
      <c r="F569" s="10"/>
      <c r="G569" s="10"/>
      <c r="H569" s="10"/>
      <c r="I569" s="10"/>
    </row>
    <row r="570" spans="1:9">
      <c r="A570" s="10"/>
      <c r="B570" s="10"/>
      <c r="C570" s="10"/>
      <c r="D570" s="10"/>
      <c r="E570" s="10"/>
      <c r="F570" s="10"/>
      <c r="G570" s="10"/>
      <c r="H570" s="10"/>
      <c r="I570" s="10"/>
    </row>
    <row r="571" spans="1:9">
      <c r="A571" s="10"/>
      <c r="B571" s="10"/>
      <c r="C571" s="10"/>
      <c r="D571" s="10"/>
      <c r="E571" s="10"/>
      <c r="F571" s="10"/>
      <c r="G571" s="10"/>
      <c r="H571" s="10"/>
      <c r="I571" s="10"/>
    </row>
    <row r="572" spans="1:9">
      <c r="A572" s="10"/>
      <c r="B572" s="10"/>
      <c r="C572" s="10"/>
      <c r="D572" s="10"/>
      <c r="E572" s="10"/>
      <c r="F572" s="10"/>
      <c r="G572" s="10"/>
      <c r="H572" s="10"/>
      <c r="I572" s="10"/>
    </row>
    <row r="573" spans="1:9">
      <c r="A573" s="10"/>
      <c r="B573" s="10"/>
      <c r="C573" s="10"/>
      <c r="D573" s="10"/>
      <c r="E573" s="10"/>
      <c r="F573" s="10"/>
      <c r="G573" s="10"/>
      <c r="H573" s="10"/>
      <c r="I573" s="10"/>
    </row>
    <row r="574" spans="1:9">
      <c r="A574" s="10"/>
      <c r="B574" s="10"/>
      <c r="C574" s="10"/>
      <c r="D574" s="10"/>
      <c r="E574" s="10"/>
      <c r="F574" s="10"/>
      <c r="G574" s="10"/>
      <c r="H574" s="10"/>
      <c r="I574" s="10"/>
    </row>
    <row r="575" spans="1:9">
      <c r="A575" s="10"/>
      <c r="B575" s="10"/>
      <c r="C575" s="10"/>
      <c r="D575" s="10"/>
      <c r="E575" s="10"/>
      <c r="F575" s="10"/>
      <c r="G575" s="10"/>
      <c r="H575" s="10"/>
      <c r="I575" s="10"/>
    </row>
    <row r="576" spans="1:9">
      <c r="A576" s="10"/>
      <c r="B576" s="10"/>
      <c r="C576" s="10"/>
      <c r="D576" s="10"/>
      <c r="E576" s="10"/>
      <c r="F576" s="10"/>
      <c r="G576" s="10"/>
      <c r="H576" s="10"/>
      <c r="I576" s="10"/>
    </row>
    <row r="577" spans="1:9">
      <c r="A577" s="10"/>
      <c r="B577" s="10"/>
      <c r="C577" s="10"/>
      <c r="D577" s="10"/>
      <c r="E577" s="10"/>
      <c r="F577" s="10"/>
      <c r="G577" s="10"/>
      <c r="H577" s="10"/>
      <c r="I577" s="10"/>
    </row>
    <row r="578" spans="1:9">
      <c r="A578" s="10"/>
      <c r="B578" s="10"/>
      <c r="C578" s="10"/>
      <c r="D578" s="10"/>
      <c r="E578" s="10"/>
      <c r="F578" s="10"/>
      <c r="G578" s="10"/>
      <c r="H578" s="10"/>
      <c r="I578" s="10"/>
    </row>
    <row r="579" spans="1:9">
      <c r="A579" s="10"/>
      <c r="B579" s="10"/>
      <c r="C579" s="10"/>
      <c r="D579" s="10"/>
      <c r="E579" s="10"/>
      <c r="F579" s="10"/>
      <c r="G579" s="10"/>
      <c r="H579" s="10"/>
      <c r="I579" s="10"/>
    </row>
    <row r="580" spans="1:9">
      <c r="A580" s="10"/>
      <c r="B580" s="10"/>
      <c r="C580" s="10"/>
      <c r="D580" s="10"/>
      <c r="E580" s="10"/>
      <c r="F580" s="10"/>
      <c r="G580" s="10"/>
      <c r="H580" s="10"/>
      <c r="I580" s="10"/>
    </row>
    <row r="581" spans="1:9">
      <c r="A581" s="10"/>
      <c r="B581" s="10"/>
      <c r="C581" s="10"/>
      <c r="D581" s="10"/>
      <c r="E581" s="10"/>
      <c r="F581" s="10"/>
      <c r="G581" s="10"/>
      <c r="H581" s="10"/>
      <c r="I581" s="10"/>
    </row>
    <row r="582" spans="1:9">
      <c r="A582" s="10"/>
      <c r="B582" s="10"/>
      <c r="C582" s="10"/>
      <c r="D582" s="10"/>
      <c r="E582" s="10"/>
      <c r="F582" s="10"/>
      <c r="G582" s="10"/>
      <c r="H582" s="10"/>
      <c r="I582" s="10"/>
    </row>
    <row r="583" spans="1:9">
      <c r="A583" s="10"/>
      <c r="B583" s="10"/>
      <c r="C583" s="10"/>
      <c r="D583" s="10"/>
      <c r="E583" s="10"/>
      <c r="F583" s="10"/>
      <c r="G583" s="10"/>
      <c r="H583" s="10"/>
      <c r="I583" s="10"/>
    </row>
    <row r="584" spans="1:9">
      <c r="A584" s="10"/>
      <c r="B584" s="10"/>
      <c r="C584" s="10"/>
      <c r="D584" s="10"/>
      <c r="E584" s="10"/>
      <c r="F584" s="10"/>
      <c r="G584" s="10"/>
      <c r="H584" s="10"/>
      <c r="I584" s="10"/>
    </row>
    <row r="585" spans="1:9">
      <c r="A585" s="10"/>
      <c r="B585" s="10"/>
      <c r="C585" s="10"/>
      <c r="D585" s="10"/>
      <c r="E585" s="10"/>
      <c r="F585" s="10"/>
      <c r="G585" s="10"/>
      <c r="H585" s="10"/>
      <c r="I585" s="10"/>
    </row>
    <row r="586" spans="1:9">
      <c r="A586" s="10"/>
      <c r="B586" s="10"/>
      <c r="C586" s="10"/>
      <c r="D586" s="10"/>
      <c r="E586" s="10"/>
      <c r="F586" s="10"/>
      <c r="G586" s="10"/>
      <c r="H586" s="10"/>
      <c r="I586" s="10"/>
    </row>
    <row r="587" spans="1:9">
      <c r="A587" s="10"/>
      <c r="B587" s="10"/>
      <c r="C587" s="10"/>
      <c r="D587" s="10"/>
      <c r="E587" s="10"/>
      <c r="F587" s="10"/>
      <c r="G587" s="10"/>
      <c r="H587" s="10"/>
      <c r="I587" s="10"/>
    </row>
    <row r="588" spans="1:9">
      <c r="A588" s="10"/>
      <c r="B588" s="10"/>
      <c r="C588" s="10"/>
      <c r="D588" s="10"/>
      <c r="E588" s="10"/>
      <c r="F588" s="10"/>
      <c r="G588" s="10"/>
      <c r="H588" s="10"/>
      <c r="I588" s="10"/>
    </row>
    <row r="589" spans="1:9">
      <c r="A589" s="10"/>
      <c r="B589" s="10"/>
      <c r="C589" s="10"/>
      <c r="D589" s="10"/>
      <c r="E589" s="10"/>
      <c r="F589" s="10"/>
      <c r="G589" s="10"/>
      <c r="H589" s="10"/>
      <c r="I589" s="10"/>
    </row>
    <row r="590" spans="1:9">
      <c r="A590" s="10"/>
      <c r="B590" s="10"/>
      <c r="C590" s="10"/>
      <c r="D590" s="10"/>
      <c r="E590" s="10"/>
      <c r="F590" s="10"/>
      <c r="G590" s="10"/>
      <c r="H590" s="10"/>
      <c r="I590" s="10"/>
    </row>
    <row r="591" spans="1:9">
      <c r="A591" s="10"/>
      <c r="B591" s="10"/>
      <c r="C591" s="10"/>
      <c r="D591" s="10"/>
      <c r="E591" s="10"/>
      <c r="F591" s="10"/>
      <c r="G591" s="10"/>
      <c r="H591" s="10"/>
      <c r="I591" s="10"/>
    </row>
    <row r="592" spans="1:9">
      <c r="A592" s="10"/>
      <c r="B592" s="10"/>
      <c r="C592" s="10"/>
      <c r="D592" s="10"/>
      <c r="E592" s="10"/>
      <c r="F592" s="10"/>
      <c r="G592" s="10"/>
      <c r="H592" s="10"/>
      <c r="I592" s="10"/>
    </row>
    <row r="593" spans="1:9">
      <c r="A593" s="10"/>
      <c r="B593" s="10"/>
      <c r="C593" s="10"/>
      <c r="D593" s="10"/>
      <c r="E593" s="10"/>
      <c r="F593" s="10"/>
      <c r="G593" s="10"/>
      <c r="H593" s="10"/>
      <c r="I593" s="10"/>
    </row>
    <row r="594" spans="1:9">
      <c r="A594" s="10"/>
      <c r="B594" s="10"/>
      <c r="C594" s="10"/>
      <c r="D594" s="10"/>
      <c r="E594" s="10"/>
      <c r="F594" s="10"/>
      <c r="G594" s="10"/>
      <c r="H594" s="10"/>
      <c r="I594" s="10"/>
    </row>
    <row r="595" spans="1:9">
      <c r="A595" s="10"/>
      <c r="B595" s="10"/>
      <c r="C595" s="10"/>
      <c r="D595" s="10"/>
      <c r="E595" s="10"/>
      <c r="F595" s="10"/>
      <c r="G595" s="10"/>
      <c r="H595" s="10"/>
      <c r="I595" s="10"/>
    </row>
    <row r="596" spans="1:9">
      <c r="A596" s="10"/>
      <c r="B596" s="10"/>
      <c r="C596" s="10"/>
      <c r="D596" s="10"/>
      <c r="E596" s="10"/>
      <c r="F596" s="10"/>
      <c r="G596" s="10"/>
      <c r="H596" s="10"/>
      <c r="I596" s="10"/>
    </row>
    <row r="597" spans="1:9">
      <c r="A597" s="10"/>
      <c r="B597" s="10"/>
      <c r="C597" s="10"/>
      <c r="D597" s="10"/>
      <c r="E597" s="10"/>
      <c r="F597" s="10"/>
      <c r="G597" s="10"/>
      <c r="H597" s="10"/>
      <c r="I597" s="10"/>
    </row>
    <row r="598" spans="1:9">
      <c r="A598" s="10"/>
      <c r="B598" s="10"/>
      <c r="C598" s="10"/>
      <c r="D598" s="10"/>
      <c r="E598" s="10"/>
      <c r="F598" s="10"/>
      <c r="G598" s="10"/>
      <c r="H598" s="10"/>
      <c r="I598" s="10"/>
    </row>
    <row r="599" spans="1:9">
      <c r="A599" s="10"/>
      <c r="B599" s="10"/>
      <c r="C599" s="10"/>
      <c r="D599" s="10"/>
      <c r="E599" s="10"/>
      <c r="F599" s="10"/>
      <c r="G599" s="10"/>
      <c r="H599" s="10"/>
      <c r="I599" s="10"/>
    </row>
    <row r="600" spans="1:9">
      <c r="A600" s="10"/>
      <c r="B600" s="10"/>
      <c r="C600" s="10"/>
      <c r="D600" s="10"/>
      <c r="E600" s="10"/>
      <c r="F600" s="10"/>
      <c r="G600" s="10"/>
      <c r="H600" s="10"/>
      <c r="I600" s="10"/>
    </row>
    <row r="601" spans="1:9">
      <c r="A601" s="10"/>
      <c r="B601" s="10"/>
      <c r="C601" s="10"/>
      <c r="D601" s="10"/>
      <c r="E601" s="10"/>
      <c r="F601" s="10"/>
      <c r="G601" s="10"/>
      <c r="H601" s="10"/>
      <c r="I601" s="10"/>
    </row>
    <row r="602" spans="1:9">
      <c r="A602" s="10"/>
      <c r="B602" s="10"/>
      <c r="C602" s="10"/>
      <c r="D602" s="10"/>
      <c r="E602" s="10"/>
      <c r="F602" s="10"/>
      <c r="G602" s="10"/>
      <c r="H602" s="10"/>
      <c r="I602" s="10"/>
    </row>
    <row r="603" spans="1:9">
      <c r="A603" s="10"/>
      <c r="B603" s="10"/>
      <c r="C603" s="10"/>
      <c r="D603" s="10"/>
      <c r="E603" s="10"/>
      <c r="F603" s="10"/>
      <c r="G603" s="10"/>
      <c r="H603" s="10"/>
      <c r="I603" s="10"/>
    </row>
    <row r="604" spans="1:9">
      <c r="A604" s="10"/>
      <c r="B604" s="10"/>
      <c r="C604" s="10"/>
      <c r="D604" s="10"/>
      <c r="E604" s="10"/>
      <c r="F604" s="10"/>
      <c r="G604" s="10"/>
      <c r="H604" s="10"/>
      <c r="I604" s="10"/>
    </row>
    <row r="605" spans="1:9">
      <c r="A605" s="10"/>
      <c r="B605" s="10"/>
      <c r="C605" s="10"/>
      <c r="D605" s="10"/>
      <c r="E605" s="10"/>
      <c r="F605" s="10"/>
      <c r="G605" s="10"/>
      <c r="H605" s="10"/>
      <c r="I605" s="10"/>
    </row>
    <row r="606" spans="1:9">
      <c r="A606" s="10"/>
      <c r="B606" s="10"/>
      <c r="C606" s="10"/>
      <c r="D606" s="10"/>
      <c r="E606" s="10"/>
      <c r="F606" s="10"/>
      <c r="G606" s="10"/>
      <c r="H606" s="10"/>
      <c r="I606" s="10"/>
    </row>
    <row r="607" spans="1:9">
      <c r="A607" s="10"/>
      <c r="B607" s="10"/>
      <c r="C607" s="10"/>
      <c r="D607" s="10"/>
      <c r="E607" s="10"/>
      <c r="F607" s="10"/>
      <c r="G607" s="10"/>
      <c r="H607" s="10"/>
      <c r="I607" s="10"/>
    </row>
    <row r="608" spans="1:9">
      <c r="A608" s="10"/>
      <c r="B608" s="10"/>
      <c r="C608" s="10"/>
      <c r="D608" s="10"/>
      <c r="E608" s="10"/>
      <c r="F608" s="10"/>
      <c r="G608" s="10"/>
      <c r="H608" s="10"/>
      <c r="I608" s="10"/>
    </row>
    <row r="609" spans="1:9">
      <c r="A609" s="10"/>
      <c r="B609" s="10"/>
      <c r="C609" s="10"/>
      <c r="D609" s="10"/>
      <c r="E609" s="10"/>
      <c r="F609" s="10"/>
      <c r="G609" s="10"/>
      <c r="H609" s="10"/>
      <c r="I609" s="10"/>
    </row>
    <row r="610" spans="1:9">
      <c r="A610" s="10"/>
      <c r="B610" s="10"/>
      <c r="C610" s="10"/>
      <c r="D610" s="10"/>
      <c r="E610" s="10"/>
      <c r="F610" s="10"/>
      <c r="G610" s="10"/>
      <c r="H610" s="10"/>
      <c r="I610" s="10"/>
    </row>
    <row r="611" spans="1:9">
      <c r="A611" s="10"/>
      <c r="B611" s="10"/>
      <c r="C611" s="10"/>
      <c r="D611" s="10"/>
      <c r="E611" s="10"/>
      <c r="F611" s="10"/>
      <c r="G611" s="10"/>
      <c r="H611" s="10"/>
      <c r="I611" s="10"/>
    </row>
    <row r="612" spans="1:9">
      <c r="A612" s="10"/>
      <c r="B612" s="10"/>
      <c r="C612" s="10"/>
      <c r="D612" s="10"/>
      <c r="E612" s="10"/>
      <c r="F612" s="10"/>
      <c r="G612" s="10"/>
      <c r="H612" s="10"/>
      <c r="I612" s="10"/>
    </row>
    <row r="613" spans="1:9">
      <c r="A613" s="10"/>
      <c r="B613" s="10"/>
      <c r="C613" s="10"/>
      <c r="D613" s="10"/>
      <c r="E613" s="10"/>
      <c r="F613" s="10"/>
      <c r="G613" s="10"/>
      <c r="H613" s="10"/>
      <c r="I613" s="10"/>
    </row>
    <row r="614" spans="1:9">
      <c r="A614" s="10"/>
      <c r="B614" s="10"/>
      <c r="C614" s="10"/>
      <c r="D614" s="10"/>
      <c r="E614" s="10"/>
      <c r="F614" s="10"/>
      <c r="G614" s="10"/>
      <c r="H614" s="10"/>
      <c r="I614" s="10"/>
    </row>
    <row r="615" spans="1:9">
      <c r="A615" s="10"/>
      <c r="B615" s="10"/>
      <c r="C615" s="10"/>
      <c r="D615" s="10"/>
      <c r="E615" s="10"/>
      <c r="F615" s="10"/>
      <c r="G615" s="10"/>
      <c r="H615" s="10"/>
      <c r="I615" s="10"/>
    </row>
    <row r="616" spans="1:9">
      <c r="A616" s="10"/>
      <c r="B616" s="10"/>
      <c r="C616" s="10"/>
      <c r="D616" s="10"/>
      <c r="E616" s="10"/>
      <c r="F616" s="10"/>
      <c r="G616" s="10"/>
      <c r="H616" s="10"/>
      <c r="I616" s="10"/>
    </row>
    <row r="617" spans="1:9">
      <c r="A617" s="10"/>
      <c r="B617" s="10"/>
      <c r="C617" s="10"/>
      <c r="D617" s="10"/>
      <c r="E617" s="10"/>
      <c r="F617" s="10"/>
      <c r="G617" s="10"/>
      <c r="H617" s="10"/>
      <c r="I617" s="10"/>
    </row>
    <row r="618" spans="1:9">
      <c r="A618" s="10"/>
      <c r="B618" s="10"/>
      <c r="C618" s="10"/>
      <c r="D618" s="10"/>
      <c r="E618" s="10"/>
      <c r="F618" s="10"/>
      <c r="G618" s="10"/>
      <c r="H618" s="10"/>
      <c r="I618" s="10"/>
    </row>
    <row r="619" spans="1:9">
      <c r="A619" s="10"/>
      <c r="B619" s="10"/>
      <c r="C619" s="10"/>
      <c r="D619" s="10"/>
      <c r="E619" s="10"/>
      <c r="F619" s="10"/>
      <c r="G619" s="10"/>
      <c r="H619" s="10"/>
      <c r="I619" s="10"/>
    </row>
    <row r="620" spans="1:9">
      <c r="A620" s="10"/>
      <c r="B620" s="10"/>
      <c r="C620" s="10"/>
      <c r="D620" s="10"/>
      <c r="E620" s="10"/>
      <c r="F620" s="10"/>
      <c r="G620" s="10"/>
      <c r="H620" s="10"/>
      <c r="I620" s="10"/>
    </row>
    <row r="621" spans="1:9">
      <c r="A621" s="10"/>
      <c r="B621" s="10"/>
      <c r="C621" s="10"/>
      <c r="D621" s="10"/>
      <c r="E621" s="10"/>
      <c r="F621" s="10"/>
      <c r="G621" s="10"/>
      <c r="H621" s="10"/>
      <c r="I621" s="10"/>
    </row>
    <row r="622" spans="1:9">
      <c r="A622" s="10"/>
      <c r="B622" s="10"/>
      <c r="C622" s="10"/>
      <c r="D622" s="10"/>
      <c r="E622" s="10"/>
      <c r="F622" s="10"/>
      <c r="G622" s="10"/>
      <c r="H622" s="10"/>
      <c r="I622" s="10"/>
    </row>
    <row r="623" spans="1:9">
      <c r="A623" s="10"/>
      <c r="B623" s="10"/>
      <c r="C623" s="10"/>
      <c r="D623" s="10"/>
      <c r="E623" s="10"/>
      <c r="F623" s="10"/>
      <c r="G623" s="10"/>
      <c r="H623" s="10"/>
      <c r="I623" s="10"/>
    </row>
    <row r="624" spans="1:9">
      <c r="A624" s="10"/>
      <c r="B624" s="10"/>
      <c r="C624" s="10"/>
      <c r="D624" s="10"/>
      <c r="E624" s="10"/>
      <c r="F624" s="10"/>
      <c r="G624" s="10"/>
      <c r="H624" s="10"/>
      <c r="I624" s="10"/>
    </row>
    <row r="625" spans="1:9">
      <c r="A625" s="10"/>
      <c r="B625" s="10"/>
      <c r="C625" s="10"/>
      <c r="D625" s="10"/>
      <c r="E625" s="10"/>
      <c r="F625" s="10"/>
      <c r="G625" s="10"/>
      <c r="H625" s="10"/>
      <c r="I625" s="10"/>
    </row>
    <row r="626" spans="1:9">
      <c r="A626" s="10"/>
      <c r="B626" s="10"/>
      <c r="C626" s="10"/>
      <c r="D626" s="10"/>
      <c r="E626" s="10"/>
      <c r="F626" s="10"/>
      <c r="G626" s="10"/>
      <c r="H626" s="10"/>
      <c r="I626" s="10"/>
    </row>
    <row r="627" spans="1:9">
      <c r="A627" s="10"/>
      <c r="B627" s="10"/>
      <c r="C627" s="10"/>
      <c r="D627" s="10"/>
      <c r="E627" s="10"/>
      <c r="F627" s="10"/>
      <c r="G627" s="10"/>
      <c r="H627" s="10"/>
      <c r="I627" s="10"/>
    </row>
    <row r="628" spans="1:9">
      <c r="A628" s="10"/>
      <c r="B628" s="10"/>
      <c r="C628" s="10"/>
      <c r="D628" s="10"/>
      <c r="E628" s="10"/>
      <c r="F628" s="10"/>
      <c r="G628" s="10"/>
      <c r="H628" s="10"/>
      <c r="I628" s="10"/>
    </row>
    <row r="629" spans="1:9">
      <c r="A629" s="10"/>
      <c r="B629" s="10"/>
      <c r="C629" s="10"/>
      <c r="D629" s="10"/>
      <c r="E629" s="10"/>
      <c r="F629" s="10"/>
      <c r="G629" s="10"/>
      <c r="H629" s="10"/>
      <c r="I629" s="10"/>
    </row>
    <row r="630" spans="1:9">
      <c r="A630" s="10"/>
      <c r="B630" s="10"/>
      <c r="C630" s="10"/>
      <c r="D630" s="10"/>
      <c r="E630" s="10"/>
      <c r="F630" s="10"/>
      <c r="G630" s="10"/>
      <c r="H630" s="10"/>
      <c r="I630" s="10"/>
    </row>
    <row r="631" spans="1:9">
      <c r="A631" s="10"/>
      <c r="B631" s="10"/>
      <c r="C631" s="10"/>
      <c r="D631" s="10"/>
      <c r="E631" s="10"/>
      <c r="F631" s="10"/>
      <c r="G631" s="10"/>
      <c r="H631" s="10"/>
      <c r="I631" s="10"/>
    </row>
    <row r="632" spans="1:9">
      <c r="A632" s="10"/>
      <c r="B632" s="10"/>
      <c r="C632" s="10"/>
      <c r="D632" s="10"/>
      <c r="E632" s="10"/>
      <c r="F632" s="10"/>
      <c r="G632" s="10"/>
      <c r="H632" s="10"/>
      <c r="I632" s="10"/>
    </row>
    <row r="633" spans="1:9">
      <c r="A633" s="10"/>
      <c r="B633" s="10"/>
      <c r="C633" s="10"/>
      <c r="D633" s="10"/>
      <c r="E633" s="10"/>
      <c r="F633" s="10"/>
      <c r="G633" s="10"/>
      <c r="H633" s="10"/>
      <c r="I633" s="10"/>
    </row>
    <row r="634" spans="1:9">
      <c r="A634" s="10"/>
      <c r="B634" s="10"/>
      <c r="C634" s="10"/>
      <c r="D634" s="10"/>
      <c r="E634" s="10"/>
      <c r="F634" s="10"/>
      <c r="G634" s="10"/>
      <c r="H634" s="10"/>
      <c r="I634" s="10"/>
    </row>
    <row r="635" spans="1:9">
      <c r="A635" s="10"/>
      <c r="B635" s="10"/>
      <c r="C635" s="10"/>
      <c r="D635" s="10"/>
      <c r="E635" s="10"/>
      <c r="F635" s="10"/>
      <c r="G635" s="10"/>
      <c r="H635" s="10"/>
      <c r="I635" s="10"/>
    </row>
    <row r="636" spans="1:9">
      <c r="A636" s="10"/>
      <c r="B636" s="10"/>
      <c r="C636" s="10"/>
      <c r="D636" s="10"/>
      <c r="E636" s="10"/>
      <c r="F636" s="10"/>
      <c r="G636" s="10"/>
      <c r="H636" s="10"/>
      <c r="I636" s="10"/>
    </row>
    <row r="637" spans="1:9">
      <c r="A637" s="10"/>
      <c r="B637" s="10"/>
      <c r="C637" s="10"/>
      <c r="D637" s="10"/>
      <c r="E637" s="10"/>
      <c r="F637" s="10"/>
      <c r="G637" s="10"/>
      <c r="H637" s="10"/>
      <c r="I637" s="10"/>
    </row>
    <row r="638" spans="1:9">
      <c r="A638" s="10"/>
      <c r="B638" s="10"/>
      <c r="C638" s="10"/>
      <c r="D638" s="10"/>
      <c r="E638" s="10"/>
      <c r="F638" s="10"/>
      <c r="G638" s="10"/>
      <c r="H638" s="10"/>
      <c r="I638" s="10"/>
    </row>
    <row r="639" spans="1:9">
      <c r="A639" s="10"/>
      <c r="B639" s="10"/>
      <c r="C639" s="10"/>
      <c r="D639" s="10"/>
      <c r="E639" s="10"/>
      <c r="F639" s="10"/>
      <c r="G639" s="10"/>
      <c r="H639" s="10"/>
      <c r="I639" s="10"/>
    </row>
    <row r="640" spans="1:9">
      <c r="A640" s="10"/>
      <c r="B640" s="10"/>
      <c r="C640" s="10"/>
      <c r="D640" s="10"/>
      <c r="E640" s="10"/>
      <c r="F640" s="10"/>
      <c r="G640" s="10"/>
      <c r="H640" s="10"/>
      <c r="I640" s="10"/>
    </row>
    <row r="641" spans="1:9">
      <c r="A641" s="10"/>
      <c r="B641" s="10"/>
      <c r="C641" s="10"/>
      <c r="D641" s="10"/>
      <c r="E641" s="10"/>
      <c r="F641" s="10"/>
      <c r="G641" s="10"/>
      <c r="H641" s="10"/>
      <c r="I641" s="10"/>
    </row>
    <row r="642" spans="1:9">
      <c r="A642" s="10"/>
      <c r="B642" s="10"/>
      <c r="C642" s="10"/>
      <c r="D642" s="10"/>
      <c r="E642" s="10"/>
      <c r="F642" s="10"/>
      <c r="G642" s="10"/>
      <c r="H642" s="10"/>
      <c r="I642" s="10"/>
    </row>
    <row r="643" spans="1:9">
      <c r="A643" s="10"/>
      <c r="B643" s="10"/>
      <c r="C643" s="10"/>
      <c r="D643" s="10"/>
      <c r="E643" s="10"/>
      <c r="F643" s="10"/>
      <c r="G643" s="10"/>
      <c r="H643" s="10"/>
      <c r="I643" s="10"/>
    </row>
    <row r="644" spans="1:9">
      <c r="A644" s="10"/>
      <c r="B644" s="10"/>
      <c r="C644" s="10"/>
      <c r="D644" s="10"/>
      <c r="E644" s="10"/>
      <c r="F644" s="10"/>
      <c r="G644" s="10"/>
      <c r="H644" s="10"/>
      <c r="I644" s="10"/>
    </row>
    <row r="645" spans="1:9">
      <c r="A645" s="10"/>
      <c r="B645" s="10"/>
      <c r="C645" s="10"/>
      <c r="D645" s="10"/>
      <c r="E645" s="10"/>
      <c r="F645" s="10"/>
      <c r="G645" s="10"/>
      <c r="H645" s="10"/>
      <c r="I645" s="10"/>
    </row>
    <row r="646" spans="1:9">
      <c r="A646" s="10"/>
      <c r="B646" s="10"/>
      <c r="C646" s="10"/>
      <c r="D646" s="10"/>
      <c r="E646" s="10"/>
      <c r="F646" s="10"/>
      <c r="G646" s="10"/>
      <c r="H646" s="10"/>
      <c r="I646" s="10"/>
    </row>
    <row r="647" spans="1:9">
      <c r="A647" s="10"/>
      <c r="B647" s="10"/>
      <c r="C647" s="10"/>
      <c r="D647" s="10"/>
      <c r="E647" s="10"/>
      <c r="F647" s="10"/>
      <c r="G647" s="10"/>
      <c r="H647" s="10"/>
      <c r="I647" s="10"/>
    </row>
    <row r="648" spans="1:9">
      <c r="A648" s="10"/>
      <c r="B648" s="10"/>
      <c r="C648" s="10"/>
      <c r="D648" s="10"/>
      <c r="E648" s="10"/>
      <c r="F648" s="10"/>
      <c r="G648" s="10"/>
      <c r="H648" s="10"/>
      <c r="I648" s="10"/>
    </row>
    <row r="649" spans="1:9">
      <c r="A649" s="10"/>
      <c r="B649" s="10"/>
      <c r="C649" s="10"/>
      <c r="D649" s="10"/>
      <c r="E649" s="10"/>
      <c r="F649" s="10"/>
      <c r="G649" s="10"/>
      <c r="H649" s="10"/>
      <c r="I649" s="10"/>
    </row>
    <row r="650" spans="1:9">
      <c r="A650" s="10"/>
      <c r="B650" s="10"/>
      <c r="C650" s="10"/>
      <c r="D650" s="10"/>
      <c r="E650" s="10"/>
      <c r="F650" s="10"/>
      <c r="G650" s="10"/>
      <c r="H650" s="10"/>
      <c r="I650" s="10"/>
    </row>
    <row r="651" spans="1:9">
      <c r="A651" s="10"/>
      <c r="B651" s="10"/>
      <c r="C651" s="10"/>
      <c r="D651" s="10"/>
      <c r="E651" s="10"/>
      <c r="F651" s="10"/>
      <c r="G651" s="10"/>
      <c r="H651" s="10"/>
      <c r="I651" s="10"/>
    </row>
    <row r="652" spans="1:9">
      <c r="A652" s="10"/>
      <c r="B652" s="10"/>
      <c r="C652" s="10"/>
      <c r="D652" s="10"/>
      <c r="E652" s="10"/>
      <c r="F652" s="10"/>
      <c r="G652" s="10"/>
      <c r="H652" s="10"/>
      <c r="I652" s="10"/>
    </row>
    <row r="653" spans="1:9">
      <c r="A653" s="10"/>
      <c r="B653" s="10"/>
      <c r="C653" s="10"/>
      <c r="D653" s="10"/>
      <c r="E653" s="10"/>
      <c r="F653" s="10"/>
      <c r="G653" s="10"/>
      <c r="H653" s="10"/>
      <c r="I653" s="10"/>
    </row>
    <row r="654" spans="1:9">
      <c r="A654" s="10"/>
      <c r="B654" s="10"/>
      <c r="C654" s="10"/>
      <c r="D654" s="10"/>
      <c r="E654" s="10"/>
      <c r="F654" s="10"/>
      <c r="G654" s="10"/>
      <c r="H654" s="10"/>
      <c r="I654" s="10"/>
    </row>
    <row r="655" spans="1:9">
      <c r="A655" s="10"/>
      <c r="B655" s="10"/>
      <c r="C655" s="10"/>
      <c r="D655" s="10"/>
      <c r="E655" s="10"/>
      <c r="F655" s="10"/>
      <c r="G655" s="10"/>
      <c r="H655" s="10"/>
      <c r="I655" s="10"/>
    </row>
    <row r="656" spans="1:9">
      <c r="A656" s="10"/>
      <c r="B656" s="10"/>
      <c r="C656" s="10"/>
      <c r="D656" s="10"/>
      <c r="E656" s="10"/>
      <c r="F656" s="10"/>
      <c r="G656" s="10"/>
      <c r="H656" s="10"/>
      <c r="I656" s="10"/>
    </row>
    <row r="657" spans="1:9">
      <c r="A657" s="10"/>
      <c r="B657" s="10"/>
      <c r="C657" s="10"/>
      <c r="D657" s="10"/>
      <c r="E657" s="10"/>
      <c r="F657" s="10"/>
      <c r="G657" s="10"/>
      <c r="H657" s="10"/>
      <c r="I657" s="10"/>
    </row>
    <row r="658" spans="1:9">
      <c r="A658" s="10"/>
      <c r="B658" s="10"/>
      <c r="C658" s="10"/>
      <c r="D658" s="10"/>
      <c r="E658" s="10"/>
      <c r="F658" s="10"/>
      <c r="G658" s="10"/>
      <c r="H658" s="10"/>
      <c r="I658" s="10"/>
    </row>
    <row r="659" spans="1:9">
      <c r="A659" s="10"/>
      <c r="B659" s="10"/>
      <c r="C659" s="10"/>
      <c r="D659" s="10"/>
      <c r="E659" s="10"/>
      <c r="F659" s="10"/>
      <c r="G659" s="10"/>
      <c r="H659" s="10"/>
      <c r="I659" s="10"/>
    </row>
    <row r="660" spans="1:9">
      <c r="A660" s="10"/>
      <c r="B660" s="10"/>
      <c r="C660" s="10"/>
      <c r="D660" s="10"/>
      <c r="E660" s="10"/>
      <c r="F660" s="10"/>
      <c r="G660" s="10"/>
      <c r="H660" s="10"/>
      <c r="I660" s="10"/>
    </row>
    <row r="661" spans="1:9">
      <c r="A661" s="10"/>
      <c r="B661" s="10"/>
      <c r="C661" s="10"/>
      <c r="D661" s="10"/>
      <c r="E661" s="10"/>
      <c r="F661" s="10"/>
      <c r="G661" s="10"/>
      <c r="H661" s="10"/>
      <c r="I661" s="10"/>
    </row>
    <row r="662" spans="1:9">
      <c r="A662" s="10"/>
      <c r="B662" s="10"/>
      <c r="C662" s="10"/>
      <c r="D662" s="10"/>
      <c r="E662" s="10"/>
      <c r="F662" s="10"/>
      <c r="G662" s="10"/>
      <c r="H662" s="10"/>
      <c r="I662" s="10"/>
    </row>
    <row r="663" spans="1:9">
      <c r="A663" s="10"/>
      <c r="B663" s="10"/>
      <c r="C663" s="10"/>
      <c r="D663" s="10"/>
      <c r="E663" s="10"/>
      <c r="F663" s="10"/>
      <c r="G663" s="10"/>
      <c r="H663" s="10"/>
      <c r="I663" s="10"/>
    </row>
    <row r="664" spans="1:9">
      <c r="A664" s="10"/>
      <c r="B664" s="10"/>
      <c r="C664" s="10"/>
      <c r="D664" s="10"/>
      <c r="E664" s="10"/>
      <c r="F664" s="10"/>
      <c r="G664" s="10"/>
      <c r="H664" s="10"/>
      <c r="I664" s="10"/>
    </row>
    <row r="665" spans="1:9">
      <c r="A665" s="10"/>
      <c r="B665" s="10"/>
      <c r="C665" s="10"/>
      <c r="D665" s="10"/>
      <c r="E665" s="10"/>
      <c r="F665" s="10"/>
      <c r="G665" s="10"/>
      <c r="H665" s="10"/>
      <c r="I665" s="10"/>
    </row>
    <row r="666" spans="1:9">
      <c r="A666" s="10"/>
      <c r="B666" s="10"/>
      <c r="C666" s="10"/>
      <c r="D666" s="10"/>
      <c r="E666" s="10"/>
      <c r="F666" s="10"/>
      <c r="G666" s="10"/>
      <c r="H666" s="10"/>
      <c r="I666" s="10"/>
    </row>
    <row r="667" spans="1:9">
      <c r="A667" s="10"/>
      <c r="B667" s="10"/>
      <c r="C667" s="10"/>
      <c r="D667" s="10"/>
      <c r="E667" s="10"/>
      <c r="F667" s="10"/>
      <c r="G667" s="10"/>
      <c r="H667" s="10"/>
      <c r="I667" s="10"/>
    </row>
    <row r="668" spans="1:9">
      <c r="A668" s="10"/>
      <c r="B668" s="10"/>
      <c r="C668" s="10"/>
      <c r="D668" s="10"/>
      <c r="E668" s="10"/>
      <c r="F668" s="10"/>
      <c r="G668" s="10"/>
      <c r="H668" s="10"/>
      <c r="I668" s="10"/>
    </row>
    <row r="669" spans="1:9">
      <c r="A669" s="10"/>
      <c r="B669" s="10"/>
      <c r="C669" s="10"/>
      <c r="D669" s="10"/>
      <c r="E669" s="10"/>
      <c r="F669" s="10"/>
      <c r="G669" s="10"/>
      <c r="H669" s="10"/>
      <c r="I669" s="10"/>
    </row>
    <row r="670" spans="1:9">
      <c r="A670" s="10"/>
      <c r="B670" s="10"/>
      <c r="C670" s="10"/>
      <c r="D670" s="10"/>
      <c r="E670" s="10"/>
      <c r="F670" s="10"/>
      <c r="G670" s="10"/>
      <c r="H670" s="10"/>
      <c r="I670" s="10"/>
    </row>
    <row r="671" spans="1:9">
      <c r="A671" s="10"/>
      <c r="B671" s="10"/>
      <c r="C671" s="10"/>
      <c r="D671" s="10"/>
      <c r="E671" s="10"/>
      <c r="F671" s="10"/>
      <c r="G671" s="10"/>
      <c r="H671" s="10"/>
      <c r="I671" s="10"/>
    </row>
    <row r="672" spans="1:9">
      <c r="A672" s="10"/>
      <c r="B672" s="10"/>
      <c r="C672" s="10"/>
      <c r="D672" s="10"/>
      <c r="E672" s="10"/>
      <c r="F672" s="10"/>
      <c r="G672" s="10"/>
      <c r="H672" s="10"/>
      <c r="I672" s="10"/>
    </row>
    <row r="673" spans="1:9">
      <c r="A673" s="10"/>
      <c r="B673" s="10"/>
      <c r="C673" s="10"/>
      <c r="D673" s="10"/>
      <c r="E673" s="10"/>
      <c r="F673" s="10"/>
      <c r="G673" s="10"/>
      <c r="H673" s="10"/>
      <c r="I673" s="10"/>
    </row>
    <row r="674" spans="1:9">
      <c r="A674" s="10"/>
      <c r="B674" s="10"/>
      <c r="C674" s="10"/>
      <c r="D674" s="10"/>
      <c r="E674" s="10"/>
      <c r="F674" s="10"/>
      <c r="G674" s="10"/>
      <c r="H674" s="10"/>
      <c r="I674" s="10"/>
    </row>
    <row r="675" spans="1:9">
      <c r="A675" s="10"/>
      <c r="B675" s="10"/>
      <c r="C675" s="10"/>
      <c r="D675" s="10"/>
      <c r="E675" s="10"/>
      <c r="F675" s="10"/>
      <c r="G675" s="10"/>
      <c r="H675" s="10"/>
      <c r="I675" s="10"/>
    </row>
    <row r="676" spans="1:9">
      <c r="A676" s="10"/>
      <c r="B676" s="10"/>
      <c r="C676" s="10"/>
      <c r="D676" s="10"/>
      <c r="E676" s="10"/>
      <c r="F676" s="10"/>
      <c r="G676" s="10"/>
      <c r="H676" s="10"/>
      <c r="I676" s="10"/>
    </row>
    <row r="677" spans="1:9">
      <c r="A677" s="10"/>
      <c r="B677" s="10"/>
      <c r="C677" s="10"/>
      <c r="D677" s="10"/>
      <c r="E677" s="10"/>
      <c r="F677" s="10"/>
      <c r="G677" s="10"/>
      <c r="H677" s="10"/>
      <c r="I677" s="10"/>
    </row>
    <row r="678" spans="1:9">
      <c r="A678" s="10"/>
      <c r="B678" s="10"/>
      <c r="C678" s="10"/>
      <c r="D678" s="10"/>
      <c r="E678" s="10"/>
      <c r="F678" s="10"/>
      <c r="G678" s="10"/>
      <c r="H678" s="10"/>
      <c r="I678" s="10"/>
    </row>
    <row r="679" spans="1:9">
      <c r="A679" s="10"/>
      <c r="B679" s="10"/>
      <c r="C679" s="10"/>
      <c r="D679" s="10"/>
      <c r="E679" s="10"/>
      <c r="F679" s="10"/>
      <c r="G679" s="10"/>
      <c r="H679" s="10"/>
      <c r="I679" s="10"/>
    </row>
    <row r="680" spans="1:9">
      <c r="A680" s="10"/>
      <c r="B680" s="10"/>
      <c r="C680" s="10"/>
      <c r="D680" s="10"/>
      <c r="E680" s="10"/>
      <c r="F680" s="10"/>
      <c r="G680" s="10"/>
      <c r="H680" s="10"/>
      <c r="I680" s="10"/>
    </row>
    <row r="681" spans="1:9">
      <c r="A681" s="10"/>
      <c r="B681" s="10"/>
      <c r="C681" s="10"/>
      <c r="D681" s="10"/>
      <c r="E681" s="10"/>
      <c r="F681" s="10"/>
      <c r="G681" s="10"/>
      <c r="H681" s="10"/>
      <c r="I681" s="10"/>
    </row>
    <row r="682" spans="1:9">
      <c r="A682" s="10"/>
      <c r="B682" s="10"/>
      <c r="C682" s="10"/>
      <c r="D682" s="10"/>
      <c r="E682" s="10"/>
      <c r="F682" s="10"/>
      <c r="G682" s="10"/>
      <c r="H682" s="10"/>
      <c r="I682" s="10"/>
    </row>
    <row r="683" spans="1:9">
      <c r="A683" s="10"/>
      <c r="B683" s="10"/>
      <c r="C683" s="10"/>
      <c r="D683" s="10"/>
      <c r="E683" s="10"/>
      <c r="F683" s="10"/>
      <c r="G683" s="10"/>
      <c r="H683" s="10"/>
      <c r="I683" s="10"/>
    </row>
    <row r="684" spans="1:9">
      <c r="A684" s="10"/>
      <c r="B684" s="10"/>
      <c r="C684" s="10"/>
      <c r="D684" s="10"/>
      <c r="E684" s="10"/>
      <c r="F684" s="10"/>
      <c r="G684" s="10"/>
      <c r="H684" s="10"/>
      <c r="I684" s="10"/>
    </row>
    <row r="685" spans="1:9">
      <c r="A685" s="10"/>
      <c r="B685" s="10"/>
      <c r="C685" s="10"/>
      <c r="D685" s="10"/>
      <c r="E685" s="10"/>
      <c r="F685" s="10"/>
      <c r="G685" s="10"/>
      <c r="H685" s="10"/>
      <c r="I685" s="10"/>
    </row>
    <row r="686" spans="1:9">
      <c r="A686" s="10"/>
      <c r="B686" s="10"/>
      <c r="C686" s="10"/>
      <c r="D686" s="10"/>
      <c r="E686" s="10"/>
      <c r="F686" s="10"/>
      <c r="G686" s="10"/>
      <c r="H686" s="10"/>
      <c r="I686" s="10"/>
    </row>
    <row r="687" spans="1:9">
      <c r="A687" s="10"/>
      <c r="B687" s="10"/>
      <c r="C687" s="10"/>
      <c r="D687" s="10"/>
      <c r="E687" s="10"/>
      <c r="F687" s="10"/>
      <c r="G687" s="10"/>
      <c r="H687" s="10"/>
      <c r="I687" s="10"/>
    </row>
    <row r="688" spans="1:9">
      <c r="A688" s="10"/>
      <c r="B688" s="10"/>
      <c r="C688" s="10"/>
      <c r="D688" s="10"/>
      <c r="E688" s="10"/>
      <c r="F688" s="10"/>
      <c r="G688" s="10"/>
      <c r="H688" s="10"/>
      <c r="I688" s="10"/>
    </row>
    <row r="689" spans="1:9">
      <c r="A689" s="10"/>
      <c r="B689" s="10"/>
      <c r="C689" s="10"/>
      <c r="D689" s="10"/>
      <c r="E689" s="10"/>
      <c r="F689" s="10"/>
      <c r="G689" s="10"/>
      <c r="H689" s="10"/>
      <c r="I689" s="10"/>
    </row>
    <row r="690" spans="1:9">
      <c r="A690" s="10"/>
      <c r="B690" s="10"/>
      <c r="C690" s="10"/>
      <c r="D690" s="10"/>
      <c r="E690" s="10"/>
      <c r="F690" s="10"/>
      <c r="G690" s="10"/>
      <c r="H690" s="10"/>
      <c r="I690" s="10"/>
    </row>
    <row r="691" spans="1:9">
      <c r="A691" s="10"/>
      <c r="B691" s="10"/>
      <c r="C691" s="10"/>
      <c r="D691" s="10"/>
      <c r="E691" s="10"/>
      <c r="F691" s="10"/>
      <c r="G691" s="10"/>
      <c r="H691" s="10"/>
      <c r="I691" s="10"/>
    </row>
    <row r="692" spans="1:9">
      <c r="A692" s="10"/>
      <c r="B692" s="10"/>
      <c r="C692" s="10"/>
      <c r="D692" s="10"/>
      <c r="E692" s="10"/>
      <c r="F692" s="10"/>
      <c r="G692" s="10"/>
      <c r="H692" s="10"/>
      <c r="I692" s="10"/>
    </row>
    <row r="693" spans="1:9">
      <c r="A693" s="10"/>
      <c r="B693" s="10"/>
      <c r="C693" s="10"/>
      <c r="D693" s="10"/>
      <c r="E693" s="10"/>
      <c r="F693" s="10"/>
      <c r="G693" s="10"/>
      <c r="H693" s="10"/>
      <c r="I693" s="10"/>
    </row>
    <row r="694" spans="1:9">
      <c r="A694" s="10"/>
      <c r="B694" s="10"/>
      <c r="C694" s="10"/>
      <c r="D694" s="10"/>
      <c r="E694" s="10"/>
      <c r="F694" s="10"/>
      <c r="G694" s="10"/>
      <c r="H694" s="10"/>
      <c r="I694" s="10"/>
    </row>
    <row r="695" spans="1:9">
      <c r="A695" s="10"/>
      <c r="B695" s="10"/>
      <c r="C695" s="10"/>
      <c r="D695" s="10"/>
      <c r="E695" s="10"/>
      <c r="F695" s="10"/>
      <c r="G695" s="10"/>
      <c r="H695" s="10"/>
      <c r="I695" s="10"/>
    </row>
    <row r="696" spans="1:9">
      <c r="A696" s="10"/>
      <c r="B696" s="10"/>
      <c r="C696" s="10"/>
      <c r="D696" s="10"/>
      <c r="E696" s="10"/>
      <c r="F696" s="10"/>
      <c r="G696" s="10"/>
      <c r="H696" s="10"/>
      <c r="I696" s="10"/>
    </row>
    <row r="697" spans="1:9">
      <c r="A697" s="10"/>
      <c r="B697" s="10"/>
      <c r="C697" s="10"/>
      <c r="D697" s="10"/>
      <c r="E697" s="10"/>
      <c r="F697" s="10"/>
      <c r="G697" s="10"/>
      <c r="H697" s="10"/>
      <c r="I697" s="10"/>
    </row>
    <row r="698" spans="1:9">
      <c r="A698" s="10"/>
      <c r="B698" s="10"/>
      <c r="C698" s="10"/>
      <c r="D698" s="10"/>
      <c r="E698" s="10"/>
      <c r="F698" s="10"/>
      <c r="G698" s="10"/>
      <c r="H698" s="10"/>
      <c r="I698" s="10"/>
    </row>
    <row r="699" spans="1:9">
      <c r="A699" s="10"/>
      <c r="B699" s="10"/>
      <c r="C699" s="10"/>
      <c r="D699" s="10"/>
      <c r="E699" s="10"/>
      <c r="F699" s="10"/>
      <c r="G699" s="10"/>
      <c r="H699" s="10"/>
      <c r="I699" s="10"/>
    </row>
    <row r="700" spans="1:9">
      <c r="A700" s="10"/>
      <c r="B700" s="10"/>
      <c r="C700" s="10"/>
      <c r="D700" s="10"/>
      <c r="E700" s="10"/>
      <c r="F700" s="10"/>
      <c r="G700" s="10"/>
      <c r="H700" s="10"/>
      <c r="I700" s="10"/>
    </row>
    <row r="701" spans="1:9">
      <c r="A701" s="10"/>
      <c r="B701" s="10"/>
      <c r="C701" s="10"/>
      <c r="D701" s="10"/>
      <c r="E701" s="10"/>
      <c r="F701" s="10"/>
      <c r="G701" s="10"/>
      <c r="H701" s="10"/>
      <c r="I701" s="10"/>
    </row>
    <row r="702" spans="1:9">
      <c r="A702" s="10"/>
      <c r="B702" s="10"/>
      <c r="C702" s="10"/>
      <c r="D702" s="10"/>
      <c r="E702" s="10"/>
      <c r="F702" s="10"/>
      <c r="G702" s="10"/>
      <c r="H702" s="10"/>
      <c r="I702" s="10"/>
    </row>
    <row r="703" spans="1:9">
      <c r="A703" s="10"/>
      <c r="B703" s="10"/>
      <c r="C703" s="10"/>
      <c r="D703" s="10"/>
      <c r="E703" s="10"/>
      <c r="F703" s="10"/>
      <c r="G703" s="10"/>
      <c r="H703" s="10"/>
      <c r="I703" s="10"/>
    </row>
    <row r="704" spans="1:9">
      <c r="A704" s="10"/>
      <c r="B704" s="10"/>
      <c r="C704" s="10"/>
      <c r="D704" s="10"/>
      <c r="E704" s="10"/>
      <c r="F704" s="10"/>
      <c r="G704" s="10"/>
      <c r="H704" s="10"/>
      <c r="I704" s="10"/>
    </row>
    <row r="705" spans="1:9">
      <c r="A705" s="10"/>
      <c r="B705" s="10"/>
      <c r="C705" s="10"/>
      <c r="D705" s="10"/>
      <c r="E705" s="10"/>
      <c r="F705" s="10"/>
      <c r="G705" s="10"/>
      <c r="H705" s="10"/>
      <c r="I705" s="10"/>
    </row>
    <row r="706" spans="1:9">
      <c r="A706" s="10"/>
      <c r="B706" s="10"/>
      <c r="C706" s="10"/>
      <c r="D706" s="10"/>
      <c r="E706" s="10"/>
      <c r="F706" s="10"/>
      <c r="G706" s="10"/>
      <c r="H706" s="10"/>
      <c r="I706" s="10"/>
    </row>
    <row r="707" spans="1:9">
      <c r="A707" s="10"/>
      <c r="B707" s="10"/>
      <c r="C707" s="10"/>
      <c r="D707" s="10"/>
      <c r="E707" s="10"/>
      <c r="F707" s="10"/>
      <c r="G707" s="10"/>
      <c r="H707" s="10"/>
      <c r="I707" s="10"/>
    </row>
    <row r="708" spans="1:9">
      <c r="A708" s="10"/>
      <c r="B708" s="10"/>
      <c r="C708" s="10"/>
      <c r="D708" s="10"/>
      <c r="E708" s="10"/>
      <c r="F708" s="10"/>
      <c r="G708" s="10"/>
      <c r="H708" s="10"/>
      <c r="I708" s="10"/>
    </row>
    <row r="709" spans="1:9">
      <c r="A709" s="10"/>
      <c r="B709" s="10"/>
      <c r="C709" s="10"/>
      <c r="D709" s="10"/>
      <c r="E709" s="10"/>
      <c r="F709" s="10"/>
      <c r="G709" s="10"/>
      <c r="H709" s="10"/>
      <c r="I709" s="10"/>
    </row>
    <row r="710" spans="1:9">
      <c r="A710" s="10"/>
      <c r="B710" s="10"/>
      <c r="C710" s="10"/>
      <c r="D710" s="10"/>
      <c r="E710" s="10"/>
      <c r="F710" s="10"/>
      <c r="G710" s="10"/>
      <c r="H710" s="10"/>
      <c r="I710" s="10"/>
    </row>
    <row r="711" spans="1:9">
      <c r="A711" s="10"/>
      <c r="B711" s="10"/>
      <c r="C711" s="10"/>
      <c r="D711" s="10"/>
      <c r="E711" s="10"/>
      <c r="F711" s="10"/>
      <c r="G711" s="10"/>
      <c r="H711" s="10"/>
      <c r="I711" s="10"/>
    </row>
    <row r="712" spans="1:9">
      <c r="A712" s="10"/>
      <c r="B712" s="10"/>
      <c r="C712" s="10"/>
      <c r="D712" s="10"/>
      <c r="E712" s="10"/>
      <c r="F712" s="10"/>
      <c r="G712" s="10"/>
      <c r="H712" s="10"/>
      <c r="I712" s="10"/>
    </row>
    <row r="713" spans="1:9">
      <c r="A713" s="10"/>
      <c r="B713" s="10"/>
      <c r="C713" s="10"/>
      <c r="D713" s="10"/>
      <c r="E713" s="10"/>
      <c r="F713" s="10"/>
      <c r="G713" s="10"/>
      <c r="H713" s="10"/>
      <c r="I713" s="10"/>
    </row>
    <row r="714" spans="1:9">
      <c r="A714" s="10"/>
      <c r="B714" s="10"/>
      <c r="C714" s="10"/>
      <c r="D714" s="10"/>
      <c r="E714" s="10"/>
      <c r="F714" s="10"/>
      <c r="G714" s="10"/>
      <c r="H714" s="10"/>
      <c r="I714" s="10"/>
    </row>
    <row r="715" spans="1:9">
      <c r="A715" s="10"/>
      <c r="B715" s="10"/>
      <c r="C715" s="10"/>
      <c r="D715" s="10"/>
      <c r="E715" s="10"/>
      <c r="F715" s="10"/>
      <c r="G715" s="10"/>
      <c r="H715" s="10"/>
      <c r="I715" s="10"/>
    </row>
    <row r="716" spans="1:9">
      <c r="A716" s="10"/>
      <c r="B716" s="10"/>
      <c r="C716" s="10"/>
      <c r="D716" s="10"/>
      <c r="E716" s="10"/>
      <c r="F716" s="10"/>
      <c r="G716" s="10"/>
      <c r="H716" s="10"/>
      <c r="I716" s="10"/>
    </row>
    <row r="717" spans="1:9">
      <c r="A717" s="10"/>
      <c r="B717" s="10"/>
      <c r="C717" s="10"/>
      <c r="D717" s="10"/>
      <c r="E717" s="10"/>
      <c r="F717" s="10"/>
      <c r="G717" s="10"/>
      <c r="H717" s="10"/>
      <c r="I717" s="10"/>
    </row>
    <row r="718" spans="1:9">
      <c r="A718" s="10"/>
      <c r="B718" s="10"/>
      <c r="C718" s="10"/>
      <c r="D718" s="10"/>
      <c r="E718" s="10"/>
      <c r="F718" s="10"/>
      <c r="G718" s="10"/>
      <c r="H718" s="10"/>
      <c r="I718" s="10"/>
    </row>
    <row r="719" spans="1:9">
      <c r="A719" s="10"/>
      <c r="B719" s="10"/>
      <c r="C719" s="10"/>
      <c r="D719" s="10"/>
      <c r="E719" s="10"/>
      <c r="F719" s="10"/>
      <c r="G719" s="10"/>
      <c r="H719" s="10"/>
      <c r="I719" s="10"/>
    </row>
    <row r="720" spans="1:9">
      <c r="A720" s="10"/>
      <c r="B720" s="10"/>
      <c r="C720" s="10"/>
      <c r="D720" s="10"/>
      <c r="E720" s="10"/>
      <c r="F720" s="10"/>
      <c r="G720" s="10"/>
      <c r="H720" s="10"/>
      <c r="I720" s="10"/>
    </row>
    <row r="721" spans="1:9">
      <c r="A721" s="10"/>
      <c r="B721" s="10"/>
      <c r="C721" s="10"/>
      <c r="D721" s="10"/>
      <c r="E721" s="10"/>
      <c r="F721" s="10"/>
      <c r="G721" s="10"/>
      <c r="H721" s="10"/>
      <c r="I721" s="10"/>
    </row>
    <row r="722" spans="1:9">
      <c r="A722" s="10"/>
      <c r="B722" s="10"/>
      <c r="C722" s="10"/>
      <c r="D722" s="10"/>
      <c r="E722" s="10"/>
      <c r="F722" s="10"/>
      <c r="G722" s="10"/>
      <c r="H722" s="10"/>
      <c r="I722" s="10"/>
    </row>
    <row r="723" spans="1:9">
      <c r="A723" s="10"/>
      <c r="B723" s="10"/>
      <c r="C723" s="10"/>
      <c r="D723" s="10"/>
      <c r="E723" s="10"/>
      <c r="F723" s="10"/>
      <c r="G723" s="10"/>
      <c r="H723" s="10"/>
      <c r="I723" s="10"/>
    </row>
    <row r="724" spans="1:9">
      <c r="A724" s="10"/>
      <c r="B724" s="10"/>
      <c r="C724" s="10"/>
      <c r="D724" s="10"/>
      <c r="E724" s="10"/>
      <c r="F724" s="10"/>
      <c r="G724" s="10"/>
      <c r="H724" s="10"/>
      <c r="I724" s="10"/>
    </row>
    <row r="725" spans="1:9">
      <c r="A725" s="10"/>
      <c r="B725" s="10"/>
      <c r="C725" s="10"/>
      <c r="D725" s="10"/>
      <c r="E725" s="10"/>
      <c r="F725" s="10"/>
      <c r="G725" s="10"/>
      <c r="H725" s="10"/>
      <c r="I725" s="10"/>
    </row>
    <row r="726" spans="1:9">
      <c r="A726" s="10"/>
      <c r="B726" s="10"/>
      <c r="C726" s="10"/>
      <c r="D726" s="10"/>
      <c r="E726" s="10"/>
      <c r="F726" s="10"/>
      <c r="G726" s="10"/>
      <c r="H726" s="10"/>
      <c r="I726" s="10"/>
    </row>
    <row r="727" spans="1:9">
      <c r="A727" s="10"/>
      <c r="B727" s="10"/>
      <c r="C727" s="10"/>
      <c r="D727" s="10"/>
      <c r="E727" s="10"/>
      <c r="F727" s="10"/>
      <c r="G727" s="10"/>
      <c r="H727" s="10"/>
      <c r="I727" s="10"/>
    </row>
    <row r="728" spans="1:9">
      <c r="A728" s="10"/>
      <c r="B728" s="10"/>
      <c r="C728" s="10"/>
      <c r="D728" s="10"/>
      <c r="E728" s="10"/>
      <c r="F728" s="10"/>
      <c r="G728" s="10"/>
      <c r="H728" s="10"/>
      <c r="I728" s="10"/>
    </row>
    <row r="729" spans="1:9">
      <c r="A729" s="10"/>
      <c r="B729" s="10"/>
      <c r="C729" s="10"/>
      <c r="D729" s="10"/>
      <c r="E729" s="10"/>
      <c r="F729" s="10"/>
      <c r="G729" s="10"/>
      <c r="H729" s="10"/>
      <c r="I729" s="10"/>
    </row>
    <row r="730" spans="1:9">
      <c r="A730" s="10"/>
      <c r="B730" s="10"/>
      <c r="C730" s="10"/>
      <c r="D730" s="10"/>
      <c r="E730" s="10"/>
      <c r="F730" s="10"/>
      <c r="G730" s="10"/>
      <c r="H730" s="10"/>
      <c r="I730" s="10"/>
    </row>
    <row r="731" spans="1:9">
      <c r="A731" s="10"/>
      <c r="B731" s="10"/>
      <c r="C731" s="10"/>
      <c r="D731" s="10"/>
      <c r="E731" s="10"/>
      <c r="F731" s="10"/>
      <c r="G731" s="10"/>
      <c r="H731" s="10"/>
      <c r="I731" s="10"/>
    </row>
    <row r="732" spans="1:9">
      <c r="A732" s="10"/>
      <c r="B732" s="10"/>
      <c r="C732" s="10"/>
      <c r="D732" s="10"/>
      <c r="E732" s="10"/>
      <c r="F732" s="10"/>
      <c r="G732" s="10"/>
      <c r="H732" s="10"/>
      <c r="I732" s="10"/>
    </row>
    <row r="733" spans="1:9">
      <c r="A733" s="10"/>
      <c r="B733" s="10"/>
      <c r="C733" s="10"/>
      <c r="D733" s="10"/>
      <c r="E733" s="10"/>
      <c r="F733" s="10"/>
      <c r="G733" s="10"/>
      <c r="H733" s="10"/>
      <c r="I733" s="10"/>
    </row>
    <row r="734" spans="1:9">
      <c r="A734" s="10"/>
      <c r="B734" s="10"/>
      <c r="C734" s="10"/>
      <c r="D734" s="10"/>
      <c r="E734" s="10"/>
      <c r="F734" s="10"/>
      <c r="G734" s="10"/>
      <c r="H734" s="10"/>
      <c r="I734" s="10"/>
    </row>
    <row r="735" spans="1:9">
      <c r="A735" s="10"/>
      <c r="B735" s="10"/>
      <c r="C735" s="10"/>
      <c r="D735" s="10"/>
      <c r="E735" s="10"/>
      <c r="F735" s="10"/>
      <c r="G735" s="10"/>
      <c r="H735" s="10"/>
      <c r="I735" s="10"/>
    </row>
    <row r="736" spans="1:9">
      <c r="A736" s="10"/>
      <c r="B736" s="10"/>
      <c r="C736" s="10"/>
      <c r="D736" s="10"/>
      <c r="E736" s="10"/>
      <c r="F736" s="10"/>
      <c r="G736" s="10"/>
      <c r="H736" s="10"/>
      <c r="I736" s="10"/>
    </row>
    <row r="737" spans="1:9">
      <c r="A737" s="10"/>
      <c r="B737" s="10"/>
      <c r="C737" s="10"/>
      <c r="D737" s="10"/>
      <c r="E737" s="10"/>
      <c r="F737" s="10"/>
      <c r="G737" s="10"/>
      <c r="H737" s="10"/>
      <c r="I737" s="10"/>
    </row>
    <row r="738" spans="1:9">
      <c r="A738" s="10"/>
      <c r="B738" s="10"/>
      <c r="C738" s="10"/>
      <c r="D738" s="10"/>
      <c r="E738" s="10"/>
      <c r="F738" s="10"/>
      <c r="G738" s="10"/>
      <c r="H738" s="10"/>
      <c r="I738" s="10"/>
    </row>
    <row r="739" spans="1:9">
      <c r="A739" s="10"/>
      <c r="B739" s="10"/>
      <c r="C739" s="10"/>
      <c r="D739" s="10"/>
      <c r="E739" s="10"/>
      <c r="F739" s="10"/>
      <c r="G739" s="10"/>
      <c r="H739" s="10"/>
      <c r="I739" s="10"/>
    </row>
    <row r="740" spans="1:9">
      <c r="A740" s="10"/>
      <c r="B740" s="10"/>
      <c r="C740" s="10"/>
      <c r="D740" s="10"/>
      <c r="E740" s="10"/>
      <c r="F740" s="10"/>
      <c r="G740" s="10"/>
      <c r="H740" s="10"/>
      <c r="I740" s="10"/>
    </row>
    <row r="741" spans="1:9">
      <c r="A741" s="10"/>
      <c r="B741" s="10"/>
      <c r="C741" s="10"/>
      <c r="D741" s="10"/>
      <c r="E741" s="10"/>
      <c r="F741" s="10"/>
      <c r="G741" s="10"/>
      <c r="H741" s="10"/>
      <c r="I741" s="10"/>
    </row>
    <row r="742" spans="1:9">
      <c r="A742" s="10"/>
      <c r="B742" s="10"/>
      <c r="C742" s="10"/>
      <c r="D742" s="10"/>
      <c r="E742" s="10"/>
      <c r="F742" s="10"/>
      <c r="G742" s="10"/>
      <c r="H742" s="10"/>
      <c r="I742" s="10"/>
    </row>
    <row r="743" spans="1:9">
      <c r="A743" s="10"/>
      <c r="B743" s="10"/>
      <c r="C743" s="10"/>
      <c r="D743" s="10"/>
      <c r="E743" s="10"/>
      <c r="F743" s="10"/>
      <c r="G743" s="10"/>
      <c r="H743" s="10"/>
      <c r="I743" s="10"/>
    </row>
    <row r="744" spans="1:9">
      <c r="A744" s="10"/>
      <c r="B744" s="10"/>
      <c r="C744" s="10"/>
      <c r="D744" s="10"/>
      <c r="E744" s="10"/>
      <c r="F744" s="10"/>
      <c r="G744" s="10"/>
      <c r="H744" s="10"/>
      <c r="I744" s="10"/>
    </row>
    <row r="745" spans="1:9">
      <c r="A745" s="10"/>
      <c r="B745" s="10"/>
      <c r="C745" s="10"/>
      <c r="D745" s="10"/>
      <c r="E745" s="10"/>
      <c r="F745" s="10"/>
      <c r="G745" s="10"/>
      <c r="H745" s="10"/>
      <c r="I745" s="10"/>
    </row>
    <row r="746" spans="1:9">
      <c r="A746" s="10"/>
      <c r="B746" s="10"/>
      <c r="C746" s="10"/>
      <c r="D746" s="10"/>
      <c r="E746" s="10"/>
      <c r="F746" s="10"/>
      <c r="G746" s="10"/>
      <c r="H746" s="10"/>
      <c r="I746" s="10"/>
    </row>
    <row r="747" spans="1:9">
      <c r="A747" s="10"/>
      <c r="B747" s="10"/>
      <c r="C747" s="10"/>
      <c r="D747" s="10"/>
      <c r="E747" s="10"/>
      <c r="F747" s="10"/>
      <c r="G747" s="10"/>
      <c r="H747" s="10"/>
      <c r="I747" s="10"/>
    </row>
    <row r="748" spans="1:9">
      <c r="A748" s="10"/>
      <c r="B748" s="10"/>
      <c r="C748" s="10"/>
      <c r="D748" s="10"/>
      <c r="E748" s="10"/>
      <c r="F748" s="10"/>
      <c r="G748" s="10"/>
      <c r="H748" s="10"/>
      <c r="I748" s="10"/>
    </row>
    <row r="749" spans="1:9">
      <c r="A749" s="10"/>
      <c r="B749" s="10"/>
      <c r="C749" s="10"/>
      <c r="D749" s="10"/>
      <c r="E749" s="10"/>
      <c r="F749" s="10"/>
      <c r="G749" s="10"/>
      <c r="H749" s="10"/>
      <c r="I749" s="10"/>
    </row>
    <row r="750" spans="1:9">
      <c r="A750" s="10"/>
      <c r="B750" s="10"/>
      <c r="C750" s="10"/>
      <c r="D750" s="10"/>
      <c r="E750" s="10"/>
      <c r="F750" s="10"/>
      <c r="G750" s="10"/>
      <c r="H750" s="10"/>
      <c r="I750" s="10"/>
    </row>
    <row r="751" spans="1:9">
      <c r="A751" s="10"/>
      <c r="B751" s="10"/>
      <c r="C751" s="10"/>
      <c r="D751" s="10"/>
      <c r="E751" s="10"/>
      <c r="F751" s="10"/>
      <c r="G751" s="10"/>
      <c r="H751" s="10"/>
      <c r="I751" s="10"/>
    </row>
    <row r="752" spans="1:9">
      <c r="A752" s="10"/>
      <c r="B752" s="10"/>
      <c r="C752" s="10"/>
      <c r="D752" s="10"/>
      <c r="E752" s="10"/>
      <c r="F752" s="10"/>
      <c r="G752" s="10"/>
      <c r="H752" s="10"/>
      <c r="I752" s="10"/>
    </row>
    <row r="753" spans="1:9">
      <c r="A753" s="10"/>
      <c r="B753" s="10"/>
      <c r="C753" s="10"/>
      <c r="D753" s="10"/>
      <c r="E753" s="10"/>
      <c r="F753" s="10"/>
      <c r="G753" s="10"/>
      <c r="H753" s="10"/>
      <c r="I753" s="10"/>
    </row>
    <row r="754" spans="1:9">
      <c r="A754" s="10"/>
      <c r="B754" s="10"/>
      <c r="C754" s="10"/>
      <c r="D754" s="10"/>
      <c r="E754" s="10"/>
      <c r="F754" s="10"/>
      <c r="G754" s="10"/>
      <c r="H754" s="10"/>
      <c r="I754" s="10"/>
    </row>
    <row r="755" spans="1:9">
      <c r="A755" s="10"/>
      <c r="B755" s="10"/>
      <c r="C755" s="10"/>
      <c r="D755" s="10"/>
      <c r="E755" s="10"/>
      <c r="F755" s="10"/>
      <c r="G755" s="10"/>
      <c r="H755" s="10"/>
      <c r="I755" s="10"/>
    </row>
    <row r="756" spans="1:9">
      <c r="A756" s="10"/>
      <c r="B756" s="10"/>
      <c r="C756" s="10"/>
      <c r="D756" s="10"/>
      <c r="E756" s="10"/>
      <c r="F756" s="10"/>
      <c r="G756" s="10"/>
      <c r="H756" s="10"/>
      <c r="I756" s="10"/>
    </row>
    <row r="757" spans="1:9">
      <c r="A757" s="10"/>
      <c r="B757" s="10"/>
      <c r="C757" s="10"/>
      <c r="D757" s="10"/>
      <c r="E757" s="10"/>
      <c r="F757" s="10"/>
      <c r="G757" s="10"/>
      <c r="H757" s="10"/>
      <c r="I757" s="10"/>
    </row>
    <row r="758" spans="1:9">
      <c r="A758" s="10"/>
      <c r="B758" s="10"/>
      <c r="C758" s="10"/>
      <c r="D758" s="10"/>
      <c r="E758" s="10"/>
      <c r="F758" s="10"/>
      <c r="G758" s="10"/>
      <c r="H758" s="10"/>
      <c r="I758" s="10"/>
    </row>
    <row r="759" spans="1:9">
      <c r="A759" s="10"/>
      <c r="B759" s="10"/>
      <c r="C759" s="10"/>
      <c r="D759" s="10"/>
      <c r="E759" s="10"/>
      <c r="F759" s="10"/>
      <c r="G759" s="10"/>
      <c r="H759" s="10"/>
      <c r="I759" s="10"/>
    </row>
    <row r="760" spans="1:9">
      <c r="A760" s="10"/>
      <c r="B760" s="10"/>
      <c r="C760" s="10"/>
      <c r="D760" s="10"/>
      <c r="E760" s="10"/>
      <c r="F760" s="10"/>
      <c r="G760" s="10"/>
      <c r="H760" s="10"/>
      <c r="I760" s="10"/>
    </row>
    <row r="761" spans="1:9">
      <c r="A761" s="10"/>
      <c r="B761" s="10"/>
      <c r="C761" s="10"/>
      <c r="D761" s="10"/>
      <c r="E761" s="10"/>
      <c r="F761" s="10"/>
      <c r="G761" s="10"/>
      <c r="H761" s="10"/>
      <c r="I761" s="10"/>
    </row>
    <row r="762" spans="1:9">
      <c r="A762" s="10"/>
      <c r="B762" s="10"/>
      <c r="C762" s="10"/>
      <c r="D762" s="10"/>
      <c r="E762" s="10"/>
      <c r="F762" s="10"/>
      <c r="G762" s="10"/>
      <c r="H762" s="10"/>
      <c r="I762" s="10"/>
    </row>
    <row r="763" spans="1:9">
      <c r="A763" s="10"/>
      <c r="B763" s="10"/>
      <c r="C763" s="10"/>
      <c r="D763" s="10"/>
      <c r="E763" s="10"/>
      <c r="F763" s="10"/>
      <c r="G763" s="10"/>
      <c r="H763" s="10"/>
      <c r="I763" s="10"/>
    </row>
    <row r="764" spans="1:9">
      <c r="A764" s="10"/>
      <c r="B764" s="10"/>
      <c r="C764" s="10"/>
      <c r="D764" s="10"/>
      <c r="E764" s="10"/>
      <c r="F764" s="10"/>
      <c r="G764" s="10"/>
      <c r="H764" s="10"/>
      <c r="I764" s="10"/>
    </row>
    <row r="765" spans="1:9">
      <c r="A765" s="10"/>
      <c r="B765" s="10"/>
      <c r="C765" s="10"/>
      <c r="D765" s="10"/>
      <c r="E765" s="10"/>
      <c r="F765" s="10"/>
      <c r="G765" s="10"/>
      <c r="H765" s="10"/>
      <c r="I765" s="10"/>
    </row>
    <row r="766" spans="1:9">
      <c r="A766" s="10"/>
      <c r="B766" s="10"/>
      <c r="C766" s="10"/>
      <c r="D766" s="10"/>
      <c r="E766" s="10"/>
      <c r="F766" s="10"/>
      <c r="G766" s="10"/>
      <c r="H766" s="10"/>
      <c r="I766" s="10"/>
    </row>
    <row r="767" spans="1:9">
      <c r="A767" s="10"/>
      <c r="B767" s="10"/>
      <c r="C767" s="10"/>
      <c r="D767" s="10"/>
      <c r="E767" s="10"/>
      <c r="F767" s="10"/>
      <c r="G767" s="10"/>
      <c r="H767" s="10"/>
      <c r="I767" s="10"/>
    </row>
    <row r="768" spans="1:9">
      <c r="A768" s="10"/>
      <c r="B768" s="10"/>
      <c r="C768" s="10"/>
      <c r="D768" s="10"/>
      <c r="E768" s="10"/>
      <c r="F768" s="10"/>
      <c r="G768" s="10"/>
      <c r="H768" s="10"/>
      <c r="I768" s="10"/>
    </row>
    <row r="769" spans="1:9">
      <c r="A769" s="10"/>
      <c r="B769" s="10"/>
      <c r="C769" s="10"/>
      <c r="D769" s="10"/>
      <c r="E769" s="10"/>
      <c r="F769" s="10"/>
      <c r="G769" s="10"/>
      <c r="H769" s="10"/>
      <c r="I769" s="10"/>
    </row>
    <row r="770" spans="1:9">
      <c r="A770" s="10"/>
      <c r="B770" s="10"/>
      <c r="C770" s="10"/>
      <c r="D770" s="10"/>
      <c r="E770" s="10"/>
      <c r="F770" s="10"/>
      <c r="G770" s="10"/>
      <c r="H770" s="10"/>
      <c r="I770" s="10"/>
    </row>
    <row r="771" spans="1:9">
      <c r="A771" s="10"/>
      <c r="B771" s="10"/>
      <c r="C771" s="10"/>
      <c r="D771" s="10"/>
      <c r="E771" s="10"/>
      <c r="F771" s="10"/>
      <c r="G771" s="10"/>
      <c r="H771" s="10"/>
      <c r="I771" s="10"/>
    </row>
    <row r="772" spans="1:9">
      <c r="A772" s="10"/>
      <c r="B772" s="10"/>
      <c r="C772" s="10"/>
      <c r="D772" s="10"/>
      <c r="E772" s="10"/>
      <c r="F772" s="10"/>
      <c r="G772" s="10"/>
      <c r="H772" s="10"/>
      <c r="I772" s="10"/>
    </row>
    <row r="773" spans="1:9">
      <c r="A773" s="10"/>
      <c r="B773" s="10"/>
      <c r="C773" s="10"/>
      <c r="D773" s="10"/>
      <c r="E773" s="10"/>
      <c r="F773" s="10"/>
      <c r="G773" s="10"/>
      <c r="H773" s="10"/>
      <c r="I773" s="10"/>
    </row>
    <row r="774" spans="1:9">
      <c r="A774" s="10"/>
      <c r="B774" s="10"/>
      <c r="C774" s="10"/>
      <c r="D774" s="10"/>
      <c r="E774" s="10"/>
      <c r="F774" s="10"/>
      <c r="G774" s="10"/>
      <c r="H774" s="10"/>
      <c r="I774" s="10"/>
    </row>
    <row r="775" spans="1:9">
      <c r="A775" s="10"/>
      <c r="B775" s="10"/>
      <c r="C775" s="10"/>
      <c r="D775" s="10"/>
      <c r="E775" s="10"/>
      <c r="F775" s="10"/>
      <c r="G775" s="10"/>
      <c r="H775" s="10"/>
      <c r="I775" s="10"/>
    </row>
    <row r="776" spans="1:9">
      <c r="A776" s="10"/>
      <c r="B776" s="10"/>
      <c r="C776" s="10"/>
      <c r="D776" s="10"/>
      <c r="E776" s="10"/>
      <c r="F776" s="10"/>
      <c r="G776" s="10"/>
      <c r="H776" s="10"/>
      <c r="I776" s="10"/>
    </row>
    <row r="777" spans="1:9">
      <c r="A777" s="10"/>
      <c r="B777" s="10"/>
      <c r="C777" s="10"/>
      <c r="D777" s="10"/>
      <c r="E777" s="10"/>
      <c r="F777" s="10"/>
      <c r="G777" s="10"/>
      <c r="H777" s="10"/>
      <c r="I777" s="10"/>
    </row>
    <row r="778" spans="1:9">
      <c r="A778" s="10"/>
      <c r="B778" s="10"/>
      <c r="C778" s="10"/>
      <c r="D778" s="10"/>
      <c r="E778" s="10"/>
      <c r="F778" s="10"/>
      <c r="G778" s="10"/>
      <c r="H778" s="10"/>
      <c r="I778" s="10"/>
    </row>
    <row r="779" spans="1:9">
      <c r="A779" s="10"/>
      <c r="B779" s="10"/>
      <c r="C779" s="10"/>
      <c r="D779" s="10"/>
      <c r="E779" s="10"/>
      <c r="F779" s="10"/>
      <c r="G779" s="10"/>
      <c r="H779" s="10"/>
      <c r="I779" s="10"/>
    </row>
    <row r="780" spans="1:9">
      <c r="A780" s="10"/>
      <c r="B780" s="10"/>
      <c r="C780" s="10"/>
      <c r="D780" s="10"/>
      <c r="E780" s="10"/>
      <c r="F780" s="10"/>
      <c r="G780" s="10"/>
      <c r="H780" s="10"/>
      <c r="I780" s="10"/>
    </row>
    <row r="781" spans="1:9">
      <c r="A781" s="10"/>
      <c r="B781" s="10"/>
      <c r="C781" s="10"/>
      <c r="D781" s="10"/>
      <c r="E781" s="10"/>
      <c r="F781" s="10"/>
      <c r="G781" s="10"/>
      <c r="H781" s="10"/>
      <c r="I781" s="10"/>
    </row>
    <row r="782" spans="1:9">
      <c r="A782" s="10"/>
      <c r="B782" s="10"/>
      <c r="C782" s="10"/>
      <c r="D782" s="10"/>
      <c r="E782" s="10"/>
      <c r="F782" s="10"/>
      <c r="G782" s="10"/>
      <c r="H782" s="10"/>
      <c r="I782" s="10"/>
    </row>
    <row r="783" spans="1:9">
      <c r="A783" s="10"/>
      <c r="B783" s="10"/>
      <c r="C783" s="10"/>
      <c r="D783" s="10"/>
      <c r="E783" s="10"/>
      <c r="F783" s="10"/>
      <c r="G783" s="10"/>
      <c r="H783" s="10"/>
      <c r="I783" s="10"/>
    </row>
    <row r="784" spans="1:9">
      <c r="A784" s="10"/>
      <c r="B784" s="10"/>
      <c r="C784" s="10"/>
      <c r="D784" s="10"/>
      <c r="E784" s="10"/>
      <c r="F784" s="10"/>
      <c r="G784" s="10"/>
      <c r="H784" s="10"/>
      <c r="I784" s="10"/>
    </row>
    <row r="785" spans="1:9">
      <c r="A785" s="10"/>
      <c r="B785" s="10"/>
      <c r="C785" s="10"/>
      <c r="D785" s="10"/>
      <c r="E785" s="10"/>
      <c r="F785" s="10"/>
      <c r="G785" s="10"/>
      <c r="H785" s="10"/>
      <c r="I785" s="10"/>
    </row>
    <row r="786" spans="1:9">
      <c r="A786" s="10"/>
      <c r="B786" s="10"/>
      <c r="C786" s="10"/>
      <c r="D786" s="10"/>
      <c r="E786" s="10"/>
      <c r="F786" s="10"/>
      <c r="G786" s="10"/>
      <c r="H786" s="10"/>
      <c r="I786" s="10"/>
    </row>
    <row r="787" spans="1:9">
      <c r="A787" s="10"/>
      <c r="B787" s="10"/>
      <c r="C787" s="10"/>
      <c r="D787" s="10"/>
      <c r="E787" s="10"/>
      <c r="F787" s="10"/>
      <c r="G787" s="10"/>
      <c r="H787" s="10"/>
      <c r="I787" s="10"/>
    </row>
    <row r="788" spans="1:9">
      <c r="A788" s="10"/>
      <c r="B788" s="10"/>
      <c r="C788" s="10"/>
      <c r="D788" s="10"/>
      <c r="E788" s="10"/>
      <c r="F788" s="10"/>
      <c r="G788" s="10"/>
      <c r="H788" s="10"/>
      <c r="I788" s="10"/>
    </row>
    <row r="789" spans="1:9">
      <c r="A789" s="10"/>
      <c r="B789" s="10"/>
      <c r="C789" s="10"/>
      <c r="D789" s="10"/>
      <c r="E789" s="10"/>
      <c r="F789" s="10"/>
      <c r="G789" s="10"/>
      <c r="H789" s="10"/>
      <c r="I789" s="10"/>
    </row>
    <row r="790" spans="1:9">
      <c r="A790" s="10"/>
      <c r="B790" s="10"/>
      <c r="C790" s="10"/>
      <c r="D790" s="10"/>
      <c r="E790" s="10"/>
      <c r="F790" s="10"/>
      <c r="G790" s="10"/>
      <c r="H790" s="10"/>
      <c r="I790" s="10"/>
    </row>
    <row r="791" spans="1:9">
      <c r="A791" s="10"/>
      <c r="B791" s="10"/>
      <c r="C791" s="10"/>
      <c r="D791" s="10"/>
      <c r="E791" s="10"/>
      <c r="F791" s="10"/>
      <c r="G791" s="10"/>
      <c r="H791" s="10"/>
      <c r="I791" s="10"/>
    </row>
    <row r="792" spans="1:9">
      <c r="A792" s="10"/>
      <c r="B792" s="10"/>
      <c r="C792" s="10"/>
      <c r="D792" s="10"/>
      <c r="E792" s="10"/>
      <c r="F792" s="10"/>
      <c r="G792" s="10"/>
      <c r="H792" s="10"/>
      <c r="I792" s="10"/>
    </row>
    <row r="793" spans="1:9">
      <c r="A793" s="10"/>
      <c r="B793" s="10"/>
      <c r="C793" s="10"/>
      <c r="D793" s="10"/>
      <c r="E793" s="10"/>
      <c r="F793" s="10"/>
      <c r="G793" s="10"/>
      <c r="H793" s="10"/>
      <c r="I793" s="10"/>
    </row>
    <row r="794" spans="1:9">
      <c r="A794" s="10"/>
      <c r="B794" s="10"/>
      <c r="C794" s="10"/>
      <c r="D794" s="10"/>
      <c r="E794" s="10"/>
      <c r="F794" s="10"/>
      <c r="G794" s="10"/>
      <c r="H794" s="10"/>
      <c r="I794" s="10"/>
    </row>
    <row r="795" spans="1:9">
      <c r="A795" s="10"/>
      <c r="B795" s="10"/>
      <c r="C795" s="10"/>
      <c r="D795" s="10"/>
      <c r="E795" s="10"/>
      <c r="F795" s="10"/>
      <c r="G795" s="10"/>
      <c r="H795" s="10"/>
      <c r="I795" s="10"/>
    </row>
    <row r="796" spans="1:9">
      <c r="A796" s="10"/>
      <c r="B796" s="10"/>
      <c r="C796" s="10"/>
      <c r="D796" s="10"/>
      <c r="E796" s="10"/>
      <c r="F796" s="10"/>
      <c r="G796" s="10"/>
      <c r="H796" s="10"/>
      <c r="I796" s="10"/>
    </row>
    <row r="797" spans="1:9">
      <c r="A797" s="10"/>
      <c r="B797" s="10"/>
      <c r="C797" s="10"/>
      <c r="D797" s="10"/>
      <c r="E797" s="10"/>
      <c r="F797" s="10"/>
      <c r="G797" s="10"/>
      <c r="H797" s="10"/>
      <c r="I797" s="10"/>
    </row>
    <row r="798" spans="1:9">
      <c r="A798" s="10"/>
      <c r="B798" s="10"/>
      <c r="C798" s="10"/>
      <c r="D798" s="10"/>
      <c r="E798" s="10"/>
      <c r="F798" s="10"/>
      <c r="G798" s="10"/>
      <c r="H798" s="10"/>
      <c r="I798" s="10"/>
    </row>
    <row r="799" spans="1:9">
      <c r="A799" s="10"/>
      <c r="B799" s="10"/>
      <c r="C799" s="10"/>
      <c r="D799" s="10"/>
      <c r="E799" s="10"/>
      <c r="F799" s="10"/>
      <c r="G799" s="10"/>
      <c r="H799" s="10"/>
      <c r="I799" s="10"/>
    </row>
    <row r="800" spans="1:9">
      <c r="A800" s="10"/>
      <c r="B800" s="10"/>
      <c r="C800" s="10"/>
      <c r="D800" s="10"/>
      <c r="E800" s="10"/>
      <c r="F800" s="10"/>
      <c r="G800" s="10"/>
      <c r="H800" s="10"/>
      <c r="I800" s="10"/>
    </row>
    <row r="801" spans="1:9">
      <c r="A801" s="10"/>
      <c r="B801" s="10"/>
      <c r="C801" s="10"/>
      <c r="D801" s="10"/>
      <c r="E801" s="10"/>
      <c r="F801" s="10"/>
      <c r="G801" s="10"/>
      <c r="H801" s="10"/>
      <c r="I801" s="10"/>
    </row>
    <row r="802" spans="1:9">
      <c r="A802" s="10"/>
      <c r="B802" s="10"/>
      <c r="C802" s="10"/>
      <c r="D802" s="10"/>
      <c r="E802" s="10"/>
      <c r="F802" s="10"/>
      <c r="G802" s="10"/>
      <c r="H802" s="10"/>
      <c r="I802" s="10"/>
    </row>
    <row r="803" spans="1:9">
      <c r="A803" s="10"/>
      <c r="B803" s="10"/>
      <c r="C803" s="10"/>
      <c r="D803" s="10"/>
      <c r="E803" s="10"/>
      <c r="F803" s="10"/>
      <c r="G803" s="10"/>
      <c r="H803" s="10"/>
      <c r="I803" s="10"/>
    </row>
    <row r="804" spans="1:9">
      <c r="A804" s="10"/>
      <c r="B804" s="10"/>
      <c r="C804" s="10"/>
      <c r="D804" s="10"/>
      <c r="E804" s="10"/>
      <c r="F804" s="10"/>
      <c r="G804" s="10"/>
      <c r="H804" s="10"/>
      <c r="I804" s="10"/>
    </row>
    <row r="805" spans="1:9">
      <c r="A805" s="10"/>
      <c r="B805" s="10"/>
      <c r="C805" s="10"/>
      <c r="D805" s="10"/>
      <c r="E805" s="10"/>
      <c r="F805" s="10"/>
      <c r="G805" s="10"/>
      <c r="H805" s="10"/>
      <c r="I805" s="10"/>
    </row>
    <row r="806" spans="1:9">
      <c r="A806" s="10"/>
      <c r="B806" s="10"/>
      <c r="C806" s="10"/>
      <c r="D806" s="10"/>
      <c r="E806" s="10"/>
      <c r="F806" s="10"/>
      <c r="G806" s="10"/>
      <c r="H806" s="10"/>
      <c r="I806" s="10"/>
    </row>
    <row r="807" spans="1:9">
      <c r="A807" s="10"/>
      <c r="B807" s="10"/>
      <c r="C807" s="10"/>
      <c r="D807" s="10"/>
      <c r="E807" s="10"/>
      <c r="F807" s="10"/>
      <c r="G807" s="10"/>
      <c r="H807" s="10"/>
      <c r="I807" s="10"/>
    </row>
    <row r="808" spans="1:9">
      <c r="A808" s="10"/>
      <c r="B808" s="10"/>
      <c r="C808" s="10"/>
      <c r="D808" s="10"/>
      <c r="E808" s="10"/>
      <c r="F808" s="10"/>
      <c r="G808" s="10"/>
      <c r="H808" s="10"/>
      <c r="I808" s="10"/>
    </row>
    <row r="809" spans="1:9">
      <c r="A809" s="10"/>
      <c r="B809" s="10"/>
      <c r="C809" s="10"/>
      <c r="D809" s="10"/>
      <c r="E809" s="10"/>
      <c r="F809" s="10"/>
      <c r="G809" s="10"/>
      <c r="H809" s="10"/>
      <c r="I809" s="10"/>
    </row>
    <row r="810" spans="1:9">
      <c r="A810" s="10"/>
      <c r="B810" s="10"/>
      <c r="C810" s="10"/>
      <c r="D810" s="10"/>
      <c r="E810" s="10"/>
      <c r="F810" s="10"/>
      <c r="G810" s="10"/>
      <c r="H810" s="10"/>
      <c r="I810" s="10"/>
    </row>
    <row r="811" spans="1:9">
      <c r="A811" s="10"/>
      <c r="B811" s="10"/>
      <c r="C811" s="10"/>
      <c r="D811" s="10"/>
      <c r="E811" s="10"/>
      <c r="F811" s="10"/>
      <c r="G811" s="10"/>
      <c r="H811" s="10"/>
      <c r="I811" s="10"/>
    </row>
    <row r="812" spans="1:9">
      <c r="A812" s="10"/>
      <c r="B812" s="10"/>
      <c r="C812" s="10"/>
      <c r="D812" s="10"/>
      <c r="E812" s="10"/>
      <c r="F812" s="10"/>
      <c r="G812" s="10"/>
      <c r="H812" s="10"/>
      <c r="I812" s="10"/>
    </row>
    <row r="813" spans="1:9">
      <c r="A813" s="10"/>
      <c r="B813" s="10"/>
      <c r="C813" s="10"/>
      <c r="D813" s="10"/>
      <c r="E813" s="10"/>
      <c r="F813" s="10"/>
      <c r="G813" s="10"/>
      <c r="H813" s="10"/>
      <c r="I813" s="10"/>
    </row>
    <row r="814" spans="1:9">
      <c r="A814" s="10"/>
      <c r="B814" s="10"/>
      <c r="C814" s="10"/>
      <c r="D814" s="10"/>
      <c r="E814" s="10"/>
      <c r="F814" s="10"/>
      <c r="G814" s="10"/>
      <c r="H814" s="10"/>
      <c r="I814" s="10"/>
    </row>
    <row r="815" spans="1:9">
      <c r="A815" s="10"/>
      <c r="B815" s="10"/>
      <c r="C815" s="10"/>
      <c r="D815" s="10"/>
      <c r="E815" s="10"/>
      <c r="F815" s="10"/>
      <c r="G815" s="10"/>
      <c r="H815" s="10"/>
      <c r="I815" s="10"/>
    </row>
    <row r="816" spans="1:9">
      <c r="A816" s="10"/>
      <c r="B816" s="10"/>
      <c r="C816" s="10"/>
      <c r="D816" s="10"/>
      <c r="E816" s="10"/>
      <c r="F816" s="10"/>
      <c r="G816" s="10"/>
      <c r="H816" s="10"/>
      <c r="I816" s="10"/>
    </row>
    <row r="817" spans="1:9">
      <c r="A817" s="10"/>
      <c r="B817" s="10"/>
      <c r="C817" s="10"/>
      <c r="D817" s="10"/>
      <c r="E817" s="10"/>
      <c r="F817" s="10"/>
      <c r="G817" s="10"/>
      <c r="H817" s="10"/>
      <c r="I817" s="10"/>
    </row>
    <row r="818" spans="1:9">
      <c r="A818" s="10"/>
      <c r="B818" s="10"/>
      <c r="C818" s="10"/>
      <c r="D818" s="10"/>
      <c r="E818" s="10"/>
      <c r="F818" s="10"/>
      <c r="G818" s="10"/>
      <c r="H818" s="10"/>
      <c r="I818" s="10"/>
    </row>
    <row r="819" spans="1:9">
      <c r="A819" s="10"/>
      <c r="B819" s="10"/>
      <c r="C819" s="10"/>
      <c r="D819" s="10"/>
      <c r="E819" s="10"/>
      <c r="F819" s="10"/>
      <c r="G819" s="10"/>
      <c r="H819" s="10"/>
      <c r="I819" s="10"/>
    </row>
    <row r="820" spans="1:9">
      <c r="A820" s="10"/>
      <c r="B820" s="10"/>
      <c r="C820" s="10"/>
      <c r="D820" s="10"/>
      <c r="E820" s="10"/>
      <c r="F820" s="10"/>
      <c r="G820" s="10"/>
      <c r="H820" s="10"/>
      <c r="I820" s="10"/>
    </row>
    <row r="821" spans="1:9">
      <c r="A821" s="10"/>
      <c r="B821" s="10"/>
      <c r="C821" s="10"/>
      <c r="D821" s="10"/>
      <c r="E821" s="10"/>
      <c r="F821" s="10"/>
      <c r="G821" s="10"/>
      <c r="H821" s="10"/>
      <c r="I821" s="10"/>
    </row>
    <row r="822" spans="1:9">
      <c r="A822" s="10"/>
      <c r="B822" s="10"/>
      <c r="C822" s="10"/>
      <c r="D822" s="10"/>
      <c r="E822" s="10"/>
      <c r="F822" s="10"/>
      <c r="G822" s="10"/>
      <c r="H822" s="10"/>
      <c r="I822" s="10"/>
    </row>
    <row r="823" spans="1:9">
      <c r="A823" s="10"/>
      <c r="B823" s="10"/>
      <c r="C823" s="10"/>
      <c r="D823" s="10"/>
      <c r="E823" s="10"/>
      <c r="F823" s="10"/>
      <c r="G823" s="10"/>
      <c r="H823" s="10"/>
      <c r="I823" s="10"/>
    </row>
    <row r="824" spans="1:9">
      <c r="A824" s="10"/>
      <c r="B824" s="10"/>
      <c r="C824" s="10"/>
      <c r="D824" s="10"/>
      <c r="E824" s="10"/>
      <c r="F824" s="10"/>
      <c r="G824" s="10"/>
      <c r="H824" s="10"/>
      <c r="I824" s="10"/>
    </row>
    <row r="825" spans="1:9">
      <c r="A825" s="10"/>
      <c r="B825" s="10"/>
      <c r="C825" s="10"/>
      <c r="D825" s="10"/>
      <c r="E825" s="10"/>
      <c r="F825" s="10"/>
      <c r="G825" s="10"/>
      <c r="H825" s="10"/>
      <c r="I825" s="10"/>
    </row>
    <row r="826" spans="1:9">
      <c r="A826" s="10"/>
      <c r="B826" s="10"/>
      <c r="C826" s="10"/>
      <c r="D826" s="10"/>
      <c r="E826" s="10"/>
      <c r="F826" s="10"/>
      <c r="G826" s="10"/>
      <c r="H826" s="10"/>
      <c r="I826" s="10"/>
    </row>
    <row r="827" spans="1:9">
      <c r="A827" s="10"/>
      <c r="B827" s="10"/>
      <c r="C827" s="10"/>
      <c r="D827" s="10"/>
      <c r="E827" s="10"/>
      <c r="F827" s="10"/>
      <c r="G827" s="10"/>
      <c r="H827" s="10"/>
      <c r="I827" s="10"/>
    </row>
    <row r="828" spans="1:9">
      <c r="A828" s="10"/>
      <c r="B828" s="10"/>
      <c r="C828" s="10"/>
      <c r="D828" s="10"/>
      <c r="E828" s="10"/>
      <c r="F828" s="10"/>
      <c r="G828" s="10"/>
      <c r="H828" s="10"/>
      <c r="I828" s="10"/>
    </row>
    <row r="829" spans="1:9">
      <c r="A829" s="10"/>
      <c r="B829" s="10"/>
      <c r="C829" s="10"/>
      <c r="D829" s="10"/>
      <c r="E829" s="10"/>
      <c r="F829" s="10"/>
      <c r="G829" s="10"/>
      <c r="H829" s="10"/>
      <c r="I829" s="10"/>
    </row>
    <row r="830" spans="1:9">
      <c r="A830" s="10"/>
      <c r="B830" s="10"/>
      <c r="C830" s="10"/>
      <c r="D830" s="10"/>
      <c r="E830" s="10"/>
      <c r="F830" s="10"/>
      <c r="G830" s="10"/>
      <c r="H830" s="10"/>
      <c r="I830" s="10"/>
    </row>
    <row r="831" spans="1:9">
      <c r="A831" s="10"/>
      <c r="B831" s="10"/>
      <c r="C831" s="10"/>
      <c r="D831" s="10"/>
      <c r="E831" s="10"/>
      <c r="F831" s="10"/>
      <c r="G831" s="10"/>
      <c r="H831" s="10"/>
      <c r="I831" s="10"/>
    </row>
    <row r="832" spans="1:9">
      <c r="A832" s="10"/>
      <c r="B832" s="10"/>
      <c r="C832" s="10"/>
      <c r="D832" s="10"/>
      <c r="E832" s="10"/>
      <c r="F832" s="10"/>
      <c r="G832" s="10"/>
      <c r="H832" s="10"/>
      <c r="I832" s="10"/>
    </row>
    <row r="833" spans="1:9">
      <c r="A833" s="10"/>
      <c r="B833" s="10"/>
      <c r="C833" s="10"/>
      <c r="D833" s="10"/>
      <c r="E833" s="10"/>
      <c r="F833" s="10"/>
      <c r="G833" s="10"/>
      <c r="H833" s="10"/>
      <c r="I833" s="10"/>
    </row>
    <row r="834" spans="1:9">
      <c r="A834" s="10"/>
      <c r="B834" s="10"/>
      <c r="C834" s="10"/>
      <c r="D834" s="10"/>
      <c r="E834" s="10"/>
      <c r="F834" s="10"/>
      <c r="G834" s="10"/>
      <c r="H834" s="10"/>
      <c r="I834" s="10"/>
    </row>
    <row r="835" spans="1:9">
      <c r="A835" s="10"/>
      <c r="B835" s="10"/>
      <c r="C835" s="10"/>
      <c r="D835" s="10"/>
      <c r="E835" s="10"/>
      <c r="F835" s="10"/>
      <c r="G835" s="10"/>
      <c r="H835" s="10"/>
      <c r="I835" s="10"/>
    </row>
    <row r="836" spans="1:9">
      <c r="A836" s="10"/>
      <c r="B836" s="10"/>
      <c r="C836" s="10"/>
      <c r="D836" s="10"/>
      <c r="E836" s="10"/>
      <c r="F836" s="10"/>
      <c r="G836" s="10"/>
      <c r="H836" s="10"/>
      <c r="I836" s="10"/>
    </row>
    <row r="837" spans="1:9">
      <c r="A837" s="10"/>
      <c r="B837" s="10"/>
      <c r="C837" s="10"/>
      <c r="D837" s="10"/>
      <c r="E837" s="10"/>
      <c r="F837" s="10"/>
      <c r="G837" s="10"/>
      <c r="H837" s="10"/>
      <c r="I837" s="10"/>
    </row>
    <row r="838" spans="1:9">
      <c r="A838" s="10"/>
      <c r="B838" s="10"/>
      <c r="C838" s="10"/>
      <c r="D838" s="10"/>
      <c r="E838" s="10"/>
      <c r="F838" s="10"/>
      <c r="G838" s="10"/>
      <c r="H838" s="10"/>
      <c r="I838" s="10"/>
    </row>
    <row r="839" spans="1:9">
      <c r="A839" s="10"/>
      <c r="B839" s="10"/>
      <c r="C839" s="10"/>
      <c r="D839" s="10"/>
      <c r="E839" s="10"/>
      <c r="F839" s="10"/>
      <c r="G839" s="10"/>
      <c r="H839" s="10"/>
      <c r="I839" s="10"/>
    </row>
    <row r="840" spans="1:9">
      <c r="A840" s="10"/>
      <c r="B840" s="10"/>
      <c r="C840" s="10"/>
      <c r="D840" s="10"/>
      <c r="E840" s="10"/>
      <c r="F840" s="10"/>
      <c r="G840" s="10"/>
      <c r="H840" s="10"/>
      <c r="I840" s="10"/>
    </row>
    <row r="841" spans="1:9">
      <c r="A841" s="10"/>
      <c r="B841" s="10"/>
      <c r="C841" s="10"/>
      <c r="D841" s="10"/>
      <c r="E841" s="10"/>
      <c r="F841" s="10"/>
      <c r="G841" s="10"/>
      <c r="H841" s="10"/>
      <c r="I841" s="10"/>
    </row>
    <row r="842" spans="1:9">
      <c r="A842" s="10"/>
      <c r="B842" s="10"/>
      <c r="C842" s="10"/>
      <c r="D842" s="10"/>
      <c r="E842" s="10"/>
      <c r="F842" s="10"/>
      <c r="G842" s="10"/>
      <c r="H842" s="10"/>
      <c r="I842" s="10"/>
    </row>
    <row r="843" spans="1:9">
      <c r="A843" s="10"/>
      <c r="B843" s="10"/>
      <c r="C843" s="10"/>
      <c r="D843" s="10"/>
      <c r="E843" s="10"/>
      <c r="F843" s="10"/>
      <c r="G843" s="10"/>
      <c r="H843" s="10"/>
      <c r="I843" s="10"/>
    </row>
    <row r="844" spans="1:9">
      <c r="A844" s="10"/>
      <c r="B844" s="10"/>
      <c r="C844" s="10"/>
      <c r="D844" s="10"/>
      <c r="E844" s="10"/>
      <c r="F844" s="10"/>
      <c r="G844" s="10"/>
      <c r="H844" s="10"/>
      <c r="I844" s="10"/>
    </row>
    <row r="845" spans="1:9">
      <c r="A845" s="10"/>
      <c r="B845" s="10"/>
      <c r="C845" s="10"/>
      <c r="D845" s="10"/>
      <c r="E845" s="10"/>
      <c r="F845" s="10"/>
      <c r="G845" s="10"/>
      <c r="H845" s="10"/>
      <c r="I845" s="10"/>
    </row>
    <row r="846" spans="1:9">
      <c r="A846" s="10"/>
      <c r="B846" s="10"/>
      <c r="C846" s="10"/>
      <c r="D846" s="10"/>
      <c r="E846" s="10"/>
      <c r="F846" s="10"/>
      <c r="G846" s="10"/>
      <c r="H846" s="10"/>
      <c r="I846" s="10"/>
    </row>
    <row r="847" spans="1:9">
      <c r="A847" s="10"/>
      <c r="B847" s="10"/>
      <c r="C847" s="10"/>
      <c r="D847" s="10"/>
      <c r="E847" s="10"/>
      <c r="F847" s="10"/>
      <c r="G847" s="10"/>
      <c r="H847" s="10"/>
      <c r="I847" s="10"/>
    </row>
    <row r="848" spans="1:9">
      <c r="A848" s="10"/>
      <c r="B848" s="10"/>
      <c r="C848" s="10"/>
      <c r="D848" s="10"/>
      <c r="E848" s="10"/>
      <c r="F848" s="10"/>
      <c r="G848" s="10"/>
      <c r="H848" s="10"/>
      <c r="I848" s="10"/>
    </row>
    <row r="849" spans="1:9">
      <c r="A849" s="10"/>
      <c r="B849" s="10"/>
      <c r="C849" s="10"/>
      <c r="D849" s="10"/>
      <c r="E849" s="10"/>
      <c r="F849" s="10"/>
      <c r="G849" s="10"/>
      <c r="H849" s="10"/>
      <c r="I849" s="10"/>
    </row>
    <row r="850" spans="1:9">
      <c r="A850" s="10"/>
      <c r="B850" s="10"/>
      <c r="C850" s="10"/>
      <c r="D850" s="10"/>
      <c r="E850" s="10"/>
      <c r="F850" s="10"/>
      <c r="G850" s="10"/>
      <c r="H850" s="10"/>
      <c r="I850" s="10"/>
    </row>
    <row r="851" spans="1:9">
      <c r="A851" s="10"/>
      <c r="B851" s="10"/>
      <c r="C851" s="10"/>
      <c r="D851" s="10"/>
      <c r="E851" s="10"/>
      <c r="F851" s="10"/>
      <c r="G851" s="10"/>
      <c r="H851" s="10"/>
      <c r="I851" s="10"/>
    </row>
    <row r="852" spans="1:9">
      <c r="A852" s="10"/>
      <c r="B852" s="10"/>
      <c r="C852" s="10"/>
      <c r="D852" s="10"/>
      <c r="E852" s="10"/>
      <c r="F852" s="10"/>
      <c r="G852" s="10"/>
      <c r="H852" s="10"/>
      <c r="I852" s="10"/>
    </row>
    <row r="853" spans="1:9">
      <c r="A853" s="10"/>
      <c r="B853" s="10"/>
      <c r="C853" s="10"/>
      <c r="D853" s="10"/>
      <c r="E853" s="10"/>
      <c r="F853" s="10"/>
      <c r="G853" s="10"/>
      <c r="H853" s="10"/>
      <c r="I853" s="10"/>
    </row>
    <row r="854" spans="1:9">
      <c r="A854" s="10"/>
      <c r="B854" s="10"/>
      <c r="C854" s="10"/>
      <c r="D854" s="10"/>
      <c r="E854" s="10"/>
      <c r="F854" s="10"/>
      <c r="G854" s="10"/>
      <c r="H854" s="10"/>
      <c r="I854" s="10"/>
    </row>
    <row r="855" spans="1:9">
      <c r="A855" s="10"/>
      <c r="B855" s="10"/>
      <c r="C855" s="10"/>
      <c r="D855" s="10"/>
      <c r="E855" s="10"/>
      <c r="F855" s="10"/>
      <c r="G855" s="10"/>
      <c r="H855" s="10"/>
      <c r="I855" s="10"/>
    </row>
    <row r="856" spans="1:9">
      <c r="A856" s="10"/>
      <c r="B856" s="10"/>
      <c r="C856" s="10"/>
      <c r="D856" s="10"/>
      <c r="E856" s="10"/>
      <c r="F856" s="10"/>
      <c r="G856" s="10"/>
      <c r="H856" s="10"/>
      <c r="I856" s="10"/>
    </row>
    <row r="857" spans="1:9">
      <c r="A857" s="10"/>
      <c r="B857" s="10"/>
      <c r="C857" s="10"/>
      <c r="D857" s="10"/>
      <c r="E857" s="10"/>
      <c r="F857" s="10"/>
      <c r="G857" s="10"/>
      <c r="H857" s="10"/>
      <c r="I857" s="10"/>
    </row>
    <row r="858" spans="1:9">
      <c r="A858" s="10"/>
      <c r="B858" s="10"/>
      <c r="C858" s="10"/>
      <c r="D858" s="10"/>
      <c r="E858" s="10"/>
      <c r="F858" s="10"/>
      <c r="G858" s="10"/>
      <c r="H858" s="10"/>
      <c r="I858" s="10"/>
    </row>
    <row r="859" spans="1:9">
      <c r="A859" s="10"/>
      <c r="B859" s="10"/>
      <c r="C859" s="10"/>
      <c r="D859" s="10"/>
      <c r="E859" s="10"/>
      <c r="F859" s="10"/>
      <c r="G859" s="10"/>
      <c r="H859" s="10"/>
      <c r="I859" s="10"/>
    </row>
    <row r="860" spans="1:9">
      <c r="A860" s="10"/>
      <c r="B860" s="10"/>
      <c r="C860" s="10"/>
      <c r="D860" s="10"/>
      <c r="E860" s="10"/>
      <c r="F860" s="10"/>
      <c r="G860" s="10"/>
      <c r="H860" s="10"/>
      <c r="I860" s="10"/>
    </row>
    <row r="861" spans="1:9">
      <c r="A861" s="10"/>
      <c r="B861" s="10"/>
      <c r="C861" s="10"/>
      <c r="D861" s="10"/>
      <c r="E861" s="10"/>
      <c r="F861" s="10"/>
      <c r="G861" s="10"/>
      <c r="H861" s="10"/>
      <c r="I861" s="10"/>
    </row>
    <row r="862" spans="1:9">
      <c r="A862" s="10"/>
      <c r="B862" s="10"/>
      <c r="C862" s="10"/>
      <c r="D862" s="10"/>
      <c r="E862" s="10"/>
      <c r="F862" s="10"/>
      <c r="G862" s="10"/>
      <c r="H862" s="10"/>
      <c r="I862" s="10"/>
    </row>
    <row r="863" spans="1:9">
      <c r="A863" s="10"/>
      <c r="B863" s="10"/>
      <c r="C863" s="10"/>
      <c r="D863" s="10"/>
      <c r="E863" s="10"/>
      <c r="F863" s="10"/>
      <c r="G863" s="10"/>
      <c r="H863" s="10"/>
      <c r="I863" s="10"/>
    </row>
    <row r="864" spans="1:9">
      <c r="A864" s="10"/>
      <c r="B864" s="10"/>
      <c r="C864" s="10"/>
      <c r="D864" s="10"/>
      <c r="E864" s="10"/>
      <c r="F864" s="10"/>
      <c r="G864" s="10"/>
      <c r="H864" s="10"/>
      <c r="I864" s="10"/>
    </row>
    <row r="865" spans="1:9">
      <c r="A865" s="10"/>
      <c r="B865" s="10"/>
      <c r="C865" s="10"/>
      <c r="D865" s="10"/>
      <c r="E865" s="10"/>
      <c r="F865" s="10"/>
      <c r="G865" s="10"/>
      <c r="H865" s="10"/>
      <c r="I865" s="10"/>
    </row>
    <row r="866" spans="1:9">
      <c r="A866" s="10"/>
      <c r="B866" s="10"/>
      <c r="C866" s="10"/>
      <c r="D866" s="10"/>
      <c r="E866" s="10"/>
      <c r="F866" s="10"/>
      <c r="G866" s="10"/>
      <c r="H866" s="10"/>
      <c r="I866" s="10"/>
    </row>
    <row r="867" spans="1:9">
      <c r="A867" s="10"/>
      <c r="B867" s="10"/>
      <c r="C867" s="10"/>
      <c r="D867" s="10"/>
      <c r="E867" s="10"/>
      <c r="F867" s="10"/>
      <c r="G867" s="10"/>
      <c r="H867" s="10"/>
      <c r="I867" s="10"/>
    </row>
    <row r="868" spans="1:9">
      <c r="A868" s="10"/>
      <c r="B868" s="10"/>
      <c r="C868" s="10"/>
      <c r="D868" s="10"/>
      <c r="E868" s="10"/>
      <c r="F868" s="10"/>
      <c r="G868" s="10"/>
      <c r="H868" s="10"/>
      <c r="I868" s="10"/>
    </row>
    <row r="869" spans="1:9">
      <c r="A869" s="10"/>
      <c r="B869" s="10"/>
      <c r="C869" s="10"/>
      <c r="D869" s="10"/>
      <c r="E869" s="10"/>
      <c r="F869" s="10"/>
      <c r="G869" s="10"/>
      <c r="H869" s="10"/>
      <c r="I869" s="10"/>
    </row>
    <row r="870" spans="1:9">
      <c r="A870" s="10"/>
      <c r="B870" s="10"/>
      <c r="C870" s="10"/>
      <c r="D870" s="10"/>
      <c r="E870" s="10"/>
      <c r="F870" s="10"/>
      <c r="G870" s="10"/>
      <c r="H870" s="10"/>
      <c r="I870" s="10"/>
    </row>
    <row r="871" spans="1:9">
      <c r="A871" s="10"/>
      <c r="B871" s="10"/>
      <c r="C871" s="10"/>
      <c r="D871" s="10"/>
      <c r="E871" s="10"/>
      <c r="F871" s="10"/>
      <c r="G871" s="10"/>
      <c r="H871" s="10"/>
      <c r="I871" s="10"/>
    </row>
    <row r="872" spans="1:9">
      <c r="A872" s="10"/>
      <c r="B872" s="10"/>
      <c r="C872" s="10"/>
      <c r="D872" s="10"/>
      <c r="E872" s="10"/>
      <c r="F872" s="10"/>
      <c r="G872" s="10"/>
      <c r="H872" s="10"/>
      <c r="I872" s="10"/>
    </row>
    <row r="873" spans="1:9">
      <c r="A873" s="10"/>
      <c r="B873" s="10"/>
      <c r="C873" s="10"/>
      <c r="D873" s="10"/>
      <c r="E873" s="10"/>
      <c r="F873" s="10"/>
      <c r="G873" s="10"/>
      <c r="H873" s="10"/>
      <c r="I873" s="10"/>
    </row>
    <row r="874" spans="1:9">
      <c r="A874" s="10"/>
      <c r="B874" s="10"/>
      <c r="C874" s="10"/>
      <c r="D874" s="10"/>
      <c r="E874" s="10"/>
      <c r="F874" s="10"/>
      <c r="G874" s="10"/>
      <c r="H874" s="10"/>
      <c r="I874" s="10"/>
    </row>
    <row r="875" spans="1:9">
      <c r="A875" s="10"/>
      <c r="B875" s="10"/>
      <c r="C875" s="10"/>
      <c r="D875" s="10"/>
      <c r="E875" s="10"/>
      <c r="F875" s="10"/>
      <c r="G875" s="10"/>
      <c r="H875" s="10"/>
      <c r="I875" s="10"/>
    </row>
    <row r="876" spans="1:9">
      <c r="A876" s="10"/>
      <c r="B876" s="10"/>
      <c r="C876" s="10"/>
      <c r="D876" s="10"/>
      <c r="E876" s="10"/>
      <c r="F876" s="10"/>
      <c r="G876" s="10"/>
      <c r="H876" s="10"/>
      <c r="I876" s="10"/>
    </row>
    <row r="877" spans="1:9">
      <c r="A877" s="10"/>
      <c r="B877" s="10"/>
      <c r="C877" s="10"/>
      <c r="D877" s="10"/>
      <c r="E877" s="10"/>
      <c r="F877" s="10"/>
      <c r="G877" s="10"/>
      <c r="H877" s="10"/>
      <c r="I877" s="10"/>
    </row>
    <row r="878" spans="1:9">
      <c r="A878" s="10"/>
      <c r="B878" s="10"/>
      <c r="C878" s="10"/>
      <c r="D878" s="10"/>
      <c r="E878" s="10"/>
      <c r="F878" s="10"/>
      <c r="G878" s="10"/>
      <c r="H878" s="10"/>
      <c r="I878" s="10"/>
    </row>
    <row r="879" spans="1:9">
      <c r="A879" s="10"/>
      <c r="B879" s="10"/>
      <c r="C879" s="10"/>
      <c r="D879" s="10"/>
      <c r="E879" s="10"/>
      <c r="F879" s="10"/>
      <c r="G879" s="10"/>
      <c r="H879" s="10"/>
      <c r="I879" s="10"/>
    </row>
    <row r="880" spans="1:9">
      <c r="A880" s="10"/>
      <c r="B880" s="10"/>
      <c r="C880" s="10"/>
      <c r="D880" s="10"/>
      <c r="E880" s="10"/>
      <c r="F880" s="10"/>
      <c r="G880" s="10"/>
      <c r="H880" s="10"/>
      <c r="I880" s="10"/>
    </row>
    <row r="881" spans="1:9">
      <c r="A881" s="10"/>
      <c r="B881" s="10"/>
      <c r="C881" s="10"/>
      <c r="D881" s="10"/>
      <c r="E881" s="10"/>
      <c r="F881" s="10"/>
      <c r="G881" s="10"/>
      <c r="H881" s="10"/>
      <c r="I881" s="10"/>
    </row>
    <row r="882" spans="1:9">
      <c r="A882" s="10"/>
      <c r="B882" s="10"/>
      <c r="C882" s="10"/>
      <c r="D882" s="10"/>
      <c r="E882" s="10"/>
      <c r="F882" s="10"/>
      <c r="G882" s="10"/>
      <c r="H882" s="10"/>
      <c r="I882" s="10"/>
    </row>
    <row r="883" spans="1:9">
      <c r="A883" s="10"/>
      <c r="B883" s="10"/>
      <c r="C883" s="10"/>
      <c r="D883" s="10"/>
      <c r="E883" s="10"/>
      <c r="F883" s="10"/>
      <c r="G883" s="10"/>
      <c r="H883" s="10"/>
      <c r="I883" s="10"/>
    </row>
    <row r="884" spans="1:9">
      <c r="A884" s="10"/>
      <c r="B884" s="10"/>
      <c r="C884" s="10"/>
      <c r="D884" s="10"/>
      <c r="E884" s="10"/>
      <c r="F884" s="10"/>
      <c r="G884" s="10"/>
      <c r="H884" s="10"/>
      <c r="I884" s="10"/>
    </row>
    <row r="885" spans="1:9">
      <c r="A885" s="10"/>
      <c r="B885" s="10"/>
      <c r="C885" s="10"/>
      <c r="D885" s="10"/>
      <c r="E885" s="10"/>
      <c r="F885" s="10"/>
      <c r="G885" s="10"/>
      <c r="H885" s="10"/>
      <c r="I885" s="10"/>
    </row>
    <row r="886" spans="1:9">
      <c r="A886" s="10"/>
      <c r="B886" s="10"/>
      <c r="C886" s="10"/>
      <c r="D886" s="10"/>
      <c r="E886" s="10"/>
      <c r="F886" s="10"/>
      <c r="G886" s="10"/>
      <c r="H886" s="10"/>
      <c r="I886" s="10"/>
    </row>
    <row r="887" spans="1:9">
      <c r="A887" s="10"/>
      <c r="B887" s="10"/>
      <c r="C887" s="10"/>
      <c r="D887" s="10"/>
      <c r="E887" s="10"/>
      <c r="F887" s="10"/>
      <c r="G887" s="10"/>
      <c r="H887" s="10"/>
      <c r="I887" s="10"/>
    </row>
    <row r="888" spans="1:9">
      <c r="A888" s="10"/>
      <c r="B888" s="10"/>
      <c r="C888" s="10"/>
      <c r="D888" s="10"/>
      <c r="E888" s="10"/>
      <c r="F888" s="10"/>
      <c r="G888" s="10"/>
      <c r="H888" s="10"/>
      <c r="I888" s="10"/>
    </row>
    <row r="889" spans="1:9">
      <c r="A889" s="10"/>
      <c r="B889" s="10"/>
      <c r="C889" s="10"/>
      <c r="D889" s="10"/>
      <c r="E889" s="10"/>
      <c r="F889" s="10"/>
      <c r="G889" s="10"/>
      <c r="H889" s="10"/>
      <c r="I889" s="10"/>
    </row>
    <row r="890" spans="1:9">
      <c r="A890" s="10"/>
      <c r="B890" s="10"/>
      <c r="C890" s="10"/>
      <c r="D890" s="10"/>
      <c r="E890" s="10"/>
      <c r="F890" s="10"/>
      <c r="G890" s="10"/>
      <c r="H890" s="10"/>
      <c r="I890" s="10"/>
    </row>
    <row r="891" spans="1:9">
      <c r="A891" s="10"/>
      <c r="B891" s="10"/>
      <c r="C891" s="10"/>
      <c r="D891" s="10"/>
      <c r="E891" s="10"/>
      <c r="F891" s="10"/>
      <c r="G891" s="10"/>
      <c r="H891" s="10"/>
      <c r="I891" s="10"/>
    </row>
    <row r="892" spans="1:9">
      <c r="A892" s="10"/>
      <c r="B892" s="10"/>
      <c r="C892" s="10"/>
      <c r="D892" s="10"/>
      <c r="E892" s="10"/>
      <c r="F892" s="10"/>
      <c r="G892" s="10"/>
      <c r="H892" s="10"/>
      <c r="I892" s="10"/>
    </row>
    <row r="893" spans="1:9">
      <c r="A893" s="10"/>
      <c r="B893" s="10"/>
      <c r="C893" s="10"/>
      <c r="D893" s="10"/>
      <c r="E893" s="10"/>
      <c r="F893" s="10"/>
      <c r="G893" s="10"/>
      <c r="H893" s="10"/>
      <c r="I893" s="10"/>
    </row>
    <row r="894" spans="1:9">
      <c r="A894" s="10"/>
      <c r="B894" s="10"/>
      <c r="C894" s="10"/>
      <c r="D894" s="10"/>
      <c r="E894" s="10"/>
      <c r="F894" s="10"/>
      <c r="G894" s="10"/>
      <c r="H894" s="10"/>
      <c r="I894" s="10"/>
    </row>
    <row r="895" spans="1:9">
      <c r="A895" s="10"/>
      <c r="B895" s="10"/>
      <c r="C895" s="10"/>
      <c r="D895" s="10"/>
      <c r="E895" s="10"/>
      <c r="F895" s="10"/>
      <c r="G895" s="10"/>
      <c r="H895" s="10"/>
      <c r="I895" s="10"/>
    </row>
    <row r="896" spans="1:9">
      <c r="A896" s="10"/>
      <c r="B896" s="10"/>
      <c r="C896" s="10"/>
      <c r="D896" s="10"/>
      <c r="E896" s="10"/>
      <c r="F896" s="10"/>
      <c r="G896" s="10"/>
      <c r="H896" s="10"/>
      <c r="I896" s="10"/>
    </row>
    <row r="897" spans="1:9">
      <c r="A897" s="10"/>
      <c r="B897" s="10"/>
      <c r="C897" s="10"/>
      <c r="D897" s="10"/>
      <c r="E897" s="10"/>
      <c r="F897" s="10"/>
      <c r="G897" s="10"/>
      <c r="H897" s="10"/>
      <c r="I897" s="10"/>
    </row>
    <row r="898" spans="1:9">
      <c r="A898" s="10"/>
      <c r="B898" s="10"/>
      <c r="C898" s="10"/>
      <c r="D898" s="10"/>
      <c r="E898" s="10"/>
      <c r="F898" s="10"/>
      <c r="G898" s="10"/>
      <c r="H898" s="10"/>
      <c r="I898" s="10"/>
    </row>
    <row r="899" spans="1:9">
      <c r="A899" s="10"/>
      <c r="B899" s="10"/>
      <c r="C899" s="10"/>
      <c r="D899" s="10"/>
      <c r="E899" s="10"/>
      <c r="F899" s="10"/>
      <c r="G899" s="10"/>
      <c r="H899" s="10"/>
      <c r="I899" s="10"/>
    </row>
    <row r="900" spans="1:9">
      <c r="A900" s="10"/>
      <c r="B900" s="10"/>
      <c r="C900" s="10"/>
      <c r="D900" s="10"/>
      <c r="E900" s="10"/>
      <c r="F900" s="10"/>
      <c r="G900" s="10"/>
      <c r="H900" s="10"/>
      <c r="I900" s="10"/>
    </row>
    <row r="901" spans="1:9">
      <c r="A901" s="10"/>
      <c r="B901" s="10"/>
      <c r="C901" s="10"/>
      <c r="D901" s="10"/>
      <c r="E901" s="10"/>
      <c r="F901" s="10"/>
      <c r="G901" s="10"/>
      <c r="H901" s="10"/>
      <c r="I901" s="10"/>
    </row>
    <row r="902" spans="1:9">
      <c r="A902" s="10"/>
      <c r="B902" s="10"/>
      <c r="C902" s="10"/>
      <c r="D902" s="10"/>
      <c r="E902" s="10"/>
      <c r="F902" s="10"/>
      <c r="G902" s="10"/>
      <c r="H902" s="10"/>
      <c r="I902" s="10"/>
    </row>
    <row r="903" spans="1:9">
      <c r="A903" s="10"/>
      <c r="B903" s="10"/>
      <c r="C903" s="10"/>
      <c r="D903" s="10"/>
      <c r="E903" s="10"/>
      <c r="F903" s="10"/>
      <c r="G903" s="10"/>
      <c r="H903" s="10"/>
      <c r="I903" s="10"/>
    </row>
    <row r="904" spans="1:9">
      <c r="A904" s="10"/>
      <c r="B904" s="10"/>
      <c r="C904" s="10"/>
      <c r="D904" s="10"/>
      <c r="E904" s="10"/>
      <c r="F904" s="10"/>
      <c r="G904" s="10"/>
      <c r="H904" s="10"/>
      <c r="I904" s="10"/>
    </row>
    <row r="905" spans="1:9">
      <c r="A905" s="10"/>
      <c r="B905" s="10"/>
      <c r="C905" s="10"/>
      <c r="D905" s="10"/>
      <c r="E905" s="10"/>
      <c r="F905" s="10"/>
      <c r="G905" s="10"/>
      <c r="H905" s="10"/>
      <c r="I905" s="10"/>
    </row>
    <row r="906" spans="1:9">
      <c r="A906" s="10"/>
      <c r="B906" s="10"/>
      <c r="C906" s="10"/>
      <c r="D906" s="10"/>
      <c r="E906" s="10"/>
      <c r="F906" s="10"/>
      <c r="G906" s="10"/>
      <c r="H906" s="10"/>
      <c r="I906" s="10"/>
    </row>
    <row r="907" spans="1:9">
      <c r="A907" s="10"/>
      <c r="B907" s="10"/>
      <c r="C907" s="10"/>
      <c r="D907" s="10"/>
      <c r="E907" s="10"/>
      <c r="F907" s="10"/>
      <c r="G907" s="10"/>
      <c r="H907" s="10"/>
      <c r="I907" s="10"/>
    </row>
    <row r="908" spans="1:9">
      <c r="A908" s="10"/>
      <c r="B908" s="10"/>
      <c r="C908" s="10"/>
      <c r="D908" s="10"/>
      <c r="E908" s="10"/>
      <c r="F908" s="10"/>
      <c r="G908" s="10"/>
      <c r="H908" s="10"/>
      <c r="I908" s="10"/>
    </row>
    <row r="909" spans="1:9">
      <c r="A909" s="10"/>
      <c r="B909" s="10"/>
      <c r="C909" s="10"/>
      <c r="D909" s="10"/>
      <c r="E909" s="10"/>
      <c r="F909" s="10"/>
      <c r="G909" s="10"/>
      <c r="H909" s="10"/>
      <c r="I909" s="10"/>
    </row>
    <row r="910" spans="1:9">
      <c r="A910" s="10"/>
      <c r="B910" s="10"/>
      <c r="C910" s="10"/>
      <c r="D910" s="10"/>
      <c r="E910" s="10"/>
      <c r="F910" s="10"/>
      <c r="G910" s="10"/>
      <c r="H910" s="10"/>
      <c r="I910" s="10"/>
    </row>
    <row r="911" spans="1:9">
      <c r="A911" s="10"/>
      <c r="B911" s="10"/>
      <c r="C911" s="10"/>
      <c r="D911" s="10"/>
      <c r="E911" s="10"/>
      <c r="F911" s="10"/>
      <c r="G911" s="10"/>
      <c r="H911" s="10"/>
      <c r="I911" s="10"/>
    </row>
    <row r="912" spans="1:9">
      <c r="A912" s="10"/>
      <c r="B912" s="10"/>
      <c r="C912" s="10"/>
      <c r="D912" s="10"/>
      <c r="E912" s="10"/>
      <c r="F912" s="10"/>
      <c r="G912" s="10"/>
      <c r="H912" s="10"/>
      <c r="I912" s="10"/>
    </row>
    <row r="913" spans="1:9">
      <c r="A913" s="10"/>
      <c r="B913" s="10"/>
      <c r="C913" s="10"/>
      <c r="D913" s="10"/>
      <c r="E913" s="10"/>
      <c r="F913" s="10"/>
      <c r="G913" s="10"/>
      <c r="H913" s="10"/>
      <c r="I913" s="10"/>
    </row>
    <row r="914" spans="1:9">
      <c r="A914" s="10"/>
      <c r="B914" s="10"/>
      <c r="C914" s="10"/>
      <c r="D914" s="10"/>
      <c r="E914" s="10"/>
      <c r="F914" s="10"/>
      <c r="G914" s="10"/>
      <c r="H914" s="10"/>
      <c r="I914" s="10"/>
    </row>
    <row r="915" spans="1:9">
      <c r="A915" s="10"/>
      <c r="B915" s="10"/>
      <c r="C915" s="10"/>
      <c r="D915" s="10"/>
      <c r="E915" s="10"/>
      <c r="F915" s="10"/>
      <c r="G915" s="10"/>
      <c r="H915" s="10"/>
      <c r="I915" s="10"/>
    </row>
    <row r="916" spans="1:9">
      <c r="A916" s="10"/>
      <c r="B916" s="10"/>
      <c r="C916" s="10"/>
      <c r="D916" s="10"/>
      <c r="E916" s="10"/>
      <c r="F916" s="10"/>
      <c r="G916" s="10"/>
      <c r="H916" s="10"/>
      <c r="I916" s="10"/>
    </row>
    <row r="917" spans="1:9">
      <c r="A917" s="10"/>
      <c r="B917" s="10"/>
      <c r="C917" s="10"/>
      <c r="D917" s="10"/>
      <c r="E917" s="10"/>
      <c r="F917" s="10"/>
      <c r="G917" s="10"/>
      <c r="H917" s="10"/>
      <c r="I917" s="10"/>
    </row>
    <row r="918" spans="1:9">
      <c r="A918" s="10"/>
      <c r="B918" s="10"/>
      <c r="C918" s="10"/>
      <c r="D918" s="10"/>
      <c r="E918" s="10"/>
      <c r="F918" s="10"/>
      <c r="G918" s="10"/>
      <c r="H918" s="10"/>
      <c r="I918" s="10"/>
    </row>
    <row r="919" spans="1:9">
      <c r="A919" s="10"/>
      <c r="B919" s="10"/>
      <c r="C919" s="10"/>
      <c r="D919" s="10"/>
      <c r="E919" s="10"/>
      <c r="F919" s="10"/>
      <c r="G919" s="10"/>
      <c r="H919" s="10"/>
      <c r="I919" s="10"/>
    </row>
    <row r="920" spans="1:9">
      <c r="A920" s="10"/>
      <c r="B920" s="10"/>
      <c r="C920" s="10"/>
      <c r="D920" s="10"/>
      <c r="E920" s="10"/>
      <c r="F920" s="10"/>
      <c r="G920" s="10"/>
      <c r="H920" s="10"/>
      <c r="I920" s="10"/>
    </row>
    <row r="921" spans="1:9">
      <c r="A921" s="10"/>
      <c r="B921" s="10"/>
      <c r="C921" s="10"/>
      <c r="D921" s="10"/>
      <c r="E921" s="10"/>
      <c r="F921" s="10"/>
      <c r="G921" s="10"/>
      <c r="H921" s="10"/>
      <c r="I921" s="10"/>
    </row>
    <row r="922" spans="1:9">
      <c r="A922" s="10"/>
      <c r="B922" s="10"/>
      <c r="C922" s="10"/>
      <c r="D922" s="10"/>
      <c r="E922" s="10"/>
      <c r="F922" s="10"/>
      <c r="G922" s="10"/>
      <c r="H922" s="10"/>
      <c r="I922" s="10"/>
    </row>
    <row r="923" spans="1:9">
      <c r="A923" s="10"/>
      <c r="B923" s="10"/>
      <c r="C923" s="10"/>
      <c r="D923" s="10"/>
      <c r="E923" s="10"/>
      <c r="F923" s="10"/>
      <c r="G923" s="10"/>
      <c r="H923" s="10"/>
      <c r="I923" s="10"/>
    </row>
    <row r="924" spans="1:9">
      <c r="A924" s="10"/>
      <c r="B924" s="10"/>
      <c r="C924" s="10"/>
      <c r="D924" s="10"/>
      <c r="E924" s="10"/>
      <c r="F924" s="10"/>
      <c r="G924" s="10"/>
      <c r="H924" s="10"/>
      <c r="I924" s="10"/>
    </row>
    <row r="925" spans="1:9">
      <c r="A925" s="10"/>
      <c r="B925" s="10"/>
      <c r="C925" s="10"/>
      <c r="D925" s="10"/>
      <c r="E925" s="10"/>
      <c r="F925" s="10"/>
      <c r="G925" s="10"/>
      <c r="H925" s="10"/>
      <c r="I925" s="10"/>
    </row>
    <row r="926" spans="1:9">
      <c r="A926" s="10"/>
      <c r="B926" s="10"/>
      <c r="C926" s="10"/>
      <c r="D926" s="10"/>
      <c r="E926" s="10"/>
      <c r="F926" s="10"/>
      <c r="G926" s="10"/>
      <c r="H926" s="10"/>
      <c r="I926" s="10"/>
    </row>
    <row r="927" spans="1:9">
      <c r="A927" s="10"/>
      <c r="B927" s="10"/>
      <c r="C927" s="10"/>
      <c r="D927" s="10"/>
      <c r="E927" s="10"/>
      <c r="F927" s="10"/>
      <c r="G927" s="10"/>
      <c r="H927" s="10"/>
      <c r="I927" s="10"/>
    </row>
    <row r="928" spans="1:9">
      <c r="A928" s="10"/>
      <c r="B928" s="10"/>
      <c r="C928" s="10"/>
      <c r="D928" s="10"/>
      <c r="E928" s="10"/>
      <c r="F928" s="10"/>
      <c r="G928" s="10"/>
      <c r="H928" s="10"/>
      <c r="I928" s="10"/>
    </row>
    <row r="929" spans="1:9">
      <c r="A929" s="10"/>
      <c r="B929" s="10"/>
      <c r="C929" s="10"/>
      <c r="D929" s="10"/>
      <c r="E929" s="10"/>
      <c r="F929" s="10"/>
      <c r="G929" s="10"/>
      <c r="H929" s="10"/>
      <c r="I929" s="10"/>
    </row>
    <row r="930" spans="1:9">
      <c r="A930" s="10"/>
      <c r="B930" s="10"/>
      <c r="C930" s="10"/>
      <c r="D930" s="10"/>
      <c r="E930" s="10"/>
      <c r="F930" s="10"/>
      <c r="G930" s="10"/>
      <c r="H930" s="10"/>
      <c r="I930" s="10"/>
    </row>
    <row r="931" spans="1:9">
      <c r="A931" s="10"/>
      <c r="B931" s="10"/>
      <c r="C931" s="10"/>
      <c r="D931" s="10"/>
      <c r="E931" s="10"/>
      <c r="F931" s="10"/>
      <c r="G931" s="10"/>
      <c r="H931" s="10"/>
      <c r="I931" s="10"/>
    </row>
    <row r="932" spans="1:9">
      <c r="A932" s="10"/>
      <c r="B932" s="10"/>
      <c r="C932" s="10"/>
      <c r="D932" s="10"/>
      <c r="E932" s="10"/>
      <c r="F932" s="10"/>
      <c r="G932" s="10"/>
      <c r="H932" s="10"/>
      <c r="I932" s="10"/>
    </row>
    <row r="933" spans="1:9">
      <c r="A933" s="10"/>
      <c r="B933" s="10"/>
      <c r="C933" s="10"/>
      <c r="D933" s="10"/>
      <c r="E933" s="10"/>
      <c r="F933" s="10"/>
      <c r="G933" s="10"/>
      <c r="H933" s="10"/>
      <c r="I933" s="10"/>
    </row>
    <row r="934" spans="1:9">
      <c r="A934" s="10"/>
      <c r="B934" s="10"/>
      <c r="C934" s="10"/>
      <c r="D934" s="10"/>
      <c r="E934" s="10"/>
      <c r="F934" s="10"/>
      <c r="G934" s="10"/>
      <c r="H934" s="10"/>
      <c r="I934" s="10"/>
    </row>
    <row r="935" spans="1:9">
      <c r="A935" s="10"/>
      <c r="B935" s="10"/>
      <c r="C935" s="10"/>
      <c r="D935" s="10"/>
      <c r="E935" s="10"/>
      <c r="F935" s="10"/>
      <c r="G935" s="10"/>
      <c r="H935" s="10"/>
      <c r="I935" s="10"/>
    </row>
    <row r="936" spans="1:9">
      <c r="A936" s="10"/>
      <c r="B936" s="10"/>
      <c r="C936" s="10"/>
      <c r="D936" s="10"/>
      <c r="E936" s="10"/>
      <c r="F936" s="10"/>
      <c r="G936" s="10"/>
      <c r="H936" s="10"/>
      <c r="I936" s="10"/>
    </row>
    <row r="937" spans="1:9">
      <c r="A937" s="10"/>
      <c r="B937" s="10"/>
      <c r="C937" s="10"/>
      <c r="D937" s="10"/>
      <c r="E937" s="10"/>
      <c r="F937" s="10"/>
      <c r="G937" s="10"/>
      <c r="H937" s="10"/>
      <c r="I937" s="10"/>
    </row>
    <row r="938" spans="1:9">
      <c r="A938" s="10"/>
      <c r="B938" s="10"/>
      <c r="C938" s="10"/>
      <c r="D938" s="10"/>
      <c r="E938" s="10"/>
      <c r="F938" s="10"/>
      <c r="G938" s="10"/>
      <c r="H938" s="10"/>
      <c r="I938" s="10"/>
    </row>
    <row r="939" spans="1:9">
      <c r="A939" s="10"/>
      <c r="B939" s="10"/>
      <c r="C939" s="10"/>
      <c r="D939" s="10"/>
      <c r="E939" s="10"/>
      <c r="F939" s="10"/>
      <c r="G939" s="10"/>
      <c r="H939" s="10"/>
      <c r="I939" s="10"/>
    </row>
    <row r="940" spans="1:9">
      <c r="A940" s="10"/>
      <c r="B940" s="10"/>
      <c r="C940" s="10"/>
      <c r="D940" s="10"/>
      <c r="E940" s="10"/>
      <c r="F940" s="10"/>
      <c r="G940" s="10"/>
      <c r="H940" s="10"/>
      <c r="I940" s="10"/>
    </row>
    <row r="941" spans="1:9">
      <c r="A941" s="10"/>
      <c r="B941" s="10"/>
      <c r="C941" s="10"/>
      <c r="D941" s="10"/>
      <c r="E941" s="10"/>
      <c r="F941" s="10"/>
      <c r="G941" s="10"/>
      <c r="H941" s="10"/>
      <c r="I941" s="10"/>
    </row>
    <row r="942" spans="1:9">
      <c r="A942" s="10"/>
      <c r="B942" s="10"/>
      <c r="C942" s="10"/>
      <c r="D942" s="10"/>
      <c r="E942" s="10"/>
      <c r="F942" s="10"/>
      <c r="G942" s="10"/>
      <c r="H942" s="10"/>
      <c r="I942" s="10"/>
    </row>
    <row r="943" spans="1:9">
      <c r="A943" s="10"/>
      <c r="B943" s="10"/>
      <c r="C943" s="10"/>
      <c r="D943" s="10"/>
      <c r="E943" s="10"/>
      <c r="F943" s="10"/>
      <c r="G943" s="10"/>
      <c r="H943" s="10"/>
      <c r="I943" s="10"/>
    </row>
    <row r="944" spans="1:9">
      <c r="A944" s="10"/>
      <c r="B944" s="10"/>
      <c r="C944" s="10"/>
      <c r="D944" s="10"/>
      <c r="E944" s="10"/>
      <c r="F944" s="10"/>
      <c r="G944" s="10"/>
      <c r="H944" s="10"/>
      <c r="I944" s="10"/>
    </row>
    <row r="945" spans="1:9">
      <c r="A945" s="10"/>
      <c r="B945" s="10"/>
      <c r="C945" s="10"/>
      <c r="D945" s="10"/>
      <c r="E945" s="10"/>
      <c r="F945" s="10"/>
      <c r="G945" s="10"/>
      <c r="H945" s="10"/>
      <c r="I945" s="10"/>
    </row>
    <row r="946" spans="1:9">
      <c r="A946" s="10"/>
      <c r="B946" s="10"/>
      <c r="C946" s="10"/>
      <c r="D946" s="10"/>
      <c r="E946" s="10"/>
      <c r="F946" s="10"/>
      <c r="G946" s="10"/>
      <c r="H946" s="10"/>
      <c r="I946" s="10"/>
    </row>
    <row r="947" spans="1:9">
      <c r="A947" s="10"/>
      <c r="B947" s="10"/>
      <c r="C947" s="10"/>
      <c r="D947" s="10"/>
      <c r="E947" s="10"/>
      <c r="F947" s="10"/>
      <c r="G947" s="10"/>
      <c r="H947" s="10"/>
      <c r="I947" s="10"/>
    </row>
    <row r="948" spans="1:9">
      <c r="A948" s="10"/>
      <c r="B948" s="10"/>
      <c r="C948" s="10"/>
      <c r="D948" s="10"/>
      <c r="E948" s="10"/>
      <c r="F948" s="10"/>
      <c r="G948" s="10"/>
      <c r="H948" s="10"/>
      <c r="I948" s="10"/>
    </row>
    <row r="949" spans="1:9">
      <c r="A949" s="10"/>
      <c r="B949" s="10"/>
      <c r="C949" s="10"/>
      <c r="D949" s="10"/>
      <c r="E949" s="10"/>
      <c r="F949" s="10"/>
      <c r="G949" s="10"/>
      <c r="H949" s="10"/>
      <c r="I949" s="10"/>
    </row>
    <row r="950" spans="1:9">
      <c r="A950" s="10"/>
      <c r="B950" s="10"/>
      <c r="C950" s="10"/>
      <c r="D950" s="10"/>
      <c r="E950" s="10"/>
      <c r="F950" s="10"/>
      <c r="G950" s="10"/>
      <c r="H950" s="10"/>
      <c r="I950" s="10"/>
    </row>
    <row r="951" spans="1:9">
      <c r="A951" s="10"/>
      <c r="B951" s="10"/>
      <c r="C951" s="10"/>
      <c r="D951" s="10"/>
      <c r="E951" s="10"/>
      <c r="F951" s="10"/>
      <c r="G951" s="10"/>
      <c r="H951" s="10"/>
      <c r="I951" s="10"/>
    </row>
    <row r="952" spans="1:9">
      <c r="A952" s="10"/>
      <c r="B952" s="10"/>
      <c r="C952" s="10"/>
      <c r="D952" s="10"/>
      <c r="E952" s="10"/>
      <c r="F952" s="10"/>
      <c r="G952" s="10"/>
      <c r="H952" s="10"/>
      <c r="I952" s="10"/>
    </row>
    <row r="953" spans="1:9">
      <c r="A953" s="10"/>
      <c r="B953" s="10"/>
      <c r="C953" s="10"/>
      <c r="D953" s="10"/>
      <c r="E953" s="10"/>
      <c r="F953" s="10"/>
      <c r="G953" s="10"/>
      <c r="H953" s="10"/>
      <c r="I953" s="10"/>
    </row>
    <row r="954" spans="1:9">
      <c r="A954" s="10"/>
      <c r="B954" s="10"/>
      <c r="C954" s="10"/>
      <c r="D954" s="10"/>
      <c r="E954" s="10"/>
      <c r="F954" s="10"/>
      <c r="G954" s="10"/>
      <c r="H954" s="10"/>
      <c r="I954" s="10"/>
    </row>
    <row r="955" spans="1:9">
      <c r="A955" s="10"/>
      <c r="B955" s="10"/>
      <c r="C955" s="10"/>
      <c r="D955" s="10"/>
      <c r="E955" s="10"/>
      <c r="F955" s="10"/>
      <c r="G955" s="10"/>
      <c r="H955" s="10"/>
      <c r="I955" s="10"/>
    </row>
    <row r="956" spans="1:9">
      <c r="A956" s="10"/>
      <c r="B956" s="10"/>
      <c r="C956" s="10"/>
      <c r="D956" s="10"/>
      <c r="E956" s="10"/>
      <c r="F956" s="10"/>
      <c r="G956" s="10"/>
      <c r="H956" s="10"/>
      <c r="I956" s="10"/>
    </row>
    <row r="957" spans="1:9">
      <c r="A957" s="10"/>
      <c r="B957" s="10"/>
      <c r="C957" s="10"/>
      <c r="D957" s="10"/>
      <c r="E957" s="10"/>
      <c r="F957" s="10"/>
      <c r="G957" s="10"/>
      <c r="H957" s="10"/>
      <c r="I957" s="10"/>
    </row>
    <row r="958" spans="1:9">
      <c r="A958" s="10"/>
      <c r="B958" s="10"/>
      <c r="C958" s="10"/>
      <c r="D958" s="10"/>
      <c r="E958" s="10"/>
      <c r="F958" s="10"/>
      <c r="G958" s="10"/>
      <c r="H958" s="10"/>
      <c r="I958" s="10"/>
    </row>
    <row r="959" spans="1:9">
      <c r="A959" s="10"/>
      <c r="B959" s="10"/>
      <c r="C959" s="10"/>
      <c r="D959" s="10"/>
      <c r="E959" s="10"/>
      <c r="F959" s="10"/>
      <c r="G959" s="10"/>
      <c r="H959" s="10"/>
      <c r="I959" s="10"/>
    </row>
    <row r="960" spans="1:9">
      <c r="A960" s="10"/>
      <c r="B960" s="10"/>
      <c r="C960" s="10"/>
      <c r="D960" s="10"/>
      <c r="E960" s="10"/>
      <c r="F960" s="10"/>
      <c r="G960" s="10"/>
      <c r="H960" s="10"/>
      <c r="I960" s="10"/>
    </row>
    <row r="961" spans="1:9">
      <c r="A961" s="10"/>
      <c r="B961" s="10"/>
      <c r="C961" s="10"/>
      <c r="D961" s="10"/>
      <c r="E961" s="10"/>
      <c r="F961" s="10"/>
      <c r="G961" s="10"/>
      <c r="H961" s="10"/>
      <c r="I961" s="10"/>
    </row>
    <row r="962" spans="1:9">
      <c r="A962" s="10"/>
      <c r="B962" s="10"/>
      <c r="C962" s="10"/>
      <c r="D962" s="10"/>
      <c r="E962" s="10"/>
      <c r="F962" s="10"/>
      <c r="G962" s="10"/>
      <c r="H962" s="10"/>
      <c r="I962" s="10"/>
    </row>
    <row r="963" spans="1:9">
      <c r="A963" s="10"/>
      <c r="B963" s="10"/>
      <c r="C963" s="10"/>
      <c r="D963" s="10"/>
      <c r="E963" s="10"/>
      <c r="F963" s="10"/>
      <c r="G963" s="10"/>
      <c r="H963" s="10"/>
      <c r="I963" s="10"/>
    </row>
    <row r="964" spans="1:9">
      <c r="A964" s="10"/>
      <c r="B964" s="10"/>
      <c r="C964" s="10"/>
      <c r="D964" s="10"/>
      <c r="E964" s="10"/>
      <c r="F964" s="10"/>
      <c r="G964" s="10"/>
      <c r="H964" s="10"/>
      <c r="I964" s="10"/>
    </row>
    <row r="965" spans="1:9">
      <c r="A965" s="10"/>
      <c r="B965" s="10"/>
      <c r="C965" s="10"/>
      <c r="D965" s="10"/>
      <c r="E965" s="10"/>
      <c r="F965" s="10"/>
      <c r="G965" s="10"/>
      <c r="H965" s="10"/>
      <c r="I965" s="10"/>
    </row>
    <row r="966" spans="1:9">
      <c r="A966" s="10"/>
      <c r="B966" s="10"/>
      <c r="C966" s="10"/>
      <c r="D966" s="10"/>
      <c r="E966" s="10"/>
      <c r="F966" s="10"/>
      <c r="G966" s="10"/>
      <c r="H966" s="10"/>
      <c r="I966" s="10"/>
    </row>
    <row r="967" spans="1:9">
      <c r="A967" s="10"/>
      <c r="B967" s="10"/>
      <c r="C967" s="10"/>
      <c r="D967" s="10"/>
      <c r="E967" s="10"/>
      <c r="F967" s="10"/>
      <c r="G967" s="10"/>
      <c r="H967" s="10"/>
      <c r="I967" s="10"/>
    </row>
    <row r="968" spans="1:9">
      <c r="A968" s="10"/>
      <c r="B968" s="10"/>
      <c r="C968" s="10"/>
      <c r="D968" s="10"/>
      <c r="E968" s="10"/>
      <c r="F968" s="10"/>
      <c r="G968" s="10"/>
      <c r="H968" s="10"/>
      <c r="I968" s="10"/>
    </row>
    <row r="969" spans="1:9">
      <c r="A969" s="10"/>
      <c r="B969" s="10"/>
      <c r="C969" s="10"/>
      <c r="D969" s="10"/>
      <c r="E969" s="10"/>
      <c r="F969" s="10"/>
      <c r="G969" s="10"/>
      <c r="H969" s="10"/>
      <c r="I969" s="10"/>
    </row>
    <row r="970" spans="1:9">
      <c r="A970" s="10"/>
      <c r="B970" s="10"/>
      <c r="C970" s="10"/>
      <c r="D970" s="10"/>
      <c r="E970" s="10"/>
      <c r="F970" s="10"/>
      <c r="G970" s="10"/>
      <c r="H970" s="10"/>
      <c r="I970" s="10"/>
    </row>
    <row r="971" spans="1:9">
      <c r="A971" s="10"/>
      <c r="B971" s="10"/>
      <c r="C971" s="10"/>
      <c r="D971" s="10"/>
      <c r="E971" s="10"/>
      <c r="F971" s="10"/>
      <c r="G971" s="10"/>
      <c r="H971" s="10"/>
      <c r="I971" s="10"/>
    </row>
    <row r="972" spans="1:9">
      <c r="A972" s="10"/>
      <c r="B972" s="10"/>
      <c r="C972" s="10"/>
      <c r="D972" s="10"/>
      <c r="E972" s="10"/>
      <c r="F972" s="10"/>
      <c r="G972" s="10"/>
      <c r="H972" s="10"/>
      <c r="I972" s="10"/>
    </row>
    <row r="973" spans="1:9">
      <c r="A973" s="10"/>
      <c r="B973" s="10"/>
      <c r="C973" s="10"/>
      <c r="D973" s="10"/>
      <c r="E973" s="10"/>
      <c r="F973" s="10"/>
      <c r="G973" s="10"/>
      <c r="H973" s="10"/>
      <c r="I973" s="10"/>
    </row>
    <row r="974" spans="1:9">
      <c r="A974" s="10"/>
      <c r="B974" s="10"/>
      <c r="C974" s="10"/>
      <c r="D974" s="10"/>
      <c r="E974" s="10"/>
      <c r="F974" s="10"/>
      <c r="G974" s="10"/>
      <c r="H974" s="10"/>
      <c r="I974" s="10"/>
    </row>
    <row r="975" spans="1:9">
      <c r="A975" s="10"/>
      <c r="B975" s="10"/>
      <c r="C975" s="10"/>
      <c r="D975" s="10"/>
      <c r="E975" s="10"/>
      <c r="F975" s="10"/>
      <c r="G975" s="10"/>
      <c r="H975" s="10"/>
      <c r="I975" s="10"/>
    </row>
    <row r="976" spans="1:9">
      <c r="A976" s="10"/>
      <c r="B976" s="10"/>
      <c r="C976" s="10"/>
      <c r="D976" s="10"/>
      <c r="E976" s="10"/>
      <c r="F976" s="10"/>
      <c r="G976" s="10"/>
      <c r="H976" s="10"/>
      <c r="I976" s="10"/>
    </row>
    <row r="977" spans="1:9">
      <c r="A977" s="10"/>
      <c r="B977" s="10"/>
      <c r="C977" s="10"/>
      <c r="D977" s="10"/>
      <c r="E977" s="10"/>
      <c r="F977" s="10"/>
      <c r="G977" s="10"/>
      <c r="H977" s="10"/>
      <c r="I977" s="10"/>
    </row>
    <row r="978" spans="1:9">
      <c r="A978" s="10"/>
      <c r="B978" s="10"/>
      <c r="C978" s="10"/>
      <c r="D978" s="10"/>
      <c r="E978" s="10"/>
      <c r="F978" s="10"/>
      <c r="G978" s="10"/>
      <c r="H978" s="10"/>
      <c r="I978" s="10"/>
    </row>
    <row r="979" spans="1:9">
      <c r="A979" s="10"/>
      <c r="B979" s="10"/>
      <c r="C979" s="10"/>
      <c r="D979" s="10"/>
      <c r="E979" s="10"/>
      <c r="F979" s="10"/>
      <c r="G979" s="10"/>
      <c r="H979" s="10"/>
      <c r="I979" s="10"/>
    </row>
    <row r="980" spans="1:9">
      <c r="A980" s="10"/>
      <c r="B980" s="10"/>
      <c r="C980" s="10"/>
      <c r="D980" s="10"/>
      <c r="E980" s="10"/>
      <c r="F980" s="10"/>
      <c r="G980" s="10"/>
      <c r="H980" s="10"/>
      <c r="I980" s="10"/>
    </row>
    <row r="981" spans="1:9">
      <c r="A981" s="10"/>
      <c r="B981" s="10"/>
      <c r="C981" s="10"/>
      <c r="D981" s="10"/>
      <c r="E981" s="10"/>
      <c r="F981" s="10"/>
      <c r="G981" s="10"/>
      <c r="H981" s="10"/>
      <c r="I981" s="10"/>
    </row>
    <row r="982" spans="1:9">
      <c r="A982" s="10"/>
      <c r="B982" s="10"/>
      <c r="C982" s="10"/>
      <c r="D982" s="10"/>
      <c r="E982" s="10"/>
      <c r="F982" s="10"/>
      <c r="G982" s="10"/>
      <c r="H982" s="10"/>
      <c r="I982" s="10"/>
    </row>
    <row r="983" spans="1:9">
      <c r="A983" s="10"/>
      <c r="B983" s="10"/>
      <c r="C983" s="10"/>
      <c r="D983" s="10"/>
      <c r="E983" s="10"/>
      <c r="F983" s="10"/>
      <c r="G983" s="10"/>
      <c r="H983" s="10"/>
      <c r="I983" s="10"/>
    </row>
    <row r="984" spans="1:9">
      <c r="A984" s="10"/>
      <c r="B984" s="10"/>
      <c r="C984" s="10"/>
      <c r="D984" s="10"/>
      <c r="E984" s="10"/>
      <c r="F984" s="10"/>
      <c r="G984" s="10"/>
      <c r="H984" s="10"/>
      <c r="I984" s="10"/>
    </row>
    <row r="985" spans="1:9">
      <c r="A985" s="10"/>
      <c r="B985" s="10"/>
      <c r="C985" s="10"/>
      <c r="D985" s="10"/>
      <c r="E985" s="10"/>
      <c r="F985" s="10"/>
      <c r="G985" s="10"/>
      <c r="H985" s="10"/>
      <c r="I985" s="10"/>
    </row>
    <row r="986" spans="1:9">
      <c r="A986" s="10"/>
      <c r="B986" s="10"/>
      <c r="C986" s="10"/>
      <c r="D986" s="10"/>
      <c r="E986" s="10"/>
      <c r="F986" s="10"/>
      <c r="G986" s="10"/>
      <c r="H986" s="10"/>
      <c r="I986" s="10"/>
    </row>
    <row r="987" spans="1:9">
      <c r="A987" s="10"/>
      <c r="B987" s="10"/>
      <c r="C987" s="10"/>
      <c r="D987" s="10"/>
      <c r="E987" s="10"/>
      <c r="F987" s="10"/>
      <c r="G987" s="10"/>
      <c r="H987" s="10"/>
      <c r="I987" s="10"/>
    </row>
    <row r="988" spans="1:9">
      <c r="A988" s="10"/>
      <c r="B988" s="10"/>
      <c r="C988" s="10"/>
      <c r="D988" s="10"/>
      <c r="E988" s="10"/>
      <c r="F988" s="10"/>
      <c r="G988" s="10"/>
      <c r="H988" s="10"/>
      <c r="I988" s="10"/>
    </row>
    <row r="989" spans="1:9">
      <c r="A989" s="10"/>
      <c r="B989" s="10"/>
      <c r="C989" s="10"/>
      <c r="D989" s="10"/>
      <c r="E989" s="10"/>
      <c r="F989" s="10"/>
      <c r="G989" s="10"/>
      <c r="H989" s="10"/>
      <c r="I989" s="10"/>
    </row>
    <row r="990" spans="1:9">
      <c r="A990" s="10"/>
      <c r="B990" s="10"/>
      <c r="C990" s="10"/>
      <c r="D990" s="10"/>
      <c r="E990" s="10"/>
      <c r="F990" s="10"/>
      <c r="G990" s="10"/>
      <c r="H990" s="10"/>
      <c r="I990" s="10"/>
    </row>
    <row r="991" spans="1:9">
      <c r="A991" s="10"/>
      <c r="B991" s="10"/>
      <c r="C991" s="10"/>
      <c r="D991" s="10"/>
      <c r="E991" s="10"/>
      <c r="F991" s="10"/>
      <c r="G991" s="10"/>
      <c r="H991" s="10"/>
      <c r="I991" s="10"/>
    </row>
    <row r="992" spans="1:9">
      <c r="A992" s="10"/>
      <c r="B992" s="10"/>
      <c r="C992" s="10"/>
      <c r="D992" s="10"/>
      <c r="E992" s="10"/>
      <c r="F992" s="10"/>
      <c r="G992" s="10"/>
      <c r="H992" s="10"/>
      <c r="I992" s="10"/>
    </row>
    <row r="993" spans="1:9">
      <c r="A993" s="10"/>
      <c r="B993" s="10"/>
      <c r="C993" s="10"/>
      <c r="D993" s="10"/>
      <c r="E993" s="10"/>
      <c r="F993" s="10"/>
      <c r="G993" s="10"/>
      <c r="H993" s="10"/>
      <c r="I993" s="10"/>
    </row>
    <row r="994" spans="1:9">
      <c r="A994" s="10"/>
      <c r="B994" s="10"/>
      <c r="C994" s="10"/>
      <c r="D994" s="10"/>
      <c r="E994" s="10"/>
      <c r="F994" s="10"/>
      <c r="G994" s="10"/>
      <c r="H994" s="10"/>
      <c r="I994" s="10"/>
    </row>
    <row r="995" spans="1:9">
      <c r="A995" s="10"/>
      <c r="B995" s="10"/>
      <c r="C995" s="10"/>
      <c r="D995" s="10"/>
      <c r="E995" s="10"/>
      <c r="F995" s="10"/>
      <c r="G995" s="10"/>
      <c r="H995" s="10"/>
      <c r="I995" s="10"/>
    </row>
    <row r="996" spans="1:9">
      <c r="A996" s="10"/>
      <c r="B996" s="10"/>
      <c r="C996" s="10"/>
      <c r="D996" s="10"/>
      <c r="E996" s="10"/>
      <c r="F996" s="10"/>
      <c r="G996" s="10"/>
      <c r="H996" s="10"/>
      <c r="I996" s="10"/>
    </row>
    <row r="997" spans="1:9">
      <c r="A997" s="10"/>
      <c r="B997" s="10"/>
      <c r="C997" s="10"/>
      <c r="D997" s="10"/>
      <c r="E997" s="10"/>
      <c r="F997" s="10"/>
      <c r="G997" s="10"/>
      <c r="H997" s="10"/>
      <c r="I997" s="10"/>
    </row>
    <row r="998" spans="1:9">
      <c r="A998" s="10"/>
      <c r="B998" s="10"/>
      <c r="C998" s="10"/>
      <c r="D998" s="10"/>
      <c r="E998" s="10"/>
      <c r="F998" s="10"/>
      <c r="G998" s="10"/>
      <c r="H998" s="10"/>
      <c r="I998" s="10"/>
    </row>
    <row r="999" spans="1:9">
      <c r="A999" s="10"/>
      <c r="B999" s="10"/>
      <c r="C999" s="10"/>
      <c r="D999" s="10"/>
      <c r="E999" s="10"/>
      <c r="F999" s="10"/>
      <c r="G999" s="10"/>
      <c r="H999" s="10"/>
      <c r="I999" s="10"/>
    </row>
    <row r="1000" spans="1:9">
      <c r="A1000" s="10"/>
      <c r="B1000" s="10"/>
      <c r="C1000" s="10"/>
      <c r="D1000" s="10"/>
      <c r="E1000" s="10"/>
      <c r="F1000" s="10"/>
      <c r="G1000" s="10"/>
      <c r="H1000" s="10"/>
      <c r="I1000" s="10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Аркуш20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3" width="8.6640625" customWidth="1"/>
    <col min="4" max="4" width="13" customWidth="1"/>
    <col min="5" max="5" width="8.6640625" hidden="1" customWidth="1"/>
    <col min="6" max="6" width="8.6640625" customWidth="1"/>
    <col min="7" max="7" width="13.10937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C2" s="21" t="s">
        <v>351</v>
      </c>
      <c r="D2" s="21" t="s">
        <v>352</v>
      </c>
      <c r="E2" s="21">
        <v>1</v>
      </c>
      <c r="F2" s="21">
        <v>1352871</v>
      </c>
      <c r="H2" s="21" t="s">
        <v>354</v>
      </c>
      <c r="I2" s="39" t="str">
        <f ca="1">IFERROR(__xludf.DUMMYFUNCTION("IF(SUM(COUNTIF(artists!A:A, SPLIT(D2, "",""))) &gt; 0, ""UA"", 0)"),"UA")</f>
        <v>UA</v>
      </c>
      <c r="J2" s="40">
        <f ca="1">IFERROR(__xludf.DUMMYFUNCTION("IF(SUM(COUNTIF(artists!C:C, SPLIT(D2, "",""))) &gt; 0, ""RU"", 0)"),0)</f>
        <v>0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B3" s="21">
        <v>1</v>
      </c>
      <c r="C3" s="21" t="s">
        <v>88</v>
      </c>
      <c r="D3" s="21" t="s">
        <v>89</v>
      </c>
      <c r="E3" s="21">
        <v>13</v>
      </c>
      <c r="F3" s="21">
        <v>1314270</v>
      </c>
      <c r="G3" s="42">
        <v>-0.13400000000000001</v>
      </c>
      <c r="H3" s="21" t="s">
        <v>90</v>
      </c>
      <c r="I3" s="39" t="str">
        <f ca="1">IFERROR(__xludf.DUMMYFUNCTION("IF(SUM(COUNTIF(artists!A:A, SPLIT(D3, "",""))) &gt; 0, ""UA"", 0)"),"UA")</f>
        <v>UA</v>
      </c>
      <c r="J3" s="40">
        <f ca="1">IFERROR(__xludf.DUMMYFUNCTION("IF(SUM(COUNTIF(artists!C:C, SPLIT(D3, "",""))) &gt; 0, ""RU"", 0)"),0)</f>
        <v>0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B4" s="21">
        <v>5</v>
      </c>
      <c r="C4" s="21" t="s">
        <v>115</v>
      </c>
      <c r="D4" s="21" t="s">
        <v>116</v>
      </c>
      <c r="E4" s="21">
        <v>15</v>
      </c>
      <c r="F4" s="21">
        <v>775122</v>
      </c>
      <c r="G4" s="42">
        <v>-2.8000000000000001E-2</v>
      </c>
      <c r="H4" s="21" t="s">
        <v>117</v>
      </c>
      <c r="I4" s="39" t="str">
        <f ca="1">IFERROR(__xludf.DUMMYFUNCTION("IF(SUM(COUNTIF(artists!A:A, SPLIT(D4, "",""))) &gt; 0, ""UA"", 0)"),"UA")</f>
        <v>UA</v>
      </c>
      <c r="J4" s="40">
        <f ca="1">IFERROR(__xludf.DUMMYFUNCTION("IF(SUM(COUNTIF(artists!C:C, SPLIT(D4, "",""))) &gt; 0, ""RU"", 0)"),0)</f>
        <v>0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B5" s="21">
        <v>2</v>
      </c>
      <c r="C5" s="21" t="s">
        <v>500</v>
      </c>
      <c r="D5" s="21" t="s">
        <v>501</v>
      </c>
      <c r="E5" s="21">
        <v>4</v>
      </c>
      <c r="F5" s="21">
        <v>766285</v>
      </c>
      <c r="G5" s="42">
        <v>-0.156</v>
      </c>
      <c r="H5" s="21" t="s">
        <v>503</v>
      </c>
      <c r="I5" s="39">
        <f ca="1">IFERROR(__xludf.DUMMYFUNCTION("IF(SUM(COUNTIF(artists!A:A, SPLIT(D5, "",""))) &gt; 0, ""UA"", 0)"),0)</f>
        <v>0</v>
      </c>
      <c r="J5" s="40" t="str">
        <f ca="1">IFERROR(__xludf.DUMMYFUNCTION("IF(SUM(COUNTIF(artists!C:C, SPLIT(D5, "",""))) &gt; 0, ""RU"", 0)"),"RU")</f>
        <v>RU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B6" s="21">
        <v>3</v>
      </c>
      <c r="C6" s="21" t="s">
        <v>128</v>
      </c>
      <c r="D6" s="21" t="s">
        <v>129</v>
      </c>
      <c r="E6" s="21">
        <v>21</v>
      </c>
      <c r="F6" s="21">
        <v>764423</v>
      </c>
      <c r="G6" s="42">
        <v>-5.6000000000000001E-2</v>
      </c>
      <c r="H6" s="21" t="s">
        <v>131</v>
      </c>
      <c r="I6" s="39" t="str">
        <f ca="1">IFERROR(__xludf.DUMMYFUNCTION("IF(SUM(COUNTIF(artists!A:A, SPLIT(D6, "",""))) &gt; 0, ""UA"", 0)"),"UA")</f>
        <v>UA</v>
      </c>
      <c r="J6" s="40">
        <f ca="1">IFERROR(__xludf.DUMMYFUNCTION("IF(SUM(COUNTIF(artists!C:C, SPLIT(D6, "",""))) &gt; 0, ""RU"", 0)"),0)</f>
        <v>0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B7" s="21">
        <v>8</v>
      </c>
      <c r="C7" s="21" t="s">
        <v>645</v>
      </c>
      <c r="D7" s="21" t="s">
        <v>352</v>
      </c>
      <c r="E7" s="21">
        <v>38</v>
      </c>
      <c r="F7" s="21">
        <v>755014</v>
      </c>
      <c r="G7" s="42">
        <v>3.4000000000000002E-2</v>
      </c>
      <c r="H7" s="21" t="s">
        <v>647</v>
      </c>
      <c r="I7" s="39" t="str">
        <f ca="1">IFERROR(__xludf.DUMMYFUNCTION("IF(SUM(COUNTIF(artists!A:A, SPLIT(D7, "",""))) &gt; 0, ""UA"", 0)"),"UA")</f>
        <v>UA</v>
      </c>
      <c r="J7" s="40">
        <f ca="1">IFERROR(__xludf.DUMMYFUNCTION("IF(SUM(COUNTIF(artists!C:C, SPLIT(D7, "",""))) &gt; 0, ""RU"", 0)"),0)</f>
        <v>0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B8" s="21">
        <v>4</v>
      </c>
      <c r="C8" s="21" t="s">
        <v>145</v>
      </c>
      <c r="D8" s="21" t="s">
        <v>146</v>
      </c>
      <c r="E8" s="21">
        <v>19</v>
      </c>
      <c r="F8" s="21">
        <v>754635</v>
      </c>
      <c r="G8" s="42">
        <v>-6.5000000000000002E-2</v>
      </c>
      <c r="H8" s="21" t="s">
        <v>148</v>
      </c>
      <c r="I8" s="39" t="str">
        <f ca="1">IFERROR(__xludf.DUMMYFUNCTION("IF(SUM(COUNTIF(artists!A:A, SPLIT(D8, "",""))) &gt; 0, ""UA"", 0)"),"UA")</f>
        <v>UA</v>
      </c>
      <c r="J8" s="40">
        <f ca="1">IFERROR(__xludf.DUMMYFUNCTION("IF(SUM(COUNTIF(artists!C:C, SPLIT(D8, "",""))) &gt; 0, ""RU"", 0)"),0)</f>
        <v>0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B9" s="21">
        <v>7</v>
      </c>
      <c r="C9" s="21" t="s">
        <v>175</v>
      </c>
      <c r="D9" s="21" t="s">
        <v>89</v>
      </c>
      <c r="E9" s="21">
        <v>25</v>
      </c>
      <c r="F9" s="21">
        <v>701095</v>
      </c>
      <c r="G9" s="42">
        <v>-0.10199999999999999</v>
      </c>
      <c r="H9" s="21" t="s">
        <v>177</v>
      </c>
      <c r="I9" s="39" t="str">
        <f ca="1">IFERROR(__xludf.DUMMYFUNCTION("IF(SUM(COUNTIF(artists!A:A, SPLIT(D9, "",""))) &gt; 0, ""UA"", 0)"),"UA")</f>
        <v>UA</v>
      </c>
      <c r="J9" s="40">
        <f ca="1">IFERROR(__xludf.DUMMYFUNCTION("IF(SUM(COUNTIF(artists!C:C, SPLIT(D9, "",""))) &gt; 0, ""RU"", 0)"),0)</f>
        <v>0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B10" s="21">
        <v>6</v>
      </c>
      <c r="C10" s="21" t="s">
        <v>247</v>
      </c>
      <c r="D10" s="21" t="s">
        <v>454</v>
      </c>
      <c r="E10" s="21">
        <v>2</v>
      </c>
      <c r="F10" s="21">
        <v>665450</v>
      </c>
      <c r="G10" s="42">
        <v>-0.16500000000000001</v>
      </c>
      <c r="H10" s="21" t="s">
        <v>250</v>
      </c>
      <c r="I10" s="39" t="str">
        <f ca="1">IFERROR(__xludf.DUMMYFUNCTION("IF(SUM(COUNTIF(artists!A:A, SPLIT(D10, "",""))) &gt; 0, ""UA"", 0)"),"UA")</f>
        <v>UA</v>
      </c>
      <c r="J10" s="40">
        <f ca="1">IFERROR(__xludf.DUMMYFUNCTION("IF(SUM(COUNTIF(artists!C:C, SPLIT(D10, "",""))) &gt; 0, ""RU"", 0)"),0)</f>
        <v>0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B11" s="21">
        <v>9</v>
      </c>
      <c r="C11" s="21" t="s">
        <v>202</v>
      </c>
      <c r="D11" s="21" t="s">
        <v>835</v>
      </c>
      <c r="E11" s="21">
        <v>15</v>
      </c>
      <c r="F11" s="21">
        <v>617111</v>
      </c>
      <c r="G11" s="42">
        <v>-0.13300000000000001</v>
      </c>
      <c r="H11" s="21" t="s">
        <v>204</v>
      </c>
      <c r="I11" s="39" t="str">
        <f ca="1">IFERROR(__xludf.DUMMYFUNCTION("IF(SUM(COUNTIF(artists!A:A, SPLIT(D11, "",""))) &gt; 0, ""UA"", 0)"),"UA")</f>
        <v>UA</v>
      </c>
      <c r="J11" s="40">
        <f ca="1">IFERROR(__xludf.DUMMYFUNCTION("IF(SUM(COUNTIF(artists!C:C, SPLIT(D11, "",""))) &gt; 0, ""RU"", 0)"),0)</f>
        <v>0</v>
      </c>
      <c r="K11" s="39">
        <f ca="1">IFERROR(__xludf.DUMMYFUNCTION("IF(SUM(COUNTIF(artists!E:E, SPLIT(D11, "",""))) &gt; 0, ""OTHER"", 0)"),0)</f>
        <v>0</v>
      </c>
    </row>
    <row r="12" spans="1:11" ht="14.25" customHeight="1">
      <c r="A12" s="21">
        <v>11</v>
      </c>
      <c r="B12" s="21">
        <v>10</v>
      </c>
      <c r="C12" s="21" t="s">
        <v>132</v>
      </c>
      <c r="D12" s="21" t="s">
        <v>133</v>
      </c>
      <c r="E12" s="21">
        <v>25</v>
      </c>
      <c r="F12" s="21">
        <v>590677</v>
      </c>
      <c r="G12" s="42">
        <v>-0.156</v>
      </c>
      <c r="H12" s="21" t="s">
        <v>135</v>
      </c>
      <c r="I12" s="39" t="str">
        <f ca="1">IFERROR(__xludf.DUMMYFUNCTION("IF(SUM(COUNTIF(artists!A:A, SPLIT(D12, "",""))) &gt; 0, ""UA"", 0)"),"UA")</f>
        <v>UA</v>
      </c>
      <c r="J12" s="40">
        <f ca="1">IFERROR(__xludf.DUMMYFUNCTION("IF(SUM(COUNTIF(artists!C:C, SPLIT(D12, "",""))) &gt; 0, ""RU"", 0)"),0)</f>
        <v>0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B13" s="21">
        <v>11</v>
      </c>
      <c r="C13" s="21" t="s">
        <v>186</v>
      </c>
      <c r="D13" s="21" t="s">
        <v>187</v>
      </c>
      <c r="E13" s="21">
        <v>29</v>
      </c>
      <c r="F13" s="21">
        <v>559378</v>
      </c>
      <c r="G13" s="42">
        <v>-6.2E-2</v>
      </c>
      <c r="H13" s="21" t="s">
        <v>189</v>
      </c>
      <c r="I13" s="39" t="str">
        <f ca="1">IFERROR(__xludf.DUMMYFUNCTION("IF(SUM(COUNTIF(artists!A:A, SPLIT(D13, "",""))) &gt; 0, ""UA"", 0)"),"UA")</f>
        <v>UA</v>
      </c>
      <c r="J13" s="40">
        <f ca="1">IFERROR(__xludf.DUMMYFUNCTION("IF(SUM(COUNTIF(artists!C:C, SPLIT(D13, "",""))) &gt; 0, ""RU"", 0)"),0)</f>
        <v>0</v>
      </c>
      <c r="K13" s="39">
        <f ca="1">IFERROR(__xludf.DUMMYFUNCTION("IF(SUM(COUNTIF(artists!E:E, SPLIT(D13, "",""))) &gt; 0, ""OTHER"", 0)"),0)</f>
        <v>0</v>
      </c>
    </row>
    <row r="14" spans="1:11" ht="14.25" customHeight="1">
      <c r="A14" s="21">
        <v>13</v>
      </c>
      <c r="B14" s="21">
        <v>15</v>
      </c>
      <c r="C14" s="21" t="s">
        <v>182</v>
      </c>
      <c r="D14" s="21" t="s">
        <v>183</v>
      </c>
      <c r="E14" s="21">
        <v>21</v>
      </c>
      <c r="F14" s="21">
        <v>530513</v>
      </c>
      <c r="G14" s="42">
        <v>-5.0999999999999997E-2</v>
      </c>
      <c r="H14" s="21" t="s">
        <v>185</v>
      </c>
      <c r="I14" s="39" t="str">
        <f ca="1">IFERROR(__xludf.DUMMYFUNCTION("IF(SUM(COUNTIF(artists!A:A, SPLIT(D14, "",""))) &gt; 0, ""UA"", 0)"),"UA")</f>
        <v>UA</v>
      </c>
      <c r="J14" s="40">
        <f ca="1">IFERROR(__xludf.DUMMYFUNCTION("IF(SUM(COUNTIF(artists!C:C, SPLIT(D14, "",""))) &gt; 0, ""RU"", 0)"),0)</f>
        <v>0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B15" s="21">
        <v>13</v>
      </c>
      <c r="C15" s="21" t="s">
        <v>844</v>
      </c>
      <c r="D15" s="21" t="s">
        <v>457</v>
      </c>
      <c r="E15" s="21">
        <v>5</v>
      </c>
      <c r="F15" s="21">
        <v>528678</v>
      </c>
      <c r="G15" s="42">
        <v>-8.8999999999999996E-2</v>
      </c>
      <c r="H15" s="21" t="s">
        <v>459</v>
      </c>
      <c r="I15" s="39">
        <f ca="1">IFERROR(__xludf.DUMMYFUNCTION("IF(SUM(COUNTIF(artists!A:A, SPLIT(D15, "",""))) &gt; 0, ""UA"", 0)"),0)</f>
        <v>0</v>
      </c>
      <c r="J15" s="40">
        <f ca="1">IFERROR(__xludf.DUMMYFUNCTION("IF(SUM(COUNTIF(artists!C:C, SPLIT(D15, "",""))) &gt; 0, ""RU"", 0)"),0)</f>
        <v>0</v>
      </c>
      <c r="K15" s="39" t="str">
        <f ca="1">IFERROR(__xludf.DUMMYFUNCTION("IF(SUM(COUNTIF(artists!E:E, SPLIT(D15, "",""))) &gt; 0, ""OTHER"", 0)"),"OTHER")</f>
        <v>OTHER</v>
      </c>
    </row>
    <row r="16" spans="1:11" ht="14.25" customHeight="1">
      <c r="A16" s="21">
        <v>15</v>
      </c>
      <c r="B16" s="21">
        <v>17</v>
      </c>
      <c r="C16" s="21" t="s">
        <v>171</v>
      </c>
      <c r="D16" s="21" t="s">
        <v>172</v>
      </c>
      <c r="E16" s="21">
        <v>20</v>
      </c>
      <c r="F16" s="21">
        <v>522429</v>
      </c>
      <c r="G16" s="42">
        <v>2.4E-2</v>
      </c>
      <c r="H16" s="21" t="s">
        <v>174</v>
      </c>
      <c r="I16" s="39">
        <f ca="1">IFERROR(__xludf.DUMMYFUNCTION("IF(SUM(COUNTIF(artists!A:A, SPLIT(D16, "",""))) &gt; 0, ""UA"", 0)"),0)</f>
        <v>0</v>
      </c>
      <c r="J16" s="40" t="str">
        <f ca="1">IFERROR(__xludf.DUMMYFUNCTION("IF(SUM(COUNTIF(artists!C:C, SPLIT(D16, "",""))) &gt; 0, ""RU"", 0)"),"RU")</f>
        <v>RU</v>
      </c>
      <c r="K16" s="39">
        <f ca="1">IFERROR(__xludf.DUMMYFUNCTION("IF(SUM(COUNTIF(artists!E:E, SPLIT(D16, "",""))) &gt; 0, ""OTHER"", 0)"),0)</f>
        <v>0</v>
      </c>
    </row>
    <row r="17" spans="1:11" ht="14.25" customHeight="1">
      <c r="A17" s="21">
        <v>16</v>
      </c>
      <c r="B17" s="21">
        <v>12</v>
      </c>
      <c r="C17" s="21" t="s">
        <v>149</v>
      </c>
      <c r="D17" s="21" t="s">
        <v>150</v>
      </c>
      <c r="E17" s="21">
        <v>18</v>
      </c>
      <c r="F17" s="21">
        <v>506257</v>
      </c>
      <c r="G17" s="43">
        <v>-0.14000000000000001</v>
      </c>
      <c r="H17" s="21" t="s">
        <v>152</v>
      </c>
      <c r="I17" s="39" t="str">
        <f ca="1">IFERROR(__xludf.DUMMYFUNCTION("IF(SUM(COUNTIF(artists!A:A, SPLIT(D17, "",""))) &gt; 0, ""UA"", 0)"),"UA")</f>
        <v>UA</v>
      </c>
      <c r="J17" s="40">
        <f ca="1">IFERROR(__xludf.DUMMYFUNCTION("IF(SUM(COUNTIF(artists!C:C, SPLIT(D17, "",""))) &gt; 0, ""RU"", 0)"),0)</f>
        <v>0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B18" s="21">
        <v>14</v>
      </c>
      <c r="C18" s="21" t="s">
        <v>198</v>
      </c>
      <c r="D18" s="21" t="s">
        <v>199</v>
      </c>
      <c r="E18" s="21">
        <v>6</v>
      </c>
      <c r="F18" s="21">
        <v>500730</v>
      </c>
      <c r="G18" s="42">
        <v>-0.114</v>
      </c>
      <c r="H18" s="21" t="s">
        <v>201</v>
      </c>
      <c r="I18" s="39" t="str">
        <f ca="1">IFERROR(__xludf.DUMMYFUNCTION("IF(SUM(COUNTIF(artists!A:A, SPLIT(D18, "",""))) &gt; 0, ""UA"", 0)"),"UA")</f>
        <v>UA</v>
      </c>
      <c r="J18" s="40">
        <f ca="1">IFERROR(__xludf.DUMMYFUNCTION("IF(SUM(COUNTIF(artists!C:C, SPLIT(D18, "",""))) &gt; 0, ""RU"", 0)"),0)</f>
        <v>0</v>
      </c>
      <c r="K18" s="39">
        <f ca="1">IFERROR(__xludf.DUMMYFUNCTION("IF(SUM(COUNTIF(artists!E:E, SPLIT(D18, "",""))) &gt; 0, ""OTHER"", 0)"),0)</f>
        <v>0</v>
      </c>
    </row>
    <row r="19" spans="1:11" ht="14.25" customHeight="1">
      <c r="A19" s="21">
        <v>18</v>
      </c>
      <c r="B19" s="21">
        <v>19</v>
      </c>
      <c r="C19" s="21" t="s">
        <v>700</v>
      </c>
      <c r="D19" s="21" t="s">
        <v>701</v>
      </c>
      <c r="E19" s="21">
        <v>6</v>
      </c>
      <c r="F19" s="21">
        <v>456391</v>
      </c>
      <c r="G19" s="42">
        <v>-6.4000000000000001E-2</v>
      </c>
      <c r="H19" s="21" t="s">
        <v>702</v>
      </c>
      <c r="I19" s="39">
        <f ca="1">IFERROR(__xludf.DUMMYFUNCTION("IF(SUM(COUNTIF(artists!A:A, SPLIT(D19, "",""))) &gt; 0, ""UA"", 0)"),0)</f>
        <v>0</v>
      </c>
      <c r="J19" s="40" t="str">
        <f ca="1">IFERROR(__xludf.DUMMYFUNCTION("IF(SUM(COUNTIF(artists!C:C, SPLIT(D19, "",""))) &gt; 0, ""RU"", 0)"),"RU")</f>
        <v>RU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B20" s="21">
        <v>44</v>
      </c>
      <c r="C20" s="21" t="s">
        <v>168</v>
      </c>
      <c r="D20" s="21" t="s">
        <v>137</v>
      </c>
      <c r="E20" s="21">
        <v>16</v>
      </c>
      <c r="F20" s="21">
        <v>442408</v>
      </c>
      <c r="G20" s="42">
        <v>0.80800000000000005</v>
      </c>
      <c r="H20" s="21" t="s">
        <v>170</v>
      </c>
      <c r="I20" s="39" t="str">
        <f ca="1">IFERROR(__xludf.DUMMYFUNCTION("IF(SUM(COUNTIF(artists!A:A, SPLIT(D20, "",""))) &gt; 0, ""UA"", 0)"),"UA")</f>
        <v>UA</v>
      </c>
      <c r="J20" s="40">
        <f ca="1">IFERROR(__xludf.DUMMYFUNCTION("IF(SUM(COUNTIF(artists!C:C, SPLIT(D20, "",""))) &gt; 0, ""RU"", 0)"),0)</f>
        <v>0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B21" s="21">
        <v>18</v>
      </c>
      <c r="C21" s="21" t="s">
        <v>209</v>
      </c>
      <c r="D21" s="21" t="s">
        <v>210</v>
      </c>
      <c r="E21" s="21">
        <v>18</v>
      </c>
      <c r="F21" s="21">
        <v>433635</v>
      </c>
      <c r="G21" s="42">
        <v>-0.112</v>
      </c>
      <c r="H21" s="21" t="s">
        <v>212</v>
      </c>
      <c r="I21" s="39" t="str">
        <f ca="1">IFERROR(__xludf.DUMMYFUNCTION("IF(SUM(COUNTIF(artists!A:A, SPLIT(D21, "",""))) &gt; 0, ""UA"", 0)"),"UA")</f>
        <v>UA</v>
      </c>
      <c r="J21" s="40">
        <f ca="1">IFERROR(__xludf.DUMMYFUNCTION("IF(SUM(COUNTIF(artists!C:C, SPLIT(D21, "",""))) &gt; 0, ""RU"", 0)"),0)</f>
        <v>0</v>
      </c>
      <c r="K21" s="39">
        <f ca="1">IFERROR(__xludf.DUMMYFUNCTION("IF(SUM(COUNTIF(artists!E:E, SPLIT(D21, "",""))) &gt; 0, ""OTHER"", 0)"),0)</f>
        <v>0</v>
      </c>
    </row>
    <row r="22" spans="1:11" ht="14.25" customHeight="1">
      <c r="A22" s="21">
        <v>21</v>
      </c>
      <c r="B22" s="21">
        <v>24</v>
      </c>
      <c r="C22" s="21" t="s">
        <v>682</v>
      </c>
      <c r="D22" s="21" t="s">
        <v>125</v>
      </c>
      <c r="E22" s="21">
        <v>6</v>
      </c>
      <c r="F22" s="21">
        <v>395815</v>
      </c>
      <c r="G22" s="42">
        <v>3.1E-2</v>
      </c>
      <c r="H22" s="21" t="s">
        <v>684</v>
      </c>
      <c r="I22" s="39">
        <f ca="1">IFERROR(__xludf.DUMMYFUNCTION("IF(SUM(COUNTIF(artists!A:A, SPLIT(D22, "",""))) &gt; 0, ""UA"", 0)"),0)</f>
        <v>0</v>
      </c>
      <c r="J22" s="40" t="str">
        <f ca="1">IFERROR(__xludf.DUMMYFUNCTION("IF(SUM(COUNTIF(artists!C:C, SPLIT(D22, "",""))) &gt; 0, ""RU"", 0)"),"RU")</f>
        <v>RU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B23" s="21">
        <v>22</v>
      </c>
      <c r="C23" s="21" t="s">
        <v>178</v>
      </c>
      <c r="D23" s="21" t="s">
        <v>179</v>
      </c>
      <c r="E23" s="21">
        <v>29</v>
      </c>
      <c r="F23" s="21">
        <v>391103</v>
      </c>
      <c r="G23" s="42">
        <v>-5.6000000000000001E-2</v>
      </c>
      <c r="H23" s="21" t="s">
        <v>181</v>
      </c>
      <c r="I23" s="39" t="str">
        <f ca="1">IFERROR(__xludf.DUMMYFUNCTION("IF(SUM(COUNTIF(artists!A:A, SPLIT(D23, "",""))) &gt; 0, ""UA"", 0)"),"UA")</f>
        <v>UA</v>
      </c>
      <c r="J23" s="40">
        <f ca="1">IFERROR(__xludf.DUMMYFUNCTION("IF(SUM(COUNTIF(artists!C:C, SPLIT(D23, "",""))) &gt; 0, ""RU"", 0)"),0)</f>
        <v>0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C24" s="21" t="s">
        <v>373</v>
      </c>
      <c r="D24" s="21" t="s">
        <v>172</v>
      </c>
      <c r="E24" s="21">
        <v>1</v>
      </c>
      <c r="F24" s="21">
        <v>390811</v>
      </c>
      <c r="H24" s="21" t="s">
        <v>375</v>
      </c>
      <c r="I24" s="39">
        <f ca="1">IFERROR(__xludf.DUMMYFUNCTION("IF(SUM(COUNTIF(artists!A:A, SPLIT(D24, "",""))) &gt; 0, ""UA"", 0)"),0)</f>
        <v>0</v>
      </c>
      <c r="J24" s="40" t="str">
        <f ca="1">IFERROR(__xludf.DUMMYFUNCTION("IF(SUM(COUNTIF(artists!C:C, SPLIT(D24, "",""))) &gt; 0, ""RU"", 0)"),"RU")</f>
        <v>RU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B25" s="21">
        <v>16</v>
      </c>
      <c r="C25" s="21" t="s">
        <v>194</v>
      </c>
      <c r="D25" s="21" t="s">
        <v>195</v>
      </c>
      <c r="E25" s="21">
        <v>28</v>
      </c>
      <c r="F25" s="21">
        <v>389448</v>
      </c>
      <c r="G25" s="42">
        <v>-0.27100000000000002</v>
      </c>
      <c r="H25" s="21" t="s">
        <v>197</v>
      </c>
      <c r="I25" s="39" t="str">
        <f ca="1">IFERROR(__xludf.DUMMYFUNCTION("IF(SUM(COUNTIF(artists!A:A, SPLIT(D25, "",""))) &gt; 0, ""UA"", 0)"),"UA")</f>
        <v>UA</v>
      </c>
      <c r="J25" s="40">
        <f ca="1">IFERROR(__xludf.DUMMYFUNCTION("IF(SUM(COUNTIF(artists!C:C, SPLIT(D25, "",""))) &gt; 0, ""RU"", 0)"),0)</f>
        <v>0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B26" s="21">
        <v>27</v>
      </c>
      <c r="C26" s="21" t="s">
        <v>742</v>
      </c>
      <c r="D26" s="21" t="s">
        <v>743</v>
      </c>
      <c r="E26" s="21">
        <v>7</v>
      </c>
      <c r="F26" s="21">
        <v>377214</v>
      </c>
      <c r="G26" s="42">
        <v>5.8000000000000003E-2</v>
      </c>
      <c r="H26" s="21" t="s">
        <v>744</v>
      </c>
      <c r="I26" s="39">
        <f ca="1">IFERROR(__xludf.DUMMYFUNCTION("IF(SUM(COUNTIF(artists!A:A, SPLIT(D26, "",""))) &gt; 0, ""UA"", 0)"),0)</f>
        <v>0</v>
      </c>
      <c r="J26" s="40" t="str">
        <f ca="1">IFERROR(__xludf.DUMMYFUNCTION("IF(SUM(COUNTIF(artists!C:C, SPLIT(D26, "",""))) &gt; 0, ""RU"", 0)"),"RU")</f>
        <v>RU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B27" s="21">
        <v>23</v>
      </c>
      <c r="C27" s="21" t="s">
        <v>255</v>
      </c>
      <c r="D27" s="21" t="s">
        <v>256</v>
      </c>
      <c r="E27" s="21">
        <v>15</v>
      </c>
      <c r="F27" s="21">
        <v>373534</v>
      </c>
      <c r="G27" s="42">
        <v>-9.7000000000000003E-2</v>
      </c>
      <c r="H27" s="21" t="s">
        <v>257</v>
      </c>
      <c r="I27" s="39" t="str">
        <f ca="1">IFERROR(__xludf.DUMMYFUNCTION("IF(SUM(COUNTIF(artists!A:A, SPLIT(D27, "",""))) &gt; 0, ""UA"", 0)"),"UA")</f>
        <v>UA</v>
      </c>
      <c r="J27" s="40">
        <f ca="1">IFERROR(__xludf.DUMMYFUNCTION("IF(SUM(COUNTIF(artists!C:C, SPLIT(D27, "",""))) &gt; 0, ""RU"", 0)"),0)</f>
        <v>0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B28" s="21">
        <v>25</v>
      </c>
      <c r="C28" s="21" t="s">
        <v>968</v>
      </c>
      <c r="D28" s="21" t="s">
        <v>969</v>
      </c>
      <c r="E28" s="21">
        <v>45</v>
      </c>
      <c r="F28" s="21">
        <v>365988</v>
      </c>
      <c r="G28" s="42">
        <v>-3.1E-2</v>
      </c>
      <c r="H28" s="21" t="s">
        <v>970</v>
      </c>
      <c r="I28" s="39" t="str">
        <f ca="1">IFERROR(__xludf.DUMMYFUNCTION("IF(SUM(COUNTIF(artists!A:A, SPLIT(D28, "",""))) &gt; 0, ""UA"", 0)"),"UA")</f>
        <v>UA</v>
      </c>
      <c r="J28" s="40">
        <f ca="1">IFERROR(__xludf.DUMMYFUNCTION("IF(SUM(COUNTIF(artists!C:C, SPLIT(D28, "",""))) &gt; 0, ""RU"", 0)"),0)</f>
        <v>0</v>
      </c>
      <c r="K28" s="39">
        <f ca="1">IFERROR(__xludf.DUMMYFUNCTION("IF(SUM(COUNTIF(artists!E:E, SPLIT(D28, "",""))) &gt; 0, ""OTHER"", 0)"),0)</f>
        <v>0</v>
      </c>
    </row>
    <row r="29" spans="1:11" ht="14.25" customHeight="1">
      <c r="A29" s="21">
        <v>28</v>
      </c>
      <c r="B29" s="21">
        <v>20</v>
      </c>
      <c r="C29" s="21" t="s">
        <v>160</v>
      </c>
      <c r="D29" s="21" t="s">
        <v>161</v>
      </c>
      <c r="E29" s="21">
        <v>19</v>
      </c>
      <c r="F29" s="21">
        <v>364506</v>
      </c>
      <c r="G29" s="42">
        <v>-0.19700000000000001</v>
      </c>
      <c r="H29" s="21" t="s">
        <v>163</v>
      </c>
      <c r="I29" s="39" t="str">
        <f ca="1">IFERROR(__xludf.DUMMYFUNCTION("IF(SUM(COUNTIF(artists!A:A, SPLIT(D29, "",""))) &gt; 0, ""UA"", 0)"),"UA")</f>
        <v>UA</v>
      </c>
      <c r="J29" s="40">
        <f ca="1">IFERROR(__xludf.DUMMYFUNCTION("IF(SUM(COUNTIF(artists!C:C, SPLIT(D29, "",""))) &gt; 0, ""RU"", 0)"),0)</f>
        <v>0</v>
      </c>
      <c r="K29" s="39">
        <f ca="1">IFERROR(__xludf.DUMMYFUNCTION("IF(SUM(COUNTIF(artists!E:E, SPLIT(D29, "",""))) &gt; 0, ""OTHER"", 0)"),0)</f>
        <v>0</v>
      </c>
    </row>
    <row r="30" spans="1:11" ht="14.25" customHeight="1">
      <c r="A30" s="21">
        <v>29</v>
      </c>
      <c r="B30" s="21">
        <v>21</v>
      </c>
      <c r="C30" s="21" t="s">
        <v>772</v>
      </c>
      <c r="D30" s="21" t="s">
        <v>773</v>
      </c>
      <c r="E30" s="21">
        <v>3</v>
      </c>
      <c r="F30" s="21">
        <v>351065</v>
      </c>
      <c r="G30" s="42">
        <v>-0.159</v>
      </c>
      <c r="H30" s="21" t="s">
        <v>774</v>
      </c>
      <c r="I30" s="39" t="str">
        <f ca="1">IFERROR(__xludf.DUMMYFUNCTION("IF(SUM(COUNTIF(artists!A:A, SPLIT(D30, "",""))) &gt; 0, ""UA"", 0)"),"UA")</f>
        <v>UA</v>
      </c>
      <c r="J30" s="40">
        <f ca="1">IFERROR(__xludf.DUMMYFUNCTION("IF(SUM(COUNTIF(artists!C:C, SPLIT(D30, "",""))) &gt; 0, ""RU"", 0)"),0)</f>
        <v>0</v>
      </c>
      <c r="K30" s="39">
        <f ca="1">IFERROR(__xludf.DUMMYFUNCTION("IF(SUM(COUNTIF(artists!E:E, SPLIT(D30, "",""))) &gt; 0, ""OTHER"", 0)"),0)</f>
        <v>0</v>
      </c>
    </row>
    <row r="31" spans="1:11" ht="14.25" customHeight="1">
      <c r="A31" s="21">
        <v>30</v>
      </c>
      <c r="C31" s="21" t="s">
        <v>1130</v>
      </c>
      <c r="D31" s="21" t="s">
        <v>1131</v>
      </c>
      <c r="E31" s="21">
        <v>1</v>
      </c>
      <c r="F31" s="21">
        <v>346431</v>
      </c>
      <c r="H31" s="21" t="s">
        <v>1132</v>
      </c>
      <c r="I31" s="39">
        <f ca="1">IFERROR(__xludf.DUMMYFUNCTION("IF(SUM(COUNTIF(artists!A:A, SPLIT(D31, "",""))) &gt; 0, ""UA"", 0)"),0)</f>
        <v>0</v>
      </c>
      <c r="J31" s="40" t="str">
        <f ca="1">IFERROR(__xludf.DUMMYFUNCTION("IF(SUM(COUNTIF(artists!C:C, SPLIT(D31, "",""))) &gt; 0, ""RU"", 0)"),"RU")</f>
        <v>RU</v>
      </c>
      <c r="K31" s="39">
        <f ca="1">IFERROR(__xludf.DUMMYFUNCTION("IF(SUM(COUNTIF(artists!E:E, SPLIT(D31, "",""))) &gt; 0, ""OTHER"", 0)"),0)</f>
        <v>0</v>
      </c>
    </row>
    <row r="32" spans="1:11" ht="14.25" customHeight="1">
      <c r="A32" s="21">
        <v>31</v>
      </c>
      <c r="B32" s="21">
        <v>76</v>
      </c>
      <c r="C32" s="21" t="s">
        <v>298</v>
      </c>
      <c r="D32" s="21" t="s">
        <v>299</v>
      </c>
      <c r="E32" s="21">
        <v>2</v>
      </c>
      <c r="F32" s="21">
        <v>336595</v>
      </c>
      <c r="G32" s="42">
        <v>1.0029999999999999</v>
      </c>
      <c r="H32" s="21" t="s">
        <v>300</v>
      </c>
      <c r="I32" s="39">
        <f ca="1">IFERROR(__xludf.DUMMYFUNCTION("IF(SUM(COUNTIF(artists!A:A, SPLIT(D32, "",""))) &gt; 0, ""UA"", 0)"),0)</f>
        <v>0</v>
      </c>
      <c r="J32" s="40">
        <f ca="1">IFERROR(__xludf.DUMMYFUNCTION("IF(SUM(COUNTIF(artists!C:C, SPLIT(D32, "",""))) &gt; 0, ""RU"", 0)"),0)</f>
        <v>0</v>
      </c>
      <c r="K32" s="39" t="str">
        <f ca="1">IFERROR(__xludf.DUMMYFUNCTION("IF(SUM(COUNTIF(artists!E:E, SPLIT(D32, "",""))) &gt; 0, ""OTHER"", 0)"),"OTHER")</f>
        <v>OTHER</v>
      </c>
    </row>
    <row r="33" spans="1:11" ht="14.25" customHeight="1">
      <c r="A33" s="21">
        <v>32</v>
      </c>
      <c r="B33" s="21">
        <v>29</v>
      </c>
      <c r="C33" s="21" t="s">
        <v>841</v>
      </c>
      <c r="D33" s="21" t="s">
        <v>842</v>
      </c>
      <c r="E33" s="21">
        <v>30</v>
      </c>
      <c r="F33" s="21">
        <v>321144</v>
      </c>
      <c r="G33" s="42">
        <v>-3.7999999999999999E-2</v>
      </c>
      <c r="H33" s="21" t="s">
        <v>843</v>
      </c>
      <c r="I33" s="39">
        <f ca="1">IFERROR(__xludf.DUMMYFUNCTION("IF(SUM(COUNTIF(artists!A:A, SPLIT(D33, "",""))) &gt; 0, ""UA"", 0)"),0)</f>
        <v>0</v>
      </c>
      <c r="J33" s="40">
        <f ca="1">IFERROR(__xludf.DUMMYFUNCTION("IF(SUM(COUNTIF(artists!C:C, SPLIT(D33, "",""))) &gt; 0, ""RU"", 0)"),0)</f>
        <v>0</v>
      </c>
      <c r="K33" s="39" t="str">
        <f ca="1">IFERROR(__xludf.DUMMYFUNCTION("IF(SUM(COUNTIF(artists!E:E, SPLIT(D33, "",""))) &gt; 0, ""OTHER"", 0)"),"OTHER")</f>
        <v>OTHER</v>
      </c>
    </row>
    <row r="34" spans="1:11" ht="14.25" customHeight="1">
      <c r="A34" s="21">
        <v>33</v>
      </c>
      <c r="B34" s="21">
        <v>28</v>
      </c>
      <c r="C34" s="21" t="s">
        <v>594</v>
      </c>
      <c r="D34" s="21" t="s">
        <v>595</v>
      </c>
      <c r="E34" s="21">
        <v>13</v>
      </c>
      <c r="F34" s="21">
        <v>316566</v>
      </c>
      <c r="G34" s="42">
        <v>-0.107</v>
      </c>
      <c r="H34" s="21" t="s">
        <v>596</v>
      </c>
      <c r="I34" s="39" t="str">
        <f ca="1">IFERROR(__xludf.DUMMYFUNCTION("IF(SUM(COUNTIF(artists!A:A, SPLIT(D34, "",""))) &gt; 0, ""UA"", 0)"),"UA")</f>
        <v>UA</v>
      </c>
      <c r="J34" s="40">
        <f ca="1">IFERROR(__xludf.DUMMYFUNCTION("IF(SUM(COUNTIF(artists!C:C, SPLIT(D34, "",""))) &gt; 0, ""RU"", 0)"),0)</f>
        <v>0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B35" s="21">
        <v>30</v>
      </c>
      <c r="C35" s="21" t="s">
        <v>229</v>
      </c>
      <c r="D35" s="21" t="s">
        <v>230</v>
      </c>
      <c r="E35" s="21">
        <v>32</v>
      </c>
      <c r="F35" s="21">
        <v>315288</v>
      </c>
      <c r="G35" s="42">
        <v>-4.5999999999999999E-2</v>
      </c>
      <c r="H35" s="21" t="s">
        <v>232</v>
      </c>
      <c r="I35" s="39" t="str">
        <f ca="1">IFERROR(__xludf.DUMMYFUNCTION("IF(SUM(COUNTIF(artists!A:A, SPLIT(D35, "",""))) &gt; 0, ""UA"", 0)"),"UA")</f>
        <v>UA</v>
      </c>
      <c r="J35" s="40">
        <f ca="1">IFERROR(__xludf.DUMMYFUNCTION("IF(SUM(COUNTIF(artists!C:C, SPLIT(D35, "",""))) &gt; 0, ""RU"", 0)"),0)</f>
        <v>0</v>
      </c>
      <c r="K35" s="39">
        <f ca="1">IFERROR(__xludf.DUMMYFUNCTION("IF(SUM(COUNTIF(artists!E:E, SPLIT(D35, "",""))) &gt; 0, ""OTHER"", 0)"),0)</f>
        <v>0</v>
      </c>
    </row>
    <row r="36" spans="1:11" ht="14.25" customHeight="1">
      <c r="A36" s="21">
        <v>35</v>
      </c>
      <c r="C36" s="21" t="s">
        <v>1139</v>
      </c>
      <c r="D36" s="21" t="s">
        <v>1050</v>
      </c>
      <c r="E36" s="21">
        <v>1</v>
      </c>
      <c r="F36" s="21">
        <v>313375</v>
      </c>
      <c r="H36" s="21" t="s">
        <v>1140</v>
      </c>
      <c r="I36" s="39">
        <f ca="1">IFERROR(__xludf.DUMMYFUNCTION("IF(SUM(COUNTIF(artists!A:A, SPLIT(D36, "",""))) &gt; 0, ""UA"", 0)"),0)</f>
        <v>0</v>
      </c>
      <c r="J36" s="40" t="str">
        <f ca="1">IFERROR(__xludf.DUMMYFUNCTION("IF(SUM(COUNTIF(artists!C:C, SPLIT(D36, "",""))) &gt; 0, ""RU"", 0)"),"RU")</f>
        <v>RU</v>
      </c>
      <c r="K36" s="39">
        <f ca="1">IFERROR(__xludf.DUMMYFUNCTION("IF(SUM(COUNTIF(artists!E:E, SPLIT(D36, "",""))) &gt; 0, ""OTHER"", 0)"),0)</f>
        <v>0</v>
      </c>
    </row>
    <row r="37" spans="1:11" ht="14.25" customHeight="1">
      <c r="A37" s="21">
        <v>36</v>
      </c>
      <c r="B37" s="21">
        <v>31</v>
      </c>
      <c r="C37" s="21" t="s">
        <v>253</v>
      </c>
      <c r="D37" s="21" t="s">
        <v>89</v>
      </c>
      <c r="E37" s="21">
        <v>34</v>
      </c>
      <c r="F37" s="21">
        <v>309660</v>
      </c>
      <c r="G37" s="42">
        <v>-1.6E-2</v>
      </c>
      <c r="H37" s="21" t="s">
        <v>254</v>
      </c>
      <c r="I37" s="39" t="str">
        <f ca="1">IFERROR(__xludf.DUMMYFUNCTION("IF(SUM(COUNTIF(artists!A:A, SPLIT(D37, "",""))) &gt; 0, ""UA"", 0)"),"UA")</f>
        <v>UA</v>
      </c>
      <c r="J37" s="40">
        <f ca="1">IFERROR(__xludf.DUMMYFUNCTION("IF(SUM(COUNTIF(artists!C:C, SPLIT(D37, "",""))) &gt; 0, ""RU"", 0)"),0)</f>
        <v>0</v>
      </c>
      <c r="K37" s="39">
        <f ca="1">IFERROR(__xludf.DUMMYFUNCTION("IF(SUM(COUNTIF(artists!E:E, SPLIT(D37, "",""))) &gt; 0, ""OTHER"", 0)"),0)</f>
        <v>0</v>
      </c>
    </row>
    <row r="38" spans="1:11" ht="14.25" customHeight="1">
      <c r="A38" s="21">
        <v>37</v>
      </c>
      <c r="B38" s="21">
        <v>26</v>
      </c>
      <c r="C38" s="21" t="s">
        <v>251</v>
      </c>
      <c r="D38" s="21" t="s">
        <v>133</v>
      </c>
      <c r="E38" s="21">
        <v>10</v>
      </c>
      <c r="F38" s="21">
        <v>304352</v>
      </c>
      <c r="G38" s="42">
        <v>-0.14799999999999999</v>
      </c>
      <c r="H38" s="21" t="s">
        <v>252</v>
      </c>
      <c r="I38" s="39" t="str">
        <f ca="1">IFERROR(__xludf.DUMMYFUNCTION("IF(SUM(COUNTIF(artists!A:A, SPLIT(D38, "",""))) &gt; 0, ""UA"", 0)"),"UA")</f>
        <v>UA</v>
      </c>
      <c r="J38" s="40">
        <f ca="1">IFERROR(__xludf.DUMMYFUNCTION("IF(SUM(COUNTIF(artists!C:C, SPLIT(D38, "",""))) &gt; 0, ""RU"", 0)"),0)</f>
        <v>0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B39" s="21">
        <v>33</v>
      </c>
      <c r="C39" s="21" t="s">
        <v>929</v>
      </c>
      <c r="D39" s="21" t="s">
        <v>930</v>
      </c>
      <c r="E39" s="21">
        <v>18</v>
      </c>
      <c r="F39" s="21">
        <v>303709</v>
      </c>
      <c r="G39" s="42">
        <v>5.0000000000000001E-3</v>
      </c>
      <c r="H39" s="21" t="s">
        <v>931</v>
      </c>
      <c r="I39" s="39" t="str">
        <f ca="1">IFERROR(__xludf.DUMMYFUNCTION("IF(SUM(COUNTIF(artists!A:A, SPLIT(D39, "",""))) &gt; 0, ""UA"", 0)"),"UA")</f>
        <v>UA</v>
      </c>
      <c r="J39" s="40">
        <f ca="1">IFERROR(__xludf.DUMMYFUNCTION("IF(SUM(COUNTIF(artists!C:C, SPLIT(D39, "",""))) &gt; 0, ""RU"", 0)"),0)</f>
        <v>0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B40" s="21">
        <v>46</v>
      </c>
      <c r="C40" s="21" t="s">
        <v>1121</v>
      </c>
      <c r="D40" s="21" t="s">
        <v>104</v>
      </c>
      <c r="E40" s="21">
        <v>2</v>
      </c>
      <c r="F40" s="21">
        <v>296180</v>
      </c>
      <c r="G40" s="42">
        <v>0.224</v>
      </c>
      <c r="H40" s="21" t="s">
        <v>1122</v>
      </c>
      <c r="I40" s="39" t="str">
        <f ca="1">IFERROR(__xludf.DUMMYFUNCTION("IF(SUM(COUNTIF(artists!A:A, SPLIT(D40, "",""))) &gt; 0, ""UA"", 0)"),"UA")</f>
        <v>UA</v>
      </c>
      <c r="J40" s="40">
        <f ca="1">IFERROR(__xludf.DUMMYFUNCTION("IF(SUM(COUNTIF(artists!C:C, SPLIT(D40, "",""))) &gt; 0, ""RU"", 0)"),0)</f>
        <v>0</v>
      </c>
      <c r="K40" s="39">
        <f ca="1">IFERROR(__xludf.DUMMYFUNCTION("IF(SUM(COUNTIF(artists!E:E, SPLIT(D40, "",""))) &gt; 0, ""OTHER"", 0)"),0)</f>
        <v>0</v>
      </c>
    </row>
    <row r="41" spans="1:11" ht="14.25" customHeight="1">
      <c r="A41" s="21">
        <v>40</v>
      </c>
      <c r="B41" s="21">
        <v>34</v>
      </c>
      <c r="C41" s="21" t="s">
        <v>579</v>
      </c>
      <c r="D41" s="21" t="s">
        <v>183</v>
      </c>
      <c r="E41" s="21">
        <v>15</v>
      </c>
      <c r="F41" s="21">
        <v>295826</v>
      </c>
      <c r="G41" s="42">
        <v>-1.9E-2</v>
      </c>
      <c r="H41" s="21" t="s">
        <v>580</v>
      </c>
      <c r="I41" s="39" t="str">
        <f ca="1">IFERROR(__xludf.DUMMYFUNCTION("IF(SUM(COUNTIF(artists!A:A, SPLIT(D41, "",""))) &gt; 0, ""UA"", 0)"),"UA")</f>
        <v>UA</v>
      </c>
      <c r="J41" s="40">
        <f ca="1">IFERROR(__xludf.DUMMYFUNCTION("IF(SUM(COUNTIF(artists!C:C, SPLIT(D41, "",""))) &gt; 0, ""RU"", 0)"),0)</f>
        <v>0</v>
      </c>
      <c r="K41" s="39">
        <f ca="1">IFERROR(__xludf.DUMMYFUNCTION("IF(SUM(COUNTIF(artists!E:E, SPLIT(D41, "",""))) &gt; 0, ""OTHER"", 0)"),0)</f>
        <v>0</v>
      </c>
    </row>
    <row r="42" spans="1:11" ht="14.25" customHeight="1">
      <c r="A42" s="21">
        <v>41</v>
      </c>
      <c r="B42" s="21">
        <v>32</v>
      </c>
      <c r="C42" s="21" t="s">
        <v>799</v>
      </c>
      <c r="D42" s="21" t="s">
        <v>494</v>
      </c>
      <c r="E42" s="21">
        <v>34</v>
      </c>
      <c r="F42" s="21">
        <v>294274</v>
      </c>
      <c r="G42" s="42">
        <v>-4.4999999999999998E-2</v>
      </c>
      <c r="H42" s="21" t="s">
        <v>800</v>
      </c>
      <c r="I42" s="39" t="str">
        <f ca="1">IFERROR(__xludf.DUMMYFUNCTION("IF(SUM(COUNTIF(artists!A:A, SPLIT(D42, "",""))) &gt; 0, ""UA"", 0)"),"UA")</f>
        <v>UA</v>
      </c>
      <c r="J42" s="40">
        <f ca="1">IFERROR(__xludf.DUMMYFUNCTION("IF(SUM(COUNTIF(artists!C:C, SPLIT(D42, "",""))) &gt; 0, ""RU"", 0)"),0)</f>
        <v>0</v>
      </c>
      <c r="K42" s="39">
        <f ca="1">IFERROR(__xludf.DUMMYFUNCTION("IF(SUM(COUNTIF(artists!E:E, SPLIT(D42, "",""))) &gt; 0, ""OTHER"", 0)"),0)</f>
        <v>0</v>
      </c>
    </row>
    <row r="43" spans="1:11" ht="14.25" customHeight="1">
      <c r="A43" s="21">
        <v>42</v>
      </c>
      <c r="B43" s="21">
        <v>49</v>
      </c>
      <c r="C43" s="21" t="s">
        <v>602</v>
      </c>
      <c r="D43" s="21" t="s">
        <v>299</v>
      </c>
      <c r="E43" s="21">
        <v>6</v>
      </c>
      <c r="F43" s="21">
        <v>290337</v>
      </c>
      <c r="G43" s="42">
        <v>0.24099999999999999</v>
      </c>
      <c r="H43" s="21" t="s">
        <v>604</v>
      </c>
      <c r="I43" s="39">
        <f ca="1">IFERROR(__xludf.DUMMYFUNCTION("IF(SUM(COUNTIF(artists!A:A, SPLIT(D43, "",""))) &gt; 0, ""UA"", 0)"),0)</f>
        <v>0</v>
      </c>
      <c r="J43" s="40">
        <f ca="1">IFERROR(__xludf.DUMMYFUNCTION("IF(SUM(COUNTIF(artists!C:C, SPLIT(D43, "",""))) &gt; 0, ""RU"", 0)"),0)</f>
        <v>0</v>
      </c>
      <c r="K43" s="39" t="str">
        <f ca="1">IFERROR(__xludf.DUMMYFUNCTION("IF(SUM(COUNTIF(artists!E:E, SPLIT(D43, "",""))) &gt; 0, ""OTHER"", 0)"),"OTHER")</f>
        <v>OTHER</v>
      </c>
    </row>
    <row r="44" spans="1:11" ht="14.25" customHeight="1">
      <c r="A44" s="21">
        <v>43</v>
      </c>
      <c r="B44" s="21">
        <v>37</v>
      </c>
      <c r="C44" s="21" t="s">
        <v>895</v>
      </c>
      <c r="D44" s="21" t="s">
        <v>896</v>
      </c>
      <c r="E44" s="21">
        <v>37</v>
      </c>
      <c r="F44" s="21">
        <v>278060</v>
      </c>
      <c r="G44" s="42">
        <v>-4.2000000000000003E-2</v>
      </c>
      <c r="H44" s="21" t="s">
        <v>897</v>
      </c>
      <c r="I44" s="39" t="str">
        <f ca="1">IFERROR(__xludf.DUMMYFUNCTION("IF(SUM(COUNTIF(artists!A:A, SPLIT(D44, "",""))) &gt; 0, ""UA"", 0)"),"UA")</f>
        <v>UA</v>
      </c>
      <c r="J44" s="40">
        <f ca="1">IFERROR(__xludf.DUMMYFUNCTION("IF(SUM(COUNTIF(artists!C:C, SPLIT(D44, "",""))) &gt; 0, ""RU"", 0)"),0)</f>
        <v>0</v>
      </c>
      <c r="K44" s="39">
        <f ca="1">IFERROR(__xludf.DUMMYFUNCTION("IF(SUM(COUNTIF(artists!E:E, SPLIT(D44, "",""))) &gt; 0, ""OTHER"", 0)"),0)</f>
        <v>0</v>
      </c>
    </row>
    <row r="45" spans="1:11" ht="14.25" customHeight="1">
      <c r="A45" s="21">
        <v>44</v>
      </c>
      <c r="B45" s="21">
        <v>39</v>
      </c>
      <c r="C45" s="21" t="s">
        <v>527</v>
      </c>
      <c r="D45" s="21" t="s">
        <v>528</v>
      </c>
      <c r="E45" s="21">
        <v>4</v>
      </c>
      <c r="F45" s="21">
        <v>273968</v>
      </c>
      <c r="G45" s="42">
        <v>1.0999999999999999E-2</v>
      </c>
      <c r="H45" s="21" t="s">
        <v>529</v>
      </c>
      <c r="I45" s="39" t="str">
        <f ca="1">IFERROR(__xludf.DUMMYFUNCTION("IF(SUM(COUNTIF(artists!A:A, SPLIT(D45, "",""))) &gt; 0, ""UA"", 0)"),"UA")</f>
        <v>UA</v>
      </c>
      <c r="J45" s="40">
        <f ca="1">IFERROR(__xludf.DUMMYFUNCTION("IF(SUM(COUNTIF(artists!C:C, SPLIT(D45, "",""))) &gt; 0, ""RU"", 0)"),0)</f>
        <v>0</v>
      </c>
      <c r="K45" s="39">
        <f ca="1">IFERROR(__xludf.DUMMYFUNCTION("IF(SUM(COUNTIF(artists!E:E, SPLIT(D45, "",""))) &gt; 0, ""OTHER"", 0)"),0)</f>
        <v>0</v>
      </c>
    </row>
    <row r="46" spans="1:11" ht="14.25" customHeight="1">
      <c r="A46" s="21">
        <v>45</v>
      </c>
      <c r="B46" s="21">
        <v>42</v>
      </c>
      <c r="C46" s="21" t="s">
        <v>508</v>
      </c>
      <c r="D46" s="21" t="s">
        <v>509</v>
      </c>
      <c r="E46" s="21">
        <v>6</v>
      </c>
      <c r="F46" s="21">
        <v>272464</v>
      </c>
      <c r="G46" s="42">
        <v>9.4E-2</v>
      </c>
      <c r="H46" s="21" t="s">
        <v>510</v>
      </c>
      <c r="I46" s="39">
        <f ca="1">IFERROR(__xludf.DUMMYFUNCTION("IF(SUM(COUNTIF(artists!A:A, SPLIT(D46, "",""))) &gt; 0, ""UA"", 0)"),0)</f>
        <v>0</v>
      </c>
      <c r="J46" s="40" t="str">
        <f ca="1">IFERROR(__xludf.DUMMYFUNCTION("IF(SUM(COUNTIF(artists!C:C, SPLIT(D46, "",""))) &gt; 0, ""RU"", 0)"),"RU")</f>
        <v>RU</v>
      </c>
      <c r="K46" s="39">
        <f ca="1">IFERROR(__xludf.DUMMYFUNCTION("IF(SUM(COUNTIF(artists!E:E, SPLIT(D46, "",""))) &gt; 0, ""OTHER"", 0)"),0)</f>
        <v>0</v>
      </c>
    </row>
    <row r="47" spans="1:11" ht="14.25" customHeight="1">
      <c r="A47" s="21">
        <v>46</v>
      </c>
      <c r="B47" s="21">
        <v>35</v>
      </c>
      <c r="C47" s="21" t="s">
        <v>616</v>
      </c>
      <c r="D47" s="21" t="s">
        <v>617</v>
      </c>
      <c r="E47" s="21">
        <v>15</v>
      </c>
      <c r="F47" s="21">
        <v>271330</v>
      </c>
      <c r="G47" s="42">
        <v>-8.2000000000000003E-2</v>
      </c>
      <c r="H47" s="21" t="s">
        <v>618</v>
      </c>
      <c r="I47" s="39">
        <f ca="1">IFERROR(__xludf.DUMMYFUNCTION("IF(SUM(COUNTIF(artists!A:A, SPLIT(D47, "",""))) &gt; 0, ""UA"", 0)"),0)</f>
        <v>0</v>
      </c>
      <c r="J47" s="40">
        <f ca="1">IFERROR(__xludf.DUMMYFUNCTION("IF(SUM(COUNTIF(artists!C:C, SPLIT(D47, "",""))) &gt; 0, ""RU"", 0)"),0)</f>
        <v>0</v>
      </c>
      <c r="K47" s="39" t="str">
        <f ca="1">IFERROR(__xludf.DUMMYFUNCTION("IF(SUM(COUNTIF(artists!E:E, SPLIT(D47, "",""))) &gt; 0, ""OTHER"", 0)"),"OTHER")</f>
        <v>OTHER</v>
      </c>
    </row>
    <row r="48" spans="1:11" ht="14.25" customHeight="1">
      <c r="A48" s="21">
        <v>47</v>
      </c>
      <c r="B48" s="21">
        <v>88</v>
      </c>
      <c r="C48" s="21" t="s">
        <v>1141</v>
      </c>
      <c r="D48" s="21" t="s">
        <v>1050</v>
      </c>
      <c r="E48" s="21">
        <v>2</v>
      </c>
      <c r="F48" s="21">
        <v>263763</v>
      </c>
      <c r="G48" s="42">
        <v>0.76300000000000001</v>
      </c>
      <c r="H48" s="21" t="s">
        <v>1142</v>
      </c>
      <c r="I48" s="39">
        <f ca="1">IFERROR(__xludf.DUMMYFUNCTION("IF(SUM(COUNTIF(artists!A:A, SPLIT(D48, "",""))) &gt; 0, ""UA"", 0)"),0)</f>
        <v>0</v>
      </c>
      <c r="J48" s="40" t="str">
        <f ca="1">IFERROR(__xludf.DUMMYFUNCTION("IF(SUM(COUNTIF(artists!C:C, SPLIT(D48, "",""))) &gt; 0, ""RU"", 0)"),"RU")</f>
        <v>RU</v>
      </c>
      <c r="K48" s="39">
        <f ca="1">IFERROR(__xludf.DUMMYFUNCTION("IF(SUM(COUNTIF(artists!E:E, SPLIT(D48, "",""))) &gt; 0, ""OTHER"", 0)"),0)</f>
        <v>0</v>
      </c>
    </row>
    <row r="49" spans="1:11" ht="14.25" customHeight="1">
      <c r="A49" s="21">
        <v>48</v>
      </c>
      <c r="B49" s="21">
        <v>36</v>
      </c>
      <c r="C49" s="21" t="s">
        <v>921</v>
      </c>
      <c r="D49" s="21" t="s">
        <v>922</v>
      </c>
      <c r="E49" s="21">
        <v>17</v>
      </c>
      <c r="F49" s="21">
        <v>258828</v>
      </c>
      <c r="G49" s="42">
        <v>-0.109</v>
      </c>
      <c r="H49" s="21" t="s">
        <v>923</v>
      </c>
      <c r="I49" s="39" t="str">
        <f ca="1">IFERROR(__xludf.DUMMYFUNCTION("IF(SUM(COUNTIF(artists!A:A, SPLIT(D49, "",""))) &gt; 0, ""UA"", 0)"),"UA")</f>
        <v>UA</v>
      </c>
      <c r="J49" s="40">
        <f ca="1">IFERROR(__xludf.DUMMYFUNCTION("IF(SUM(COUNTIF(artists!C:C, SPLIT(D49, "",""))) &gt; 0, ""RU"", 0)"),0)</f>
        <v>0</v>
      </c>
      <c r="K49" s="39">
        <f ca="1">IFERROR(__xludf.DUMMYFUNCTION("IF(SUM(COUNTIF(artists!E:E, SPLIT(D49, "",""))) &gt; 0, ""OTHER"", 0)"),0)</f>
        <v>0</v>
      </c>
    </row>
    <row r="50" spans="1:11" ht="14.25" customHeight="1">
      <c r="A50" s="21">
        <v>49</v>
      </c>
      <c r="B50" s="21">
        <v>40</v>
      </c>
      <c r="C50" s="21" t="s">
        <v>667</v>
      </c>
      <c r="D50" s="21" t="s">
        <v>668</v>
      </c>
      <c r="E50" s="21">
        <v>6</v>
      </c>
      <c r="F50" s="21">
        <v>248011</v>
      </c>
      <c r="G50" s="42">
        <v>-5.0999999999999997E-2</v>
      </c>
      <c r="H50" s="21" t="s">
        <v>669</v>
      </c>
      <c r="I50" s="39">
        <f ca="1">IFERROR(__xludf.DUMMYFUNCTION("IF(SUM(COUNTIF(artists!A:A, SPLIT(D50, "",""))) &gt; 0, ""UA"", 0)"),0)</f>
        <v>0</v>
      </c>
      <c r="J50" s="40" t="str">
        <f ca="1">IFERROR(__xludf.DUMMYFUNCTION("IF(SUM(COUNTIF(artists!C:C, SPLIT(D50, "",""))) &gt; 0, ""RU"", 0)"),"RU")</f>
        <v>RU</v>
      </c>
      <c r="K50" s="39">
        <f ca="1">IFERROR(__xludf.DUMMYFUNCTION("IF(SUM(COUNTIF(artists!E:E, SPLIT(D50, "",""))) &gt; 0, ""OTHER"", 0)"),0)</f>
        <v>0</v>
      </c>
    </row>
    <row r="51" spans="1:11" ht="14.25" customHeight="1">
      <c r="A51" s="21">
        <v>50</v>
      </c>
      <c r="B51" s="21">
        <v>43</v>
      </c>
      <c r="C51" s="21" t="s">
        <v>516</v>
      </c>
      <c r="D51" s="21" t="s">
        <v>517</v>
      </c>
      <c r="E51" s="21">
        <v>23</v>
      </c>
      <c r="F51" s="21">
        <v>241970</v>
      </c>
      <c r="G51" s="42">
        <v>-1.4E-2</v>
      </c>
      <c r="H51" s="21" t="s">
        <v>518</v>
      </c>
      <c r="I51" s="39">
        <f ca="1">IFERROR(__xludf.DUMMYFUNCTION("IF(SUM(COUNTIF(artists!A:A, SPLIT(D51, "",""))) &gt; 0, ""UA"", 0)"),0)</f>
        <v>0</v>
      </c>
      <c r="J51" s="40">
        <f ca="1">IFERROR(__xludf.DUMMYFUNCTION("IF(SUM(COUNTIF(artists!C:C, SPLIT(D51, "",""))) &gt; 0, ""RU"", 0)"),0)</f>
        <v>0</v>
      </c>
      <c r="K51" s="39" t="str">
        <f ca="1">IFERROR(__xludf.DUMMYFUNCTION("IF(SUM(COUNTIF(artists!E:E, SPLIT(D51, "",""))) &gt; 0, ""OTHER"", 0)"),"OTHER")</f>
        <v>OTHER</v>
      </c>
    </row>
    <row r="52" spans="1:11" ht="14.25" customHeight="1">
      <c r="A52" s="21">
        <v>51</v>
      </c>
      <c r="B52" s="21">
        <v>41</v>
      </c>
      <c r="C52" s="21" t="s">
        <v>462</v>
      </c>
      <c r="D52" s="21" t="s">
        <v>463</v>
      </c>
      <c r="E52" s="21">
        <v>16</v>
      </c>
      <c r="F52" s="21">
        <v>239765</v>
      </c>
      <c r="G52" s="43">
        <v>-7.0000000000000007E-2</v>
      </c>
      <c r="H52" s="21" t="s">
        <v>465</v>
      </c>
      <c r="I52" s="39" t="str">
        <f ca="1">IFERROR(__xludf.DUMMYFUNCTION("IF(SUM(COUNTIF(artists!A:A, SPLIT(D52, "",""))) &gt; 0, ""UA"", 0)"),"UA")</f>
        <v>UA</v>
      </c>
      <c r="J52" s="40">
        <f ca="1">IFERROR(__xludf.DUMMYFUNCTION("IF(SUM(COUNTIF(artists!C:C, SPLIT(D52, "",""))) &gt; 0, ""RU"", 0)"),0)</f>
        <v>0</v>
      </c>
      <c r="K52" s="39">
        <f ca="1">IFERROR(__xludf.DUMMYFUNCTION("IF(SUM(COUNTIF(artists!E:E, SPLIT(D52, "",""))) &gt; 0, ""OTHER"", 0)"),0)</f>
        <v>0</v>
      </c>
    </row>
    <row r="53" spans="1:11" ht="14.25" customHeight="1">
      <c r="A53" s="21">
        <v>52</v>
      </c>
      <c r="B53" s="21">
        <v>54</v>
      </c>
      <c r="C53" s="21" t="s">
        <v>482</v>
      </c>
      <c r="D53" s="21" t="s">
        <v>210</v>
      </c>
      <c r="E53" s="21">
        <v>4</v>
      </c>
      <c r="F53" s="21">
        <v>236010</v>
      </c>
      <c r="G53" s="42">
        <v>8.8999999999999996E-2</v>
      </c>
      <c r="H53" s="21" t="s">
        <v>484</v>
      </c>
      <c r="I53" s="39" t="str">
        <f ca="1">IFERROR(__xludf.DUMMYFUNCTION("IF(SUM(COUNTIF(artists!A:A, SPLIT(D53, "",""))) &gt; 0, ""UA"", 0)"),"UA")</f>
        <v>UA</v>
      </c>
      <c r="J53" s="40">
        <f ca="1">IFERROR(__xludf.DUMMYFUNCTION("IF(SUM(COUNTIF(artists!C:C, SPLIT(D53, "",""))) &gt; 0, ""RU"", 0)"),0)</f>
        <v>0</v>
      </c>
      <c r="K53" s="39">
        <f ca="1">IFERROR(__xludf.DUMMYFUNCTION("IF(SUM(COUNTIF(artists!E:E, SPLIT(D53, "",""))) &gt; 0, ""OTHER"", 0)"),0)</f>
        <v>0</v>
      </c>
    </row>
    <row r="54" spans="1:11" ht="14.25" customHeight="1">
      <c r="A54" s="21">
        <v>53</v>
      </c>
      <c r="B54" s="21">
        <v>66</v>
      </c>
      <c r="C54" s="21" t="s">
        <v>589</v>
      </c>
      <c r="D54" s="21" t="s">
        <v>590</v>
      </c>
      <c r="E54" s="21">
        <v>13</v>
      </c>
      <c r="F54" s="21">
        <v>221125</v>
      </c>
      <c r="G54" s="42">
        <v>0.16600000000000001</v>
      </c>
      <c r="H54" s="21" t="s">
        <v>591</v>
      </c>
      <c r="I54" s="39" t="str">
        <f ca="1">IFERROR(__xludf.DUMMYFUNCTION("IF(SUM(COUNTIF(artists!A:A, SPLIT(D54, "",""))) &gt; 0, ""UA"", 0)"),"UA")</f>
        <v>UA</v>
      </c>
      <c r="J54" s="40">
        <f ca="1">IFERROR(__xludf.DUMMYFUNCTION("IF(SUM(COUNTIF(artists!C:C, SPLIT(D54, "",""))) &gt; 0, ""RU"", 0)"),0)</f>
        <v>0</v>
      </c>
      <c r="K54" s="39">
        <f ca="1">IFERROR(__xludf.DUMMYFUNCTION("IF(SUM(COUNTIF(artists!E:E, SPLIT(D54, "",""))) &gt; 0, ""OTHER"", 0)"),0)</f>
        <v>0</v>
      </c>
    </row>
    <row r="55" spans="1:11" ht="14.25" customHeight="1">
      <c r="A55" s="21">
        <v>54</v>
      </c>
      <c r="C55" s="21" t="s">
        <v>622</v>
      </c>
      <c r="D55" s="21" t="s">
        <v>108</v>
      </c>
      <c r="E55" s="21">
        <v>1</v>
      </c>
      <c r="F55" s="21">
        <v>220859</v>
      </c>
      <c r="H55" s="21" t="s">
        <v>623</v>
      </c>
      <c r="I55" s="39" t="str">
        <f ca="1">IFERROR(__xludf.DUMMYFUNCTION("IF(SUM(COUNTIF(artists!A:A, SPLIT(D55, "",""))) &gt; 0, ""UA"", 0)"),"UA")</f>
        <v>UA</v>
      </c>
      <c r="J55" s="40">
        <f ca="1">IFERROR(__xludf.DUMMYFUNCTION("IF(SUM(COUNTIF(artists!C:C, SPLIT(D55, "",""))) &gt; 0, ""RU"", 0)"),0)</f>
        <v>0</v>
      </c>
      <c r="K55" s="39">
        <f ca="1">IFERROR(__xludf.DUMMYFUNCTION("IF(SUM(COUNTIF(artists!E:E, SPLIT(D55, "",""))) &gt; 0, ""OTHER"", 0)"),0)</f>
        <v>0</v>
      </c>
    </row>
    <row r="56" spans="1:11" ht="14.25" customHeight="1">
      <c r="A56" s="21">
        <v>55</v>
      </c>
      <c r="B56" s="21">
        <v>51</v>
      </c>
      <c r="C56" s="21" t="s">
        <v>524</v>
      </c>
      <c r="D56" s="21" t="s">
        <v>525</v>
      </c>
      <c r="E56" s="21">
        <v>9</v>
      </c>
      <c r="F56" s="21">
        <v>220320</v>
      </c>
      <c r="G56" s="42">
        <v>-4.7E-2</v>
      </c>
      <c r="H56" s="21" t="s">
        <v>526</v>
      </c>
      <c r="I56" s="39" t="str">
        <f ca="1">IFERROR(__xludf.DUMMYFUNCTION("IF(SUM(COUNTIF(artists!A:A, SPLIT(D56, "",""))) &gt; 0, ""UA"", 0)"),"UA")</f>
        <v>UA</v>
      </c>
      <c r="J56" s="40">
        <f ca="1">IFERROR(__xludf.DUMMYFUNCTION("IF(SUM(COUNTIF(artists!C:C, SPLIT(D56, "",""))) &gt; 0, ""RU"", 0)"),0)</f>
        <v>0</v>
      </c>
      <c r="K56" s="39">
        <f ca="1">IFERROR(__xludf.DUMMYFUNCTION("IF(SUM(COUNTIF(artists!E:E, SPLIT(D56, "",""))) &gt; 0, ""OTHER"", 0)"),0)</f>
        <v>0</v>
      </c>
    </row>
    <row r="57" spans="1:11" ht="14.25" customHeight="1">
      <c r="A57" s="21">
        <v>56</v>
      </c>
      <c r="B57" s="21">
        <v>50</v>
      </c>
      <c r="C57" s="21" t="s">
        <v>1021</v>
      </c>
      <c r="D57" s="21" t="s">
        <v>1022</v>
      </c>
      <c r="E57" s="21">
        <v>5</v>
      </c>
      <c r="F57" s="21">
        <v>217447</v>
      </c>
      <c r="G57" s="43">
        <v>-0.06</v>
      </c>
      <c r="H57" s="21" t="s">
        <v>1023</v>
      </c>
      <c r="I57" s="39">
        <f ca="1">IFERROR(__xludf.DUMMYFUNCTION("IF(SUM(COUNTIF(artists!A:A, SPLIT(D57, "",""))) &gt; 0, ""UA"", 0)"),0)</f>
        <v>0</v>
      </c>
      <c r="J57" s="40">
        <f ca="1">IFERROR(__xludf.DUMMYFUNCTION("IF(SUM(COUNTIF(artists!C:C, SPLIT(D57, "",""))) &gt; 0, ""RU"", 0)"),0)</f>
        <v>0</v>
      </c>
      <c r="K57" s="39" t="str">
        <f ca="1">IFERROR(__xludf.DUMMYFUNCTION("IF(SUM(COUNTIF(artists!E:E, SPLIT(D57, "",""))) &gt; 0, ""OTHER"", 0)"),"OTHER")</f>
        <v>OTHER</v>
      </c>
    </row>
    <row r="58" spans="1:11" ht="14.25" customHeight="1">
      <c r="A58" s="21">
        <v>57</v>
      </c>
      <c r="B58" s="21">
        <v>55</v>
      </c>
      <c r="C58" s="21" t="s">
        <v>971</v>
      </c>
      <c r="D58" s="21" t="s">
        <v>972</v>
      </c>
      <c r="E58" s="21">
        <v>13</v>
      </c>
      <c r="F58" s="21">
        <v>215222</v>
      </c>
      <c r="G58" s="42">
        <v>-3.0000000000000001E-3</v>
      </c>
      <c r="H58" s="21" t="s">
        <v>973</v>
      </c>
      <c r="I58" s="39">
        <f ca="1">IFERROR(__xludf.DUMMYFUNCTION("IF(SUM(COUNTIF(artists!A:A, SPLIT(D58, "",""))) &gt; 0, ""UA"", 0)"),0)</f>
        <v>0</v>
      </c>
      <c r="J58" s="40">
        <f ca="1">IFERROR(__xludf.DUMMYFUNCTION("IF(SUM(COUNTIF(artists!C:C, SPLIT(D58, "",""))) &gt; 0, ""RU"", 0)"),0)</f>
        <v>0</v>
      </c>
      <c r="K58" s="39" t="str">
        <f ca="1">IFERROR(__xludf.DUMMYFUNCTION("IF(SUM(COUNTIF(artists!E:E, SPLIT(D58, "",""))) &gt; 0, ""OTHER"", 0)"),"OTHER")</f>
        <v>OTHER</v>
      </c>
    </row>
    <row r="59" spans="1:11" ht="14.25" customHeight="1">
      <c r="A59" s="21">
        <v>58</v>
      </c>
      <c r="C59" s="21" t="s">
        <v>653</v>
      </c>
      <c r="D59" s="21" t="s">
        <v>85</v>
      </c>
      <c r="E59" s="21">
        <v>1</v>
      </c>
      <c r="F59" s="21">
        <v>210837</v>
      </c>
      <c r="H59" s="21" t="s">
        <v>655</v>
      </c>
      <c r="I59" s="39" t="str">
        <f ca="1">IFERROR(__xludf.DUMMYFUNCTION("IF(SUM(COUNTIF(artists!A:A, SPLIT(D59, "",""))) &gt; 0, ""UA"", 0)"),"UA")</f>
        <v>UA</v>
      </c>
      <c r="J59" s="40">
        <f ca="1">IFERROR(__xludf.DUMMYFUNCTION("IF(SUM(COUNTIF(artists!C:C, SPLIT(D59, "",""))) &gt; 0, ""RU"", 0)"),0)</f>
        <v>0</v>
      </c>
      <c r="K59" s="39">
        <f ca="1">IFERROR(__xludf.DUMMYFUNCTION("IF(SUM(COUNTIF(artists!E:E, SPLIT(D59, "",""))) &gt; 0, ""OTHER"", 0)"),0)</f>
        <v>0</v>
      </c>
    </row>
    <row r="60" spans="1:11" ht="14.25" customHeight="1">
      <c r="A60" s="21">
        <v>59</v>
      </c>
      <c r="B60" s="21">
        <v>56</v>
      </c>
      <c r="C60" s="21" t="s">
        <v>497</v>
      </c>
      <c r="D60" s="21" t="s">
        <v>860</v>
      </c>
      <c r="E60" s="21">
        <v>5</v>
      </c>
      <c r="F60" s="21">
        <v>209009</v>
      </c>
      <c r="G60" s="43">
        <v>0.01</v>
      </c>
      <c r="H60" s="21" t="s">
        <v>499</v>
      </c>
      <c r="I60" s="39" t="str">
        <f ca="1">IFERROR(__xludf.DUMMYFUNCTION("IF(SUM(COUNTIF(artists!A:A, SPLIT(D60, "",""))) &gt; 0, ""UA"", 0)"),"UA")</f>
        <v>UA</v>
      </c>
      <c r="J60" s="40">
        <f ca="1">IFERROR(__xludf.DUMMYFUNCTION("IF(SUM(COUNTIF(artists!C:C, SPLIT(D60, "",""))) &gt; 0, ""RU"", 0)"),0)</f>
        <v>0</v>
      </c>
      <c r="K60" s="39">
        <f ca="1">IFERROR(__xludf.DUMMYFUNCTION("IF(SUM(COUNTIF(artists!E:E, SPLIT(D60, "",""))) &gt; 0, ""OTHER"", 0)"),0)</f>
        <v>0</v>
      </c>
    </row>
    <row r="61" spans="1:11" ht="14.25" customHeight="1">
      <c r="A61" s="21">
        <v>60</v>
      </c>
      <c r="B61" s="21">
        <v>69</v>
      </c>
      <c r="C61" s="21" t="s">
        <v>868</v>
      </c>
      <c r="D61" s="21" t="s">
        <v>869</v>
      </c>
      <c r="E61" s="21">
        <v>9</v>
      </c>
      <c r="F61" s="21">
        <v>204606</v>
      </c>
      <c r="G61" s="42">
        <v>9.1999999999999998E-2</v>
      </c>
      <c r="H61" s="21" t="s">
        <v>870</v>
      </c>
      <c r="I61" s="39">
        <f ca="1">IFERROR(__xludf.DUMMYFUNCTION("IF(SUM(COUNTIF(artists!A:A, SPLIT(D61, "",""))) &gt; 0, ""UA"", 0)"),0)</f>
        <v>0</v>
      </c>
      <c r="J61" s="40" t="str">
        <f ca="1">IFERROR(__xludf.DUMMYFUNCTION("IF(SUM(COUNTIF(artists!C:C, SPLIT(D61, "",""))) &gt; 0, ""RU"", 0)"),"RU")</f>
        <v>RU</v>
      </c>
      <c r="K61" s="39">
        <f ca="1">IFERROR(__xludf.DUMMYFUNCTION("IF(SUM(COUNTIF(artists!E:E, SPLIT(D61, "",""))) &gt; 0, ""OTHER"", 0)"),0)</f>
        <v>0</v>
      </c>
    </row>
    <row r="62" spans="1:11" ht="14.25" customHeight="1">
      <c r="A62" s="21">
        <v>61</v>
      </c>
      <c r="B62" s="21">
        <v>64</v>
      </c>
      <c r="C62" s="21" t="s">
        <v>605</v>
      </c>
      <c r="D62" s="21" t="s">
        <v>299</v>
      </c>
      <c r="E62" s="21">
        <v>6</v>
      </c>
      <c r="F62" s="21">
        <v>201973</v>
      </c>
      <c r="G62" s="42">
        <v>5.8000000000000003E-2</v>
      </c>
      <c r="H62" s="21" t="s">
        <v>607</v>
      </c>
      <c r="I62" s="39">
        <f ca="1">IFERROR(__xludf.DUMMYFUNCTION("IF(SUM(COUNTIF(artists!A:A, SPLIT(D62, "",""))) &gt; 0, ""UA"", 0)"),0)</f>
        <v>0</v>
      </c>
      <c r="J62" s="40">
        <f ca="1">IFERROR(__xludf.DUMMYFUNCTION("IF(SUM(COUNTIF(artists!C:C, SPLIT(D62, "",""))) &gt; 0, ""RU"", 0)"),0)</f>
        <v>0</v>
      </c>
      <c r="K62" s="39" t="str">
        <f ca="1">IFERROR(__xludf.DUMMYFUNCTION("IF(SUM(COUNTIF(artists!E:E, SPLIT(D62, "",""))) &gt; 0, ""OTHER"", 0)"),"OTHER")</f>
        <v>OTHER</v>
      </c>
    </row>
    <row r="63" spans="1:11" ht="14.25" customHeight="1">
      <c r="A63" s="21">
        <v>62</v>
      </c>
      <c r="B63" s="21">
        <v>89</v>
      </c>
      <c r="C63" s="21" t="s">
        <v>1085</v>
      </c>
      <c r="D63" s="21" t="s">
        <v>85</v>
      </c>
      <c r="E63" s="21">
        <v>2</v>
      </c>
      <c r="F63" s="21">
        <v>195958</v>
      </c>
      <c r="G63" s="42">
        <v>0.317</v>
      </c>
      <c r="H63" s="21" t="s">
        <v>1086</v>
      </c>
      <c r="I63" s="39" t="str">
        <f ca="1">IFERROR(__xludf.DUMMYFUNCTION("IF(SUM(COUNTIF(artists!A:A, SPLIT(D63, "",""))) &gt; 0, ""UA"", 0)"),"UA")</f>
        <v>UA</v>
      </c>
      <c r="J63" s="40">
        <f ca="1">IFERROR(__xludf.DUMMYFUNCTION("IF(SUM(COUNTIF(artists!C:C, SPLIT(D63, "",""))) &gt; 0, ""RU"", 0)"),0)</f>
        <v>0</v>
      </c>
      <c r="K63" s="39">
        <f ca="1">IFERROR(__xludf.DUMMYFUNCTION("IF(SUM(COUNTIF(artists!E:E, SPLIT(D63, "",""))) &gt; 0, ""OTHER"", 0)"),0)</f>
        <v>0</v>
      </c>
    </row>
    <row r="64" spans="1:11" ht="14.25" customHeight="1">
      <c r="A64" s="21">
        <v>63</v>
      </c>
      <c r="B64" s="21">
        <v>68</v>
      </c>
      <c r="C64" s="21" t="s">
        <v>284</v>
      </c>
      <c r="D64" s="21" t="s">
        <v>15</v>
      </c>
      <c r="E64" s="21">
        <v>12</v>
      </c>
      <c r="F64" s="21">
        <v>194825</v>
      </c>
      <c r="G64" s="43">
        <v>0.04</v>
      </c>
      <c r="H64" s="21" t="s">
        <v>285</v>
      </c>
      <c r="I64" s="39">
        <f ca="1">IFERROR(__xludf.DUMMYFUNCTION("IF(SUM(COUNTIF(artists!A:A, SPLIT(D64, "",""))) &gt; 0, ""UA"", 0)"),0)</f>
        <v>0</v>
      </c>
      <c r="J64" s="40">
        <f ca="1">IFERROR(__xludf.DUMMYFUNCTION("IF(SUM(COUNTIF(artists!C:C, SPLIT(D64, "",""))) &gt; 0, ""RU"", 0)"),0)</f>
        <v>0</v>
      </c>
      <c r="K64" s="39" t="str">
        <f ca="1">IFERROR(__xludf.DUMMYFUNCTION("IF(SUM(COUNTIF(artists!E:E, SPLIT(D64, "",""))) &gt; 0, ""OTHER"", 0)"),"OTHER")</f>
        <v>OTHER</v>
      </c>
    </row>
    <row r="65" spans="1:11" ht="14.25" customHeight="1">
      <c r="A65" s="21">
        <v>64</v>
      </c>
      <c r="B65" s="21">
        <v>71</v>
      </c>
      <c r="C65" s="21" t="s">
        <v>903</v>
      </c>
      <c r="D65" s="21" t="s">
        <v>904</v>
      </c>
      <c r="E65" s="21">
        <v>17</v>
      </c>
      <c r="F65" s="21">
        <v>191057</v>
      </c>
      <c r="G65" s="42">
        <v>9.5000000000000001E-2</v>
      </c>
      <c r="H65" s="21" t="s">
        <v>905</v>
      </c>
      <c r="I65" s="39" t="str">
        <f ca="1">IFERROR(__xludf.DUMMYFUNCTION("IF(SUM(COUNTIF(artists!A:A, SPLIT(D65, "",""))) &gt; 0, ""UA"", 0)"),"UA")</f>
        <v>UA</v>
      </c>
      <c r="J65" s="40">
        <f ca="1">IFERROR(__xludf.DUMMYFUNCTION("IF(SUM(COUNTIF(artists!C:C, SPLIT(D65, "",""))) &gt; 0, ""RU"", 0)"),0)</f>
        <v>0</v>
      </c>
      <c r="K65" s="39">
        <f ca="1">IFERROR(__xludf.DUMMYFUNCTION("IF(SUM(COUNTIF(artists!E:E, SPLIT(D65, "",""))) &gt; 0, ""OTHER"", 0)"),0)</f>
        <v>0</v>
      </c>
    </row>
    <row r="66" spans="1:11" ht="14.25" customHeight="1">
      <c r="A66" s="21">
        <v>65</v>
      </c>
      <c r="B66" s="21">
        <v>59</v>
      </c>
      <c r="C66" s="21" t="s">
        <v>1089</v>
      </c>
      <c r="D66" s="21" t="s">
        <v>125</v>
      </c>
      <c r="E66" s="21">
        <v>15</v>
      </c>
      <c r="F66" s="21">
        <v>188767</v>
      </c>
      <c r="G66" s="42">
        <v>-6.7000000000000004E-2</v>
      </c>
      <c r="H66" s="21" t="s">
        <v>1090</v>
      </c>
      <c r="I66" s="39">
        <f ca="1">IFERROR(__xludf.DUMMYFUNCTION("IF(SUM(COUNTIF(artists!A:A, SPLIT(D66, "",""))) &gt; 0, ""UA"", 0)"),0)</f>
        <v>0</v>
      </c>
      <c r="J66" s="40" t="str">
        <f ca="1">IFERROR(__xludf.DUMMYFUNCTION("IF(SUM(COUNTIF(artists!C:C, SPLIT(D66, "",""))) &gt; 0, ""RU"", 0)"),"RU")</f>
        <v>RU</v>
      </c>
      <c r="K66" s="39">
        <f ca="1">IFERROR(__xludf.DUMMYFUNCTION("IF(SUM(COUNTIF(artists!E:E, SPLIT(D66, "",""))) &gt; 0, ""OTHER"", 0)"),0)</f>
        <v>0</v>
      </c>
    </row>
    <row r="67" spans="1:11" ht="14.25" customHeight="1">
      <c r="A67" s="21">
        <v>66</v>
      </c>
      <c r="B67" s="21">
        <v>53</v>
      </c>
      <c r="C67" s="21" t="s">
        <v>1073</v>
      </c>
      <c r="D67" s="21" t="s">
        <v>1074</v>
      </c>
      <c r="E67" s="21">
        <v>11</v>
      </c>
      <c r="F67" s="21">
        <v>188688</v>
      </c>
      <c r="G67" s="42">
        <v>-0.152</v>
      </c>
      <c r="H67" s="21" t="s">
        <v>1075</v>
      </c>
      <c r="I67" s="39" t="str">
        <f ca="1">IFERROR(__xludf.DUMMYFUNCTION("IF(SUM(COUNTIF(artists!A:A, SPLIT(D67, "",""))) &gt; 0, ""UA"", 0)"),"UA")</f>
        <v>UA</v>
      </c>
      <c r="J67" s="40">
        <f ca="1">IFERROR(__xludf.DUMMYFUNCTION("IF(SUM(COUNTIF(artists!C:C, SPLIT(D67, "",""))) &gt; 0, ""RU"", 0)"),0)</f>
        <v>0</v>
      </c>
      <c r="K67" s="39">
        <f ca="1">IFERROR(__xludf.DUMMYFUNCTION("IF(SUM(COUNTIF(artists!E:E, SPLIT(D67, "",""))) &gt; 0, ""OTHER"", 0)"),0)</f>
        <v>0</v>
      </c>
    </row>
    <row r="68" spans="1:11" ht="14.25" customHeight="1">
      <c r="A68" s="21">
        <v>67</v>
      </c>
      <c r="C68" s="21" t="s">
        <v>1143</v>
      </c>
      <c r="D68" s="21" t="s">
        <v>1050</v>
      </c>
      <c r="E68" s="21">
        <v>1</v>
      </c>
      <c r="F68" s="21">
        <v>188449</v>
      </c>
      <c r="H68" s="21" t="s">
        <v>1144</v>
      </c>
      <c r="I68" s="39">
        <f ca="1">IFERROR(__xludf.DUMMYFUNCTION("IF(SUM(COUNTIF(artists!A:A, SPLIT(D68, "",""))) &gt; 0, ""UA"", 0)"),0)</f>
        <v>0</v>
      </c>
      <c r="J68" s="40" t="str">
        <f ca="1">IFERROR(__xludf.DUMMYFUNCTION("IF(SUM(COUNTIF(artists!C:C, SPLIT(D68, "",""))) &gt; 0, ""RU"", 0)"),"RU")</f>
        <v>RU</v>
      </c>
      <c r="K68" s="39">
        <f ca="1">IFERROR(__xludf.DUMMYFUNCTION("IF(SUM(COUNTIF(artists!E:E, SPLIT(D68, "",""))) &gt; 0, ""OTHER"", 0)"),0)</f>
        <v>0</v>
      </c>
    </row>
    <row r="69" spans="1:11" ht="14.25" customHeight="1">
      <c r="A69" s="21">
        <v>68</v>
      </c>
      <c r="B69" s="21">
        <v>60</v>
      </c>
      <c r="C69" s="21" t="s">
        <v>1029</v>
      </c>
      <c r="D69" s="21" t="s">
        <v>1030</v>
      </c>
      <c r="E69" s="21">
        <v>7</v>
      </c>
      <c r="F69" s="21">
        <v>184752</v>
      </c>
      <c r="G69" s="42">
        <v>-7.4999999999999997E-2</v>
      </c>
      <c r="H69" s="21" t="s">
        <v>1031</v>
      </c>
      <c r="I69" s="39" t="str">
        <f ca="1">IFERROR(__xludf.DUMMYFUNCTION("IF(SUM(COUNTIF(artists!A:A, SPLIT(D69, "",""))) &gt; 0, ""UA"", 0)"),"UA")</f>
        <v>UA</v>
      </c>
      <c r="J69" s="40">
        <f ca="1">IFERROR(__xludf.DUMMYFUNCTION("IF(SUM(COUNTIF(artists!C:C, SPLIT(D69, "",""))) &gt; 0, ""RU"", 0)"),0)</f>
        <v>0</v>
      </c>
      <c r="K69" s="39">
        <f ca="1">IFERROR(__xludf.DUMMYFUNCTION("IF(SUM(COUNTIF(artists!E:E, SPLIT(D69, "",""))) &gt; 0, ""OTHER"", 0)"),0)</f>
        <v>0</v>
      </c>
    </row>
    <row r="70" spans="1:11" ht="14.25" customHeight="1">
      <c r="A70" s="21">
        <v>69</v>
      </c>
      <c r="C70" s="21" t="s">
        <v>1087</v>
      </c>
      <c r="D70" s="21" t="s">
        <v>1050</v>
      </c>
      <c r="E70" s="21">
        <v>1</v>
      </c>
      <c r="F70" s="21">
        <v>184633</v>
      </c>
      <c r="H70" s="21" t="s">
        <v>1088</v>
      </c>
      <c r="I70" s="39">
        <f ca="1">IFERROR(__xludf.DUMMYFUNCTION("IF(SUM(COUNTIF(artists!A:A, SPLIT(D70, "",""))) &gt; 0, ""UA"", 0)"),0)</f>
        <v>0</v>
      </c>
      <c r="J70" s="40" t="str">
        <f ca="1">IFERROR(__xludf.DUMMYFUNCTION("IF(SUM(COUNTIF(artists!C:C, SPLIT(D70, "",""))) &gt; 0, ""RU"", 0)"),"RU")</f>
        <v>RU</v>
      </c>
      <c r="K70" s="39">
        <f ca="1">IFERROR(__xludf.DUMMYFUNCTION("IF(SUM(COUNTIF(artists!E:E, SPLIT(D70, "",""))) &gt; 0, ""OTHER"", 0)"),0)</f>
        <v>0</v>
      </c>
    </row>
    <row r="71" spans="1:11" ht="14.25" customHeight="1">
      <c r="A71" s="21">
        <v>70</v>
      </c>
      <c r="C71" s="21" t="s">
        <v>1145</v>
      </c>
      <c r="D71" s="21" t="s">
        <v>916</v>
      </c>
      <c r="E71" s="21">
        <v>1</v>
      </c>
      <c r="F71" s="21">
        <v>183237</v>
      </c>
      <c r="H71" s="21" t="s">
        <v>1146</v>
      </c>
      <c r="I71" s="39">
        <f ca="1">IFERROR(__xludf.DUMMYFUNCTION("IF(SUM(COUNTIF(artists!A:A, SPLIT(D71, "",""))) &gt; 0, ""UA"", 0)"),0)</f>
        <v>0</v>
      </c>
      <c r="J71" s="40" t="str">
        <f ca="1">IFERROR(__xludf.DUMMYFUNCTION("IF(SUM(COUNTIF(artists!C:C, SPLIT(D71, "",""))) &gt; 0, ""RU"", 0)"),"RU")</f>
        <v>RU</v>
      </c>
      <c r="K71" s="39">
        <f ca="1">IFERROR(__xludf.DUMMYFUNCTION("IF(SUM(COUNTIF(artists!E:E, SPLIT(D71, "",""))) &gt; 0, ""OTHER"", 0)"),0)</f>
        <v>0</v>
      </c>
    </row>
    <row r="72" spans="1:11" ht="14.25" customHeight="1">
      <c r="A72" s="21">
        <v>71</v>
      </c>
      <c r="B72" s="21">
        <v>77</v>
      </c>
      <c r="C72" s="21" t="s">
        <v>1127</v>
      </c>
      <c r="D72" s="21" t="s">
        <v>1128</v>
      </c>
      <c r="E72" s="21">
        <v>2</v>
      </c>
      <c r="F72" s="21">
        <v>182600</v>
      </c>
      <c r="G72" s="42">
        <v>9.6000000000000002E-2</v>
      </c>
      <c r="H72" s="21" t="s">
        <v>1129</v>
      </c>
      <c r="I72" s="39">
        <f ca="1">IFERROR(__xludf.DUMMYFUNCTION("IF(SUM(COUNTIF(artists!A:A, SPLIT(D72, "",""))) &gt; 0, ""UA"", 0)"),0)</f>
        <v>0</v>
      </c>
      <c r="J72" s="40" t="str">
        <f ca="1">IFERROR(__xludf.DUMMYFUNCTION("IF(SUM(COUNTIF(artists!C:C, SPLIT(D72, "",""))) &gt; 0, ""RU"", 0)"),"RU")</f>
        <v>RU</v>
      </c>
      <c r="K72" s="39">
        <f ca="1">IFERROR(__xludf.DUMMYFUNCTION("IF(SUM(COUNTIF(artists!E:E, SPLIT(D72, "",""))) &gt; 0, ""OTHER"", 0)"),0)</f>
        <v>0</v>
      </c>
    </row>
    <row r="73" spans="1:11" ht="14.25" customHeight="1">
      <c r="A73" s="21">
        <v>72</v>
      </c>
      <c r="B73" s="21">
        <v>58</v>
      </c>
      <c r="C73" s="21" t="s">
        <v>1013</v>
      </c>
      <c r="D73" s="21" t="s">
        <v>1014</v>
      </c>
      <c r="E73" s="21">
        <v>3</v>
      </c>
      <c r="F73" s="21">
        <v>177349</v>
      </c>
      <c r="G73" s="42">
        <v>-0.129</v>
      </c>
      <c r="H73" s="21" t="s">
        <v>1015</v>
      </c>
      <c r="I73" s="39" t="str">
        <f ca="1">IFERROR(__xludf.DUMMYFUNCTION("IF(SUM(COUNTIF(artists!A:A, SPLIT(D73, "",""))) &gt; 0, ""UA"", 0)"),"UA")</f>
        <v>UA</v>
      </c>
      <c r="J73" s="40">
        <f ca="1">IFERROR(__xludf.DUMMYFUNCTION("IF(SUM(COUNTIF(artists!C:C, SPLIT(D73, "",""))) &gt; 0, ""RU"", 0)"),0)</f>
        <v>0</v>
      </c>
      <c r="K73" s="39">
        <f ca="1">IFERROR(__xludf.DUMMYFUNCTION("IF(SUM(COUNTIF(artists!E:E, SPLIT(D73, "",""))) &gt; 0, ""OTHER"", 0)"),0)</f>
        <v>0</v>
      </c>
    </row>
    <row r="74" spans="1:11" ht="14.25" customHeight="1">
      <c r="A74" s="21">
        <v>73</v>
      </c>
      <c r="B74" s="21">
        <v>48</v>
      </c>
      <c r="C74" s="21" t="s">
        <v>963</v>
      </c>
      <c r="D74" s="21" t="s">
        <v>964</v>
      </c>
      <c r="E74" s="21">
        <v>4</v>
      </c>
      <c r="F74" s="21">
        <v>176734</v>
      </c>
      <c r="G74" s="42">
        <v>-0.245</v>
      </c>
      <c r="H74" s="21" t="s">
        <v>965</v>
      </c>
      <c r="I74" s="39" t="str">
        <f ca="1">IFERROR(__xludf.DUMMYFUNCTION("IF(SUM(COUNTIF(artists!A:A, SPLIT(D74, "",""))) &gt; 0, ""UA"", 0)"),"UA")</f>
        <v>UA</v>
      </c>
      <c r="J74" s="40">
        <f ca="1">IFERROR(__xludf.DUMMYFUNCTION("IF(SUM(COUNTIF(artists!C:C, SPLIT(D74, "",""))) &gt; 0, ""RU"", 0)"),0)</f>
        <v>0</v>
      </c>
      <c r="K74" s="39">
        <f ca="1">IFERROR(__xludf.DUMMYFUNCTION("IF(SUM(COUNTIF(artists!E:E, SPLIT(D74, "",""))) &gt; 0, ""OTHER"", 0)"),0)</f>
        <v>0</v>
      </c>
    </row>
    <row r="75" spans="1:11" ht="14.25" customHeight="1">
      <c r="A75" s="21">
        <v>74</v>
      </c>
      <c r="B75" s="21">
        <v>45</v>
      </c>
      <c r="C75" s="21" t="s">
        <v>1147</v>
      </c>
      <c r="D75" s="21" t="s">
        <v>776</v>
      </c>
      <c r="E75" s="21">
        <v>11</v>
      </c>
      <c r="F75" s="21">
        <v>173231</v>
      </c>
      <c r="G75" s="42">
        <v>-0.28699999999999998</v>
      </c>
      <c r="H75" s="21" t="s">
        <v>1148</v>
      </c>
      <c r="I75" s="39" t="str">
        <f ca="1">IFERROR(__xludf.DUMMYFUNCTION("IF(SUM(COUNTIF(artists!A:A, SPLIT(D75, "",""))) &gt; 0, ""UA"", 0)"),"UA")</f>
        <v>UA</v>
      </c>
      <c r="J75" s="40">
        <f ca="1">IFERROR(__xludf.DUMMYFUNCTION("IF(SUM(COUNTIF(artists!C:C, SPLIT(D75, "",""))) &gt; 0, ""RU"", 0)"),0)</f>
        <v>0</v>
      </c>
      <c r="K75" s="39">
        <f ca="1">IFERROR(__xludf.DUMMYFUNCTION("IF(SUM(COUNTIF(artists!E:E, SPLIT(D75, "",""))) &gt; 0, ""OTHER"", 0)"),0)</f>
        <v>0</v>
      </c>
    </row>
    <row r="76" spans="1:11" ht="14.25" customHeight="1">
      <c r="A76" s="21">
        <v>75</v>
      </c>
      <c r="B76" s="21">
        <v>70</v>
      </c>
      <c r="C76" s="21" t="s">
        <v>264</v>
      </c>
      <c r="D76" s="21" t="s">
        <v>265</v>
      </c>
      <c r="E76" s="21">
        <v>3</v>
      </c>
      <c r="F76" s="21">
        <v>170311</v>
      </c>
      <c r="G76" s="42">
        <v>-8.4000000000000005E-2</v>
      </c>
      <c r="H76" s="21" t="s">
        <v>267</v>
      </c>
      <c r="I76" s="39">
        <f ca="1">IFERROR(__xludf.DUMMYFUNCTION("IF(SUM(COUNTIF(artists!A:A, SPLIT(D76, "",""))) &gt; 0, ""UA"", 0)"),0)</f>
        <v>0</v>
      </c>
      <c r="J76" s="40">
        <f ca="1">IFERROR(__xludf.DUMMYFUNCTION("IF(SUM(COUNTIF(artists!C:C, SPLIT(D76, "",""))) &gt; 0, ""RU"", 0)"),0)</f>
        <v>0</v>
      </c>
      <c r="K76" s="39" t="str">
        <f ca="1">IFERROR(__xludf.DUMMYFUNCTION("IF(SUM(COUNTIF(artists!E:E, SPLIT(D76, "",""))) &gt; 0, ""OTHER"", 0)"),"OTHER")</f>
        <v>OTHER</v>
      </c>
    </row>
    <row r="77" spans="1:11" ht="14.25" customHeight="1">
      <c r="A77" s="21">
        <v>76</v>
      </c>
      <c r="B77" s="21">
        <v>83</v>
      </c>
      <c r="C77" s="21" t="s">
        <v>953</v>
      </c>
      <c r="D77" s="21" t="s">
        <v>954</v>
      </c>
      <c r="E77" s="21">
        <v>3</v>
      </c>
      <c r="F77" s="21">
        <v>169872</v>
      </c>
      <c r="G77" s="42">
        <v>9.0999999999999998E-2</v>
      </c>
      <c r="H77" s="21" t="s">
        <v>955</v>
      </c>
      <c r="I77" s="39">
        <f ca="1">IFERROR(__xludf.DUMMYFUNCTION("IF(SUM(COUNTIF(artists!A:A, SPLIT(D77, "",""))) &gt; 0, ""UA"", 0)"),0)</f>
        <v>0</v>
      </c>
      <c r="J77" s="40" t="str">
        <f ca="1">IFERROR(__xludf.DUMMYFUNCTION("IF(SUM(COUNTIF(artists!C:C, SPLIT(D77, "",""))) &gt; 0, ""RU"", 0)"),"RU")</f>
        <v>RU</v>
      </c>
      <c r="K77" s="39">
        <f ca="1">IFERROR(__xludf.DUMMYFUNCTION("IF(SUM(COUNTIF(artists!E:E, SPLIT(D77, "",""))) &gt; 0, ""OTHER"", 0)"),0)</f>
        <v>0</v>
      </c>
    </row>
    <row r="78" spans="1:11" ht="14.25" customHeight="1">
      <c r="A78" s="21">
        <v>77</v>
      </c>
      <c r="B78" s="21">
        <v>75</v>
      </c>
      <c r="C78" s="21" t="s">
        <v>358</v>
      </c>
      <c r="D78" s="21" t="s">
        <v>359</v>
      </c>
      <c r="E78" s="21">
        <v>3</v>
      </c>
      <c r="F78" s="21">
        <v>165965</v>
      </c>
      <c r="G78" s="42">
        <v>-2.1000000000000001E-2</v>
      </c>
      <c r="H78" s="21" t="s">
        <v>361</v>
      </c>
      <c r="I78" s="39">
        <f ca="1">IFERROR(__xludf.DUMMYFUNCTION("IF(SUM(COUNTIF(artists!A:A, SPLIT(D78, "",""))) &gt; 0, ""UA"", 0)"),0)</f>
        <v>0</v>
      </c>
      <c r="J78" s="40">
        <f ca="1">IFERROR(__xludf.DUMMYFUNCTION("IF(SUM(COUNTIF(artists!C:C, SPLIT(D78, "",""))) &gt; 0, ""RU"", 0)"),0)</f>
        <v>0</v>
      </c>
      <c r="K78" s="39" t="str">
        <f ca="1">IFERROR(__xludf.DUMMYFUNCTION("IF(SUM(COUNTIF(artists!E:E, SPLIT(D78, "",""))) &gt; 0, ""OTHER"", 0)"),"OTHER")</f>
        <v>OTHER</v>
      </c>
    </row>
    <row r="79" spans="1:11" ht="14.25" customHeight="1">
      <c r="A79" s="21">
        <v>78</v>
      </c>
      <c r="B79" s="21">
        <v>57</v>
      </c>
      <c r="C79" s="21" t="s">
        <v>1149</v>
      </c>
      <c r="D79" s="21" t="s">
        <v>1150</v>
      </c>
      <c r="E79" s="21">
        <v>3</v>
      </c>
      <c r="F79" s="21">
        <v>165941</v>
      </c>
      <c r="G79" s="42">
        <v>-0.19500000000000001</v>
      </c>
      <c r="H79" s="21" t="s">
        <v>1151</v>
      </c>
      <c r="I79" s="39" t="str">
        <f ca="1">IFERROR(__xludf.DUMMYFUNCTION("IF(SUM(COUNTIF(artists!A:A, SPLIT(D79, "",""))) &gt; 0, ""UA"", 0)"),"UA")</f>
        <v>UA</v>
      </c>
      <c r="J79" s="40">
        <f ca="1">IFERROR(__xludf.DUMMYFUNCTION("IF(SUM(COUNTIF(artists!C:C, SPLIT(D79, "",""))) &gt; 0, ""RU"", 0)"),0)</f>
        <v>0</v>
      </c>
      <c r="K79" s="39">
        <f ca="1">IFERROR(__xludf.DUMMYFUNCTION("IF(SUM(COUNTIF(artists!E:E, SPLIT(D79, "",""))) &gt; 0, ""OTHER"", 0)"),0)</f>
        <v>0</v>
      </c>
    </row>
    <row r="80" spans="1:11" ht="14.25" customHeight="1">
      <c r="A80" s="21">
        <v>79</v>
      </c>
      <c r="C80" s="21" t="s">
        <v>1152</v>
      </c>
      <c r="D80" s="21" t="s">
        <v>1025</v>
      </c>
      <c r="E80" s="21">
        <v>1</v>
      </c>
      <c r="F80" s="21">
        <v>163947</v>
      </c>
      <c r="H80" s="21" t="s">
        <v>1153</v>
      </c>
      <c r="I80" s="39" t="str">
        <f ca="1">IFERROR(__xludf.DUMMYFUNCTION("IF(SUM(COUNTIF(artists!A:A, SPLIT(D80, "",""))) &gt; 0, ""UA"", 0)"),"UA")</f>
        <v>UA</v>
      </c>
      <c r="J80" s="40">
        <f ca="1">IFERROR(__xludf.DUMMYFUNCTION("IF(SUM(COUNTIF(artists!C:C, SPLIT(D80, "",""))) &gt; 0, ""RU"", 0)"),0)</f>
        <v>0</v>
      </c>
      <c r="K80" s="39">
        <f ca="1">IFERROR(__xludf.DUMMYFUNCTION("IF(SUM(COUNTIF(artists!E:E, SPLIT(D80, "",""))) &gt; 0, ""OTHER"", 0)"),0)</f>
        <v>0</v>
      </c>
    </row>
    <row r="81" spans="1:11" ht="14.25" customHeight="1">
      <c r="A81" s="21">
        <v>80</v>
      </c>
      <c r="B81" s="21">
        <v>73</v>
      </c>
      <c r="C81" s="21" t="s">
        <v>520</v>
      </c>
      <c r="D81" s="21" t="s">
        <v>521</v>
      </c>
      <c r="E81" s="21">
        <v>16</v>
      </c>
      <c r="F81" s="21">
        <v>163756</v>
      </c>
      <c r="G81" s="42">
        <v>-5.6000000000000001E-2</v>
      </c>
      <c r="H81" s="21" t="s">
        <v>522</v>
      </c>
      <c r="I81" s="39" t="str">
        <f ca="1">IFERROR(__xludf.DUMMYFUNCTION("IF(SUM(COUNTIF(artists!A:A, SPLIT(D81, "",""))) &gt; 0, ""UA"", 0)"),"UA")</f>
        <v>UA</v>
      </c>
      <c r="J81" s="40">
        <f ca="1">IFERROR(__xludf.DUMMYFUNCTION("IF(SUM(COUNTIF(artists!C:C, SPLIT(D81, "",""))) &gt; 0, ""RU"", 0)"),0)</f>
        <v>0</v>
      </c>
      <c r="K81" s="39">
        <f ca="1">IFERROR(__xludf.DUMMYFUNCTION("IF(SUM(COUNTIF(artists!E:E, SPLIT(D81, "",""))) &gt; 0, ""OTHER"", 0)"),0)</f>
        <v>0</v>
      </c>
    </row>
    <row r="82" spans="1:11" ht="14.25" customHeight="1">
      <c r="A82" s="21">
        <v>81</v>
      </c>
      <c r="C82" s="21" t="s">
        <v>1007</v>
      </c>
      <c r="D82" s="21" t="s">
        <v>1008</v>
      </c>
      <c r="E82" s="21">
        <v>23</v>
      </c>
      <c r="F82" s="21">
        <v>162530</v>
      </c>
      <c r="H82" s="21" t="s">
        <v>1009</v>
      </c>
      <c r="I82" s="39">
        <f ca="1">IFERROR(__xludf.DUMMYFUNCTION("IF(SUM(COUNTIF(artists!A:A, SPLIT(D82, "",""))) &gt; 0, ""UA"", 0)"),0)</f>
        <v>0</v>
      </c>
      <c r="J82" s="40" t="str">
        <f ca="1">IFERROR(__xludf.DUMMYFUNCTION("IF(SUM(COUNTIF(artists!C:C, SPLIT(D82, "",""))) &gt; 0, ""RU"", 0)"),"RU")</f>
        <v>RU</v>
      </c>
      <c r="K82" s="39">
        <f ca="1">IFERROR(__xludf.DUMMYFUNCTION("IF(SUM(COUNTIF(artists!E:E, SPLIT(D82, "",""))) &gt; 0, ""OTHER"", 0)"),0)</f>
        <v>0</v>
      </c>
    </row>
    <row r="83" spans="1:11" ht="14.25" customHeight="1">
      <c r="A83" s="21">
        <v>82</v>
      </c>
      <c r="B83" s="21">
        <v>67</v>
      </c>
      <c r="C83" s="21" t="s">
        <v>1076</v>
      </c>
      <c r="D83" s="21" t="s">
        <v>1077</v>
      </c>
      <c r="E83" s="21">
        <v>16</v>
      </c>
      <c r="F83" s="21">
        <v>160064</v>
      </c>
      <c r="G83" s="42">
        <v>-0.14799999999999999</v>
      </c>
      <c r="H83" s="21" t="s">
        <v>1078</v>
      </c>
      <c r="I83" s="39" t="str">
        <f ca="1">IFERROR(__xludf.DUMMYFUNCTION("IF(SUM(COUNTIF(artists!A:A, SPLIT(D83, "",""))) &gt; 0, ""UA"", 0)"),"UA")</f>
        <v>UA</v>
      </c>
      <c r="J83" s="40">
        <f ca="1">IFERROR(__xludf.DUMMYFUNCTION("IF(SUM(COUNTIF(artists!C:C, SPLIT(D83, "",""))) &gt; 0, ""RU"", 0)"),0)</f>
        <v>0</v>
      </c>
      <c r="K83" s="39">
        <f ca="1">IFERROR(__xludf.DUMMYFUNCTION("IF(SUM(COUNTIF(artists!E:E, SPLIT(D83, "",""))) &gt; 0, ""OTHER"", 0)"),0)</f>
        <v>0</v>
      </c>
    </row>
    <row r="84" spans="1:11" ht="14.25" customHeight="1">
      <c r="A84" s="21">
        <v>83</v>
      </c>
      <c r="B84" s="21">
        <v>65</v>
      </c>
      <c r="C84" s="21" t="s">
        <v>343</v>
      </c>
      <c r="D84" s="21" t="s">
        <v>344</v>
      </c>
      <c r="E84" s="21">
        <v>6</v>
      </c>
      <c r="F84" s="21">
        <v>159548</v>
      </c>
      <c r="G84" s="43">
        <v>-0.16</v>
      </c>
      <c r="H84" s="21" t="s">
        <v>346</v>
      </c>
      <c r="I84" s="39" t="str">
        <f ca="1">IFERROR(__xludf.DUMMYFUNCTION("IF(SUM(COUNTIF(artists!A:A, SPLIT(D84, "",""))) &gt; 0, ""UA"", 0)"),"UA")</f>
        <v>UA</v>
      </c>
      <c r="J84" s="40">
        <f ca="1">IFERROR(__xludf.DUMMYFUNCTION("IF(SUM(COUNTIF(artists!C:C, SPLIT(D84, "",""))) &gt; 0, ""RU"", 0)"),0)</f>
        <v>0</v>
      </c>
      <c r="K84" s="39">
        <f ca="1">IFERROR(__xludf.DUMMYFUNCTION("IF(SUM(COUNTIF(artists!E:E, SPLIT(D84, "",""))) &gt; 0, ""OTHER"", 0)"),0)</f>
        <v>0</v>
      </c>
    </row>
    <row r="85" spans="1:11" ht="14.25" customHeight="1">
      <c r="A85" s="21">
        <v>84</v>
      </c>
      <c r="C85" s="21" t="s">
        <v>748</v>
      </c>
      <c r="D85" s="21" t="s">
        <v>586</v>
      </c>
      <c r="E85" s="21">
        <v>23</v>
      </c>
      <c r="F85" s="21">
        <v>156420</v>
      </c>
      <c r="H85" s="21" t="s">
        <v>749</v>
      </c>
      <c r="I85" s="39" t="str">
        <f ca="1">IFERROR(__xludf.DUMMYFUNCTION("IF(SUM(COUNTIF(artists!A:A, SPLIT(D85, "",""))) &gt; 0, ""UA"", 0)"),"UA")</f>
        <v>UA</v>
      </c>
      <c r="J85" s="40">
        <f ca="1">IFERROR(__xludf.DUMMYFUNCTION("IF(SUM(COUNTIF(artists!C:C, SPLIT(D85, "",""))) &gt; 0, ""RU"", 0)"),0)</f>
        <v>0</v>
      </c>
      <c r="K85" s="39">
        <f ca="1">IFERROR(__xludf.DUMMYFUNCTION("IF(SUM(COUNTIF(artists!E:E, SPLIT(D85, "",""))) &gt; 0, ""OTHER"", 0)"),0)</f>
        <v>0</v>
      </c>
    </row>
    <row r="86" spans="1:11" ht="14.25" customHeight="1">
      <c r="A86" s="21">
        <v>85</v>
      </c>
      <c r="B86" s="21">
        <v>62</v>
      </c>
      <c r="C86" s="21" t="s">
        <v>1154</v>
      </c>
      <c r="D86" s="21" t="s">
        <v>1155</v>
      </c>
      <c r="E86" s="21">
        <v>4</v>
      </c>
      <c r="F86" s="21">
        <v>154177</v>
      </c>
      <c r="G86" s="43">
        <v>-0.21</v>
      </c>
      <c r="H86" s="21" t="s">
        <v>1156</v>
      </c>
      <c r="I86" s="39" t="str">
        <f ca="1">IFERROR(__xludf.DUMMYFUNCTION("IF(SUM(COUNTIF(artists!A:A, SPLIT(D86, "",""))) &gt; 0, ""UA"", 0)"),"UA")</f>
        <v>UA</v>
      </c>
      <c r="J86" s="40">
        <f ca="1">IFERROR(__xludf.DUMMYFUNCTION("IF(SUM(COUNTIF(artists!C:C, SPLIT(D86, "",""))) &gt; 0, ""RU"", 0)"),0)</f>
        <v>0</v>
      </c>
      <c r="K86" s="39">
        <f ca="1">IFERROR(__xludf.DUMMYFUNCTION("IF(SUM(COUNTIF(artists!E:E, SPLIT(D86, "",""))) &gt; 0, ""OTHER"", 0)"),0)</f>
        <v>0</v>
      </c>
    </row>
    <row r="87" spans="1:11" ht="14.25" customHeight="1">
      <c r="A87" s="21">
        <v>86</v>
      </c>
      <c r="B87" s="21">
        <v>74</v>
      </c>
      <c r="C87" s="21" t="s">
        <v>1038</v>
      </c>
      <c r="D87" s="21" t="s">
        <v>1039</v>
      </c>
      <c r="E87" s="21">
        <v>7</v>
      </c>
      <c r="F87" s="21">
        <v>154001</v>
      </c>
      <c r="G87" s="42">
        <v>-0.109</v>
      </c>
      <c r="H87" s="21" t="s">
        <v>1040</v>
      </c>
      <c r="I87" s="39">
        <f ca="1">IFERROR(__xludf.DUMMYFUNCTION("IF(SUM(COUNTIF(artists!A:A, SPLIT(D87, "",""))) &gt; 0, ""UA"", 0)"),0)</f>
        <v>0</v>
      </c>
      <c r="J87" s="40">
        <f ca="1">IFERROR(__xludf.DUMMYFUNCTION("IF(SUM(COUNTIF(artists!C:C, SPLIT(D87, "",""))) &gt; 0, ""RU"", 0)"),0)</f>
        <v>0</v>
      </c>
      <c r="K87" s="39" t="str">
        <f ca="1">IFERROR(__xludf.DUMMYFUNCTION("IF(SUM(COUNTIF(artists!E:E, SPLIT(D87, "",""))) &gt; 0, ""OTHER"", 0)"),"OTHER")</f>
        <v>OTHER</v>
      </c>
    </row>
    <row r="88" spans="1:11" ht="14.25" customHeight="1">
      <c r="A88" s="21">
        <v>87</v>
      </c>
      <c r="B88" s="21">
        <v>85</v>
      </c>
      <c r="C88" s="21" t="s">
        <v>1157</v>
      </c>
      <c r="D88" s="21" t="s">
        <v>1158</v>
      </c>
      <c r="E88" s="21">
        <v>9</v>
      </c>
      <c r="F88" s="21">
        <v>152430</v>
      </c>
      <c r="G88" s="43">
        <v>0</v>
      </c>
      <c r="H88" s="21" t="s">
        <v>1159</v>
      </c>
      <c r="I88" s="39">
        <f ca="1">IFERROR(__xludf.DUMMYFUNCTION("IF(SUM(COUNTIF(artists!A:A, SPLIT(D88, "",""))) &gt; 0, ""UA"", 0)"),0)</f>
        <v>0</v>
      </c>
      <c r="J88" s="40">
        <f ca="1">IFERROR(__xludf.DUMMYFUNCTION("IF(SUM(COUNTIF(artists!C:C, SPLIT(D88, "",""))) &gt; 0, ""RU"", 0)"),0)</f>
        <v>0</v>
      </c>
      <c r="K88" s="39" t="str">
        <f ca="1">IFERROR(__xludf.DUMMYFUNCTION("IF(SUM(COUNTIF(artists!E:E, SPLIT(D88, "",""))) &gt; 0, ""OTHER"", 0)"),"OTHER")</f>
        <v>OTHER</v>
      </c>
    </row>
    <row r="89" spans="1:11" ht="14.25" customHeight="1">
      <c r="A89" s="21">
        <v>88</v>
      </c>
      <c r="B89" s="21">
        <v>38</v>
      </c>
      <c r="C89" s="21" t="s">
        <v>1032</v>
      </c>
      <c r="D89" s="21" t="s">
        <v>1033</v>
      </c>
      <c r="E89" s="21">
        <v>5</v>
      </c>
      <c r="F89" s="21">
        <v>152339</v>
      </c>
      <c r="G89" s="42">
        <v>-0.46100000000000002</v>
      </c>
      <c r="H89" s="21" t="s">
        <v>1034</v>
      </c>
      <c r="I89" s="39" t="str">
        <f ca="1">IFERROR(__xludf.DUMMYFUNCTION("IF(SUM(COUNTIF(artists!A:A, SPLIT(D89, "",""))) &gt; 0, ""UA"", 0)"),"UA")</f>
        <v>UA</v>
      </c>
      <c r="J89" s="40">
        <f ca="1">IFERROR(__xludf.DUMMYFUNCTION("IF(SUM(COUNTIF(artists!C:C, SPLIT(D89, "",""))) &gt; 0, ""RU"", 0)"),0)</f>
        <v>0</v>
      </c>
      <c r="K89" s="39">
        <f ca="1">IFERROR(__xludf.DUMMYFUNCTION("IF(SUM(COUNTIF(artists!E:E, SPLIT(D89, "",""))) &gt; 0, ""OTHER"", 0)"),0)</f>
        <v>0</v>
      </c>
    </row>
    <row r="90" spans="1:11" ht="14.25" customHeight="1">
      <c r="A90" s="21">
        <v>89</v>
      </c>
      <c r="C90" s="21" t="s">
        <v>1160</v>
      </c>
      <c r="D90" s="21" t="s">
        <v>1161</v>
      </c>
      <c r="E90" s="21">
        <v>1</v>
      </c>
      <c r="F90" s="21">
        <v>148920</v>
      </c>
      <c r="H90" s="21" t="s">
        <v>1162</v>
      </c>
      <c r="I90" s="39" t="str">
        <f ca="1">IFERROR(__xludf.DUMMYFUNCTION("IF(SUM(COUNTIF(artists!A:A, SPLIT(D90, "",""))) &gt; 0, ""UA"", 0)"),"UA")</f>
        <v>UA</v>
      </c>
      <c r="J90" s="40">
        <f ca="1">IFERROR(__xludf.DUMMYFUNCTION("IF(SUM(COUNTIF(artists!C:C, SPLIT(D90, "",""))) &gt; 0, ""RU"", 0)"),0)</f>
        <v>0</v>
      </c>
      <c r="K90" s="39">
        <f ca="1">IFERROR(__xludf.DUMMYFUNCTION("IF(SUM(COUNTIF(artists!E:E, SPLIT(D90, "",""))) &gt; 0, ""OTHER"", 0)"),0)</f>
        <v>0</v>
      </c>
    </row>
    <row r="91" spans="1:11" ht="14.25" customHeight="1">
      <c r="A91" s="21">
        <v>90</v>
      </c>
      <c r="B91" s="21">
        <v>84</v>
      </c>
      <c r="C91" s="21" t="s">
        <v>1062</v>
      </c>
      <c r="D91" s="21" t="s">
        <v>1063</v>
      </c>
      <c r="E91" s="21">
        <v>10</v>
      </c>
      <c r="F91" s="21">
        <v>147398</v>
      </c>
      <c r="G91" s="42">
        <v>-5.2999999999999999E-2</v>
      </c>
      <c r="H91" s="21" t="s">
        <v>1064</v>
      </c>
      <c r="I91" s="39" t="str">
        <f ca="1">IFERROR(__xludf.DUMMYFUNCTION("IF(SUM(COUNTIF(artists!A:A, SPLIT(D91, "",""))) &gt; 0, ""UA"", 0)"),"UA")</f>
        <v>UA</v>
      </c>
      <c r="J91" s="40">
        <f ca="1">IFERROR(__xludf.DUMMYFUNCTION("IF(SUM(COUNTIF(artists!C:C, SPLIT(D91, "",""))) &gt; 0, ""RU"", 0)"),0)</f>
        <v>0</v>
      </c>
      <c r="K91" s="39">
        <f ca="1">IFERROR(__xludf.DUMMYFUNCTION("IF(SUM(COUNTIF(artists!E:E, SPLIT(D91, "",""))) &gt; 0, ""OTHER"", 0)"),0)</f>
        <v>0</v>
      </c>
    </row>
    <row r="92" spans="1:11" ht="14.25" customHeight="1">
      <c r="A92" s="21">
        <v>91</v>
      </c>
      <c r="C92" s="21" t="s">
        <v>613</v>
      </c>
      <c r="D92" s="21" t="s">
        <v>614</v>
      </c>
      <c r="E92" s="21">
        <v>20</v>
      </c>
      <c r="F92" s="21">
        <v>146681</v>
      </c>
      <c r="H92" s="21" t="s">
        <v>615</v>
      </c>
      <c r="I92" s="39">
        <f ca="1">IFERROR(__xludf.DUMMYFUNCTION("IF(SUM(COUNTIF(artists!A:A, SPLIT(D92, "",""))) &gt; 0, ""UA"", 0)"),0)</f>
        <v>0</v>
      </c>
      <c r="J92" s="40" t="str">
        <f ca="1">IFERROR(__xludf.DUMMYFUNCTION("IF(SUM(COUNTIF(artists!C:C, SPLIT(D92, "",""))) &gt; 0, ""RU"", 0)"),"RU")</f>
        <v>RU</v>
      </c>
      <c r="K92" s="39">
        <f ca="1">IFERROR(__xludf.DUMMYFUNCTION("IF(SUM(COUNTIF(artists!E:E, SPLIT(D92, "",""))) &gt; 0, ""OTHER"", 0)"),0)</f>
        <v>0</v>
      </c>
    </row>
    <row r="93" spans="1:11" ht="14.25" customHeight="1">
      <c r="A93" s="21">
        <v>92</v>
      </c>
      <c r="C93" s="21" t="s">
        <v>1163</v>
      </c>
      <c r="D93" s="21" t="s">
        <v>1164</v>
      </c>
      <c r="E93" s="21">
        <v>1</v>
      </c>
      <c r="F93" s="21">
        <v>145177</v>
      </c>
      <c r="H93" s="21" t="s">
        <v>1165</v>
      </c>
      <c r="I93" s="39">
        <f ca="1">IFERROR(__xludf.DUMMYFUNCTION("IF(SUM(COUNTIF(artists!A:A, SPLIT(D93, "",""))) &gt; 0, ""UA"", 0)"),0)</f>
        <v>0</v>
      </c>
      <c r="J93" s="40" t="str">
        <f ca="1">IFERROR(__xludf.DUMMYFUNCTION("IF(SUM(COUNTIF(artists!C:C, SPLIT(D93, "",""))) &gt; 0, ""RU"", 0)"),"RU")</f>
        <v>RU</v>
      </c>
      <c r="K93" s="39">
        <f ca="1">IFERROR(__xludf.DUMMYFUNCTION("IF(SUM(COUNTIF(artists!E:E, SPLIT(D93, "",""))) &gt; 0, ""OTHER"", 0)"),0)</f>
        <v>0</v>
      </c>
    </row>
    <row r="94" spans="1:11" ht="14.25" customHeight="1">
      <c r="A94" s="21">
        <v>93</v>
      </c>
      <c r="B94" s="21">
        <v>92</v>
      </c>
      <c r="C94" s="21" t="s">
        <v>1137</v>
      </c>
      <c r="D94" s="21" t="s">
        <v>1117</v>
      </c>
      <c r="E94" s="21">
        <v>9</v>
      </c>
      <c r="F94" s="21">
        <v>144250</v>
      </c>
      <c r="G94" s="42">
        <v>-6.0000000000000001E-3</v>
      </c>
      <c r="H94" s="21" t="s">
        <v>1138</v>
      </c>
      <c r="I94" s="39">
        <f ca="1">IFERROR(__xludf.DUMMYFUNCTION("IF(SUM(COUNTIF(artists!A:A, SPLIT(D94, "",""))) &gt; 0, ""UA"", 0)"),0)</f>
        <v>0</v>
      </c>
      <c r="J94" s="40" t="str">
        <f ca="1">IFERROR(__xludf.DUMMYFUNCTION("IF(SUM(COUNTIF(artists!C:C, SPLIT(D94, "",""))) &gt; 0, ""RU"", 0)"),"RU")</f>
        <v>RU</v>
      </c>
      <c r="K94" s="39">
        <f ca="1">IFERROR(__xludf.DUMMYFUNCTION("IF(SUM(COUNTIF(artists!E:E, SPLIT(D94, "",""))) &gt; 0, ""OTHER"", 0)"),0)</f>
        <v>0</v>
      </c>
    </row>
    <row r="95" spans="1:11" ht="14.25" customHeight="1">
      <c r="A95" s="21">
        <v>94</v>
      </c>
      <c r="B95" s="21">
        <v>79</v>
      </c>
      <c r="C95" s="21" t="s">
        <v>1166</v>
      </c>
      <c r="D95" s="21" t="s">
        <v>1167</v>
      </c>
      <c r="E95" s="21">
        <v>6</v>
      </c>
      <c r="F95" s="21">
        <v>144168</v>
      </c>
      <c r="G95" s="42">
        <v>-0.125</v>
      </c>
      <c r="H95" s="21" t="s">
        <v>1168</v>
      </c>
      <c r="I95" s="39">
        <f ca="1">IFERROR(__xludf.DUMMYFUNCTION("IF(SUM(COUNTIF(artists!A:A, SPLIT(D95, "",""))) &gt; 0, ""UA"", 0)"),0)</f>
        <v>0</v>
      </c>
      <c r="J95" s="40" t="str">
        <f ca="1">IFERROR(__xludf.DUMMYFUNCTION("IF(SUM(COUNTIF(artists!C:C, SPLIT(D95, "",""))) &gt; 0, ""RU"", 0)"),"RU")</f>
        <v>RU</v>
      </c>
      <c r="K95" s="39">
        <f ca="1">IFERROR(__xludf.DUMMYFUNCTION("IF(SUM(COUNTIF(artists!E:E, SPLIT(D95, "",""))) &gt; 0, ""OTHER"", 0)"),0)</f>
        <v>0</v>
      </c>
    </row>
    <row r="96" spans="1:11" ht="14.25" customHeight="1">
      <c r="A96" s="21">
        <v>95</v>
      </c>
      <c r="B96" s="21">
        <v>81</v>
      </c>
      <c r="C96" s="21" t="s">
        <v>874</v>
      </c>
      <c r="D96" s="21" t="s">
        <v>108</v>
      </c>
      <c r="E96" s="21">
        <v>15</v>
      </c>
      <c r="F96" s="21">
        <v>143854</v>
      </c>
      <c r="G96" s="42">
        <v>-8.7999999999999995E-2</v>
      </c>
      <c r="H96" s="21" t="s">
        <v>875</v>
      </c>
      <c r="I96" s="39" t="str">
        <f ca="1">IFERROR(__xludf.DUMMYFUNCTION("IF(SUM(COUNTIF(artists!A:A, SPLIT(D96, "",""))) &gt; 0, ""UA"", 0)"),"UA")</f>
        <v>UA</v>
      </c>
      <c r="J96" s="40">
        <f ca="1">IFERROR(__xludf.DUMMYFUNCTION("IF(SUM(COUNTIF(artists!C:C, SPLIT(D96, "",""))) &gt; 0, ""RU"", 0)"),0)</f>
        <v>0</v>
      </c>
      <c r="K96" s="39">
        <f ca="1">IFERROR(__xludf.DUMMYFUNCTION("IF(SUM(COUNTIF(artists!E:E, SPLIT(D96, "",""))) &gt; 0, ""OTHER"", 0)"),0)</f>
        <v>0</v>
      </c>
    </row>
    <row r="97" spans="1:11" ht="14.25" customHeight="1">
      <c r="A97" s="21">
        <v>96</v>
      </c>
      <c r="C97" s="21" t="s">
        <v>1169</v>
      </c>
      <c r="D97" s="21" t="s">
        <v>1170</v>
      </c>
      <c r="E97" s="21">
        <v>1</v>
      </c>
      <c r="F97" s="21">
        <v>143676</v>
      </c>
      <c r="H97" s="21" t="s">
        <v>1171</v>
      </c>
      <c r="I97" s="39">
        <f ca="1">IFERROR(__xludf.DUMMYFUNCTION("IF(SUM(COUNTIF(artists!A:A, SPLIT(D97, "",""))) &gt; 0, ""UA"", 0)"),0)</f>
        <v>0</v>
      </c>
      <c r="J97" s="40" t="str">
        <f ca="1">IFERROR(__xludf.DUMMYFUNCTION("IF(SUM(COUNTIF(artists!C:C, SPLIT(D97, "",""))) &gt; 0, ""RU"", 0)"),"RU")</f>
        <v>RU</v>
      </c>
      <c r="K97" s="39">
        <f ca="1">IFERROR(__xludf.DUMMYFUNCTION("IF(SUM(COUNTIF(artists!E:E, SPLIT(D97, "",""))) &gt; 0, ""OTHER"", 0)"),0)</f>
        <v>0</v>
      </c>
    </row>
    <row r="98" spans="1:11" ht="14.25" customHeight="1">
      <c r="A98" s="21">
        <v>97</v>
      </c>
      <c r="B98" s="21">
        <v>97</v>
      </c>
      <c r="C98" s="21" t="s">
        <v>313</v>
      </c>
      <c r="D98" s="21" t="s">
        <v>310</v>
      </c>
      <c r="E98" s="21">
        <v>3</v>
      </c>
      <c r="F98" s="21">
        <v>143641</v>
      </c>
      <c r="G98" s="42">
        <v>6.0000000000000001E-3</v>
      </c>
      <c r="H98" s="21" t="s">
        <v>398</v>
      </c>
      <c r="I98" s="39">
        <f ca="1">IFERROR(__xludf.DUMMYFUNCTION("IF(SUM(COUNTIF(artists!A:A, SPLIT(D98, "",""))) &gt; 0, ""UA"", 0)"),0)</f>
        <v>0</v>
      </c>
      <c r="J98" s="40">
        <f ca="1">IFERROR(__xludf.DUMMYFUNCTION("IF(SUM(COUNTIF(artists!C:C, SPLIT(D98, "",""))) &gt; 0, ""RU"", 0)"),0)</f>
        <v>0</v>
      </c>
      <c r="K98" s="39" t="str">
        <f ca="1">IFERROR(__xludf.DUMMYFUNCTION("IF(SUM(COUNTIF(artists!E:E, SPLIT(D98, "",""))) &gt; 0, ""OTHER"", 0)"),"OTHER")</f>
        <v>OTHER</v>
      </c>
    </row>
    <row r="99" spans="1:11" ht="14.25" customHeight="1">
      <c r="A99" s="21">
        <v>98</v>
      </c>
      <c r="C99" s="21" t="s">
        <v>1101</v>
      </c>
      <c r="D99" s="21" t="s">
        <v>498</v>
      </c>
      <c r="E99" s="21">
        <v>6</v>
      </c>
      <c r="F99" s="21">
        <v>143153</v>
      </c>
      <c r="H99" s="21" t="s">
        <v>1102</v>
      </c>
      <c r="I99" s="39" t="str">
        <f ca="1">IFERROR(__xludf.DUMMYFUNCTION("IF(SUM(COUNTIF(artists!A:A, SPLIT(D99, "",""))) &gt; 0, ""UA"", 0)"),"UA")</f>
        <v>UA</v>
      </c>
      <c r="J99" s="40">
        <f ca="1">IFERROR(__xludf.DUMMYFUNCTION("IF(SUM(COUNTIF(artists!C:C, SPLIT(D99, "",""))) &gt; 0, ""RU"", 0)"),0)</f>
        <v>0</v>
      </c>
      <c r="K99" s="39">
        <f ca="1">IFERROR(__xludf.DUMMYFUNCTION("IF(SUM(COUNTIF(artists!E:E, SPLIT(D99, "",""))) &gt; 0, ""OTHER"", 0)"),0)</f>
        <v>0</v>
      </c>
    </row>
    <row r="100" spans="1:11" ht="14.25" customHeight="1">
      <c r="A100" s="21">
        <v>99</v>
      </c>
      <c r="B100" s="21">
        <v>80</v>
      </c>
      <c r="C100" s="21" t="s">
        <v>1172</v>
      </c>
      <c r="D100" s="21" t="s">
        <v>1173</v>
      </c>
      <c r="E100" s="21">
        <v>6</v>
      </c>
      <c r="F100" s="21">
        <v>142310</v>
      </c>
      <c r="G100" s="42">
        <v>-0.108</v>
      </c>
      <c r="H100" s="21" t="s">
        <v>1174</v>
      </c>
      <c r="I100" s="39">
        <f ca="1">IFERROR(__xludf.DUMMYFUNCTION("IF(SUM(COUNTIF(artists!A:A, SPLIT(D100, "",""))) &gt; 0, ""UA"", 0)"),0)</f>
        <v>0</v>
      </c>
      <c r="J100" s="40" t="str">
        <f ca="1">IFERROR(__xludf.DUMMYFUNCTION("IF(SUM(COUNTIF(artists!C:C, SPLIT(D100, "",""))) &gt; 0, ""RU"", 0)"),"RU")</f>
        <v>RU</v>
      </c>
      <c r="K100" s="39">
        <f ca="1">IFERROR(__xludf.DUMMYFUNCTION("IF(SUM(COUNTIF(artists!E:E, SPLIT(D100, "",""))) &gt; 0, ""OTHER"", 0)"),0)</f>
        <v>0</v>
      </c>
    </row>
    <row r="101" spans="1:11" ht="14.25" customHeight="1">
      <c r="A101" s="21">
        <v>100</v>
      </c>
      <c r="C101" s="21" t="s">
        <v>1175</v>
      </c>
      <c r="D101" s="21" t="s">
        <v>1176</v>
      </c>
      <c r="E101" s="21">
        <v>15</v>
      </c>
      <c r="F101" s="21">
        <v>141527</v>
      </c>
      <c r="H101" s="21" t="s">
        <v>1177</v>
      </c>
      <c r="I101" s="39">
        <f ca="1">IFERROR(__xludf.DUMMYFUNCTION("IF(SUM(COUNTIF(artists!A:A, SPLIT(D101, "",""))) &gt; 0, ""UA"", 0)"),0)</f>
        <v>0</v>
      </c>
      <c r="J101" s="40" t="str">
        <f ca="1">IFERROR(__xludf.DUMMYFUNCTION("IF(SUM(COUNTIF(artists!C:C, SPLIT(D101, "",""))) &gt; 0, ""RU"", 0)"),"RU")</f>
        <v>RU</v>
      </c>
      <c r="K101" s="39">
        <f ca="1">IFERROR(__xludf.DUMMYFUNCTION("IF(SUM(COUNTIF(artists!E:E, SPLIT(D101, "",""))) &gt; 0, ""OTHER"", 0)"),0)</f>
        <v>0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85" priority="1">
      <formula>AND($I2=0, $J2=0, $K2=0)</formula>
    </cfRule>
    <cfRule type="expression" dxfId="84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Аркуш21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3" width="8.6640625" customWidth="1"/>
    <col min="4" max="4" width="12.88671875" customWidth="1"/>
    <col min="5" max="5" width="8.6640625" hidden="1" customWidth="1"/>
    <col min="6" max="6" width="8.6640625" customWidth="1"/>
    <col min="7" max="7" width="13.10937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B2" s="21">
        <v>1</v>
      </c>
      <c r="C2" s="21" t="s">
        <v>88</v>
      </c>
      <c r="D2" s="21" t="s">
        <v>89</v>
      </c>
      <c r="E2" s="21">
        <v>12</v>
      </c>
      <c r="F2" s="21">
        <v>1517812</v>
      </c>
      <c r="G2" s="42">
        <v>-6.9000000000000006E-2</v>
      </c>
      <c r="H2" s="21" t="s">
        <v>90</v>
      </c>
      <c r="I2" s="39" t="str">
        <f ca="1">IFERROR(__xludf.DUMMYFUNCTION("IF(SUM(COUNTIF(artists!A:A, SPLIT(D2, "",""))) &gt; 0, ""UA"", 0)"),"UA")</f>
        <v>UA</v>
      </c>
      <c r="J2" s="40">
        <f ca="1">IFERROR(__xludf.DUMMYFUNCTION("IF(SUM(COUNTIF(artists!C:C, SPLIT(D2, "",""))) &gt; 0, ""RU"", 0)"),0)</f>
        <v>0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B3" s="21">
        <v>2</v>
      </c>
      <c r="C3" s="21" t="s">
        <v>500</v>
      </c>
      <c r="D3" s="21" t="s">
        <v>501</v>
      </c>
      <c r="E3" s="21">
        <v>3</v>
      </c>
      <c r="F3" s="21">
        <v>907848</v>
      </c>
      <c r="G3" s="42">
        <v>-0.10299999999999999</v>
      </c>
      <c r="H3" s="21" t="s">
        <v>503</v>
      </c>
      <c r="I3" s="39">
        <f ca="1">IFERROR(__xludf.DUMMYFUNCTION("IF(SUM(COUNTIF(artists!A:A, SPLIT(D3, "",""))) &gt; 0, ""UA"", 0)"),0)</f>
        <v>0</v>
      </c>
      <c r="J3" s="40" t="str">
        <f ca="1">IFERROR(__xludf.DUMMYFUNCTION("IF(SUM(COUNTIF(artists!C:C, SPLIT(D3, "",""))) &gt; 0, ""RU"", 0)"),"RU")</f>
        <v>RU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B4" s="21">
        <v>3</v>
      </c>
      <c r="C4" s="21" t="s">
        <v>128</v>
      </c>
      <c r="D4" s="21" t="s">
        <v>129</v>
      </c>
      <c r="E4" s="21">
        <v>20</v>
      </c>
      <c r="F4" s="21">
        <v>809743</v>
      </c>
      <c r="G4" s="42">
        <v>-5.8000000000000003E-2</v>
      </c>
      <c r="H4" s="21" t="s">
        <v>131</v>
      </c>
      <c r="I4" s="39" t="str">
        <f ca="1">IFERROR(__xludf.DUMMYFUNCTION("IF(SUM(COUNTIF(artists!A:A, SPLIT(D4, "",""))) &gt; 0, ""UA"", 0)"),"UA")</f>
        <v>UA</v>
      </c>
      <c r="J4" s="40">
        <f ca="1">IFERROR(__xludf.DUMMYFUNCTION("IF(SUM(COUNTIF(artists!C:C, SPLIT(D4, "",""))) &gt; 0, ""RU"", 0)"),0)</f>
        <v>0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B5" s="21">
        <v>5</v>
      </c>
      <c r="C5" s="21" t="s">
        <v>145</v>
      </c>
      <c r="D5" s="21" t="s">
        <v>146</v>
      </c>
      <c r="E5" s="21">
        <v>18</v>
      </c>
      <c r="F5" s="21">
        <v>807359</v>
      </c>
      <c r="G5" s="42">
        <v>-1.4999999999999999E-2</v>
      </c>
      <c r="H5" s="21" t="s">
        <v>148</v>
      </c>
      <c r="I5" s="39" t="str">
        <f ca="1">IFERROR(__xludf.DUMMYFUNCTION("IF(SUM(COUNTIF(artists!A:A, SPLIT(D5, "",""))) &gt; 0, ""UA"", 0)"),"UA")</f>
        <v>UA</v>
      </c>
      <c r="J5" s="40">
        <f ca="1">IFERROR(__xludf.DUMMYFUNCTION("IF(SUM(COUNTIF(artists!C:C, SPLIT(D5, "",""))) &gt; 0, ""RU"", 0)"),0)</f>
        <v>0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B6" s="21">
        <v>4</v>
      </c>
      <c r="C6" s="21" t="s">
        <v>115</v>
      </c>
      <c r="D6" s="21" t="s">
        <v>116</v>
      </c>
      <c r="E6" s="21">
        <v>14</v>
      </c>
      <c r="F6" s="21">
        <v>797498</v>
      </c>
      <c r="G6" s="42">
        <v>-6.8000000000000005E-2</v>
      </c>
      <c r="H6" s="21" t="s">
        <v>117</v>
      </c>
      <c r="I6" s="39" t="str">
        <f ca="1">IFERROR(__xludf.DUMMYFUNCTION("IF(SUM(COUNTIF(artists!A:A, SPLIT(D6, "",""))) &gt; 0, ""UA"", 0)"),"UA")</f>
        <v>UA</v>
      </c>
      <c r="J6" s="40">
        <f ca="1">IFERROR(__xludf.DUMMYFUNCTION("IF(SUM(COUNTIF(artists!C:C, SPLIT(D6, "",""))) &gt; 0, ""RU"", 0)"),0)</f>
        <v>0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C7" s="21" t="s">
        <v>247</v>
      </c>
      <c r="D7" s="21" t="s">
        <v>454</v>
      </c>
      <c r="E7" s="21">
        <v>1</v>
      </c>
      <c r="F7" s="21">
        <v>796704</v>
      </c>
      <c r="H7" s="21" t="s">
        <v>250</v>
      </c>
      <c r="I7" s="39" t="str">
        <f ca="1">IFERROR(__xludf.DUMMYFUNCTION("IF(SUM(COUNTIF(artists!A:A, SPLIT(D7, "",""))) &gt; 0, ""UA"", 0)"),"UA")</f>
        <v>UA</v>
      </c>
      <c r="J7" s="40">
        <f ca="1">IFERROR(__xludf.DUMMYFUNCTION("IF(SUM(COUNTIF(artists!C:C, SPLIT(D7, "",""))) &gt; 0, ""RU"", 0)"),0)</f>
        <v>0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B8" s="21">
        <v>8</v>
      </c>
      <c r="C8" s="21" t="s">
        <v>175</v>
      </c>
      <c r="D8" s="21" t="s">
        <v>89</v>
      </c>
      <c r="E8" s="21">
        <v>24</v>
      </c>
      <c r="F8" s="21">
        <v>781118</v>
      </c>
      <c r="G8" s="42">
        <v>2.8000000000000001E-2</v>
      </c>
      <c r="H8" s="21" t="s">
        <v>177</v>
      </c>
      <c r="I8" s="39" t="str">
        <f ca="1">IFERROR(__xludf.DUMMYFUNCTION("IF(SUM(COUNTIF(artists!A:A, SPLIT(D8, "",""))) &gt; 0, ""UA"", 0)"),"UA")</f>
        <v>UA</v>
      </c>
      <c r="J8" s="40">
        <f ca="1">IFERROR(__xludf.DUMMYFUNCTION("IF(SUM(COUNTIF(artists!C:C, SPLIT(D8, "",""))) &gt; 0, ""RU"", 0)"),0)</f>
        <v>0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B9" s="21">
        <v>7</v>
      </c>
      <c r="C9" s="21" t="s">
        <v>645</v>
      </c>
      <c r="D9" s="21" t="s">
        <v>352</v>
      </c>
      <c r="E9" s="21">
        <v>37</v>
      </c>
      <c r="F9" s="21">
        <v>729915</v>
      </c>
      <c r="G9" s="42">
        <v>-8.5000000000000006E-2</v>
      </c>
      <c r="H9" s="21" t="s">
        <v>647</v>
      </c>
      <c r="I9" s="39" t="str">
        <f ca="1">IFERROR(__xludf.DUMMYFUNCTION("IF(SUM(COUNTIF(artists!A:A, SPLIT(D9, "",""))) &gt; 0, ""UA"", 0)"),"UA")</f>
        <v>UA</v>
      </c>
      <c r="J9" s="40">
        <f ca="1">IFERROR(__xludf.DUMMYFUNCTION("IF(SUM(COUNTIF(artists!C:C, SPLIT(D9, "",""))) &gt; 0, ""RU"", 0)"),0)</f>
        <v>0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B10" s="21">
        <v>6</v>
      </c>
      <c r="C10" s="21" t="s">
        <v>202</v>
      </c>
      <c r="D10" s="21" t="s">
        <v>835</v>
      </c>
      <c r="E10" s="21">
        <v>14</v>
      </c>
      <c r="F10" s="21">
        <v>711760</v>
      </c>
      <c r="G10" s="42">
        <v>-0.125</v>
      </c>
      <c r="H10" s="21" t="s">
        <v>204</v>
      </c>
      <c r="I10" s="39" t="str">
        <f ca="1">IFERROR(__xludf.DUMMYFUNCTION("IF(SUM(COUNTIF(artists!A:A, SPLIT(D10, "",""))) &gt; 0, ""UA"", 0)"),"UA")</f>
        <v>UA</v>
      </c>
      <c r="J10" s="40">
        <f ca="1">IFERROR(__xludf.DUMMYFUNCTION("IF(SUM(COUNTIF(artists!C:C, SPLIT(D10, "",""))) &gt; 0, ""RU"", 0)"),0)</f>
        <v>0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B11" s="21">
        <v>9</v>
      </c>
      <c r="C11" s="21" t="s">
        <v>132</v>
      </c>
      <c r="D11" s="21" t="s">
        <v>133</v>
      </c>
      <c r="E11" s="21">
        <v>24</v>
      </c>
      <c r="F11" s="21">
        <v>700082</v>
      </c>
      <c r="G11" s="42">
        <v>-3.2000000000000001E-2</v>
      </c>
      <c r="H11" s="21" t="s">
        <v>135</v>
      </c>
      <c r="I11" s="39" t="str">
        <f ca="1">IFERROR(__xludf.DUMMYFUNCTION("IF(SUM(COUNTIF(artists!A:A, SPLIT(D11, "",""))) &gt; 0, ""UA"", 0)"),"UA")</f>
        <v>UA</v>
      </c>
      <c r="J11" s="40">
        <f ca="1">IFERROR(__xludf.DUMMYFUNCTION("IF(SUM(COUNTIF(artists!C:C, SPLIT(D11, "",""))) &gt; 0, ""RU"", 0)"),0)</f>
        <v>0</v>
      </c>
      <c r="K11" s="39">
        <f ca="1">IFERROR(__xludf.DUMMYFUNCTION("IF(SUM(COUNTIF(artists!E:E, SPLIT(D11, "",""))) &gt; 0, ""OTHER"", 0)"),0)</f>
        <v>0</v>
      </c>
    </row>
    <row r="12" spans="1:11" ht="14.25" customHeight="1">
      <c r="A12" s="21">
        <v>11</v>
      </c>
      <c r="B12" s="21">
        <v>15</v>
      </c>
      <c r="C12" s="21" t="s">
        <v>186</v>
      </c>
      <c r="D12" s="21" t="s">
        <v>187</v>
      </c>
      <c r="E12" s="21">
        <v>28</v>
      </c>
      <c r="F12" s="21">
        <v>596413</v>
      </c>
      <c r="G12" s="43">
        <v>0.09</v>
      </c>
      <c r="H12" s="21" t="s">
        <v>189</v>
      </c>
      <c r="I12" s="39" t="str">
        <f ca="1">IFERROR(__xludf.DUMMYFUNCTION("IF(SUM(COUNTIF(artists!A:A, SPLIT(D12, "",""))) &gt; 0, ""UA"", 0)"),"UA")</f>
        <v>UA</v>
      </c>
      <c r="J12" s="40">
        <f ca="1">IFERROR(__xludf.DUMMYFUNCTION("IF(SUM(COUNTIF(artists!C:C, SPLIT(D12, "",""))) &gt; 0, ""RU"", 0)"),0)</f>
        <v>0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B13" s="21">
        <v>11</v>
      </c>
      <c r="C13" s="21" t="s">
        <v>149</v>
      </c>
      <c r="D13" s="21" t="s">
        <v>150</v>
      </c>
      <c r="E13" s="21">
        <v>17</v>
      </c>
      <c r="F13" s="21">
        <v>588828</v>
      </c>
      <c r="G13" s="42">
        <v>5.0000000000000001E-3</v>
      </c>
      <c r="H13" s="21" t="s">
        <v>152</v>
      </c>
      <c r="I13" s="39" t="str">
        <f ca="1">IFERROR(__xludf.DUMMYFUNCTION("IF(SUM(COUNTIF(artists!A:A, SPLIT(D13, "",""))) &gt; 0, ""UA"", 0)"),"UA")</f>
        <v>UA</v>
      </c>
      <c r="J13" s="40">
        <f ca="1">IFERROR(__xludf.DUMMYFUNCTION("IF(SUM(COUNTIF(artists!C:C, SPLIT(D13, "",""))) &gt; 0, ""RU"", 0)"),0)</f>
        <v>0</v>
      </c>
      <c r="K13" s="39">
        <f ca="1">IFERROR(__xludf.DUMMYFUNCTION("IF(SUM(COUNTIF(artists!E:E, SPLIT(D13, "",""))) &gt; 0, ""OTHER"", 0)"),0)</f>
        <v>0</v>
      </c>
    </row>
    <row r="14" spans="1:11" ht="14.25" customHeight="1">
      <c r="A14" s="21">
        <v>13</v>
      </c>
      <c r="B14" s="21">
        <v>10</v>
      </c>
      <c r="C14" s="21" t="s">
        <v>844</v>
      </c>
      <c r="D14" s="21" t="s">
        <v>457</v>
      </c>
      <c r="E14" s="21">
        <v>4</v>
      </c>
      <c r="F14" s="21">
        <v>580177</v>
      </c>
      <c r="G14" s="42">
        <v>-0.112</v>
      </c>
      <c r="H14" s="21" t="s">
        <v>459</v>
      </c>
      <c r="I14" s="39">
        <f ca="1">IFERROR(__xludf.DUMMYFUNCTION("IF(SUM(COUNTIF(artists!A:A, SPLIT(D14, "",""))) &gt; 0, ""UA"", 0)"),0)</f>
        <v>0</v>
      </c>
      <c r="J14" s="40">
        <f ca="1">IFERROR(__xludf.DUMMYFUNCTION("IF(SUM(COUNTIF(artists!C:C, SPLIT(D14, "",""))) &gt; 0, ""RU"", 0)"),0)</f>
        <v>0</v>
      </c>
      <c r="K14" s="39" t="str">
        <f ca="1">IFERROR(__xludf.DUMMYFUNCTION("IF(SUM(COUNTIF(artists!E:E, SPLIT(D14, "",""))) &gt; 0, ""OTHER"", 0)"),"OTHER")</f>
        <v>OTHER</v>
      </c>
    </row>
    <row r="15" spans="1:11" ht="14.25" customHeight="1">
      <c r="A15" s="21">
        <v>14</v>
      </c>
      <c r="B15" s="21">
        <v>13</v>
      </c>
      <c r="C15" s="21" t="s">
        <v>198</v>
      </c>
      <c r="D15" s="21" t="s">
        <v>199</v>
      </c>
      <c r="E15" s="21">
        <v>5</v>
      </c>
      <c r="F15" s="21">
        <v>565115</v>
      </c>
      <c r="G15" s="42">
        <v>8.9999999999999993E-3</v>
      </c>
      <c r="H15" s="21" t="s">
        <v>201</v>
      </c>
      <c r="I15" s="39" t="str">
        <f ca="1">IFERROR(__xludf.DUMMYFUNCTION("IF(SUM(COUNTIF(artists!A:A, SPLIT(D15, "",""))) &gt; 0, ""UA"", 0)"),"UA")</f>
        <v>UA</v>
      </c>
      <c r="J15" s="40">
        <f ca="1">IFERROR(__xludf.DUMMYFUNCTION("IF(SUM(COUNTIF(artists!C:C, SPLIT(D15, "",""))) &gt; 0, ""RU"", 0)"),0)</f>
        <v>0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B16" s="21">
        <v>16</v>
      </c>
      <c r="C16" s="21" t="s">
        <v>182</v>
      </c>
      <c r="D16" s="21" t="s">
        <v>183</v>
      </c>
      <c r="E16" s="21">
        <v>20</v>
      </c>
      <c r="F16" s="21">
        <v>558862</v>
      </c>
      <c r="G16" s="42">
        <v>7.1999999999999995E-2</v>
      </c>
      <c r="H16" s="21" t="s">
        <v>185</v>
      </c>
      <c r="I16" s="39" t="str">
        <f ca="1">IFERROR(__xludf.DUMMYFUNCTION("IF(SUM(COUNTIF(artists!A:A, SPLIT(D16, "",""))) &gt; 0, ""UA"", 0)"),"UA")</f>
        <v>UA</v>
      </c>
      <c r="J16" s="40">
        <f ca="1">IFERROR(__xludf.DUMMYFUNCTION("IF(SUM(COUNTIF(artists!C:C, SPLIT(D16, "",""))) &gt; 0, ""RU"", 0)"),0)</f>
        <v>0</v>
      </c>
      <c r="K16" s="39">
        <f ca="1">IFERROR(__xludf.DUMMYFUNCTION("IF(SUM(COUNTIF(artists!E:E, SPLIT(D16, "",""))) &gt; 0, ""OTHER"", 0)"),0)</f>
        <v>0</v>
      </c>
    </row>
    <row r="17" spans="1:11" ht="14.25" customHeight="1">
      <c r="A17" s="21">
        <v>16</v>
      </c>
      <c r="B17" s="21">
        <v>14</v>
      </c>
      <c r="C17" s="21" t="s">
        <v>194</v>
      </c>
      <c r="D17" s="21" t="s">
        <v>195</v>
      </c>
      <c r="E17" s="21">
        <v>27</v>
      </c>
      <c r="F17" s="21">
        <v>534254</v>
      </c>
      <c r="G17" s="43">
        <v>-0.03</v>
      </c>
      <c r="H17" s="21" t="s">
        <v>197</v>
      </c>
      <c r="I17" s="39" t="str">
        <f ca="1">IFERROR(__xludf.DUMMYFUNCTION("IF(SUM(COUNTIF(artists!A:A, SPLIT(D17, "",""))) &gt; 0, ""UA"", 0)"),"UA")</f>
        <v>UA</v>
      </c>
      <c r="J17" s="40">
        <f ca="1">IFERROR(__xludf.DUMMYFUNCTION("IF(SUM(COUNTIF(artists!C:C, SPLIT(D17, "",""))) &gt; 0, ""RU"", 0)"),0)</f>
        <v>0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B18" s="21">
        <v>12</v>
      </c>
      <c r="C18" s="21" t="s">
        <v>171</v>
      </c>
      <c r="D18" s="21" t="s">
        <v>172</v>
      </c>
      <c r="E18" s="21">
        <v>19</v>
      </c>
      <c r="F18" s="21">
        <v>510116</v>
      </c>
      <c r="G18" s="42">
        <v>-9.2999999999999999E-2</v>
      </c>
      <c r="H18" s="21" t="s">
        <v>174</v>
      </c>
      <c r="I18" s="39">
        <f ca="1">IFERROR(__xludf.DUMMYFUNCTION("IF(SUM(COUNTIF(artists!A:A, SPLIT(D18, "",""))) &gt; 0, ""UA"", 0)"),0)</f>
        <v>0</v>
      </c>
      <c r="J18" s="40" t="str">
        <f ca="1">IFERROR(__xludf.DUMMYFUNCTION("IF(SUM(COUNTIF(artists!C:C, SPLIT(D18, "",""))) &gt; 0, ""RU"", 0)"),"RU")</f>
        <v>RU</v>
      </c>
      <c r="K18" s="39">
        <f ca="1">IFERROR(__xludf.DUMMYFUNCTION("IF(SUM(COUNTIF(artists!E:E, SPLIT(D18, "",""))) &gt; 0, ""OTHER"", 0)"),0)</f>
        <v>0</v>
      </c>
    </row>
    <row r="19" spans="1:11" ht="14.25" customHeight="1">
      <c r="A19" s="21">
        <v>18</v>
      </c>
      <c r="B19" s="21">
        <v>17</v>
      </c>
      <c r="C19" s="21" t="s">
        <v>209</v>
      </c>
      <c r="D19" s="21" t="s">
        <v>210</v>
      </c>
      <c r="E19" s="21">
        <v>17</v>
      </c>
      <c r="F19" s="21">
        <v>488377</v>
      </c>
      <c r="G19" s="42">
        <v>-6.0000000000000001E-3</v>
      </c>
      <c r="H19" s="21" t="s">
        <v>212</v>
      </c>
      <c r="I19" s="39" t="str">
        <f ca="1">IFERROR(__xludf.DUMMYFUNCTION("IF(SUM(COUNTIF(artists!A:A, SPLIT(D19, "",""))) &gt; 0, ""UA"", 0)"),"UA")</f>
        <v>UA</v>
      </c>
      <c r="J19" s="40">
        <f ca="1">IFERROR(__xludf.DUMMYFUNCTION("IF(SUM(COUNTIF(artists!C:C, SPLIT(D19, "",""))) &gt; 0, ""RU"", 0)"),0)</f>
        <v>0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B20" s="21">
        <v>19</v>
      </c>
      <c r="C20" s="21" t="s">
        <v>700</v>
      </c>
      <c r="D20" s="21" t="s">
        <v>701</v>
      </c>
      <c r="E20" s="21">
        <v>5</v>
      </c>
      <c r="F20" s="21">
        <v>487459</v>
      </c>
      <c r="G20" s="43">
        <v>0</v>
      </c>
      <c r="H20" s="21" t="s">
        <v>702</v>
      </c>
      <c r="I20" s="39">
        <f ca="1">IFERROR(__xludf.DUMMYFUNCTION("IF(SUM(COUNTIF(artists!A:A, SPLIT(D20, "",""))) &gt; 0, ""UA"", 0)"),0)</f>
        <v>0</v>
      </c>
      <c r="J20" s="40" t="str">
        <f ca="1">IFERROR(__xludf.DUMMYFUNCTION("IF(SUM(COUNTIF(artists!C:C, SPLIT(D20, "",""))) &gt; 0, ""RU"", 0)"),"RU")</f>
        <v>RU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B21" s="21">
        <v>20</v>
      </c>
      <c r="C21" s="21" t="s">
        <v>160</v>
      </c>
      <c r="D21" s="21" t="s">
        <v>161</v>
      </c>
      <c r="E21" s="21">
        <v>18</v>
      </c>
      <c r="F21" s="21">
        <v>453739</v>
      </c>
      <c r="G21" s="42">
        <v>5.7000000000000002E-2</v>
      </c>
      <c r="H21" s="21" t="s">
        <v>163</v>
      </c>
      <c r="I21" s="39" t="str">
        <f ca="1">IFERROR(__xludf.DUMMYFUNCTION("IF(SUM(COUNTIF(artists!A:A, SPLIT(D21, "",""))) &gt; 0, ""UA"", 0)"),"UA")</f>
        <v>UA</v>
      </c>
      <c r="J21" s="40">
        <f ca="1">IFERROR(__xludf.DUMMYFUNCTION("IF(SUM(COUNTIF(artists!C:C, SPLIT(D21, "",""))) &gt; 0, ""RU"", 0)"),0)</f>
        <v>0</v>
      </c>
      <c r="K21" s="39">
        <f ca="1">IFERROR(__xludf.DUMMYFUNCTION("IF(SUM(COUNTIF(artists!E:E, SPLIT(D21, "",""))) &gt; 0, ""OTHER"", 0)"),0)</f>
        <v>0</v>
      </c>
    </row>
    <row r="22" spans="1:11" ht="14.25" customHeight="1">
      <c r="A22" s="21">
        <v>21</v>
      </c>
      <c r="B22" s="21">
        <v>22</v>
      </c>
      <c r="C22" s="21" t="s">
        <v>772</v>
      </c>
      <c r="D22" s="21" t="s">
        <v>773</v>
      </c>
      <c r="E22" s="21">
        <v>2</v>
      </c>
      <c r="F22" s="21">
        <v>417604</v>
      </c>
      <c r="G22" s="42">
        <v>5.0999999999999997E-2</v>
      </c>
      <c r="H22" s="21" t="s">
        <v>774</v>
      </c>
      <c r="I22" s="39" t="str">
        <f ca="1">IFERROR(__xludf.DUMMYFUNCTION("IF(SUM(COUNTIF(artists!A:A, SPLIT(D22, "",""))) &gt; 0, ""UA"", 0)"),"UA")</f>
        <v>UA</v>
      </c>
      <c r="J22" s="40">
        <f ca="1">IFERROR(__xludf.DUMMYFUNCTION("IF(SUM(COUNTIF(artists!C:C, SPLIT(D22, "",""))) &gt; 0, ""RU"", 0)"),0)</f>
        <v>0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B23" s="21">
        <v>23</v>
      </c>
      <c r="C23" s="21" t="s">
        <v>178</v>
      </c>
      <c r="D23" s="21" t="s">
        <v>179</v>
      </c>
      <c r="E23" s="21">
        <v>28</v>
      </c>
      <c r="F23" s="21">
        <v>414430</v>
      </c>
      <c r="G23" s="42">
        <v>7.6999999999999999E-2</v>
      </c>
      <c r="H23" s="21" t="s">
        <v>181</v>
      </c>
      <c r="I23" s="39" t="str">
        <f ca="1">IFERROR(__xludf.DUMMYFUNCTION("IF(SUM(COUNTIF(artists!A:A, SPLIT(D23, "",""))) &gt; 0, ""UA"", 0)"),"UA")</f>
        <v>UA</v>
      </c>
      <c r="J23" s="40">
        <f ca="1">IFERROR(__xludf.DUMMYFUNCTION("IF(SUM(COUNTIF(artists!C:C, SPLIT(D23, "",""))) &gt; 0, ""RU"", 0)"),0)</f>
        <v>0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B24" s="21">
        <v>21</v>
      </c>
      <c r="C24" s="21" t="s">
        <v>255</v>
      </c>
      <c r="D24" s="21" t="s">
        <v>256</v>
      </c>
      <c r="E24" s="21">
        <v>14</v>
      </c>
      <c r="F24" s="21">
        <v>413623</v>
      </c>
      <c r="G24" s="42">
        <v>-1.9E-2</v>
      </c>
      <c r="H24" s="21" t="s">
        <v>257</v>
      </c>
      <c r="I24" s="39" t="str">
        <f ca="1">IFERROR(__xludf.DUMMYFUNCTION("IF(SUM(COUNTIF(artists!A:A, SPLIT(D24, "",""))) &gt; 0, ""UA"", 0)"),"UA")</f>
        <v>UA</v>
      </c>
      <c r="J24" s="40">
        <f ca="1">IFERROR(__xludf.DUMMYFUNCTION("IF(SUM(COUNTIF(artists!C:C, SPLIT(D24, "",""))) &gt; 0, ""RU"", 0)"),0)</f>
        <v>0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B25" s="21">
        <v>18</v>
      </c>
      <c r="C25" s="21" t="s">
        <v>682</v>
      </c>
      <c r="D25" s="21" t="s">
        <v>125</v>
      </c>
      <c r="E25" s="21">
        <v>5</v>
      </c>
      <c r="F25" s="21">
        <v>383944</v>
      </c>
      <c r="G25" s="42">
        <v>-0.21299999999999999</v>
      </c>
      <c r="H25" s="21" t="s">
        <v>684</v>
      </c>
      <c r="I25" s="39">
        <f ca="1">IFERROR(__xludf.DUMMYFUNCTION("IF(SUM(COUNTIF(artists!A:A, SPLIT(D25, "",""))) &gt; 0, ""UA"", 0)"),0)</f>
        <v>0</v>
      </c>
      <c r="J25" s="40" t="str">
        <f ca="1">IFERROR(__xludf.DUMMYFUNCTION("IF(SUM(COUNTIF(artists!C:C, SPLIT(D25, "",""))) &gt; 0, ""RU"", 0)"),"RU")</f>
        <v>RU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B26" s="21">
        <v>25</v>
      </c>
      <c r="C26" s="21" t="s">
        <v>968</v>
      </c>
      <c r="D26" s="21" t="s">
        <v>969</v>
      </c>
      <c r="E26" s="21">
        <v>44</v>
      </c>
      <c r="F26" s="21">
        <v>377798</v>
      </c>
      <c r="G26" s="42">
        <v>-3.0000000000000001E-3</v>
      </c>
      <c r="H26" s="21" t="s">
        <v>970</v>
      </c>
      <c r="I26" s="39" t="str">
        <f ca="1">IFERROR(__xludf.DUMMYFUNCTION("IF(SUM(COUNTIF(artists!A:A, SPLIT(D26, "",""))) &gt; 0, ""UA"", 0)"),"UA")</f>
        <v>UA</v>
      </c>
      <c r="J26" s="40">
        <f ca="1">IFERROR(__xludf.DUMMYFUNCTION("IF(SUM(COUNTIF(artists!C:C, SPLIT(D26, "",""))) &gt; 0, ""RU"", 0)"),0)</f>
        <v>0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B27" s="21">
        <v>26</v>
      </c>
      <c r="C27" s="21" t="s">
        <v>251</v>
      </c>
      <c r="D27" s="21" t="s">
        <v>133</v>
      </c>
      <c r="E27" s="21">
        <v>9</v>
      </c>
      <c r="F27" s="21">
        <v>357360</v>
      </c>
      <c r="G27" s="42">
        <v>-2.8000000000000001E-2</v>
      </c>
      <c r="H27" s="21" t="s">
        <v>252</v>
      </c>
      <c r="I27" s="39" t="str">
        <f ca="1">IFERROR(__xludf.DUMMYFUNCTION("IF(SUM(COUNTIF(artists!A:A, SPLIT(D27, "",""))) &gt; 0, ""UA"", 0)"),"UA")</f>
        <v>UA</v>
      </c>
      <c r="J27" s="40">
        <f ca="1">IFERROR(__xludf.DUMMYFUNCTION("IF(SUM(COUNTIF(artists!C:C, SPLIT(D27, "",""))) &gt; 0, ""RU"", 0)"),0)</f>
        <v>0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B28" s="21">
        <v>24</v>
      </c>
      <c r="C28" s="21" t="s">
        <v>742</v>
      </c>
      <c r="D28" s="21" t="s">
        <v>743</v>
      </c>
      <c r="E28" s="21">
        <v>6</v>
      </c>
      <c r="F28" s="21">
        <v>356559</v>
      </c>
      <c r="G28" s="42">
        <v>-6.5000000000000002E-2</v>
      </c>
      <c r="H28" s="21" t="s">
        <v>744</v>
      </c>
      <c r="I28" s="39">
        <f ca="1">IFERROR(__xludf.DUMMYFUNCTION("IF(SUM(COUNTIF(artists!A:A, SPLIT(D28, "",""))) &gt; 0, ""UA"", 0)"),0)</f>
        <v>0</v>
      </c>
      <c r="J28" s="40" t="str">
        <f ca="1">IFERROR(__xludf.DUMMYFUNCTION("IF(SUM(COUNTIF(artists!C:C, SPLIT(D28, "",""))) &gt; 0, ""RU"", 0)"),"RU")</f>
        <v>RU</v>
      </c>
      <c r="K28" s="39">
        <f ca="1">IFERROR(__xludf.DUMMYFUNCTION("IF(SUM(COUNTIF(artists!E:E, SPLIT(D28, "",""))) &gt; 0, ""OTHER"", 0)"),0)</f>
        <v>0</v>
      </c>
    </row>
    <row r="29" spans="1:11" ht="14.25" customHeight="1">
      <c r="A29" s="21">
        <v>28</v>
      </c>
      <c r="B29" s="21">
        <v>31</v>
      </c>
      <c r="C29" s="21" t="s">
        <v>594</v>
      </c>
      <c r="D29" s="21" t="s">
        <v>595</v>
      </c>
      <c r="E29" s="21">
        <v>12</v>
      </c>
      <c r="F29" s="21">
        <v>354591</v>
      </c>
      <c r="G29" s="42">
        <v>9.6000000000000002E-2</v>
      </c>
      <c r="H29" s="21" t="s">
        <v>596</v>
      </c>
      <c r="I29" s="39" t="str">
        <f ca="1">IFERROR(__xludf.DUMMYFUNCTION("IF(SUM(COUNTIF(artists!A:A, SPLIT(D29, "",""))) &gt; 0, ""UA"", 0)"),"UA")</f>
        <v>UA</v>
      </c>
      <c r="J29" s="40">
        <f ca="1">IFERROR(__xludf.DUMMYFUNCTION("IF(SUM(COUNTIF(artists!C:C, SPLIT(D29, "",""))) &gt; 0, ""RU"", 0)"),0)</f>
        <v>0</v>
      </c>
      <c r="K29" s="39">
        <f ca="1">IFERROR(__xludf.DUMMYFUNCTION("IF(SUM(COUNTIF(artists!E:E, SPLIT(D29, "",""))) &gt; 0, ""OTHER"", 0)"),0)</f>
        <v>0</v>
      </c>
    </row>
    <row r="30" spans="1:11" ht="14.25" customHeight="1">
      <c r="A30" s="21">
        <v>29</v>
      </c>
      <c r="B30" s="21">
        <v>27</v>
      </c>
      <c r="C30" s="21" t="s">
        <v>841</v>
      </c>
      <c r="D30" s="21" t="s">
        <v>842</v>
      </c>
      <c r="E30" s="21">
        <v>29</v>
      </c>
      <c r="F30" s="21">
        <v>333749</v>
      </c>
      <c r="G30" s="42">
        <v>-9.1999999999999998E-2</v>
      </c>
      <c r="H30" s="21" t="s">
        <v>843</v>
      </c>
      <c r="I30" s="39">
        <f ca="1">IFERROR(__xludf.DUMMYFUNCTION("IF(SUM(COUNTIF(artists!A:A, SPLIT(D30, "",""))) &gt; 0, ""UA"", 0)"),0)</f>
        <v>0</v>
      </c>
      <c r="J30" s="40">
        <f ca="1">IFERROR(__xludf.DUMMYFUNCTION("IF(SUM(COUNTIF(artists!C:C, SPLIT(D30, "",""))) &gt; 0, ""RU"", 0)"),0)</f>
        <v>0</v>
      </c>
      <c r="K30" s="39" t="str">
        <f ca="1">IFERROR(__xludf.DUMMYFUNCTION("IF(SUM(COUNTIF(artists!E:E, SPLIT(D30, "",""))) &gt; 0, ""OTHER"", 0)"),"OTHER")</f>
        <v>OTHER</v>
      </c>
    </row>
    <row r="31" spans="1:11" ht="14.25" customHeight="1">
      <c r="A31" s="21">
        <v>30</v>
      </c>
      <c r="B31" s="21">
        <v>28</v>
      </c>
      <c r="C31" s="21" t="s">
        <v>229</v>
      </c>
      <c r="D31" s="21" t="s">
        <v>230</v>
      </c>
      <c r="E31" s="21">
        <v>31</v>
      </c>
      <c r="F31" s="21">
        <v>330491</v>
      </c>
      <c r="G31" s="42">
        <v>-5.8999999999999997E-2</v>
      </c>
      <c r="H31" s="21" t="s">
        <v>232</v>
      </c>
      <c r="I31" s="39" t="str">
        <f ca="1">IFERROR(__xludf.DUMMYFUNCTION("IF(SUM(COUNTIF(artists!A:A, SPLIT(D31, "",""))) &gt; 0, ""UA"", 0)"),"UA")</f>
        <v>UA</v>
      </c>
      <c r="J31" s="40">
        <f ca="1">IFERROR(__xludf.DUMMYFUNCTION("IF(SUM(COUNTIF(artists!C:C, SPLIT(D31, "",""))) &gt; 0, ""RU"", 0)"),0)</f>
        <v>0</v>
      </c>
      <c r="K31" s="39">
        <f ca="1">IFERROR(__xludf.DUMMYFUNCTION("IF(SUM(COUNTIF(artists!E:E, SPLIT(D31, "",""))) &gt; 0, ""OTHER"", 0)"),0)</f>
        <v>0</v>
      </c>
    </row>
    <row r="32" spans="1:11" ht="14.25" customHeight="1">
      <c r="A32" s="21">
        <v>31</v>
      </c>
      <c r="B32" s="21">
        <v>30</v>
      </c>
      <c r="C32" s="21" t="s">
        <v>253</v>
      </c>
      <c r="D32" s="21" t="s">
        <v>89</v>
      </c>
      <c r="E32" s="21">
        <v>33</v>
      </c>
      <c r="F32" s="21">
        <v>314730</v>
      </c>
      <c r="G32" s="42">
        <v>-6.0999999999999999E-2</v>
      </c>
      <c r="H32" s="21" t="s">
        <v>254</v>
      </c>
      <c r="I32" s="39" t="str">
        <f ca="1">IFERROR(__xludf.DUMMYFUNCTION("IF(SUM(COUNTIF(artists!A:A, SPLIT(D32, "",""))) &gt; 0, ""UA"", 0)"),"UA")</f>
        <v>UA</v>
      </c>
      <c r="J32" s="40">
        <f ca="1">IFERROR(__xludf.DUMMYFUNCTION("IF(SUM(COUNTIF(artists!C:C, SPLIT(D32, "",""))) &gt; 0, ""RU"", 0)"),0)</f>
        <v>0</v>
      </c>
      <c r="K32" s="39">
        <f ca="1">IFERROR(__xludf.DUMMYFUNCTION("IF(SUM(COUNTIF(artists!E:E, SPLIT(D32, "",""))) &gt; 0, ""OTHER"", 0)"),0)</f>
        <v>0</v>
      </c>
    </row>
    <row r="33" spans="1:11" ht="14.25" customHeight="1">
      <c r="A33" s="21">
        <v>32</v>
      </c>
      <c r="B33" s="21">
        <v>34</v>
      </c>
      <c r="C33" s="21" t="s">
        <v>799</v>
      </c>
      <c r="D33" s="21" t="s">
        <v>494</v>
      </c>
      <c r="E33" s="21">
        <v>33</v>
      </c>
      <c r="F33" s="21">
        <v>308113</v>
      </c>
      <c r="G33" s="42">
        <v>1.9E-2</v>
      </c>
      <c r="H33" s="21" t="s">
        <v>800</v>
      </c>
      <c r="I33" s="39" t="str">
        <f ca="1">IFERROR(__xludf.DUMMYFUNCTION("IF(SUM(COUNTIF(artists!A:A, SPLIT(D33, "",""))) &gt; 0, ""UA"", 0)"),"UA")</f>
        <v>UA</v>
      </c>
      <c r="J33" s="40">
        <f ca="1">IFERROR(__xludf.DUMMYFUNCTION("IF(SUM(COUNTIF(artists!C:C, SPLIT(D33, "",""))) &gt; 0, ""RU"", 0)"),0)</f>
        <v>0</v>
      </c>
      <c r="K33" s="39">
        <f ca="1">IFERROR(__xludf.DUMMYFUNCTION("IF(SUM(COUNTIF(artists!E:E, SPLIT(D33, "",""))) &gt; 0, ""OTHER"", 0)"),0)</f>
        <v>0</v>
      </c>
    </row>
    <row r="34" spans="1:11" ht="14.25" customHeight="1">
      <c r="A34" s="21">
        <v>33</v>
      </c>
      <c r="B34" s="21">
        <v>37</v>
      </c>
      <c r="C34" s="21" t="s">
        <v>929</v>
      </c>
      <c r="D34" s="21" t="s">
        <v>930</v>
      </c>
      <c r="E34" s="21">
        <v>17</v>
      </c>
      <c r="F34" s="21">
        <v>302084</v>
      </c>
      <c r="G34" s="42">
        <v>2.4E-2</v>
      </c>
      <c r="H34" s="21" t="s">
        <v>931</v>
      </c>
      <c r="I34" s="39" t="str">
        <f ca="1">IFERROR(__xludf.DUMMYFUNCTION("IF(SUM(COUNTIF(artists!A:A, SPLIT(D34, "",""))) &gt; 0, ""UA"", 0)"),"UA")</f>
        <v>UA</v>
      </c>
      <c r="J34" s="40">
        <f ca="1">IFERROR(__xludf.DUMMYFUNCTION("IF(SUM(COUNTIF(artists!C:C, SPLIT(D34, "",""))) &gt; 0, ""RU"", 0)"),0)</f>
        <v>0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B35" s="21">
        <v>39</v>
      </c>
      <c r="C35" s="21" t="s">
        <v>579</v>
      </c>
      <c r="D35" s="21" t="s">
        <v>183</v>
      </c>
      <c r="E35" s="21">
        <v>14</v>
      </c>
      <c r="F35" s="21">
        <v>301511</v>
      </c>
      <c r="G35" s="42">
        <v>9.8000000000000004E-2</v>
      </c>
      <c r="H35" s="21" t="s">
        <v>580</v>
      </c>
      <c r="I35" s="39" t="str">
        <f ca="1">IFERROR(__xludf.DUMMYFUNCTION("IF(SUM(COUNTIF(artists!A:A, SPLIT(D35, "",""))) &gt; 0, ""UA"", 0)"),"UA")</f>
        <v>UA</v>
      </c>
      <c r="J35" s="40">
        <f ca="1">IFERROR(__xludf.DUMMYFUNCTION("IF(SUM(COUNTIF(artists!C:C, SPLIT(D35, "",""))) &gt; 0, ""RU"", 0)"),0)</f>
        <v>0</v>
      </c>
      <c r="K35" s="39">
        <f ca="1">IFERROR(__xludf.DUMMYFUNCTION("IF(SUM(COUNTIF(artists!E:E, SPLIT(D35, "",""))) &gt; 0, ""OTHER"", 0)"),0)</f>
        <v>0</v>
      </c>
    </row>
    <row r="36" spans="1:11" ht="14.25" customHeight="1">
      <c r="A36" s="21">
        <v>35</v>
      </c>
      <c r="B36" s="21">
        <v>29</v>
      </c>
      <c r="C36" s="21" t="s">
        <v>616</v>
      </c>
      <c r="D36" s="21" t="s">
        <v>617</v>
      </c>
      <c r="E36" s="21">
        <v>14</v>
      </c>
      <c r="F36" s="21">
        <v>295433</v>
      </c>
      <c r="G36" s="42">
        <v>-0.13700000000000001</v>
      </c>
      <c r="H36" s="21" t="s">
        <v>618</v>
      </c>
      <c r="I36" s="39">
        <f ca="1">IFERROR(__xludf.DUMMYFUNCTION("IF(SUM(COUNTIF(artists!A:A, SPLIT(D36, "",""))) &gt; 0, ""UA"", 0)"),0)</f>
        <v>0</v>
      </c>
      <c r="J36" s="40">
        <f ca="1">IFERROR(__xludf.DUMMYFUNCTION("IF(SUM(COUNTIF(artists!C:C, SPLIT(D36, "",""))) &gt; 0, ""RU"", 0)"),0)</f>
        <v>0</v>
      </c>
      <c r="K36" s="39" t="str">
        <f ca="1">IFERROR(__xludf.DUMMYFUNCTION("IF(SUM(COUNTIF(artists!E:E, SPLIT(D36, "",""))) &gt; 0, ""OTHER"", 0)"),"OTHER")</f>
        <v>OTHER</v>
      </c>
    </row>
    <row r="37" spans="1:11" ht="14.25" customHeight="1">
      <c r="A37" s="21">
        <v>36</v>
      </c>
      <c r="B37" s="21">
        <v>38</v>
      </c>
      <c r="C37" s="21" t="s">
        <v>921</v>
      </c>
      <c r="D37" s="21" t="s">
        <v>922</v>
      </c>
      <c r="E37" s="21">
        <v>16</v>
      </c>
      <c r="F37" s="21">
        <v>290518</v>
      </c>
      <c r="G37" s="42">
        <v>2.8000000000000001E-2</v>
      </c>
      <c r="H37" s="21" t="s">
        <v>923</v>
      </c>
      <c r="I37" s="39" t="str">
        <f ca="1">IFERROR(__xludf.DUMMYFUNCTION("IF(SUM(COUNTIF(artists!A:A, SPLIT(D37, "",""))) &gt; 0, ""UA"", 0)"),"UA")</f>
        <v>UA</v>
      </c>
      <c r="J37" s="40">
        <f ca="1">IFERROR(__xludf.DUMMYFUNCTION("IF(SUM(COUNTIF(artists!C:C, SPLIT(D37, "",""))) &gt; 0, ""RU"", 0)"),0)</f>
        <v>0</v>
      </c>
      <c r="K37" s="39">
        <f ca="1">IFERROR(__xludf.DUMMYFUNCTION("IF(SUM(COUNTIF(artists!E:E, SPLIT(D37, "",""))) &gt; 0, ""OTHER"", 0)"),0)</f>
        <v>0</v>
      </c>
    </row>
    <row r="38" spans="1:11" ht="14.25" customHeight="1">
      <c r="A38" s="21">
        <v>37</v>
      </c>
      <c r="B38" s="21">
        <v>33</v>
      </c>
      <c r="C38" s="21" t="s">
        <v>895</v>
      </c>
      <c r="D38" s="21" t="s">
        <v>896</v>
      </c>
      <c r="E38" s="21">
        <v>36</v>
      </c>
      <c r="F38" s="21">
        <v>290269</v>
      </c>
      <c r="G38" s="42">
        <v>-4.2999999999999997E-2</v>
      </c>
      <c r="H38" s="21" t="s">
        <v>897</v>
      </c>
      <c r="I38" s="39" t="str">
        <f ca="1">IFERROR(__xludf.DUMMYFUNCTION("IF(SUM(COUNTIF(artists!A:A, SPLIT(D38, "",""))) &gt; 0, ""UA"", 0)"),"UA")</f>
        <v>UA</v>
      </c>
      <c r="J38" s="40">
        <f ca="1">IFERROR(__xludf.DUMMYFUNCTION("IF(SUM(COUNTIF(artists!C:C, SPLIT(D38, "",""))) &gt; 0, ""RU"", 0)"),0)</f>
        <v>0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B39" s="21">
        <v>32</v>
      </c>
      <c r="C39" s="21" t="s">
        <v>1032</v>
      </c>
      <c r="D39" s="21" t="s">
        <v>1033</v>
      </c>
      <c r="E39" s="21">
        <v>4</v>
      </c>
      <c r="F39" s="21">
        <v>282402</v>
      </c>
      <c r="G39" s="43">
        <v>-0.1</v>
      </c>
      <c r="H39" s="21" t="s">
        <v>1034</v>
      </c>
      <c r="I39" s="39" t="str">
        <f ca="1">IFERROR(__xludf.DUMMYFUNCTION("IF(SUM(COUNTIF(artists!A:A, SPLIT(D39, "",""))) &gt; 0, ""UA"", 0)"),"UA")</f>
        <v>UA</v>
      </c>
      <c r="J39" s="40">
        <f ca="1">IFERROR(__xludf.DUMMYFUNCTION("IF(SUM(COUNTIF(artists!C:C, SPLIT(D39, "",""))) &gt; 0, ""RU"", 0)"),0)</f>
        <v>0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B40" s="21">
        <v>50</v>
      </c>
      <c r="C40" s="21" t="s">
        <v>527</v>
      </c>
      <c r="D40" s="21" t="s">
        <v>528</v>
      </c>
      <c r="E40" s="21">
        <v>3</v>
      </c>
      <c r="F40" s="21">
        <v>270916</v>
      </c>
      <c r="G40" s="42">
        <v>0.123</v>
      </c>
      <c r="H40" s="21" t="s">
        <v>529</v>
      </c>
      <c r="I40" s="39" t="str">
        <f ca="1">IFERROR(__xludf.DUMMYFUNCTION("IF(SUM(COUNTIF(artists!A:A, SPLIT(D40, "",""))) &gt; 0, ""UA"", 0)"),"UA")</f>
        <v>UA</v>
      </c>
      <c r="J40" s="40">
        <f ca="1">IFERROR(__xludf.DUMMYFUNCTION("IF(SUM(COUNTIF(artists!C:C, SPLIT(D40, "",""))) &gt; 0, ""RU"", 0)"),0)</f>
        <v>0</v>
      </c>
      <c r="K40" s="39">
        <f ca="1">IFERROR(__xludf.DUMMYFUNCTION("IF(SUM(COUNTIF(artists!E:E, SPLIT(D40, "",""))) &gt; 0, ""OTHER"", 0)"),0)</f>
        <v>0</v>
      </c>
    </row>
    <row r="41" spans="1:11" ht="14.25" customHeight="1">
      <c r="A41" s="21">
        <v>40</v>
      </c>
      <c r="B41" s="21">
        <v>43</v>
      </c>
      <c r="C41" s="21" t="s">
        <v>667</v>
      </c>
      <c r="D41" s="21" t="s">
        <v>668</v>
      </c>
      <c r="E41" s="21">
        <v>5</v>
      </c>
      <c r="F41" s="21">
        <v>261333</v>
      </c>
      <c r="G41" s="42">
        <v>4.0000000000000001E-3</v>
      </c>
      <c r="H41" s="21" t="s">
        <v>669</v>
      </c>
      <c r="I41" s="39">
        <f ca="1">IFERROR(__xludf.DUMMYFUNCTION("IF(SUM(COUNTIF(artists!A:A, SPLIT(D41, "",""))) &gt; 0, ""UA"", 0)"),0)</f>
        <v>0</v>
      </c>
      <c r="J41" s="40" t="str">
        <f ca="1">IFERROR(__xludf.DUMMYFUNCTION("IF(SUM(COUNTIF(artists!C:C, SPLIT(D41, "",""))) &gt; 0, ""RU"", 0)"),"RU")</f>
        <v>RU</v>
      </c>
      <c r="K41" s="39">
        <f ca="1">IFERROR(__xludf.DUMMYFUNCTION("IF(SUM(COUNTIF(artists!E:E, SPLIT(D41, "",""))) &gt; 0, ""OTHER"", 0)"),0)</f>
        <v>0</v>
      </c>
    </row>
    <row r="42" spans="1:11" ht="14.25" customHeight="1">
      <c r="A42" s="21">
        <v>41</v>
      </c>
      <c r="B42" s="21">
        <v>36</v>
      </c>
      <c r="C42" s="21" t="s">
        <v>462</v>
      </c>
      <c r="D42" s="21" t="s">
        <v>463</v>
      </c>
      <c r="E42" s="21">
        <v>15</v>
      </c>
      <c r="F42" s="21">
        <v>257873</v>
      </c>
      <c r="G42" s="42">
        <v>-0.14099999999999999</v>
      </c>
      <c r="H42" s="21" t="s">
        <v>465</v>
      </c>
      <c r="I42" s="39" t="str">
        <f ca="1">IFERROR(__xludf.DUMMYFUNCTION("IF(SUM(COUNTIF(artists!A:A, SPLIT(D42, "",""))) &gt; 0, ""UA"", 0)"),"UA")</f>
        <v>UA</v>
      </c>
      <c r="J42" s="40">
        <f ca="1">IFERROR(__xludf.DUMMYFUNCTION("IF(SUM(COUNTIF(artists!C:C, SPLIT(D42, "",""))) &gt; 0, ""RU"", 0)"),0)</f>
        <v>0</v>
      </c>
      <c r="K42" s="39">
        <f ca="1">IFERROR(__xludf.DUMMYFUNCTION("IF(SUM(COUNTIF(artists!E:E, SPLIT(D42, "",""))) &gt; 0, ""OTHER"", 0)"),0)</f>
        <v>0</v>
      </c>
    </row>
    <row r="43" spans="1:11" ht="14.25" customHeight="1">
      <c r="A43" s="21">
        <v>42</v>
      </c>
      <c r="B43" s="21">
        <v>47</v>
      </c>
      <c r="C43" s="21" t="s">
        <v>508</v>
      </c>
      <c r="D43" s="21" t="s">
        <v>509</v>
      </c>
      <c r="E43" s="21">
        <v>5</v>
      </c>
      <c r="F43" s="21">
        <v>249060</v>
      </c>
      <c r="G43" s="42">
        <v>3.0000000000000001E-3</v>
      </c>
      <c r="H43" s="21" t="s">
        <v>510</v>
      </c>
      <c r="I43" s="39">
        <f ca="1">IFERROR(__xludf.DUMMYFUNCTION("IF(SUM(COUNTIF(artists!A:A, SPLIT(D43, "",""))) &gt; 0, ""UA"", 0)"),0)</f>
        <v>0</v>
      </c>
      <c r="J43" s="40" t="str">
        <f ca="1">IFERROR(__xludf.DUMMYFUNCTION("IF(SUM(COUNTIF(artists!C:C, SPLIT(D43, "",""))) &gt; 0, ""RU"", 0)"),"RU")</f>
        <v>RU</v>
      </c>
      <c r="K43" s="39">
        <f ca="1">IFERROR(__xludf.DUMMYFUNCTION("IF(SUM(COUNTIF(artists!E:E, SPLIT(D43, "",""))) &gt; 0, ""OTHER"", 0)"),0)</f>
        <v>0</v>
      </c>
    </row>
    <row r="44" spans="1:11" ht="14.25" customHeight="1">
      <c r="A44" s="21">
        <v>43</v>
      </c>
      <c r="B44" s="21">
        <v>48</v>
      </c>
      <c r="C44" s="21" t="s">
        <v>516</v>
      </c>
      <c r="D44" s="21" t="s">
        <v>517</v>
      </c>
      <c r="E44" s="21">
        <v>22</v>
      </c>
      <c r="F44" s="21">
        <v>245386</v>
      </c>
      <c r="G44" s="43">
        <v>0</v>
      </c>
      <c r="H44" s="21" t="s">
        <v>518</v>
      </c>
      <c r="I44" s="39">
        <f ca="1">IFERROR(__xludf.DUMMYFUNCTION("IF(SUM(COUNTIF(artists!A:A, SPLIT(D44, "",""))) &gt; 0, ""UA"", 0)"),0)</f>
        <v>0</v>
      </c>
      <c r="J44" s="40">
        <f ca="1">IFERROR(__xludf.DUMMYFUNCTION("IF(SUM(COUNTIF(artists!C:C, SPLIT(D44, "",""))) &gt; 0, ""RU"", 0)"),0)</f>
        <v>0</v>
      </c>
      <c r="K44" s="39" t="str">
        <f ca="1">IFERROR(__xludf.DUMMYFUNCTION("IF(SUM(COUNTIF(artists!E:E, SPLIT(D44, "",""))) &gt; 0, ""OTHER"", 0)"),"OTHER")</f>
        <v>OTHER</v>
      </c>
    </row>
    <row r="45" spans="1:11" ht="14.25" customHeight="1">
      <c r="A45" s="21">
        <v>44</v>
      </c>
      <c r="B45" s="21">
        <v>41</v>
      </c>
      <c r="C45" s="21" t="s">
        <v>168</v>
      </c>
      <c r="D45" s="21" t="s">
        <v>137</v>
      </c>
      <c r="E45" s="21">
        <v>15</v>
      </c>
      <c r="F45" s="21">
        <v>244694</v>
      </c>
      <c r="G45" s="42">
        <v>-7.9000000000000001E-2</v>
      </c>
      <c r="H45" s="21" t="s">
        <v>170</v>
      </c>
      <c r="I45" s="39" t="str">
        <f ca="1">IFERROR(__xludf.DUMMYFUNCTION("IF(SUM(COUNTIF(artists!A:A, SPLIT(D45, "",""))) &gt; 0, ""UA"", 0)"),"UA")</f>
        <v>UA</v>
      </c>
      <c r="J45" s="40">
        <f ca="1">IFERROR(__xludf.DUMMYFUNCTION("IF(SUM(COUNTIF(artists!C:C, SPLIT(D45, "",""))) &gt; 0, ""RU"", 0)"),0)</f>
        <v>0</v>
      </c>
      <c r="K45" s="39">
        <f ca="1">IFERROR(__xludf.DUMMYFUNCTION("IF(SUM(COUNTIF(artists!E:E, SPLIT(D45, "",""))) &gt; 0, ""OTHER"", 0)"),0)</f>
        <v>0</v>
      </c>
    </row>
    <row r="46" spans="1:11" ht="14.25" customHeight="1">
      <c r="A46" s="21">
        <v>45</v>
      </c>
      <c r="B46" s="21">
        <v>51</v>
      </c>
      <c r="C46" s="21" t="s">
        <v>1147</v>
      </c>
      <c r="D46" s="21" t="s">
        <v>776</v>
      </c>
      <c r="E46" s="21">
        <v>10</v>
      </c>
      <c r="F46" s="21">
        <v>243082</v>
      </c>
      <c r="G46" s="42">
        <v>8.9999999999999993E-3</v>
      </c>
      <c r="H46" s="21" t="s">
        <v>1148</v>
      </c>
      <c r="I46" s="39" t="str">
        <f ca="1">IFERROR(__xludf.DUMMYFUNCTION("IF(SUM(COUNTIF(artists!A:A, SPLIT(D46, "",""))) &gt; 0, ""UA"", 0)"),"UA")</f>
        <v>UA</v>
      </c>
      <c r="J46" s="40">
        <f ca="1">IFERROR(__xludf.DUMMYFUNCTION("IF(SUM(COUNTIF(artists!C:C, SPLIT(D46, "",""))) &gt; 0, ""RU"", 0)"),0)</f>
        <v>0</v>
      </c>
      <c r="K46" s="39">
        <f ca="1">IFERROR(__xludf.DUMMYFUNCTION("IF(SUM(COUNTIF(artists!E:E, SPLIT(D46, "",""))) &gt; 0, ""OTHER"", 0)"),0)</f>
        <v>0</v>
      </c>
    </row>
    <row r="47" spans="1:11" ht="14.25" customHeight="1">
      <c r="A47" s="21">
        <v>46</v>
      </c>
      <c r="C47" s="21" t="s">
        <v>1121</v>
      </c>
      <c r="D47" s="21" t="s">
        <v>104</v>
      </c>
      <c r="E47" s="21">
        <v>1</v>
      </c>
      <c r="F47" s="21">
        <v>241880</v>
      </c>
      <c r="H47" s="21" t="s">
        <v>1122</v>
      </c>
      <c r="I47" s="39" t="str">
        <f ca="1">IFERROR(__xludf.DUMMYFUNCTION("IF(SUM(COUNTIF(artists!A:A, SPLIT(D47, "",""))) &gt; 0, ""UA"", 0)"),"UA")</f>
        <v>UA</v>
      </c>
      <c r="J47" s="40">
        <f ca="1">IFERROR(__xludf.DUMMYFUNCTION("IF(SUM(COUNTIF(artists!C:C, SPLIT(D47, "",""))) &gt; 0, ""RU"", 0)"),0)</f>
        <v>0</v>
      </c>
      <c r="K47" s="39">
        <f ca="1">IFERROR(__xludf.DUMMYFUNCTION("IF(SUM(COUNTIF(artists!E:E, SPLIT(D47, "",""))) &gt; 0, ""OTHER"", 0)"),0)</f>
        <v>0</v>
      </c>
    </row>
    <row r="48" spans="1:11" ht="14.25" customHeight="1">
      <c r="A48" s="21">
        <v>47</v>
      </c>
      <c r="B48" s="21">
        <v>44</v>
      </c>
      <c r="C48" s="21" t="s">
        <v>887</v>
      </c>
      <c r="D48" s="21" t="s">
        <v>89</v>
      </c>
      <c r="E48" s="21">
        <v>31</v>
      </c>
      <c r="F48" s="21">
        <v>236262</v>
      </c>
      <c r="G48" s="42">
        <v>-8.7999999999999995E-2</v>
      </c>
      <c r="H48" s="21" t="s">
        <v>888</v>
      </c>
      <c r="I48" s="39" t="str">
        <f ca="1">IFERROR(__xludf.DUMMYFUNCTION("IF(SUM(COUNTIF(artists!A:A, SPLIT(D48, "",""))) &gt; 0, ""UA"", 0)"),"UA")</f>
        <v>UA</v>
      </c>
      <c r="J48" s="40">
        <f ca="1">IFERROR(__xludf.DUMMYFUNCTION("IF(SUM(COUNTIF(artists!C:C, SPLIT(D48, "",""))) &gt; 0, ""RU"", 0)"),0)</f>
        <v>0</v>
      </c>
      <c r="K48" s="39">
        <f ca="1">IFERROR(__xludf.DUMMYFUNCTION("IF(SUM(COUNTIF(artists!E:E, SPLIT(D48, "",""))) &gt; 0, ""OTHER"", 0)"),0)</f>
        <v>0</v>
      </c>
    </row>
    <row r="49" spans="1:11" ht="14.25" customHeight="1">
      <c r="A49" s="21">
        <v>48</v>
      </c>
      <c r="B49" s="21">
        <v>68</v>
      </c>
      <c r="C49" s="21" t="s">
        <v>963</v>
      </c>
      <c r="D49" s="21" t="s">
        <v>964</v>
      </c>
      <c r="E49" s="21">
        <v>3</v>
      </c>
      <c r="F49" s="21">
        <v>233966</v>
      </c>
      <c r="G49" s="42">
        <v>0.311</v>
      </c>
      <c r="H49" s="21" t="s">
        <v>965</v>
      </c>
      <c r="I49" s="39" t="str">
        <f ca="1">IFERROR(__xludf.DUMMYFUNCTION("IF(SUM(COUNTIF(artists!A:A, SPLIT(D49, "",""))) &gt; 0, ""UA"", 0)"),"UA")</f>
        <v>UA</v>
      </c>
      <c r="J49" s="40">
        <f ca="1">IFERROR(__xludf.DUMMYFUNCTION("IF(SUM(COUNTIF(artists!C:C, SPLIT(D49, "",""))) &gt; 0, ""RU"", 0)"),0)</f>
        <v>0</v>
      </c>
      <c r="K49" s="39">
        <f ca="1">IFERROR(__xludf.DUMMYFUNCTION("IF(SUM(COUNTIF(artists!E:E, SPLIT(D49, "",""))) &gt; 0, ""OTHER"", 0)"),0)</f>
        <v>0</v>
      </c>
    </row>
    <row r="50" spans="1:11" ht="14.25" customHeight="1">
      <c r="A50" s="21">
        <v>49</v>
      </c>
      <c r="B50" s="21">
        <v>63</v>
      </c>
      <c r="C50" s="21" t="s">
        <v>602</v>
      </c>
      <c r="D50" s="21" t="s">
        <v>299</v>
      </c>
      <c r="E50" s="21">
        <v>5</v>
      </c>
      <c r="F50" s="21">
        <v>233924</v>
      </c>
      <c r="G50" s="42">
        <v>0.22800000000000001</v>
      </c>
      <c r="H50" s="21" t="s">
        <v>604</v>
      </c>
      <c r="I50" s="39">
        <f ca="1">IFERROR(__xludf.DUMMYFUNCTION("IF(SUM(COUNTIF(artists!A:A, SPLIT(D50, "",""))) &gt; 0, ""UA"", 0)"),0)</f>
        <v>0</v>
      </c>
      <c r="J50" s="40">
        <f ca="1">IFERROR(__xludf.DUMMYFUNCTION("IF(SUM(COUNTIF(artists!C:C, SPLIT(D50, "",""))) &gt; 0, ""RU"", 0)"),0)</f>
        <v>0</v>
      </c>
      <c r="K50" s="39" t="str">
        <f ca="1">IFERROR(__xludf.DUMMYFUNCTION("IF(SUM(COUNTIF(artists!E:E, SPLIT(D50, "",""))) &gt; 0, ""OTHER"", 0)"),"OTHER")</f>
        <v>OTHER</v>
      </c>
    </row>
    <row r="51" spans="1:11" ht="14.25" customHeight="1">
      <c r="A51" s="21">
        <v>50</v>
      </c>
      <c r="B51" s="21">
        <v>46</v>
      </c>
      <c r="C51" s="21" t="s">
        <v>1021</v>
      </c>
      <c r="D51" s="21" t="s">
        <v>1022</v>
      </c>
      <c r="E51" s="21">
        <v>4</v>
      </c>
      <c r="F51" s="21">
        <v>231328</v>
      </c>
      <c r="G51" s="42">
        <v>-0.10299999999999999</v>
      </c>
      <c r="H51" s="21" t="s">
        <v>1023</v>
      </c>
      <c r="I51" s="39">
        <f ca="1">IFERROR(__xludf.DUMMYFUNCTION("IF(SUM(COUNTIF(artists!A:A, SPLIT(D51, "",""))) &gt; 0, ""UA"", 0)"),0)</f>
        <v>0</v>
      </c>
      <c r="J51" s="40">
        <f ca="1">IFERROR(__xludf.DUMMYFUNCTION("IF(SUM(COUNTIF(artists!C:C, SPLIT(D51, "",""))) &gt; 0, ""RU"", 0)"),0)</f>
        <v>0</v>
      </c>
      <c r="K51" s="39" t="str">
        <f ca="1">IFERROR(__xludf.DUMMYFUNCTION("IF(SUM(COUNTIF(artists!E:E, SPLIT(D51, "",""))) &gt; 0, ""OTHER"", 0)"),"OTHER")</f>
        <v>OTHER</v>
      </c>
    </row>
    <row r="52" spans="1:11" ht="14.25" customHeight="1">
      <c r="A52" s="21">
        <v>51</v>
      </c>
      <c r="B52" s="21">
        <v>40</v>
      </c>
      <c r="C52" s="21" t="s">
        <v>524</v>
      </c>
      <c r="D52" s="21" t="s">
        <v>525</v>
      </c>
      <c r="E52" s="21">
        <v>8</v>
      </c>
      <c r="F52" s="21">
        <v>231256</v>
      </c>
      <c r="G52" s="42">
        <v>-0.13300000000000001</v>
      </c>
      <c r="H52" s="21" t="s">
        <v>526</v>
      </c>
      <c r="I52" s="39" t="str">
        <f ca="1">IFERROR(__xludf.DUMMYFUNCTION("IF(SUM(COUNTIF(artists!A:A, SPLIT(D52, "",""))) &gt; 0, ""UA"", 0)"),"UA")</f>
        <v>UA</v>
      </c>
      <c r="J52" s="40">
        <f ca="1">IFERROR(__xludf.DUMMYFUNCTION("IF(SUM(COUNTIF(artists!C:C, SPLIT(D52, "",""))) &gt; 0, ""RU"", 0)"),0)</f>
        <v>0</v>
      </c>
      <c r="K52" s="39">
        <f ca="1">IFERROR(__xludf.DUMMYFUNCTION("IF(SUM(COUNTIF(artists!E:E, SPLIT(D52, "",""))) &gt; 0, ""OTHER"", 0)"),0)</f>
        <v>0</v>
      </c>
    </row>
    <row r="53" spans="1:11" ht="14.25" customHeight="1">
      <c r="A53" s="21">
        <v>52</v>
      </c>
      <c r="B53" s="21">
        <v>53</v>
      </c>
      <c r="C53" s="21" t="s">
        <v>1178</v>
      </c>
      <c r="D53" s="21" t="s">
        <v>1117</v>
      </c>
      <c r="E53" s="21">
        <v>20</v>
      </c>
      <c r="F53" s="21">
        <v>225779</v>
      </c>
      <c r="G53" s="42">
        <v>4.0000000000000001E-3</v>
      </c>
      <c r="H53" s="21" t="s">
        <v>1179</v>
      </c>
      <c r="I53" s="39">
        <f ca="1">IFERROR(__xludf.DUMMYFUNCTION("IF(SUM(COUNTIF(artists!A:A, SPLIT(D53, "",""))) &gt; 0, ""UA"", 0)"),0)</f>
        <v>0</v>
      </c>
      <c r="J53" s="40" t="str">
        <f ca="1">IFERROR(__xludf.DUMMYFUNCTION("IF(SUM(COUNTIF(artists!C:C, SPLIT(D53, "",""))) &gt; 0, ""RU"", 0)"),"RU")</f>
        <v>RU</v>
      </c>
      <c r="K53" s="39">
        <f ca="1">IFERROR(__xludf.DUMMYFUNCTION("IF(SUM(COUNTIF(artists!E:E, SPLIT(D53, "",""))) &gt; 0, ""OTHER"", 0)"),0)</f>
        <v>0</v>
      </c>
    </row>
    <row r="54" spans="1:11" ht="14.25" customHeight="1">
      <c r="A54" s="21">
        <v>53</v>
      </c>
      <c r="B54" s="21">
        <v>45</v>
      </c>
      <c r="C54" s="21" t="s">
        <v>1073</v>
      </c>
      <c r="D54" s="21" t="s">
        <v>1074</v>
      </c>
      <c r="E54" s="21">
        <v>10</v>
      </c>
      <c r="F54" s="21">
        <v>222410</v>
      </c>
      <c r="G54" s="42">
        <v>-0.13900000000000001</v>
      </c>
      <c r="H54" s="21" t="s">
        <v>1075</v>
      </c>
      <c r="I54" s="39" t="str">
        <f ca="1">IFERROR(__xludf.DUMMYFUNCTION("IF(SUM(COUNTIF(artists!A:A, SPLIT(D54, "",""))) &gt; 0, ""UA"", 0)"),"UA")</f>
        <v>UA</v>
      </c>
      <c r="J54" s="40">
        <f ca="1">IFERROR(__xludf.DUMMYFUNCTION("IF(SUM(COUNTIF(artists!C:C, SPLIT(D54, "",""))) &gt; 0, ""RU"", 0)"),0)</f>
        <v>0</v>
      </c>
      <c r="K54" s="39">
        <f ca="1">IFERROR(__xludf.DUMMYFUNCTION("IF(SUM(COUNTIF(artists!E:E, SPLIT(D54, "",""))) &gt; 0, ""OTHER"", 0)"),0)</f>
        <v>0</v>
      </c>
    </row>
    <row r="55" spans="1:11" ht="14.25" customHeight="1">
      <c r="A55" s="21">
        <v>54</v>
      </c>
      <c r="B55" s="21">
        <v>57</v>
      </c>
      <c r="C55" s="21" t="s">
        <v>482</v>
      </c>
      <c r="D55" s="21" t="s">
        <v>210</v>
      </c>
      <c r="E55" s="21">
        <v>3</v>
      </c>
      <c r="F55" s="21">
        <v>216775</v>
      </c>
      <c r="G55" s="42">
        <v>6.2E-2</v>
      </c>
      <c r="H55" s="21" t="s">
        <v>484</v>
      </c>
      <c r="I55" s="39" t="str">
        <f ca="1">IFERROR(__xludf.DUMMYFUNCTION("IF(SUM(COUNTIF(artists!A:A, SPLIT(D55, "",""))) &gt; 0, ""UA"", 0)"),"UA")</f>
        <v>UA</v>
      </c>
      <c r="J55" s="40">
        <f ca="1">IFERROR(__xludf.DUMMYFUNCTION("IF(SUM(COUNTIF(artists!C:C, SPLIT(D55, "",""))) &gt; 0, ""RU"", 0)"),0)</f>
        <v>0</v>
      </c>
      <c r="K55" s="39">
        <f ca="1">IFERROR(__xludf.DUMMYFUNCTION("IF(SUM(COUNTIF(artists!E:E, SPLIT(D55, "",""))) &gt; 0, ""OTHER"", 0)"),0)</f>
        <v>0</v>
      </c>
    </row>
    <row r="56" spans="1:11" ht="14.25" customHeight="1">
      <c r="A56" s="21">
        <v>55</v>
      </c>
      <c r="B56" s="21">
        <v>55</v>
      </c>
      <c r="C56" s="21" t="s">
        <v>971</v>
      </c>
      <c r="D56" s="21" t="s">
        <v>972</v>
      </c>
      <c r="E56" s="21">
        <v>12</v>
      </c>
      <c r="F56" s="21">
        <v>215845</v>
      </c>
      <c r="G56" s="42">
        <v>4.3999999999999997E-2</v>
      </c>
      <c r="H56" s="21" t="s">
        <v>973</v>
      </c>
      <c r="I56" s="39">
        <f ca="1">IFERROR(__xludf.DUMMYFUNCTION("IF(SUM(COUNTIF(artists!A:A, SPLIT(D56, "",""))) &gt; 0, ""UA"", 0)"),0)</f>
        <v>0</v>
      </c>
      <c r="J56" s="40">
        <f ca="1">IFERROR(__xludf.DUMMYFUNCTION("IF(SUM(COUNTIF(artists!C:C, SPLIT(D56, "",""))) &gt; 0, ""RU"", 0)"),0)</f>
        <v>0</v>
      </c>
      <c r="K56" s="39" t="str">
        <f ca="1">IFERROR(__xludf.DUMMYFUNCTION("IF(SUM(COUNTIF(artists!E:E, SPLIT(D56, "",""))) &gt; 0, ""OTHER"", 0)"),"OTHER")</f>
        <v>OTHER</v>
      </c>
    </row>
    <row r="57" spans="1:11" ht="14.25" customHeight="1">
      <c r="A57" s="21">
        <v>56</v>
      </c>
      <c r="B57" s="21">
        <v>52</v>
      </c>
      <c r="C57" s="21" t="s">
        <v>497</v>
      </c>
      <c r="D57" s="21" t="s">
        <v>860</v>
      </c>
      <c r="E57" s="21">
        <v>4</v>
      </c>
      <c r="F57" s="21">
        <v>206947</v>
      </c>
      <c r="G57" s="42">
        <v>-8.2000000000000003E-2</v>
      </c>
      <c r="H57" s="21" t="s">
        <v>499</v>
      </c>
      <c r="I57" s="39" t="str">
        <f ca="1">IFERROR(__xludf.DUMMYFUNCTION("IF(SUM(COUNTIF(artists!A:A, SPLIT(D57, "",""))) &gt; 0, ""UA"", 0)"),"UA")</f>
        <v>UA</v>
      </c>
      <c r="J57" s="40">
        <f ca="1">IFERROR(__xludf.DUMMYFUNCTION("IF(SUM(COUNTIF(artists!C:C, SPLIT(D57, "",""))) &gt; 0, ""RU"", 0)"),0)</f>
        <v>0</v>
      </c>
      <c r="K57" s="39">
        <f ca="1">IFERROR(__xludf.DUMMYFUNCTION("IF(SUM(COUNTIF(artists!E:E, SPLIT(D57, "",""))) &gt; 0, ""OTHER"", 0)"),0)</f>
        <v>0</v>
      </c>
    </row>
    <row r="58" spans="1:11" ht="14.25" customHeight="1">
      <c r="A58" s="21">
        <v>57</v>
      </c>
      <c r="B58" s="21">
        <v>35</v>
      </c>
      <c r="C58" s="21" t="s">
        <v>1149</v>
      </c>
      <c r="D58" s="21" t="s">
        <v>1150</v>
      </c>
      <c r="E58" s="21">
        <v>2</v>
      </c>
      <c r="F58" s="21">
        <v>206132</v>
      </c>
      <c r="G58" s="42">
        <v>-0.315</v>
      </c>
      <c r="H58" s="21" t="s">
        <v>1151</v>
      </c>
      <c r="I58" s="39" t="str">
        <f ca="1">IFERROR(__xludf.DUMMYFUNCTION("IF(SUM(COUNTIF(artists!A:A, SPLIT(D58, "",""))) &gt; 0, ""UA"", 0)"),"UA")</f>
        <v>UA</v>
      </c>
      <c r="J58" s="40">
        <f ca="1">IFERROR(__xludf.DUMMYFUNCTION("IF(SUM(COUNTIF(artists!C:C, SPLIT(D58, "",""))) &gt; 0, ""RU"", 0)"),0)</f>
        <v>0</v>
      </c>
      <c r="K58" s="39">
        <f ca="1">IFERROR(__xludf.DUMMYFUNCTION("IF(SUM(COUNTIF(artists!E:E, SPLIT(D58, "",""))) &gt; 0, ""OTHER"", 0)"),0)</f>
        <v>0</v>
      </c>
    </row>
    <row r="59" spans="1:11" ht="14.25" customHeight="1">
      <c r="A59" s="21">
        <v>58</v>
      </c>
      <c r="B59" s="21">
        <v>76</v>
      </c>
      <c r="C59" s="21" t="s">
        <v>1013</v>
      </c>
      <c r="D59" s="21" t="s">
        <v>1014</v>
      </c>
      <c r="E59" s="21">
        <v>2</v>
      </c>
      <c r="F59" s="21">
        <v>203645</v>
      </c>
      <c r="G59" s="42">
        <v>0.25900000000000001</v>
      </c>
      <c r="H59" s="21" t="s">
        <v>1015</v>
      </c>
      <c r="I59" s="39" t="str">
        <f ca="1">IFERROR(__xludf.DUMMYFUNCTION("IF(SUM(COUNTIF(artists!A:A, SPLIT(D59, "",""))) &gt; 0, ""UA"", 0)"),"UA")</f>
        <v>UA</v>
      </c>
      <c r="J59" s="40">
        <f ca="1">IFERROR(__xludf.DUMMYFUNCTION("IF(SUM(COUNTIF(artists!C:C, SPLIT(D59, "",""))) &gt; 0, ""RU"", 0)"),0)</f>
        <v>0</v>
      </c>
      <c r="K59" s="39">
        <f ca="1">IFERROR(__xludf.DUMMYFUNCTION("IF(SUM(COUNTIF(artists!E:E, SPLIT(D59, "",""))) &gt; 0, ""OTHER"", 0)"),0)</f>
        <v>0</v>
      </c>
    </row>
    <row r="60" spans="1:11" ht="14.25" customHeight="1">
      <c r="A60" s="21">
        <v>59</v>
      </c>
      <c r="B60" s="21">
        <v>54</v>
      </c>
      <c r="C60" s="21" t="s">
        <v>1089</v>
      </c>
      <c r="D60" s="21" t="s">
        <v>125</v>
      </c>
      <c r="E60" s="21">
        <v>14</v>
      </c>
      <c r="F60" s="21">
        <v>202420</v>
      </c>
      <c r="G60" s="42">
        <v>-7.4999999999999997E-2</v>
      </c>
      <c r="H60" s="21" t="s">
        <v>1090</v>
      </c>
      <c r="I60" s="39">
        <f ca="1">IFERROR(__xludf.DUMMYFUNCTION("IF(SUM(COUNTIF(artists!A:A, SPLIT(D60, "",""))) &gt; 0, ""UA"", 0)"),0)</f>
        <v>0</v>
      </c>
      <c r="J60" s="40" t="str">
        <f ca="1">IFERROR(__xludf.DUMMYFUNCTION("IF(SUM(COUNTIF(artists!C:C, SPLIT(D60, "",""))) &gt; 0, ""RU"", 0)"),"RU")</f>
        <v>RU</v>
      </c>
      <c r="K60" s="39">
        <f ca="1">IFERROR(__xludf.DUMMYFUNCTION("IF(SUM(COUNTIF(artists!E:E, SPLIT(D60, "",""))) &gt; 0, ""OTHER"", 0)"),0)</f>
        <v>0</v>
      </c>
    </row>
    <row r="61" spans="1:11" ht="14.25" customHeight="1">
      <c r="A61" s="21">
        <v>60</v>
      </c>
      <c r="B61" s="21">
        <v>62</v>
      </c>
      <c r="C61" s="21" t="s">
        <v>1029</v>
      </c>
      <c r="D61" s="21" t="s">
        <v>1030</v>
      </c>
      <c r="E61" s="21">
        <v>6</v>
      </c>
      <c r="F61" s="21">
        <v>199693</v>
      </c>
      <c r="G61" s="42">
        <v>3.4000000000000002E-2</v>
      </c>
      <c r="H61" s="21" t="s">
        <v>1031</v>
      </c>
      <c r="I61" s="39" t="str">
        <f ca="1">IFERROR(__xludf.DUMMYFUNCTION("IF(SUM(COUNTIF(artists!A:A, SPLIT(D61, "",""))) &gt; 0, ""UA"", 0)"),"UA")</f>
        <v>UA</v>
      </c>
      <c r="J61" s="40">
        <f ca="1">IFERROR(__xludf.DUMMYFUNCTION("IF(SUM(COUNTIF(artists!C:C, SPLIT(D61, "",""))) &gt; 0, ""RU"", 0)"),0)</f>
        <v>0</v>
      </c>
      <c r="K61" s="39">
        <f ca="1">IFERROR(__xludf.DUMMYFUNCTION("IF(SUM(COUNTIF(artists!E:E, SPLIT(D61, "",""))) &gt; 0, ""OTHER"", 0)"),0)</f>
        <v>0</v>
      </c>
    </row>
    <row r="62" spans="1:11" ht="14.25" customHeight="1">
      <c r="A62" s="21">
        <v>61</v>
      </c>
      <c r="C62" s="21" t="s">
        <v>1180</v>
      </c>
      <c r="D62" s="21" t="s">
        <v>916</v>
      </c>
      <c r="E62" s="21">
        <v>1</v>
      </c>
      <c r="F62" s="21">
        <v>198471</v>
      </c>
      <c r="H62" s="21" t="s">
        <v>1181</v>
      </c>
      <c r="I62" s="39">
        <f ca="1">IFERROR(__xludf.DUMMYFUNCTION("IF(SUM(COUNTIF(artists!A:A, SPLIT(D62, "",""))) &gt; 0, ""UA"", 0)"),0)</f>
        <v>0</v>
      </c>
      <c r="J62" s="40" t="str">
        <f ca="1">IFERROR(__xludf.DUMMYFUNCTION("IF(SUM(COUNTIF(artists!C:C, SPLIT(D62, "",""))) &gt; 0, ""RU"", 0)"),"RU")</f>
        <v>RU</v>
      </c>
      <c r="K62" s="39">
        <f ca="1">IFERROR(__xludf.DUMMYFUNCTION("IF(SUM(COUNTIF(artists!E:E, SPLIT(D62, "",""))) &gt; 0, ""OTHER"", 0)"),0)</f>
        <v>0</v>
      </c>
    </row>
    <row r="63" spans="1:11" ht="14.25" customHeight="1">
      <c r="A63" s="21">
        <v>62</v>
      </c>
      <c r="B63" s="21">
        <v>49</v>
      </c>
      <c r="C63" s="21" t="s">
        <v>1154</v>
      </c>
      <c r="D63" s="21" t="s">
        <v>1155</v>
      </c>
      <c r="E63" s="21">
        <v>3</v>
      </c>
      <c r="F63" s="21">
        <v>195079</v>
      </c>
      <c r="G63" s="43">
        <v>-0.2</v>
      </c>
      <c r="H63" s="21" t="s">
        <v>1156</v>
      </c>
      <c r="I63" s="39" t="str">
        <f ca="1">IFERROR(__xludf.DUMMYFUNCTION("IF(SUM(COUNTIF(artists!A:A, SPLIT(D63, "",""))) &gt; 0, ""UA"", 0)"),"UA")</f>
        <v>UA</v>
      </c>
      <c r="J63" s="40">
        <f ca="1">IFERROR(__xludf.DUMMYFUNCTION("IF(SUM(COUNTIF(artists!C:C, SPLIT(D63, "",""))) &gt; 0, ""RU"", 0)"),0)</f>
        <v>0</v>
      </c>
      <c r="K63" s="39">
        <f ca="1">IFERROR(__xludf.DUMMYFUNCTION("IF(SUM(COUNTIF(artists!E:E, SPLIT(D63, "",""))) &gt; 0, ""OTHER"", 0)"),0)</f>
        <v>0</v>
      </c>
    </row>
    <row r="64" spans="1:11" ht="14.25" customHeight="1">
      <c r="A64" s="21">
        <v>63</v>
      </c>
      <c r="C64" s="21" t="s">
        <v>1182</v>
      </c>
      <c r="D64" s="21" t="s">
        <v>466</v>
      </c>
      <c r="E64" s="21">
        <v>22</v>
      </c>
      <c r="F64" s="21">
        <v>193407</v>
      </c>
      <c r="H64" s="21" t="s">
        <v>1183</v>
      </c>
      <c r="I64" s="39" t="str">
        <f ca="1">IFERROR(__xludf.DUMMYFUNCTION("IF(SUM(COUNTIF(artists!A:A, SPLIT(D64, "",""))) &gt; 0, ""UA"", 0)"),"UA")</f>
        <v>UA</v>
      </c>
      <c r="J64" s="40">
        <f ca="1">IFERROR(__xludf.DUMMYFUNCTION("IF(SUM(COUNTIF(artists!C:C, SPLIT(D64, "",""))) &gt; 0, ""RU"", 0)"),0)</f>
        <v>0</v>
      </c>
      <c r="K64" s="39">
        <f ca="1">IFERROR(__xludf.DUMMYFUNCTION("IF(SUM(COUNTIF(artists!E:E, SPLIT(D64, "",""))) &gt; 0, ""OTHER"", 0)"),0)</f>
        <v>0</v>
      </c>
    </row>
    <row r="65" spans="1:11" ht="14.25" customHeight="1">
      <c r="A65" s="21">
        <v>64</v>
      </c>
      <c r="B65" s="21">
        <v>81</v>
      </c>
      <c r="C65" s="21" t="s">
        <v>605</v>
      </c>
      <c r="D65" s="21" t="s">
        <v>299</v>
      </c>
      <c r="E65" s="21">
        <v>5</v>
      </c>
      <c r="F65" s="21">
        <v>190875</v>
      </c>
      <c r="G65" s="42">
        <v>0.23699999999999999</v>
      </c>
      <c r="H65" s="21" t="s">
        <v>607</v>
      </c>
      <c r="I65" s="39">
        <f ca="1">IFERROR(__xludf.DUMMYFUNCTION("IF(SUM(COUNTIF(artists!A:A, SPLIT(D65, "",""))) &gt; 0, ""UA"", 0)"),0)</f>
        <v>0</v>
      </c>
      <c r="J65" s="40">
        <f ca="1">IFERROR(__xludf.DUMMYFUNCTION("IF(SUM(COUNTIF(artists!C:C, SPLIT(D65, "",""))) &gt; 0, ""RU"", 0)"),0)</f>
        <v>0</v>
      </c>
      <c r="K65" s="39" t="str">
        <f ca="1">IFERROR(__xludf.DUMMYFUNCTION("IF(SUM(COUNTIF(artists!E:E, SPLIT(D65, "",""))) &gt; 0, ""OTHER"", 0)"),"OTHER")</f>
        <v>OTHER</v>
      </c>
    </row>
    <row r="66" spans="1:11" ht="14.25" customHeight="1">
      <c r="A66" s="21">
        <v>65</v>
      </c>
      <c r="B66" s="21">
        <v>93</v>
      </c>
      <c r="C66" s="21" t="s">
        <v>343</v>
      </c>
      <c r="D66" s="21" t="s">
        <v>344</v>
      </c>
      <c r="E66" s="21">
        <v>5</v>
      </c>
      <c r="F66" s="21">
        <v>189949</v>
      </c>
      <c r="G66" s="42">
        <v>0.311</v>
      </c>
      <c r="H66" s="21" t="s">
        <v>346</v>
      </c>
      <c r="I66" s="39" t="str">
        <f ca="1">IFERROR(__xludf.DUMMYFUNCTION("IF(SUM(COUNTIF(artists!A:A, SPLIT(D66, "",""))) &gt; 0, ""UA"", 0)"),"UA")</f>
        <v>UA</v>
      </c>
      <c r="J66" s="40">
        <f ca="1">IFERROR(__xludf.DUMMYFUNCTION("IF(SUM(COUNTIF(artists!C:C, SPLIT(D66, "",""))) &gt; 0, ""RU"", 0)"),0)</f>
        <v>0</v>
      </c>
      <c r="K66" s="39">
        <f ca="1">IFERROR(__xludf.DUMMYFUNCTION("IF(SUM(COUNTIF(artists!E:E, SPLIT(D66, "",""))) &gt; 0, ""OTHER"", 0)"),0)</f>
        <v>0</v>
      </c>
    </row>
    <row r="67" spans="1:11" ht="14.25" customHeight="1">
      <c r="A67" s="21">
        <v>66</v>
      </c>
      <c r="B67" s="21">
        <v>61</v>
      </c>
      <c r="C67" s="21" t="s">
        <v>589</v>
      </c>
      <c r="D67" s="21" t="s">
        <v>590</v>
      </c>
      <c r="E67" s="21">
        <v>12</v>
      </c>
      <c r="F67" s="21">
        <v>189583</v>
      </c>
      <c r="G67" s="42">
        <v>-3.6999999999999998E-2</v>
      </c>
      <c r="H67" s="21" t="s">
        <v>591</v>
      </c>
      <c r="I67" s="39" t="str">
        <f ca="1">IFERROR(__xludf.DUMMYFUNCTION("IF(SUM(COUNTIF(artists!A:A, SPLIT(D67, "",""))) &gt; 0, ""UA"", 0)"),"UA")</f>
        <v>UA</v>
      </c>
      <c r="J67" s="40">
        <f ca="1">IFERROR(__xludf.DUMMYFUNCTION("IF(SUM(COUNTIF(artists!C:C, SPLIT(D67, "",""))) &gt; 0, ""RU"", 0)"),0)</f>
        <v>0</v>
      </c>
      <c r="K67" s="39">
        <f ca="1">IFERROR(__xludf.DUMMYFUNCTION("IF(SUM(COUNTIF(artists!E:E, SPLIT(D67, "",""))) &gt; 0, ""OTHER"", 0)"),0)</f>
        <v>0</v>
      </c>
    </row>
    <row r="68" spans="1:11" ht="14.25" customHeight="1">
      <c r="A68" s="21">
        <v>67</v>
      </c>
      <c r="B68" s="21">
        <v>67</v>
      </c>
      <c r="C68" s="21" t="s">
        <v>1076</v>
      </c>
      <c r="D68" s="21" t="s">
        <v>1077</v>
      </c>
      <c r="E68" s="21">
        <v>15</v>
      </c>
      <c r="F68" s="21">
        <v>187970</v>
      </c>
      <c r="G68" s="42">
        <v>2.1000000000000001E-2</v>
      </c>
      <c r="H68" s="21" t="s">
        <v>1078</v>
      </c>
      <c r="I68" s="39" t="str">
        <f ca="1">IFERROR(__xludf.DUMMYFUNCTION("IF(SUM(COUNTIF(artists!A:A, SPLIT(D68, "",""))) &gt; 0, ""UA"", 0)"),"UA")</f>
        <v>UA</v>
      </c>
      <c r="J68" s="40">
        <f ca="1">IFERROR(__xludf.DUMMYFUNCTION("IF(SUM(COUNTIF(artists!C:C, SPLIT(D68, "",""))) &gt; 0, ""RU"", 0)"),0)</f>
        <v>0</v>
      </c>
      <c r="K68" s="39">
        <f ca="1">IFERROR(__xludf.DUMMYFUNCTION("IF(SUM(COUNTIF(artists!E:E, SPLIT(D68, "",""))) &gt; 0, ""OTHER"", 0)"),0)</f>
        <v>0</v>
      </c>
    </row>
    <row r="69" spans="1:11" ht="14.25" customHeight="1">
      <c r="A69" s="21">
        <v>68</v>
      </c>
      <c r="B69" s="21">
        <v>58</v>
      </c>
      <c r="C69" s="21" t="s">
        <v>284</v>
      </c>
      <c r="D69" s="21" t="s">
        <v>15</v>
      </c>
      <c r="E69" s="21">
        <v>11</v>
      </c>
      <c r="F69" s="21">
        <v>187381</v>
      </c>
      <c r="G69" s="42">
        <v>-7.4999999999999997E-2</v>
      </c>
      <c r="H69" s="21" t="s">
        <v>285</v>
      </c>
      <c r="I69" s="39">
        <f ca="1">IFERROR(__xludf.DUMMYFUNCTION("IF(SUM(COUNTIF(artists!A:A, SPLIT(D69, "",""))) &gt; 0, ""UA"", 0)"),0)</f>
        <v>0</v>
      </c>
      <c r="J69" s="40">
        <f ca="1">IFERROR(__xludf.DUMMYFUNCTION("IF(SUM(COUNTIF(artists!C:C, SPLIT(D69, "",""))) &gt; 0, ""RU"", 0)"),0)</f>
        <v>0</v>
      </c>
      <c r="K69" s="39" t="str">
        <f ca="1">IFERROR(__xludf.DUMMYFUNCTION("IF(SUM(COUNTIF(artists!E:E, SPLIT(D69, "",""))) &gt; 0, ""OTHER"", 0)"),"OTHER")</f>
        <v>OTHER</v>
      </c>
    </row>
    <row r="70" spans="1:11" ht="14.25" customHeight="1">
      <c r="A70" s="21">
        <v>69</v>
      </c>
      <c r="B70" s="21">
        <v>59</v>
      </c>
      <c r="C70" s="21" t="s">
        <v>868</v>
      </c>
      <c r="D70" s="21" t="s">
        <v>869</v>
      </c>
      <c r="E70" s="21">
        <v>8</v>
      </c>
      <c r="F70" s="21">
        <v>187316</v>
      </c>
      <c r="G70" s="42">
        <v>-6.2E-2</v>
      </c>
      <c r="H70" s="21" t="s">
        <v>870</v>
      </c>
      <c r="I70" s="39">
        <f ca="1">IFERROR(__xludf.DUMMYFUNCTION("IF(SUM(COUNTIF(artists!A:A, SPLIT(D70, "",""))) &gt; 0, ""UA"", 0)"),0)</f>
        <v>0</v>
      </c>
      <c r="J70" s="40" t="str">
        <f ca="1">IFERROR(__xludf.DUMMYFUNCTION("IF(SUM(COUNTIF(artists!C:C, SPLIT(D70, "",""))) &gt; 0, ""RU"", 0)"),"RU")</f>
        <v>RU</v>
      </c>
      <c r="K70" s="39">
        <f ca="1">IFERROR(__xludf.DUMMYFUNCTION("IF(SUM(COUNTIF(artists!E:E, SPLIT(D70, "",""))) &gt; 0, ""OTHER"", 0)"),0)</f>
        <v>0</v>
      </c>
    </row>
    <row r="71" spans="1:11" ht="14.25" customHeight="1">
      <c r="A71" s="21">
        <v>70</v>
      </c>
      <c r="B71" s="21">
        <v>72</v>
      </c>
      <c r="C71" s="21" t="s">
        <v>264</v>
      </c>
      <c r="D71" s="21" t="s">
        <v>265</v>
      </c>
      <c r="E71" s="21">
        <v>2</v>
      </c>
      <c r="F71" s="21">
        <v>185839</v>
      </c>
      <c r="G71" s="42">
        <v>0.104</v>
      </c>
      <c r="H71" s="21" t="s">
        <v>267</v>
      </c>
      <c r="I71" s="39">
        <f ca="1">IFERROR(__xludf.DUMMYFUNCTION("IF(SUM(COUNTIF(artists!A:A, SPLIT(D71, "",""))) &gt; 0, ""UA"", 0)"),0)</f>
        <v>0</v>
      </c>
      <c r="J71" s="40">
        <f ca="1">IFERROR(__xludf.DUMMYFUNCTION("IF(SUM(COUNTIF(artists!C:C, SPLIT(D71, "",""))) &gt; 0, ""RU"", 0)"),0)</f>
        <v>0</v>
      </c>
      <c r="K71" s="39" t="str">
        <f ca="1">IFERROR(__xludf.DUMMYFUNCTION("IF(SUM(COUNTIF(artists!E:E, SPLIT(D71, "",""))) &gt; 0, ""OTHER"", 0)"),"OTHER")</f>
        <v>OTHER</v>
      </c>
    </row>
    <row r="72" spans="1:11" ht="14.25" customHeight="1">
      <c r="A72" s="21">
        <v>71</v>
      </c>
      <c r="B72" s="21">
        <v>56</v>
      </c>
      <c r="C72" s="21" t="s">
        <v>903</v>
      </c>
      <c r="D72" s="21" t="s">
        <v>904</v>
      </c>
      <c r="E72" s="21">
        <v>16</v>
      </c>
      <c r="F72" s="21">
        <v>174547</v>
      </c>
      <c r="G72" s="42">
        <v>-0.155</v>
      </c>
      <c r="H72" s="21" t="s">
        <v>905</v>
      </c>
      <c r="I72" s="39" t="str">
        <f ca="1">IFERROR(__xludf.DUMMYFUNCTION("IF(SUM(COUNTIF(artists!A:A, SPLIT(D72, "",""))) &gt; 0, ""UA"", 0)"),"UA")</f>
        <v>UA</v>
      </c>
      <c r="J72" s="40">
        <f ca="1">IFERROR(__xludf.DUMMYFUNCTION("IF(SUM(COUNTIF(artists!C:C, SPLIT(D72, "",""))) &gt; 0, ""RU"", 0)"),0)</f>
        <v>0</v>
      </c>
      <c r="K72" s="39">
        <f ca="1">IFERROR(__xludf.DUMMYFUNCTION("IF(SUM(COUNTIF(artists!E:E, SPLIT(D72, "",""))) &gt; 0, ""OTHER"", 0)"),0)</f>
        <v>0</v>
      </c>
    </row>
    <row r="73" spans="1:11" ht="14.25" customHeight="1">
      <c r="A73" s="21">
        <v>72</v>
      </c>
      <c r="B73" s="21">
        <v>66</v>
      </c>
      <c r="C73" s="21" t="s">
        <v>1184</v>
      </c>
      <c r="D73" s="21" t="s">
        <v>1185</v>
      </c>
      <c r="E73" s="21">
        <v>2</v>
      </c>
      <c r="F73" s="21">
        <v>174331</v>
      </c>
      <c r="G73" s="42">
        <v>-7.1999999999999995E-2</v>
      </c>
      <c r="H73" s="21" t="s">
        <v>1186</v>
      </c>
      <c r="I73" s="39">
        <f ca="1">IFERROR(__xludf.DUMMYFUNCTION("IF(SUM(COUNTIF(artists!A:A, SPLIT(D73, "",""))) &gt; 0, ""UA"", 0)"),0)</f>
        <v>0</v>
      </c>
      <c r="J73" s="40">
        <f ca="1">IFERROR(__xludf.DUMMYFUNCTION("IF(SUM(COUNTIF(artists!C:C, SPLIT(D73, "",""))) &gt; 0, ""RU"", 0)"),0)</f>
        <v>0</v>
      </c>
      <c r="K73" s="39" t="str">
        <f ca="1">IFERROR(__xludf.DUMMYFUNCTION("IF(SUM(COUNTIF(artists!E:E, SPLIT(D73, "",""))) &gt; 0, ""OTHER"", 0)"),"OTHER")</f>
        <v>OTHER</v>
      </c>
    </row>
    <row r="74" spans="1:11" ht="14.25" customHeight="1">
      <c r="A74" s="21">
        <v>73</v>
      </c>
      <c r="B74" s="21">
        <v>73</v>
      </c>
      <c r="C74" s="21" t="s">
        <v>520</v>
      </c>
      <c r="D74" s="21" t="s">
        <v>521</v>
      </c>
      <c r="E74" s="21">
        <v>15</v>
      </c>
      <c r="F74" s="21">
        <v>173422</v>
      </c>
      <c r="G74" s="42">
        <v>5.0999999999999997E-2</v>
      </c>
      <c r="H74" s="21" t="s">
        <v>522</v>
      </c>
      <c r="I74" s="39" t="str">
        <f ca="1">IFERROR(__xludf.DUMMYFUNCTION("IF(SUM(COUNTIF(artists!A:A, SPLIT(D74, "",""))) &gt; 0, ""UA"", 0)"),"UA")</f>
        <v>UA</v>
      </c>
      <c r="J74" s="40">
        <f ca="1">IFERROR(__xludf.DUMMYFUNCTION("IF(SUM(COUNTIF(artists!C:C, SPLIT(D74, "",""))) &gt; 0, ""RU"", 0)"),0)</f>
        <v>0</v>
      </c>
      <c r="K74" s="39">
        <f ca="1">IFERROR(__xludf.DUMMYFUNCTION("IF(SUM(COUNTIF(artists!E:E, SPLIT(D74, "",""))) &gt; 0, ""OTHER"", 0)"),0)</f>
        <v>0</v>
      </c>
    </row>
    <row r="75" spans="1:11" ht="14.25" customHeight="1">
      <c r="A75" s="21">
        <v>74</v>
      </c>
      <c r="B75" s="21">
        <v>69</v>
      </c>
      <c r="C75" s="21" t="s">
        <v>1038</v>
      </c>
      <c r="D75" s="21" t="s">
        <v>1039</v>
      </c>
      <c r="E75" s="21">
        <v>6</v>
      </c>
      <c r="F75" s="21">
        <v>172901</v>
      </c>
      <c r="G75" s="42">
        <v>-2.1000000000000001E-2</v>
      </c>
      <c r="H75" s="21" t="s">
        <v>1040</v>
      </c>
      <c r="I75" s="39">
        <f ca="1">IFERROR(__xludf.DUMMYFUNCTION("IF(SUM(COUNTIF(artists!A:A, SPLIT(D75, "",""))) &gt; 0, ""UA"", 0)"),0)</f>
        <v>0</v>
      </c>
      <c r="J75" s="40">
        <f ca="1">IFERROR(__xludf.DUMMYFUNCTION("IF(SUM(COUNTIF(artists!C:C, SPLIT(D75, "",""))) &gt; 0, ""RU"", 0)"),0)</f>
        <v>0</v>
      </c>
      <c r="K75" s="39" t="str">
        <f ca="1">IFERROR(__xludf.DUMMYFUNCTION("IF(SUM(COUNTIF(artists!E:E, SPLIT(D75, "",""))) &gt; 0, ""OTHER"", 0)"),"OTHER")</f>
        <v>OTHER</v>
      </c>
    </row>
    <row r="76" spans="1:11" ht="14.25" customHeight="1">
      <c r="A76" s="21">
        <v>75</v>
      </c>
      <c r="B76" s="21">
        <v>70</v>
      </c>
      <c r="C76" s="21" t="s">
        <v>358</v>
      </c>
      <c r="D76" s="21" t="s">
        <v>359</v>
      </c>
      <c r="E76" s="21">
        <v>2</v>
      </c>
      <c r="F76" s="21">
        <v>169484</v>
      </c>
      <c r="G76" s="43">
        <v>-0.04</v>
      </c>
      <c r="H76" s="21" t="s">
        <v>361</v>
      </c>
      <c r="I76" s="39">
        <f ca="1">IFERROR(__xludf.DUMMYFUNCTION("IF(SUM(COUNTIF(artists!A:A, SPLIT(D76, "",""))) &gt; 0, ""UA"", 0)"),0)</f>
        <v>0</v>
      </c>
      <c r="J76" s="40">
        <f ca="1">IFERROR(__xludf.DUMMYFUNCTION("IF(SUM(COUNTIF(artists!C:C, SPLIT(D76, "",""))) &gt; 0, ""RU"", 0)"),0)</f>
        <v>0</v>
      </c>
      <c r="K76" s="39" t="str">
        <f ca="1">IFERROR(__xludf.DUMMYFUNCTION("IF(SUM(COUNTIF(artists!E:E, SPLIT(D76, "",""))) &gt; 0, ""OTHER"", 0)"),"OTHER")</f>
        <v>OTHER</v>
      </c>
    </row>
    <row r="77" spans="1:11" ht="14.25" customHeight="1">
      <c r="A77" s="21">
        <v>76</v>
      </c>
      <c r="C77" s="21" t="s">
        <v>298</v>
      </c>
      <c r="D77" s="21" t="s">
        <v>299</v>
      </c>
      <c r="E77" s="21">
        <v>1</v>
      </c>
      <c r="F77" s="21">
        <v>168023</v>
      </c>
      <c r="H77" s="21" t="s">
        <v>300</v>
      </c>
      <c r="I77" s="39">
        <f ca="1">IFERROR(__xludf.DUMMYFUNCTION("IF(SUM(COUNTIF(artists!A:A, SPLIT(D77, "",""))) &gt; 0, ""UA"", 0)"),0)</f>
        <v>0</v>
      </c>
      <c r="J77" s="40">
        <f ca="1">IFERROR(__xludf.DUMMYFUNCTION("IF(SUM(COUNTIF(artists!C:C, SPLIT(D77, "",""))) &gt; 0, ""RU"", 0)"),0)</f>
        <v>0</v>
      </c>
      <c r="K77" s="39" t="str">
        <f ca="1">IFERROR(__xludf.DUMMYFUNCTION("IF(SUM(COUNTIF(artists!E:E, SPLIT(D77, "",""))) &gt; 0, ""OTHER"", 0)"),"OTHER")</f>
        <v>OTHER</v>
      </c>
    </row>
    <row r="78" spans="1:11" ht="14.25" customHeight="1">
      <c r="A78" s="21">
        <v>77</v>
      </c>
      <c r="C78" s="21" t="s">
        <v>1127</v>
      </c>
      <c r="D78" s="21" t="s">
        <v>1128</v>
      </c>
      <c r="E78" s="21">
        <v>1</v>
      </c>
      <c r="F78" s="21">
        <v>166574</v>
      </c>
      <c r="H78" s="21" t="s">
        <v>1129</v>
      </c>
      <c r="I78" s="39">
        <f ca="1">IFERROR(__xludf.DUMMYFUNCTION("IF(SUM(COUNTIF(artists!A:A, SPLIT(D78, "",""))) &gt; 0, ""UA"", 0)"),0)</f>
        <v>0</v>
      </c>
      <c r="J78" s="40" t="str">
        <f ca="1">IFERROR(__xludf.DUMMYFUNCTION("IF(SUM(COUNTIF(artists!C:C, SPLIT(D78, "",""))) &gt; 0, ""RU"", 0)"),"RU")</f>
        <v>RU</v>
      </c>
      <c r="K78" s="39">
        <f ca="1">IFERROR(__xludf.DUMMYFUNCTION("IF(SUM(COUNTIF(artists!E:E, SPLIT(D78, "",""))) &gt; 0, ""OTHER"", 0)"),0)</f>
        <v>0</v>
      </c>
    </row>
    <row r="79" spans="1:11" ht="14.25" customHeight="1">
      <c r="A79" s="21">
        <v>78</v>
      </c>
      <c r="C79" s="21" t="s">
        <v>597</v>
      </c>
      <c r="D79" s="21" t="s">
        <v>598</v>
      </c>
      <c r="E79" s="21">
        <v>22</v>
      </c>
      <c r="F79" s="21">
        <v>165546</v>
      </c>
      <c r="H79" s="21" t="s">
        <v>600</v>
      </c>
      <c r="I79" s="39" t="str">
        <f ca="1">IFERROR(__xludf.DUMMYFUNCTION("IF(SUM(COUNTIF(artists!A:A, SPLIT(D79, "",""))) &gt; 0, ""UA"", 0)"),"UA")</f>
        <v>UA</v>
      </c>
      <c r="J79" s="40">
        <f ca="1">IFERROR(__xludf.DUMMYFUNCTION("IF(SUM(COUNTIF(artists!C:C, SPLIT(D79, "",""))) &gt; 0, ""RU"", 0)"),0)</f>
        <v>0</v>
      </c>
      <c r="K79" s="39">
        <f ca="1">IFERROR(__xludf.DUMMYFUNCTION("IF(SUM(COUNTIF(artists!E:E, SPLIT(D79, "",""))) &gt; 0, ""OTHER"", 0)"),0)</f>
        <v>0</v>
      </c>
    </row>
    <row r="80" spans="1:11" ht="14.25" customHeight="1">
      <c r="A80" s="21">
        <v>79</v>
      </c>
      <c r="B80" s="21">
        <v>90</v>
      </c>
      <c r="C80" s="21" t="s">
        <v>1166</v>
      </c>
      <c r="D80" s="21" t="s">
        <v>1167</v>
      </c>
      <c r="E80" s="21">
        <v>5</v>
      </c>
      <c r="F80" s="21">
        <v>164754</v>
      </c>
      <c r="G80" s="42">
        <v>0.121</v>
      </c>
      <c r="H80" s="21" t="s">
        <v>1168</v>
      </c>
      <c r="I80" s="39">
        <f ca="1">IFERROR(__xludf.DUMMYFUNCTION("IF(SUM(COUNTIF(artists!A:A, SPLIT(D80, "",""))) &gt; 0, ""UA"", 0)"),0)</f>
        <v>0</v>
      </c>
      <c r="J80" s="40" t="str">
        <f ca="1">IFERROR(__xludf.DUMMYFUNCTION("IF(SUM(COUNTIF(artists!C:C, SPLIT(D80, "",""))) &gt; 0, ""RU"", 0)"),"RU")</f>
        <v>RU</v>
      </c>
      <c r="K80" s="39">
        <f ca="1">IFERROR(__xludf.DUMMYFUNCTION("IF(SUM(COUNTIF(artists!E:E, SPLIT(D80, "",""))) &gt; 0, ""OTHER"", 0)"),0)</f>
        <v>0</v>
      </c>
    </row>
    <row r="81" spans="1:11" ht="14.25" customHeight="1">
      <c r="A81" s="21">
        <v>80</v>
      </c>
      <c r="B81" s="21">
        <v>71</v>
      </c>
      <c r="C81" s="21" t="s">
        <v>1172</v>
      </c>
      <c r="D81" s="21" t="s">
        <v>1173</v>
      </c>
      <c r="E81" s="21">
        <v>5</v>
      </c>
      <c r="F81" s="21">
        <v>159608</v>
      </c>
      <c r="G81" s="42">
        <v>-7.0999999999999994E-2</v>
      </c>
      <c r="H81" s="21" t="s">
        <v>1174</v>
      </c>
      <c r="I81" s="39">
        <f ca="1">IFERROR(__xludf.DUMMYFUNCTION("IF(SUM(COUNTIF(artists!A:A, SPLIT(D81, "",""))) &gt; 0, ""UA"", 0)"),0)</f>
        <v>0</v>
      </c>
      <c r="J81" s="40" t="str">
        <f ca="1">IFERROR(__xludf.DUMMYFUNCTION("IF(SUM(COUNTIF(artists!C:C, SPLIT(D81, "",""))) &gt; 0, ""RU"", 0)"),"RU")</f>
        <v>RU</v>
      </c>
      <c r="K81" s="39">
        <f ca="1">IFERROR(__xludf.DUMMYFUNCTION("IF(SUM(COUNTIF(artists!E:E, SPLIT(D81, "",""))) &gt; 0, ""OTHER"", 0)"),0)</f>
        <v>0</v>
      </c>
    </row>
    <row r="82" spans="1:11" ht="14.25" customHeight="1">
      <c r="A82" s="21">
        <v>81</v>
      </c>
      <c r="B82" s="21">
        <v>91</v>
      </c>
      <c r="C82" s="21" t="s">
        <v>874</v>
      </c>
      <c r="D82" s="21" t="s">
        <v>108</v>
      </c>
      <c r="E82" s="21">
        <v>14</v>
      </c>
      <c r="F82" s="21">
        <v>157702</v>
      </c>
      <c r="G82" s="42">
        <v>7.4999999999999997E-2</v>
      </c>
      <c r="H82" s="21" t="s">
        <v>875</v>
      </c>
      <c r="I82" s="39" t="str">
        <f ca="1">IFERROR(__xludf.DUMMYFUNCTION("IF(SUM(COUNTIF(artists!A:A, SPLIT(D82, "",""))) &gt; 0, ""UA"", 0)"),"UA")</f>
        <v>UA</v>
      </c>
      <c r="J82" s="40">
        <f ca="1">IFERROR(__xludf.DUMMYFUNCTION("IF(SUM(COUNTIF(artists!C:C, SPLIT(D82, "",""))) &gt; 0, ""RU"", 0)"),0)</f>
        <v>0</v>
      </c>
      <c r="K82" s="39">
        <f ca="1">IFERROR(__xludf.DUMMYFUNCTION("IF(SUM(COUNTIF(artists!E:E, SPLIT(D82, "",""))) &gt; 0, ""OTHER"", 0)"),0)</f>
        <v>0</v>
      </c>
    </row>
    <row r="83" spans="1:11" ht="14.25" customHeight="1">
      <c r="A83" s="21">
        <v>82</v>
      </c>
      <c r="B83" s="21">
        <v>96</v>
      </c>
      <c r="C83" s="21" t="s">
        <v>1187</v>
      </c>
      <c r="D83" s="21" t="s">
        <v>1188</v>
      </c>
      <c r="E83" s="21">
        <v>15</v>
      </c>
      <c r="F83" s="21">
        <v>157688</v>
      </c>
      <c r="G83" s="42">
        <v>0.13100000000000001</v>
      </c>
      <c r="H83" s="21" t="s">
        <v>1189</v>
      </c>
      <c r="I83" s="39" t="str">
        <f ca="1">IFERROR(__xludf.DUMMYFUNCTION("IF(SUM(COUNTIF(artists!A:A, SPLIT(D83, "",""))) &gt; 0, ""UA"", 0)"),"UA")</f>
        <v>UA</v>
      </c>
      <c r="J83" s="40">
        <f ca="1">IFERROR(__xludf.DUMMYFUNCTION("IF(SUM(COUNTIF(artists!C:C, SPLIT(D83, "",""))) &gt; 0, ""RU"", 0)"),0)</f>
        <v>0</v>
      </c>
      <c r="K83" s="39">
        <f ca="1">IFERROR(__xludf.DUMMYFUNCTION("IF(SUM(COUNTIF(artists!E:E, SPLIT(D83, "",""))) &gt; 0, ""OTHER"", 0)"),0)</f>
        <v>0</v>
      </c>
    </row>
    <row r="84" spans="1:11" ht="14.25" customHeight="1">
      <c r="A84" s="21">
        <v>83</v>
      </c>
      <c r="B84" s="21">
        <v>94</v>
      </c>
      <c r="C84" s="21" t="s">
        <v>953</v>
      </c>
      <c r="D84" s="21" t="s">
        <v>954</v>
      </c>
      <c r="E84" s="21">
        <v>2</v>
      </c>
      <c r="F84" s="21">
        <v>155653</v>
      </c>
      <c r="G84" s="42">
        <v>8.1000000000000003E-2</v>
      </c>
      <c r="H84" s="21" t="s">
        <v>955</v>
      </c>
      <c r="I84" s="39">
        <f ca="1">IFERROR(__xludf.DUMMYFUNCTION("IF(SUM(COUNTIF(artists!A:A, SPLIT(D84, "",""))) &gt; 0, ""UA"", 0)"),0)</f>
        <v>0</v>
      </c>
      <c r="J84" s="40" t="str">
        <f ca="1">IFERROR(__xludf.DUMMYFUNCTION("IF(SUM(COUNTIF(artists!C:C, SPLIT(D84, "",""))) &gt; 0, ""RU"", 0)"),"RU")</f>
        <v>RU</v>
      </c>
      <c r="K84" s="39">
        <f ca="1">IFERROR(__xludf.DUMMYFUNCTION("IF(SUM(COUNTIF(artists!E:E, SPLIT(D84, "",""))) &gt; 0, ""OTHER"", 0)"),0)</f>
        <v>0</v>
      </c>
    </row>
    <row r="85" spans="1:11" ht="14.25" customHeight="1">
      <c r="A85" s="21">
        <v>84</v>
      </c>
      <c r="B85" s="21">
        <v>75</v>
      </c>
      <c r="C85" s="21" t="s">
        <v>1062</v>
      </c>
      <c r="D85" s="21" t="s">
        <v>1063</v>
      </c>
      <c r="E85" s="21">
        <v>9</v>
      </c>
      <c r="F85" s="21">
        <v>155572</v>
      </c>
      <c r="G85" s="42">
        <v>-4.9000000000000002E-2</v>
      </c>
      <c r="H85" s="21" t="s">
        <v>1064</v>
      </c>
      <c r="I85" s="39" t="str">
        <f ca="1">IFERROR(__xludf.DUMMYFUNCTION("IF(SUM(COUNTIF(artists!A:A, SPLIT(D85, "",""))) &gt; 0, ""UA"", 0)"),"UA")</f>
        <v>UA</v>
      </c>
      <c r="J85" s="40">
        <f ca="1">IFERROR(__xludf.DUMMYFUNCTION("IF(SUM(COUNTIF(artists!C:C, SPLIT(D85, "",""))) &gt; 0, ""RU"", 0)"),0)</f>
        <v>0</v>
      </c>
      <c r="K85" s="39">
        <f ca="1">IFERROR(__xludf.DUMMYFUNCTION("IF(SUM(COUNTIF(artists!E:E, SPLIT(D85, "",""))) &gt; 0, ""OTHER"", 0)"),0)</f>
        <v>0</v>
      </c>
    </row>
    <row r="86" spans="1:11" ht="14.25" customHeight="1">
      <c r="A86" s="21">
        <v>85</v>
      </c>
      <c r="B86" s="21">
        <v>78</v>
      </c>
      <c r="C86" s="21" t="s">
        <v>1157</v>
      </c>
      <c r="D86" s="21" t="s">
        <v>1158</v>
      </c>
      <c r="E86" s="21">
        <v>8</v>
      </c>
      <c r="F86" s="21">
        <v>152459</v>
      </c>
      <c r="G86" s="42">
        <v>-2.5999999999999999E-2</v>
      </c>
      <c r="H86" s="21" t="s">
        <v>1159</v>
      </c>
      <c r="I86" s="39">
        <f ca="1">IFERROR(__xludf.DUMMYFUNCTION("IF(SUM(COUNTIF(artists!A:A, SPLIT(D86, "",""))) &gt; 0, ""UA"", 0)"),0)</f>
        <v>0</v>
      </c>
      <c r="J86" s="40">
        <f ca="1">IFERROR(__xludf.DUMMYFUNCTION("IF(SUM(COUNTIF(artists!C:C, SPLIT(D86, "",""))) &gt; 0, ""RU"", 0)"),0)</f>
        <v>0</v>
      </c>
      <c r="K86" s="39" t="str">
        <f ca="1">IFERROR(__xludf.DUMMYFUNCTION("IF(SUM(COUNTIF(artists!E:E, SPLIT(D86, "",""))) &gt; 0, ""OTHER"", 0)"),"OTHER")</f>
        <v>OTHER</v>
      </c>
    </row>
    <row r="87" spans="1:11" ht="14.25" customHeight="1">
      <c r="A87" s="21">
        <v>86</v>
      </c>
      <c r="B87" s="21">
        <v>65</v>
      </c>
      <c r="C87" s="21" t="s">
        <v>1190</v>
      </c>
      <c r="D87" s="21" t="s">
        <v>916</v>
      </c>
      <c r="E87" s="21">
        <v>5</v>
      </c>
      <c r="F87" s="21">
        <v>151256</v>
      </c>
      <c r="G87" s="43">
        <v>-0.2</v>
      </c>
      <c r="H87" s="21" t="s">
        <v>1191</v>
      </c>
      <c r="I87" s="39">
        <f ca="1">IFERROR(__xludf.DUMMYFUNCTION("IF(SUM(COUNTIF(artists!A:A, SPLIT(D87, "",""))) &gt; 0, ""UA"", 0)"),0)</f>
        <v>0</v>
      </c>
      <c r="J87" s="40" t="str">
        <f ca="1">IFERROR(__xludf.DUMMYFUNCTION("IF(SUM(COUNTIF(artists!C:C, SPLIT(D87, "",""))) &gt; 0, ""RU"", 0)"),"RU")</f>
        <v>RU</v>
      </c>
      <c r="K87" s="39">
        <f ca="1">IFERROR(__xludf.DUMMYFUNCTION("IF(SUM(COUNTIF(artists!E:E, SPLIT(D87, "",""))) &gt; 0, ""OTHER"", 0)"),0)</f>
        <v>0</v>
      </c>
    </row>
    <row r="88" spans="1:11" ht="14.25" customHeight="1">
      <c r="A88" s="21">
        <v>87</v>
      </c>
      <c r="B88" s="21">
        <v>85</v>
      </c>
      <c r="C88" s="21" t="s">
        <v>1192</v>
      </c>
      <c r="D88" s="21" t="s">
        <v>1193</v>
      </c>
      <c r="E88" s="21">
        <v>5</v>
      </c>
      <c r="F88" s="21">
        <v>150533</v>
      </c>
      <c r="G88" s="42">
        <v>-8.9999999999999993E-3</v>
      </c>
      <c r="H88" s="21" t="s">
        <v>1194</v>
      </c>
      <c r="I88" s="39" t="str">
        <f ca="1">IFERROR(__xludf.DUMMYFUNCTION("IF(SUM(COUNTIF(artists!A:A, SPLIT(D88, "",""))) &gt; 0, ""UA"", 0)"),"UA")</f>
        <v>UA</v>
      </c>
      <c r="J88" s="40">
        <f ca="1">IFERROR(__xludf.DUMMYFUNCTION("IF(SUM(COUNTIF(artists!C:C, SPLIT(D88, "",""))) &gt; 0, ""RU"", 0)"),0)</f>
        <v>0</v>
      </c>
      <c r="K88" s="39">
        <f ca="1">IFERROR(__xludf.DUMMYFUNCTION("IF(SUM(COUNTIF(artists!E:E, SPLIT(D88, "",""))) &gt; 0, ""OTHER"", 0)"),0)</f>
        <v>0</v>
      </c>
    </row>
    <row r="89" spans="1:11" ht="14.25" customHeight="1">
      <c r="A89" s="21">
        <v>88</v>
      </c>
      <c r="C89" s="21" t="s">
        <v>1141</v>
      </c>
      <c r="D89" s="21" t="s">
        <v>1050</v>
      </c>
      <c r="E89" s="21">
        <v>1</v>
      </c>
      <c r="F89" s="21">
        <v>149599</v>
      </c>
      <c r="H89" s="21" t="s">
        <v>1142</v>
      </c>
      <c r="I89" s="39">
        <f ca="1">IFERROR(__xludf.DUMMYFUNCTION("IF(SUM(COUNTIF(artists!A:A, SPLIT(D89, "",""))) &gt; 0, ""UA"", 0)"),0)</f>
        <v>0</v>
      </c>
      <c r="J89" s="40" t="str">
        <f ca="1">IFERROR(__xludf.DUMMYFUNCTION("IF(SUM(COUNTIF(artists!C:C, SPLIT(D89, "",""))) &gt; 0, ""RU"", 0)"),"RU")</f>
        <v>RU</v>
      </c>
      <c r="K89" s="39">
        <f ca="1">IFERROR(__xludf.DUMMYFUNCTION("IF(SUM(COUNTIF(artists!E:E, SPLIT(D89, "",""))) &gt; 0, ""OTHER"", 0)"),0)</f>
        <v>0</v>
      </c>
    </row>
    <row r="90" spans="1:11" ht="14.25" customHeight="1">
      <c r="A90" s="21">
        <v>89</v>
      </c>
      <c r="C90" s="21" t="s">
        <v>1085</v>
      </c>
      <c r="D90" s="21" t="s">
        <v>85</v>
      </c>
      <c r="E90" s="21">
        <v>1</v>
      </c>
      <c r="F90" s="21">
        <v>148775</v>
      </c>
      <c r="H90" s="21" t="s">
        <v>1086</v>
      </c>
      <c r="I90" s="39" t="str">
        <f ca="1">IFERROR(__xludf.DUMMYFUNCTION("IF(SUM(COUNTIF(artists!A:A, SPLIT(D90, "",""))) &gt; 0, ""UA"", 0)"),"UA")</f>
        <v>UA</v>
      </c>
      <c r="J90" s="40">
        <f ca="1">IFERROR(__xludf.DUMMYFUNCTION("IF(SUM(COUNTIF(artists!C:C, SPLIT(D90, "",""))) &gt; 0, ""RU"", 0)"),0)</f>
        <v>0</v>
      </c>
      <c r="K90" s="39">
        <f ca="1">IFERROR(__xludf.DUMMYFUNCTION("IF(SUM(COUNTIF(artists!E:E, SPLIT(D90, "",""))) &gt; 0, ""OTHER"", 0)"),0)</f>
        <v>0</v>
      </c>
    </row>
    <row r="91" spans="1:11" ht="14.25" customHeight="1">
      <c r="A91" s="21">
        <v>90</v>
      </c>
      <c r="C91" s="21" t="s">
        <v>1195</v>
      </c>
      <c r="D91" s="21" t="s">
        <v>1196</v>
      </c>
      <c r="E91" s="21">
        <v>21</v>
      </c>
      <c r="F91" s="21">
        <v>148743</v>
      </c>
      <c r="H91" s="21" t="s">
        <v>1197</v>
      </c>
      <c r="I91" s="39">
        <f ca="1">IFERROR(__xludf.DUMMYFUNCTION("IF(SUM(COUNTIF(artists!A:A, SPLIT(D91, "",""))) &gt; 0, ""UA"", 0)"),0)</f>
        <v>0</v>
      </c>
      <c r="J91" s="40">
        <f ca="1">IFERROR(__xludf.DUMMYFUNCTION("IF(SUM(COUNTIF(artists!C:C, SPLIT(D91, "",""))) &gt; 0, ""RU"", 0)"),0)</f>
        <v>0</v>
      </c>
      <c r="K91" s="39" t="str">
        <f ca="1">IFERROR(__xludf.DUMMYFUNCTION("IF(SUM(COUNTIF(artists!E:E, SPLIT(D91, "",""))) &gt; 0, ""OTHER"", 0)"),"OTHER")</f>
        <v>OTHER</v>
      </c>
    </row>
    <row r="92" spans="1:11" ht="14.25" customHeight="1">
      <c r="A92" s="21">
        <v>91</v>
      </c>
      <c r="C92" s="21" t="s">
        <v>949</v>
      </c>
      <c r="D92" s="21" t="s">
        <v>100</v>
      </c>
      <c r="E92" s="21">
        <v>1</v>
      </c>
      <c r="F92" s="21">
        <v>146374</v>
      </c>
      <c r="H92" s="21" t="s">
        <v>1198</v>
      </c>
      <c r="I92" s="39" t="str">
        <f ca="1">IFERROR(__xludf.DUMMYFUNCTION("IF(SUM(COUNTIF(artists!A:A, SPLIT(D92, "",""))) &gt; 0, ""UA"", 0)"),"UA")</f>
        <v>UA</v>
      </c>
      <c r="J92" s="40">
        <f ca="1">IFERROR(__xludf.DUMMYFUNCTION("IF(SUM(COUNTIF(artists!C:C, SPLIT(D92, "",""))) &gt; 0, ""RU"", 0)"),0)</f>
        <v>0</v>
      </c>
      <c r="K92" s="39">
        <f ca="1">IFERROR(__xludf.DUMMYFUNCTION("IF(SUM(COUNTIF(artists!E:E, SPLIT(D92, "",""))) &gt; 0, ""OTHER"", 0)"),0)</f>
        <v>0</v>
      </c>
    </row>
    <row r="93" spans="1:11" ht="14.25" customHeight="1">
      <c r="A93" s="21">
        <v>92</v>
      </c>
      <c r="B93" s="21">
        <v>77</v>
      </c>
      <c r="C93" s="21" t="s">
        <v>1137</v>
      </c>
      <c r="D93" s="21" t="s">
        <v>1117</v>
      </c>
      <c r="E93" s="21">
        <v>8</v>
      </c>
      <c r="F93" s="21">
        <v>145134</v>
      </c>
      <c r="G93" s="42">
        <v>-7.5999999999999998E-2</v>
      </c>
      <c r="H93" s="21" t="s">
        <v>1138</v>
      </c>
      <c r="I93" s="39">
        <f ca="1">IFERROR(__xludf.DUMMYFUNCTION("IF(SUM(COUNTIF(artists!A:A, SPLIT(D93, "",""))) &gt; 0, ""UA"", 0)"),0)</f>
        <v>0</v>
      </c>
      <c r="J93" s="40" t="str">
        <f ca="1">IFERROR(__xludf.DUMMYFUNCTION("IF(SUM(COUNTIF(artists!C:C, SPLIT(D93, "",""))) &gt; 0, ""RU"", 0)"),"RU")</f>
        <v>RU</v>
      </c>
      <c r="K93" s="39">
        <f ca="1">IFERROR(__xludf.DUMMYFUNCTION("IF(SUM(COUNTIF(artists!E:E, SPLIT(D93, "",""))) &gt; 0, ""OTHER"", 0)"),0)</f>
        <v>0</v>
      </c>
    </row>
    <row r="94" spans="1:11" ht="14.25" customHeight="1">
      <c r="A94" s="21">
        <v>93</v>
      </c>
      <c r="B94" s="21">
        <v>84</v>
      </c>
      <c r="C94" s="21" t="s">
        <v>1199</v>
      </c>
      <c r="D94" s="21" t="s">
        <v>1200</v>
      </c>
      <c r="E94" s="21">
        <v>4</v>
      </c>
      <c r="F94" s="21">
        <v>144652</v>
      </c>
      <c r="G94" s="42">
        <v>-4.7E-2</v>
      </c>
      <c r="H94" s="21" t="s">
        <v>1201</v>
      </c>
      <c r="I94" s="39" t="str">
        <f ca="1">IFERROR(__xludf.DUMMYFUNCTION("IF(SUM(COUNTIF(artists!A:A, SPLIT(D94, "",""))) &gt; 0, ""UA"", 0)"),"UA")</f>
        <v>UA</v>
      </c>
      <c r="J94" s="40">
        <f ca="1">IFERROR(__xludf.DUMMYFUNCTION("IF(SUM(COUNTIF(artists!C:C, SPLIT(D94, "",""))) &gt; 0, ""RU"", 0)"),0)</f>
        <v>0</v>
      </c>
      <c r="K94" s="39">
        <f ca="1">IFERROR(__xludf.DUMMYFUNCTION("IF(SUM(COUNTIF(artists!E:E, SPLIT(D94, "",""))) &gt; 0, ""OTHER"", 0)"),0)</f>
        <v>0</v>
      </c>
    </row>
    <row r="95" spans="1:11" ht="14.25" customHeight="1">
      <c r="A95" s="21">
        <v>94</v>
      </c>
      <c r="B95" s="21">
        <v>79</v>
      </c>
      <c r="C95" s="21" t="s">
        <v>339</v>
      </c>
      <c r="D95" s="21" t="s">
        <v>340</v>
      </c>
      <c r="E95" s="21">
        <v>2</v>
      </c>
      <c r="F95" s="21">
        <v>144596</v>
      </c>
      <c r="G95" s="42">
        <v>-7.0999999999999994E-2</v>
      </c>
      <c r="H95" s="21" t="s">
        <v>342</v>
      </c>
      <c r="I95" s="39" t="str">
        <f ca="1">IFERROR(__xludf.DUMMYFUNCTION("IF(SUM(COUNTIF(artists!A:A, SPLIT(D95, "",""))) &gt; 0, ""UA"", 0)"),"UA")</f>
        <v>UA</v>
      </c>
      <c r="J95" s="40">
        <f ca="1">IFERROR(__xludf.DUMMYFUNCTION("IF(SUM(COUNTIF(artists!C:C, SPLIT(D95, "",""))) &gt; 0, ""RU"", 0)"),0)</f>
        <v>0</v>
      </c>
      <c r="K95" s="39">
        <f ca="1">IFERROR(__xludf.DUMMYFUNCTION("IF(SUM(COUNTIF(artists!E:E, SPLIT(D95, "",""))) &gt; 0, ""OTHER"", 0)"),0)</f>
        <v>0</v>
      </c>
    </row>
    <row r="96" spans="1:11" ht="14.25" customHeight="1">
      <c r="A96" s="21">
        <v>95</v>
      </c>
      <c r="B96" s="21">
        <v>92</v>
      </c>
      <c r="C96" s="21" t="s">
        <v>1135</v>
      </c>
      <c r="D96" s="21" t="s">
        <v>85</v>
      </c>
      <c r="E96" s="21">
        <v>6</v>
      </c>
      <c r="F96" s="21">
        <v>144484</v>
      </c>
      <c r="G96" s="42">
        <v>-6.0000000000000001E-3</v>
      </c>
      <c r="H96" s="21" t="s">
        <v>1136</v>
      </c>
      <c r="I96" s="39" t="str">
        <f ca="1">IFERROR(__xludf.DUMMYFUNCTION("IF(SUM(COUNTIF(artists!A:A, SPLIT(D96, "",""))) &gt; 0, ""UA"", 0)"),"UA")</f>
        <v>UA</v>
      </c>
      <c r="J96" s="40">
        <f ca="1">IFERROR(__xludf.DUMMYFUNCTION("IF(SUM(COUNTIF(artists!C:C, SPLIT(D96, "",""))) &gt; 0, ""RU"", 0)"),0)</f>
        <v>0</v>
      </c>
      <c r="K96" s="39">
        <f ca="1">IFERROR(__xludf.DUMMYFUNCTION("IF(SUM(COUNTIF(artists!E:E, SPLIT(D96, "",""))) &gt; 0, ""OTHER"", 0)"),0)</f>
        <v>0</v>
      </c>
    </row>
    <row r="97" spans="1:11" ht="14.25" customHeight="1">
      <c r="A97" s="21">
        <v>96</v>
      </c>
      <c r="B97" s="21">
        <v>86</v>
      </c>
      <c r="C97" s="21" t="s">
        <v>1202</v>
      </c>
      <c r="D97" s="21" t="s">
        <v>1203</v>
      </c>
      <c r="E97" s="21">
        <v>5</v>
      </c>
      <c r="F97" s="21">
        <v>143028</v>
      </c>
      <c r="G97" s="42">
        <v>-4.2999999999999997E-2</v>
      </c>
      <c r="H97" s="21" t="s">
        <v>1204</v>
      </c>
      <c r="I97" s="39">
        <f ca="1">IFERROR(__xludf.DUMMYFUNCTION("IF(SUM(COUNTIF(artists!A:A, SPLIT(D97, "",""))) &gt; 0, ""UA"", 0)"),0)</f>
        <v>0</v>
      </c>
      <c r="J97" s="40" t="str">
        <f ca="1">IFERROR(__xludf.DUMMYFUNCTION("IF(SUM(COUNTIF(artists!C:C, SPLIT(D97, "",""))) &gt; 0, ""RU"", 0)"),"RU")</f>
        <v>RU</v>
      </c>
      <c r="K97" s="39">
        <f ca="1">IFERROR(__xludf.DUMMYFUNCTION("IF(SUM(COUNTIF(artists!E:E, SPLIT(D97, "",""))) &gt; 0, ""OTHER"", 0)"),0)</f>
        <v>0</v>
      </c>
    </row>
    <row r="98" spans="1:11" ht="14.25" customHeight="1">
      <c r="A98" s="21">
        <v>97</v>
      </c>
      <c r="B98" s="21">
        <v>97</v>
      </c>
      <c r="C98" s="21" t="s">
        <v>313</v>
      </c>
      <c r="D98" s="21" t="s">
        <v>310</v>
      </c>
      <c r="E98" s="21">
        <v>2</v>
      </c>
      <c r="F98" s="21">
        <v>142785</v>
      </c>
      <c r="G98" s="42">
        <v>4.4999999999999998E-2</v>
      </c>
      <c r="H98" s="21" t="s">
        <v>398</v>
      </c>
      <c r="I98" s="39">
        <f ca="1">IFERROR(__xludf.DUMMYFUNCTION("IF(SUM(COUNTIF(artists!A:A, SPLIT(D98, "",""))) &gt; 0, ""UA"", 0)"),0)</f>
        <v>0</v>
      </c>
      <c r="J98" s="40">
        <f ca="1">IFERROR(__xludf.DUMMYFUNCTION("IF(SUM(COUNTIF(artists!C:C, SPLIT(D98, "",""))) &gt; 0, ""RU"", 0)"),0)</f>
        <v>0</v>
      </c>
      <c r="K98" s="39" t="str">
        <f ca="1">IFERROR(__xludf.DUMMYFUNCTION("IF(SUM(COUNTIF(artists!E:E, SPLIT(D98, "",""))) &gt; 0, ""OTHER"", 0)"),"OTHER")</f>
        <v>OTHER</v>
      </c>
    </row>
    <row r="99" spans="1:11" ht="14.25" customHeight="1">
      <c r="A99" s="21">
        <v>98</v>
      </c>
      <c r="C99" s="21" t="s">
        <v>1205</v>
      </c>
      <c r="D99" s="21" t="s">
        <v>1206</v>
      </c>
      <c r="E99" s="21">
        <v>1</v>
      </c>
      <c r="F99" s="21">
        <v>141917</v>
      </c>
      <c r="H99" s="21" t="s">
        <v>1207</v>
      </c>
      <c r="I99" s="39" t="str">
        <f ca="1">IFERROR(__xludf.DUMMYFUNCTION("IF(SUM(COUNTIF(artists!A:A, SPLIT(D99, "",""))) &gt; 0, ""UA"", 0)"),"UA")</f>
        <v>UA</v>
      </c>
      <c r="J99" s="40">
        <f ca="1">IFERROR(__xludf.DUMMYFUNCTION("IF(SUM(COUNTIF(artists!C:C, SPLIT(D99, "",""))) &gt; 0, ""RU"", 0)"),0)</f>
        <v>0</v>
      </c>
      <c r="K99" s="39">
        <f ca="1">IFERROR(__xludf.DUMMYFUNCTION("IF(SUM(COUNTIF(artists!E:E, SPLIT(D99, "",""))) &gt; 0, ""OTHER"", 0)"),0)</f>
        <v>0</v>
      </c>
    </row>
    <row r="100" spans="1:11" ht="14.25" customHeight="1">
      <c r="A100" s="21">
        <v>99</v>
      </c>
      <c r="B100" s="21">
        <v>95</v>
      </c>
      <c r="C100" s="21" t="s">
        <v>390</v>
      </c>
      <c r="D100" s="21" t="s">
        <v>391</v>
      </c>
      <c r="E100" s="21">
        <v>8</v>
      </c>
      <c r="F100" s="21">
        <v>141133</v>
      </c>
      <c r="G100" s="42">
        <v>-1.6E-2</v>
      </c>
      <c r="H100" s="21" t="s">
        <v>393</v>
      </c>
      <c r="I100" s="39">
        <f ca="1">IFERROR(__xludf.DUMMYFUNCTION("IF(SUM(COUNTIF(artists!A:A, SPLIT(D100, "",""))) &gt; 0, ""UA"", 0)"),0)</f>
        <v>0</v>
      </c>
      <c r="J100" s="40" t="str">
        <f ca="1">IFERROR(__xludf.DUMMYFUNCTION("IF(SUM(COUNTIF(artists!C:C, SPLIT(D100, "",""))) &gt; 0, ""RU"", 0)"),"RU")</f>
        <v>RU</v>
      </c>
      <c r="K100" s="39">
        <f ca="1">IFERROR(__xludf.DUMMYFUNCTION("IF(SUM(COUNTIF(artists!E:E, SPLIT(D100, "",""))) &gt; 0, ""OTHER"", 0)"),0)</f>
        <v>0</v>
      </c>
    </row>
    <row r="101" spans="1:11" ht="14.25" customHeight="1">
      <c r="A101" s="21">
        <v>100</v>
      </c>
      <c r="B101" s="21">
        <v>82</v>
      </c>
      <c r="C101" s="21" t="s">
        <v>629</v>
      </c>
      <c r="D101" s="21" t="s">
        <v>630</v>
      </c>
      <c r="E101" s="21">
        <v>8</v>
      </c>
      <c r="F101" s="21">
        <v>140764</v>
      </c>
      <c r="G101" s="42">
        <v>-8.4000000000000005E-2</v>
      </c>
      <c r="H101" s="21" t="s">
        <v>631</v>
      </c>
      <c r="I101" s="39" t="str">
        <f ca="1">IFERROR(__xludf.DUMMYFUNCTION("IF(SUM(COUNTIF(artists!A:A, SPLIT(D101, "",""))) &gt; 0, ""UA"", 0)"),"UA")</f>
        <v>UA</v>
      </c>
      <c r="J101" s="40">
        <f ca="1">IFERROR(__xludf.DUMMYFUNCTION("IF(SUM(COUNTIF(artists!C:C, SPLIT(D101, "",""))) &gt; 0, ""RU"", 0)"),0)</f>
        <v>0</v>
      </c>
      <c r="K101" s="39">
        <f ca="1">IFERROR(__xludf.DUMMYFUNCTION("IF(SUM(COUNTIF(artists!E:E, SPLIT(D101, "",""))) &gt; 0, ""OTHER"", 0)"),0)</f>
        <v>0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83" priority="1">
      <formula>AND($I2=0, $J2=0, $K2=0)</formula>
    </cfRule>
    <cfRule type="expression" dxfId="82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Аркуш22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3" width="8.6640625" customWidth="1"/>
    <col min="4" max="4" width="12.5546875" customWidth="1"/>
    <col min="5" max="5" width="8.6640625" hidden="1" customWidth="1"/>
    <col min="6" max="6" width="8.6640625" customWidth="1"/>
    <col min="7" max="7" width="13.10937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B2" s="21">
        <v>1</v>
      </c>
      <c r="C2" s="21" t="s">
        <v>88</v>
      </c>
      <c r="D2" s="21" t="s">
        <v>89</v>
      </c>
      <c r="E2" s="21">
        <v>11</v>
      </c>
      <c r="F2" s="21">
        <v>1629597</v>
      </c>
      <c r="G2" s="42">
        <v>-3.5000000000000003E-2</v>
      </c>
      <c r="H2" s="21" t="s">
        <v>90</v>
      </c>
      <c r="I2" s="39" t="str">
        <f ca="1">IFERROR(__xludf.DUMMYFUNCTION("IF(SUM(COUNTIF(artists!A:A, SPLIT(D2, "",""))) &gt; 0, ""UA"", 0)"),"UA")</f>
        <v>UA</v>
      </c>
      <c r="J2" s="40">
        <f ca="1">IFERROR(__xludf.DUMMYFUNCTION("IF(SUM(COUNTIF(artists!C:C, SPLIT(D2, "",""))) &gt; 0, ""RU"", 0)"),0)</f>
        <v>0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B3" s="21">
        <v>24</v>
      </c>
      <c r="C3" s="21" t="s">
        <v>500</v>
      </c>
      <c r="D3" s="21" t="s">
        <v>501</v>
      </c>
      <c r="E3" s="21">
        <v>2</v>
      </c>
      <c r="F3" s="21">
        <v>1012577</v>
      </c>
      <c r="G3" s="43">
        <v>1.5</v>
      </c>
      <c r="H3" s="21" t="s">
        <v>503</v>
      </c>
      <c r="I3" s="39">
        <f ca="1">IFERROR(__xludf.DUMMYFUNCTION("IF(SUM(COUNTIF(artists!A:A, SPLIT(D3, "",""))) &gt; 0, ""UA"", 0)"),0)</f>
        <v>0</v>
      </c>
      <c r="J3" s="40" t="str">
        <f ca="1">IFERROR(__xludf.DUMMYFUNCTION("IF(SUM(COUNTIF(artists!C:C, SPLIT(D3, "",""))) &gt; 0, ""RU"", 0)"),"RU")</f>
        <v>RU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B4" s="21">
        <v>2</v>
      </c>
      <c r="C4" s="21" t="s">
        <v>128</v>
      </c>
      <c r="D4" s="21" t="s">
        <v>129</v>
      </c>
      <c r="E4" s="21">
        <v>19</v>
      </c>
      <c r="F4" s="21">
        <v>859286</v>
      </c>
      <c r="G4" s="42">
        <v>-0.106</v>
      </c>
      <c r="H4" s="21" t="s">
        <v>131</v>
      </c>
      <c r="I4" s="39" t="str">
        <f ca="1">IFERROR(__xludf.DUMMYFUNCTION("IF(SUM(COUNTIF(artists!A:A, SPLIT(D4, "",""))) &gt; 0, ""UA"", 0)"),"UA")</f>
        <v>UA</v>
      </c>
      <c r="J4" s="40">
        <f ca="1">IFERROR(__xludf.DUMMYFUNCTION("IF(SUM(COUNTIF(artists!C:C, SPLIT(D4, "",""))) &gt; 0, ""RU"", 0)"),0)</f>
        <v>0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B5" s="21">
        <v>4</v>
      </c>
      <c r="C5" s="21" t="s">
        <v>115</v>
      </c>
      <c r="D5" s="21" t="s">
        <v>116</v>
      </c>
      <c r="E5" s="21">
        <v>13</v>
      </c>
      <c r="F5" s="21">
        <v>855774</v>
      </c>
      <c r="G5" s="42">
        <v>-2.9000000000000001E-2</v>
      </c>
      <c r="H5" s="21" t="s">
        <v>117</v>
      </c>
      <c r="I5" s="39" t="str">
        <f ca="1">IFERROR(__xludf.DUMMYFUNCTION("IF(SUM(COUNTIF(artists!A:A, SPLIT(D5, "",""))) &gt; 0, ""UA"", 0)"),"UA")</f>
        <v>UA</v>
      </c>
      <c r="J5" s="40">
        <f ca="1">IFERROR(__xludf.DUMMYFUNCTION("IF(SUM(COUNTIF(artists!C:C, SPLIT(D5, "",""))) &gt; 0, ""RU"", 0)"),0)</f>
        <v>0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B6" s="21">
        <v>3</v>
      </c>
      <c r="C6" s="21" t="s">
        <v>145</v>
      </c>
      <c r="D6" s="21" t="s">
        <v>146</v>
      </c>
      <c r="E6" s="21">
        <v>17</v>
      </c>
      <c r="F6" s="21">
        <v>819880</v>
      </c>
      <c r="G6" s="42">
        <v>-0.10199999999999999</v>
      </c>
      <c r="H6" s="21" t="s">
        <v>148</v>
      </c>
      <c r="I6" s="39" t="str">
        <f ca="1">IFERROR(__xludf.DUMMYFUNCTION("IF(SUM(COUNTIF(artists!A:A, SPLIT(D6, "",""))) &gt; 0, ""UA"", 0)"),"UA")</f>
        <v>UA</v>
      </c>
      <c r="J6" s="40">
        <f ca="1">IFERROR(__xludf.DUMMYFUNCTION("IF(SUM(COUNTIF(artists!C:C, SPLIT(D6, "",""))) &gt; 0, ""RU"", 0)"),0)</f>
        <v>0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B7" s="21">
        <v>7</v>
      </c>
      <c r="C7" s="21" t="s">
        <v>202</v>
      </c>
      <c r="D7" s="21" t="s">
        <v>835</v>
      </c>
      <c r="E7" s="21">
        <v>13</v>
      </c>
      <c r="F7" s="21">
        <v>813752</v>
      </c>
      <c r="G7" s="43">
        <v>-0.01</v>
      </c>
      <c r="H7" s="21" t="s">
        <v>204</v>
      </c>
      <c r="I7" s="39" t="str">
        <f ca="1">IFERROR(__xludf.DUMMYFUNCTION("IF(SUM(COUNTIF(artists!A:A, SPLIT(D7, "",""))) &gt; 0, ""UA"", 0)"),"UA")</f>
        <v>UA</v>
      </c>
      <c r="J7" s="40">
        <f ca="1">IFERROR(__xludf.DUMMYFUNCTION("IF(SUM(COUNTIF(artists!C:C, SPLIT(D7, "",""))) &gt; 0, ""RU"", 0)"),0)</f>
        <v>0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B8" s="21">
        <v>6</v>
      </c>
      <c r="C8" s="21" t="s">
        <v>645</v>
      </c>
      <c r="D8" s="21" t="s">
        <v>352</v>
      </c>
      <c r="E8" s="21">
        <v>36</v>
      </c>
      <c r="F8" s="21">
        <v>797873</v>
      </c>
      <c r="G8" s="42">
        <v>-3.7999999999999999E-2</v>
      </c>
      <c r="H8" s="21" t="s">
        <v>647</v>
      </c>
      <c r="I8" s="39" t="str">
        <f ca="1">IFERROR(__xludf.DUMMYFUNCTION("IF(SUM(COUNTIF(artists!A:A, SPLIT(D8, "",""))) &gt; 0, ""UA"", 0)"),"UA")</f>
        <v>UA</v>
      </c>
      <c r="J8" s="40">
        <f ca="1">IFERROR(__xludf.DUMMYFUNCTION("IF(SUM(COUNTIF(artists!C:C, SPLIT(D8, "",""))) &gt; 0, ""RU"", 0)"),0)</f>
        <v>0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B9" s="21">
        <v>5</v>
      </c>
      <c r="C9" s="21" t="s">
        <v>175</v>
      </c>
      <c r="D9" s="21" t="s">
        <v>89</v>
      </c>
      <c r="E9" s="21">
        <v>23</v>
      </c>
      <c r="F9" s="21">
        <v>760203</v>
      </c>
      <c r="G9" s="42">
        <v>-9.2999999999999999E-2</v>
      </c>
      <c r="H9" s="21" t="s">
        <v>177</v>
      </c>
      <c r="I9" s="39" t="str">
        <f ca="1">IFERROR(__xludf.DUMMYFUNCTION("IF(SUM(COUNTIF(artists!A:A, SPLIT(D9, "",""))) &gt; 0, ""UA"", 0)"),"UA")</f>
        <v>UA</v>
      </c>
      <c r="J9" s="40">
        <f ca="1">IFERROR(__xludf.DUMMYFUNCTION("IF(SUM(COUNTIF(artists!C:C, SPLIT(D9, "",""))) &gt; 0, ""RU"", 0)"),0)</f>
        <v>0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B10" s="21">
        <v>8</v>
      </c>
      <c r="C10" s="21" t="s">
        <v>132</v>
      </c>
      <c r="D10" s="21" t="s">
        <v>133</v>
      </c>
      <c r="E10" s="21">
        <v>23</v>
      </c>
      <c r="F10" s="21">
        <v>723588</v>
      </c>
      <c r="G10" s="42">
        <v>-4.9000000000000002E-2</v>
      </c>
      <c r="H10" s="21" t="s">
        <v>135</v>
      </c>
      <c r="I10" s="39" t="str">
        <f ca="1">IFERROR(__xludf.DUMMYFUNCTION("IF(SUM(COUNTIF(artists!A:A, SPLIT(D10, "",""))) &gt; 0, ""UA"", 0)"),"UA")</f>
        <v>UA</v>
      </c>
      <c r="J10" s="40">
        <f ca="1">IFERROR(__xludf.DUMMYFUNCTION("IF(SUM(COUNTIF(artists!C:C, SPLIT(D10, "",""))) &gt; 0, ""RU"", 0)"),0)</f>
        <v>0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B11" s="21">
        <v>9</v>
      </c>
      <c r="C11" s="21" t="s">
        <v>844</v>
      </c>
      <c r="D11" s="21" t="s">
        <v>457</v>
      </c>
      <c r="E11" s="21">
        <v>3</v>
      </c>
      <c r="F11" s="21">
        <v>653194</v>
      </c>
      <c r="G11" s="42">
        <v>-0.127</v>
      </c>
      <c r="H11" s="21" t="s">
        <v>459</v>
      </c>
      <c r="I11" s="39">
        <f ca="1">IFERROR(__xludf.DUMMYFUNCTION("IF(SUM(COUNTIF(artists!A:A, SPLIT(D11, "",""))) &gt; 0, ""UA"", 0)"),0)</f>
        <v>0</v>
      </c>
      <c r="J11" s="40">
        <f ca="1">IFERROR(__xludf.DUMMYFUNCTION("IF(SUM(COUNTIF(artists!C:C, SPLIT(D11, "",""))) &gt; 0, ""RU"", 0)"),0)</f>
        <v>0</v>
      </c>
      <c r="K11" s="39" t="str">
        <f ca="1">IFERROR(__xludf.DUMMYFUNCTION("IF(SUM(COUNTIF(artists!E:E, SPLIT(D11, "",""))) &gt; 0, ""OTHER"", 0)"),"OTHER")</f>
        <v>OTHER</v>
      </c>
    </row>
    <row r="12" spans="1:11" ht="14.25" customHeight="1">
      <c r="A12" s="21">
        <v>11</v>
      </c>
      <c r="B12" s="21">
        <v>11</v>
      </c>
      <c r="C12" s="21" t="s">
        <v>149</v>
      </c>
      <c r="D12" s="21" t="s">
        <v>150</v>
      </c>
      <c r="E12" s="21">
        <v>16</v>
      </c>
      <c r="F12" s="21">
        <v>585953</v>
      </c>
      <c r="G12" s="42">
        <v>-5.0999999999999997E-2</v>
      </c>
      <c r="H12" s="21" t="s">
        <v>152</v>
      </c>
      <c r="I12" s="39" t="str">
        <f ca="1">IFERROR(__xludf.DUMMYFUNCTION("IF(SUM(COUNTIF(artists!A:A, SPLIT(D12, "",""))) &gt; 0, ""UA"", 0)"),"UA")</f>
        <v>UA</v>
      </c>
      <c r="J12" s="40">
        <f ca="1">IFERROR(__xludf.DUMMYFUNCTION("IF(SUM(COUNTIF(artists!C:C, SPLIT(D12, "",""))) &gt; 0, ""RU"", 0)"),0)</f>
        <v>0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B13" s="21">
        <v>10</v>
      </c>
      <c r="C13" s="21" t="s">
        <v>171</v>
      </c>
      <c r="D13" s="21" t="s">
        <v>172</v>
      </c>
      <c r="E13" s="21">
        <v>18</v>
      </c>
      <c r="F13" s="21">
        <v>562395</v>
      </c>
      <c r="G13" s="42">
        <v>-0.127</v>
      </c>
      <c r="H13" s="21" t="s">
        <v>174</v>
      </c>
      <c r="I13" s="39">
        <f ca="1">IFERROR(__xludf.DUMMYFUNCTION("IF(SUM(COUNTIF(artists!A:A, SPLIT(D13, "",""))) &gt; 0, ""UA"", 0)"),0)</f>
        <v>0</v>
      </c>
      <c r="J13" s="40" t="str">
        <f ca="1">IFERROR(__xludf.DUMMYFUNCTION("IF(SUM(COUNTIF(artists!C:C, SPLIT(D13, "",""))) &gt; 0, ""RU"", 0)"),"RU")</f>
        <v>RU</v>
      </c>
      <c r="K13" s="39">
        <f ca="1">IFERROR(__xludf.DUMMYFUNCTION("IF(SUM(COUNTIF(artists!E:E, SPLIT(D13, "",""))) &gt; 0, ""OTHER"", 0)"),0)</f>
        <v>0</v>
      </c>
    </row>
    <row r="14" spans="1:11" ht="14.25" customHeight="1">
      <c r="A14" s="21">
        <v>13</v>
      </c>
      <c r="B14" s="21">
        <v>12</v>
      </c>
      <c r="C14" s="21" t="s">
        <v>198</v>
      </c>
      <c r="D14" s="21" t="s">
        <v>199</v>
      </c>
      <c r="E14" s="21">
        <v>4</v>
      </c>
      <c r="F14" s="21">
        <v>559906</v>
      </c>
      <c r="G14" s="42">
        <v>-7.3999999999999996E-2</v>
      </c>
      <c r="H14" s="21" t="s">
        <v>201</v>
      </c>
      <c r="I14" s="39" t="str">
        <f ca="1">IFERROR(__xludf.DUMMYFUNCTION("IF(SUM(COUNTIF(artists!A:A, SPLIT(D14, "",""))) &gt; 0, ""UA"", 0)"),"UA")</f>
        <v>UA</v>
      </c>
      <c r="J14" s="40">
        <f ca="1">IFERROR(__xludf.DUMMYFUNCTION("IF(SUM(COUNTIF(artists!C:C, SPLIT(D14, "",""))) &gt; 0, ""RU"", 0)"),0)</f>
        <v>0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B15" s="21">
        <v>13</v>
      </c>
      <c r="C15" s="21" t="s">
        <v>194</v>
      </c>
      <c r="D15" s="21" t="s">
        <v>195</v>
      </c>
      <c r="E15" s="21">
        <v>26</v>
      </c>
      <c r="F15" s="21">
        <v>550550</v>
      </c>
      <c r="G15" s="42">
        <v>-4.2999999999999997E-2</v>
      </c>
      <c r="H15" s="21" t="s">
        <v>197</v>
      </c>
      <c r="I15" s="39" t="str">
        <f ca="1">IFERROR(__xludf.DUMMYFUNCTION("IF(SUM(COUNTIF(artists!A:A, SPLIT(D15, "",""))) &gt; 0, ""UA"", 0)"),"UA")</f>
        <v>UA</v>
      </c>
      <c r="J15" s="40">
        <f ca="1">IFERROR(__xludf.DUMMYFUNCTION("IF(SUM(COUNTIF(artists!C:C, SPLIT(D15, "",""))) &gt; 0, ""RU"", 0)"),0)</f>
        <v>0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B16" s="21">
        <v>14</v>
      </c>
      <c r="C16" s="21" t="s">
        <v>186</v>
      </c>
      <c r="D16" s="21" t="s">
        <v>187</v>
      </c>
      <c r="E16" s="21">
        <v>27</v>
      </c>
      <c r="F16" s="21">
        <v>547174</v>
      </c>
      <c r="G16" s="42">
        <v>-2.8000000000000001E-2</v>
      </c>
      <c r="H16" s="21" t="s">
        <v>189</v>
      </c>
      <c r="I16" s="39" t="str">
        <f ca="1">IFERROR(__xludf.DUMMYFUNCTION("IF(SUM(COUNTIF(artists!A:A, SPLIT(D16, "",""))) &gt; 0, ""UA"", 0)"),"UA")</f>
        <v>UA</v>
      </c>
      <c r="J16" s="40">
        <f ca="1">IFERROR(__xludf.DUMMYFUNCTION("IF(SUM(COUNTIF(artists!C:C, SPLIT(D16, "",""))) &gt; 0, ""RU"", 0)"),0)</f>
        <v>0</v>
      </c>
      <c r="K16" s="39">
        <f ca="1">IFERROR(__xludf.DUMMYFUNCTION("IF(SUM(COUNTIF(artists!E:E, SPLIT(D16, "",""))) &gt; 0, ""OTHER"", 0)"),0)</f>
        <v>0</v>
      </c>
    </row>
    <row r="17" spans="1:11" ht="14.25" customHeight="1">
      <c r="A17" s="21">
        <v>16</v>
      </c>
      <c r="B17" s="21">
        <v>30</v>
      </c>
      <c r="C17" s="21" t="s">
        <v>182</v>
      </c>
      <c r="D17" s="21" t="s">
        <v>183</v>
      </c>
      <c r="E17" s="21">
        <v>19</v>
      </c>
      <c r="F17" s="21">
        <v>521360</v>
      </c>
      <c r="G17" s="42">
        <v>0.52300000000000002</v>
      </c>
      <c r="H17" s="21" t="s">
        <v>185</v>
      </c>
      <c r="I17" s="39" t="str">
        <f ca="1">IFERROR(__xludf.DUMMYFUNCTION("IF(SUM(COUNTIF(artists!A:A, SPLIT(D17, "",""))) &gt; 0, ""UA"", 0)"),"UA")</f>
        <v>UA</v>
      </c>
      <c r="J17" s="40">
        <f ca="1">IFERROR(__xludf.DUMMYFUNCTION("IF(SUM(COUNTIF(artists!C:C, SPLIT(D17, "",""))) &gt; 0, ""RU"", 0)"),0)</f>
        <v>0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B18" s="21">
        <v>15</v>
      </c>
      <c r="C18" s="21" t="s">
        <v>209</v>
      </c>
      <c r="D18" s="21" t="s">
        <v>210</v>
      </c>
      <c r="E18" s="21">
        <v>16</v>
      </c>
      <c r="F18" s="21">
        <v>491519</v>
      </c>
      <c r="G18" s="42">
        <v>-5.2999999999999999E-2</v>
      </c>
      <c r="H18" s="21" t="s">
        <v>212</v>
      </c>
      <c r="I18" s="39" t="str">
        <f ca="1">IFERROR(__xludf.DUMMYFUNCTION("IF(SUM(COUNTIF(artists!A:A, SPLIT(D18, "",""))) &gt; 0, ""UA"", 0)"),"UA")</f>
        <v>UA</v>
      </c>
      <c r="J18" s="40">
        <f ca="1">IFERROR(__xludf.DUMMYFUNCTION("IF(SUM(COUNTIF(artists!C:C, SPLIT(D18, "",""))) &gt; 0, ""RU"", 0)"),0)</f>
        <v>0</v>
      </c>
      <c r="K18" s="39">
        <f ca="1">IFERROR(__xludf.DUMMYFUNCTION("IF(SUM(COUNTIF(artists!E:E, SPLIT(D18, "",""))) &gt; 0, ""OTHER"", 0)"),0)</f>
        <v>0</v>
      </c>
    </row>
    <row r="19" spans="1:11" ht="14.25" customHeight="1">
      <c r="A19" s="21">
        <v>18</v>
      </c>
      <c r="B19" s="21">
        <v>17</v>
      </c>
      <c r="C19" s="21" t="s">
        <v>682</v>
      </c>
      <c r="D19" s="21" t="s">
        <v>125</v>
      </c>
      <c r="E19" s="21">
        <v>4</v>
      </c>
      <c r="F19" s="21">
        <v>488052</v>
      </c>
      <c r="G19" s="42">
        <v>-4.4999999999999998E-2</v>
      </c>
      <c r="H19" s="21" t="s">
        <v>684</v>
      </c>
      <c r="I19" s="39">
        <f ca="1">IFERROR(__xludf.DUMMYFUNCTION("IF(SUM(COUNTIF(artists!A:A, SPLIT(D19, "",""))) &gt; 0, ""UA"", 0)"),0)</f>
        <v>0</v>
      </c>
      <c r="J19" s="40" t="str">
        <f ca="1">IFERROR(__xludf.DUMMYFUNCTION("IF(SUM(COUNTIF(artists!C:C, SPLIT(D19, "",""))) &gt; 0, ""RU"", 0)"),"RU")</f>
        <v>RU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B20" s="21">
        <v>16</v>
      </c>
      <c r="C20" s="21" t="s">
        <v>700</v>
      </c>
      <c r="D20" s="21" t="s">
        <v>701</v>
      </c>
      <c r="E20" s="21">
        <v>4</v>
      </c>
      <c r="F20" s="21">
        <v>487386</v>
      </c>
      <c r="G20" s="42">
        <v>-4.9000000000000002E-2</v>
      </c>
      <c r="H20" s="21" t="s">
        <v>702</v>
      </c>
      <c r="I20" s="39">
        <f ca="1">IFERROR(__xludf.DUMMYFUNCTION("IF(SUM(COUNTIF(artists!A:A, SPLIT(D20, "",""))) &gt; 0, ""UA"", 0)"),0)</f>
        <v>0</v>
      </c>
      <c r="J20" s="40" t="str">
        <f ca="1">IFERROR(__xludf.DUMMYFUNCTION("IF(SUM(COUNTIF(artists!C:C, SPLIT(D20, "",""))) &gt; 0, ""RU"", 0)"),"RU")</f>
        <v>RU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B21" s="21">
        <v>20</v>
      </c>
      <c r="C21" s="21" t="s">
        <v>160</v>
      </c>
      <c r="D21" s="21" t="s">
        <v>161</v>
      </c>
      <c r="E21" s="21">
        <v>17</v>
      </c>
      <c r="F21" s="21">
        <v>429366</v>
      </c>
      <c r="G21" s="43">
        <v>-0.05</v>
      </c>
      <c r="H21" s="21" t="s">
        <v>163</v>
      </c>
      <c r="I21" s="39" t="str">
        <f ca="1">IFERROR(__xludf.DUMMYFUNCTION("IF(SUM(COUNTIF(artists!A:A, SPLIT(D21, "",""))) &gt; 0, ""UA"", 0)"),"UA")</f>
        <v>UA</v>
      </c>
      <c r="J21" s="40">
        <f ca="1">IFERROR(__xludf.DUMMYFUNCTION("IF(SUM(COUNTIF(artists!C:C, SPLIT(D21, "",""))) &gt; 0, ""RU"", 0)"),0)</f>
        <v>0</v>
      </c>
      <c r="K21" s="39">
        <f ca="1">IFERROR(__xludf.DUMMYFUNCTION("IF(SUM(COUNTIF(artists!E:E, SPLIT(D21, "",""))) &gt; 0, ""OTHER"", 0)"),0)</f>
        <v>0</v>
      </c>
    </row>
    <row r="22" spans="1:11" ht="14.25" customHeight="1">
      <c r="A22" s="21">
        <v>21</v>
      </c>
      <c r="B22" s="21">
        <v>18</v>
      </c>
      <c r="C22" s="21" t="s">
        <v>255</v>
      </c>
      <c r="D22" s="21" t="s">
        <v>256</v>
      </c>
      <c r="E22" s="21">
        <v>13</v>
      </c>
      <c r="F22" s="21">
        <v>421572</v>
      </c>
      <c r="G22" s="43">
        <v>-0.09</v>
      </c>
      <c r="H22" s="21" t="s">
        <v>257</v>
      </c>
      <c r="I22" s="39" t="str">
        <f ca="1">IFERROR(__xludf.DUMMYFUNCTION("IF(SUM(COUNTIF(artists!A:A, SPLIT(D22, "",""))) &gt; 0, ""UA"", 0)"),"UA")</f>
        <v>UA</v>
      </c>
      <c r="J22" s="40">
        <f ca="1">IFERROR(__xludf.DUMMYFUNCTION("IF(SUM(COUNTIF(artists!C:C, SPLIT(D22, "",""))) &gt; 0, ""RU"", 0)"),0)</f>
        <v>0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C23" s="21" t="s">
        <v>772</v>
      </c>
      <c r="D23" s="21" t="s">
        <v>773</v>
      </c>
      <c r="E23" s="21">
        <v>1</v>
      </c>
      <c r="F23" s="21">
        <v>397210</v>
      </c>
      <c r="H23" s="21" t="s">
        <v>774</v>
      </c>
      <c r="I23" s="39" t="str">
        <f ca="1">IFERROR(__xludf.DUMMYFUNCTION("IF(SUM(COUNTIF(artists!A:A, SPLIT(D23, "",""))) &gt; 0, ""UA"", 0)"),"UA")</f>
        <v>UA</v>
      </c>
      <c r="J23" s="40">
        <f ca="1">IFERROR(__xludf.DUMMYFUNCTION("IF(SUM(COUNTIF(artists!C:C, SPLIT(D23, "",""))) &gt; 0, ""RU"", 0)"),0)</f>
        <v>0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B24" s="21">
        <v>21</v>
      </c>
      <c r="C24" s="21" t="s">
        <v>178</v>
      </c>
      <c r="D24" s="21" t="s">
        <v>179</v>
      </c>
      <c r="E24" s="21">
        <v>27</v>
      </c>
      <c r="F24" s="21">
        <v>384943</v>
      </c>
      <c r="G24" s="42">
        <v>-0.11899999999999999</v>
      </c>
      <c r="H24" s="21" t="s">
        <v>181</v>
      </c>
      <c r="I24" s="39" t="str">
        <f ca="1">IFERROR(__xludf.DUMMYFUNCTION("IF(SUM(COUNTIF(artists!A:A, SPLIT(D24, "",""))) &gt; 0, ""UA"", 0)"),"UA")</f>
        <v>UA</v>
      </c>
      <c r="J24" s="40">
        <f ca="1">IFERROR(__xludf.DUMMYFUNCTION("IF(SUM(COUNTIF(artists!C:C, SPLIT(D24, "",""))) &gt; 0, ""RU"", 0)"),0)</f>
        <v>0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B25" s="21">
        <v>19</v>
      </c>
      <c r="C25" s="21" t="s">
        <v>742</v>
      </c>
      <c r="D25" s="21" t="s">
        <v>743</v>
      </c>
      <c r="E25" s="21">
        <v>5</v>
      </c>
      <c r="F25" s="21">
        <v>381145</v>
      </c>
      <c r="G25" s="43">
        <v>-0.17</v>
      </c>
      <c r="H25" s="21" t="s">
        <v>744</v>
      </c>
      <c r="I25" s="39">
        <f ca="1">IFERROR(__xludf.DUMMYFUNCTION("IF(SUM(COUNTIF(artists!A:A, SPLIT(D25, "",""))) &gt; 0, ""UA"", 0)"),0)</f>
        <v>0</v>
      </c>
      <c r="J25" s="40" t="str">
        <f ca="1">IFERROR(__xludf.DUMMYFUNCTION("IF(SUM(COUNTIF(artists!C:C, SPLIT(D25, "",""))) &gt; 0, ""RU"", 0)"),"RU")</f>
        <v>RU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B26" s="21">
        <v>23</v>
      </c>
      <c r="C26" s="21" t="s">
        <v>968</v>
      </c>
      <c r="D26" s="21" t="s">
        <v>969</v>
      </c>
      <c r="E26" s="21">
        <v>43</v>
      </c>
      <c r="F26" s="21">
        <v>378922</v>
      </c>
      <c r="G26" s="42">
        <v>-9.8000000000000004E-2</v>
      </c>
      <c r="H26" s="21" t="s">
        <v>970</v>
      </c>
      <c r="I26" s="39" t="str">
        <f ca="1">IFERROR(__xludf.DUMMYFUNCTION("IF(SUM(COUNTIF(artists!A:A, SPLIT(D26, "",""))) &gt; 0, ""UA"", 0)"),"UA")</f>
        <v>UA</v>
      </c>
      <c r="J26" s="40">
        <f ca="1">IFERROR(__xludf.DUMMYFUNCTION("IF(SUM(COUNTIF(artists!C:C, SPLIT(D26, "",""))) &gt; 0, ""RU"", 0)"),0)</f>
        <v>0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B27" s="21">
        <v>22</v>
      </c>
      <c r="C27" s="21" t="s">
        <v>251</v>
      </c>
      <c r="D27" s="21" t="s">
        <v>133</v>
      </c>
      <c r="E27" s="21">
        <v>8</v>
      </c>
      <c r="F27" s="21">
        <v>367735</v>
      </c>
      <c r="G27" s="42">
        <v>-0.126</v>
      </c>
      <c r="H27" s="21" t="s">
        <v>252</v>
      </c>
      <c r="I27" s="39" t="str">
        <f ca="1">IFERROR(__xludf.DUMMYFUNCTION("IF(SUM(COUNTIF(artists!A:A, SPLIT(D27, "",""))) &gt; 0, ""UA"", 0)"),"UA")</f>
        <v>UA</v>
      </c>
      <c r="J27" s="40">
        <f ca="1">IFERROR(__xludf.DUMMYFUNCTION("IF(SUM(COUNTIF(artists!C:C, SPLIT(D27, "",""))) &gt; 0, ""RU"", 0)"),0)</f>
        <v>0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B28" s="21">
        <v>28</v>
      </c>
      <c r="C28" s="21" t="s">
        <v>841</v>
      </c>
      <c r="D28" s="21" t="s">
        <v>842</v>
      </c>
      <c r="E28" s="21">
        <v>28</v>
      </c>
      <c r="F28" s="21">
        <v>367710</v>
      </c>
      <c r="G28" s="42">
        <v>-1.2E-2</v>
      </c>
      <c r="H28" s="21" t="s">
        <v>843</v>
      </c>
      <c r="I28" s="39">
        <f ca="1">IFERROR(__xludf.DUMMYFUNCTION("IF(SUM(COUNTIF(artists!A:A, SPLIT(D28, "",""))) &gt; 0, ""UA"", 0)"),0)</f>
        <v>0</v>
      </c>
      <c r="J28" s="40">
        <f ca="1">IFERROR(__xludf.DUMMYFUNCTION("IF(SUM(COUNTIF(artists!C:C, SPLIT(D28, "",""))) &gt; 0, ""RU"", 0)"),0)</f>
        <v>0</v>
      </c>
      <c r="K28" s="39" t="str">
        <f ca="1">IFERROR(__xludf.DUMMYFUNCTION("IF(SUM(COUNTIF(artists!E:E, SPLIT(D28, "",""))) &gt; 0, ""OTHER"", 0)"),"OTHER")</f>
        <v>OTHER</v>
      </c>
    </row>
    <row r="29" spans="1:11" ht="14.25" customHeight="1">
      <c r="A29" s="21">
        <v>28</v>
      </c>
      <c r="B29" s="21">
        <v>26</v>
      </c>
      <c r="C29" s="21" t="s">
        <v>229</v>
      </c>
      <c r="D29" s="21" t="s">
        <v>230</v>
      </c>
      <c r="E29" s="21">
        <v>30</v>
      </c>
      <c r="F29" s="21">
        <v>351079</v>
      </c>
      <c r="G29" s="42">
        <v>-7.4999999999999997E-2</v>
      </c>
      <c r="H29" s="21" t="s">
        <v>232</v>
      </c>
      <c r="I29" s="39" t="str">
        <f ca="1">IFERROR(__xludf.DUMMYFUNCTION("IF(SUM(COUNTIF(artists!A:A, SPLIT(D29, "",""))) &gt; 0, ""UA"", 0)"),"UA")</f>
        <v>UA</v>
      </c>
      <c r="J29" s="40">
        <f ca="1">IFERROR(__xludf.DUMMYFUNCTION("IF(SUM(COUNTIF(artists!C:C, SPLIT(D29, "",""))) &gt; 0, ""RU"", 0)"),0)</f>
        <v>0</v>
      </c>
      <c r="K29" s="39">
        <f ca="1">IFERROR(__xludf.DUMMYFUNCTION("IF(SUM(COUNTIF(artists!E:E, SPLIT(D29, "",""))) &gt; 0, ""OTHER"", 0)"),0)</f>
        <v>0</v>
      </c>
    </row>
    <row r="30" spans="1:11" ht="14.25" customHeight="1">
      <c r="A30" s="21">
        <v>29</v>
      </c>
      <c r="B30" s="21">
        <v>31</v>
      </c>
      <c r="C30" s="21" t="s">
        <v>616</v>
      </c>
      <c r="D30" s="21" t="s">
        <v>617</v>
      </c>
      <c r="E30" s="21">
        <v>13</v>
      </c>
      <c r="F30" s="21">
        <v>342347</v>
      </c>
      <c r="G30" s="42">
        <v>5.0000000000000001E-3</v>
      </c>
      <c r="H30" s="21" t="s">
        <v>618</v>
      </c>
      <c r="I30" s="39">
        <f ca="1">IFERROR(__xludf.DUMMYFUNCTION("IF(SUM(COUNTIF(artists!A:A, SPLIT(D30, "",""))) &gt; 0, ""UA"", 0)"),0)</f>
        <v>0</v>
      </c>
      <c r="J30" s="40">
        <f ca="1">IFERROR(__xludf.DUMMYFUNCTION("IF(SUM(COUNTIF(artists!C:C, SPLIT(D30, "",""))) &gt; 0, ""RU"", 0)"),0)</f>
        <v>0</v>
      </c>
      <c r="K30" s="39" t="str">
        <f ca="1">IFERROR(__xludf.DUMMYFUNCTION("IF(SUM(COUNTIF(artists!E:E, SPLIT(D30, "",""))) &gt; 0, ""OTHER"", 0)"),"OTHER")</f>
        <v>OTHER</v>
      </c>
    </row>
    <row r="31" spans="1:11" ht="14.25" customHeight="1">
      <c r="A31" s="21">
        <v>30</v>
      </c>
      <c r="B31" s="21">
        <v>29</v>
      </c>
      <c r="C31" s="21" t="s">
        <v>253</v>
      </c>
      <c r="D31" s="21" t="s">
        <v>89</v>
      </c>
      <c r="E31" s="21">
        <v>32</v>
      </c>
      <c r="F31" s="21">
        <v>335071</v>
      </c>
      <c r="G31" s="42">
        <v>-7.9000000000000001E-2</v>
      </c>
      <c r="H31" s="21" t="s">
        <v>254</v>
      </c>
      <c r="I31" s="39" t="str">
        <f ca="1">IFERROR(__xludf.DUMMYFUNCTION("IF(SUM(COUNTIF(artists!A:A, SPLIT(D31, "",""))) &gt; 0, ""UA"", 0)"),"UA")</f>
        <v>UA</v>
      </c>
      <c r="J31" s="40">
        <f ca="1">IFERROR(__xludf.DUMMYFUNCTION("IF(SUM(COUNTIF(artists!C:C, SPLIT(D31, "",""))) &gt; 0, ""RU"", 0)"),0)</f>
        <v>0</v>
      </c>
      <c r="K31" s="39">
        <f ca="1">IFERROR(__xludf.DUMMYFUNCTION("IF(SUM(COUNTIF(artists!E:E, SPLIT(D31, "",""))) &gt; 0, ""OTHER"", 0)"),0)</f>
        <v>0</v>
      </c>
    </row>
    <row r="32" spans="1:11" ht="14.25" customHeight="1">
      <c r="A32" s="21">
        <v>31</v>
      </c>
      <c r="B32" s="21">
        <v>35</v>
      </c>
      <c r="C32" s="21" t="s">
        <v>594</v>
      </c>
      <c r="D32" s="21" t="s">
        <v>595</v>
      </c>
      <c r="E32" s="21">
        <v>11</v>
      </c>
      <c r="F32" s="21">
        <v>323551</v>
      </c>
      <c r="G32" s="43">
        <v>-0.01</v>
      </c>
      <c r="H32" s="21" t="s">
        <v>596</v>
      </c>
      <c r="I32" s="39" t="str">
        <f ca="1">IFERROR(__xludf.DUMMYFUNCTION("IF(SUM(COUNTIF(artists!A:A, SPLIT(D32, "",""))) &gt; 0, ""UA"", 0)"),"UA")</f>
        <v>UA</v>
      </c>
      <c r="J32" s="40">
        <f ca="1">IFERROR(__xludf.DUMMYFUNCTION("IF(SUM(COUNTIF(artists!C:C, SPLIT(D32, "",""))) &gt; 0, ""RU"", 0)"),0)</f>
        <v>0</v>
      </c>
      <c r="K32" s="39">
        <f ca="1">IFERROR(__xludf.DUMMYFUNCTION("IF(SUM(COUNTIF(artists!E:E, SPLIT(D32, "",""))) &gt; 0, ""OTHER"", 0)"),0)</f>
        <v>0</v>
      </c>
    </row>
    <row r="33" spans="1:11" ht="14.25" customHeight="1">
      <c r="A33" s="21">
        <v>32</v>
      </c>
      <c r="B33" s="21">
        <v>41</v>
      </c>
      <c r="C33" s="21" t="s">
        <v>1032</v>
      </c>
      <c r="D33" s="21" t="s">
        <v>1033</v>
      </c>
      <c r="E33" s="21">
        <v>3</v>
      </c>
      <c r="F33" s="21">
        <v>313789</v>
      </c>
      <c r="G33" s="42">
        <v>6.6000000000000003E-2</v>
      </c>
      <c r="H33" s="21" t="s">
        <v>1034</v>
      </c>
      <c r="I33" s="39" t="str">
        <f ca="1">IFERROR(__xludf.DUMMYFUNCTION("IF(SUM(COUNTIF(artists!A:A, SPLIT(D33, "",""))) &gt; 0, ""UA"", 0)"),"UA")</f>
        <v>UA</v>
      </c>
      <c r="J33" s="40">
        <f ca="1">IFERROR(__xludf.DUMMYFUNCTION("IF(SUM(COUNTIF(artists!C:C, SPLIT(D33, "",""))) &gt; 0, ""RU"", 0)"),0)</f>
        <v>0</v>
      </c>
      <c r="K33" s="39">
        <f ca="1">IFERROR(__xludf.DUMMYFUNCTION("IF(SUM(COUNTIF(artists!E:E, SPLIT(D33, "",""))) &gt; 0, ""OTHER"", 0)"),0)</f>
        <v>0</v>
      </c>
    </row>
    <row r="34" spans="1:11" ht="14.25" customHeight="1">
      <c r="A34" s="21">
        <v>33</v>
      </c>
      <c r="B34" s="21">
        <v>37</v>
      </c>
      <c r="C34" s="21" t="s">
        <v>895</v>
      </c>
      <c r="D34" s="21" t="s">
        <v>896</v>
      </c>
      <c r="E34" s="21">
        <v>35</v>
      </c>
      <c r="F34" s="21">
        <v>303393</v>
      </c>
      <c r="G34" s="43">
        <v>-0.04</v>
      </c>
      <c r="H34" s="21" t="s">
        <v>897</v>
      </c>
      <c r="I34" s="39" t="str">
        <f ca="1">IFERROR(__xludf.DUMMYFUNCTION("IF(SUM(COUNTIF(artists!A:A, SPLIT(D34, "",""))) &gt; 0, ""UA"", 0)"),"UA")</f>
        <v>UA</v>
      </c>
      <c r="J34" s="40">
        <f ca="1">IFERROR(__xludf.DUMMYFUNCTION("IF(SUM(COUNTIF(artists!C:C, SPLIT(D34, "",""))) &gt; 0, ""RU"", 0)"),0)</f>
        <v>0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B35" s="21">
        <v>33</v>
      </c>
      <c r="C35" s="21" t="s">
        <v>799</v>
      </c>
      <c r="D35" s="21" t="s">
        <v>494</v>
      </c>
      <c r="E35" s="21">
        <v>32</v>
      </c>
      <c r="F35" s="21">
        <v>302426</v>
      </c>
      <c r="G35" s="42">
        <v>-9.5000000000000001E-2</v>
      </c>
      <c r="H35" s="21" t="s">
        <v>800</v>
      </c>
      <c r="I35" s="39" t="str">
        <f ca="1">IFERROR(__xludf.DUMMYFUNCTION("IF(SUM(COUNTIF(artists!A:A, SPLIT(D35, "",""))) &gt; 0, ""UA"", 0)"),"UA")</f>
        <v>UA</v>
      </c>
      <c r="J35" s="40">
        <f ca="1">IFERROR(__xludf.DUMMYFUNCTION("IF(SUM(COUNTIF(artists!C:C, SPLIT(D35, "",""))) &gt; 0, ""RU"", 0)"),0)</f>
        <v>0</v>
      </c>
      <c r="K35" s="39">
        <f ca="1">IFERROR(__xludf.DUMMYFUNCTION("IF(SUM(COUNTIF(artists!E:E, SPLIT(D35, "",""))) &gt; 0, ""OTHER"", 0)"),0)</f>
        <v>0</v>
      </c>
    </row>
    <row r="36" spans="1:11" ht="14.25" customHeight="1">
      <c r="A36" s="21">
        <v>35</v>
      </c>
      <c r="C36" s="21" t="s">
        <v>1149</v>
      </c>
      <c r="D36" s="21" t="s">
        <v>1150</v>
      </c>
      <c r="E36" s="21">
        <v>1</v>
      </c>
      <c r="F36" s="21">
        <v>301087</v>
      </c>
      <c r="H36" s="21" t="s">
        <v>1151</v>
      </c>
      <c r="I36" s="39" t="str">
        <f ca="1">IFERROR(__xludf.DUMMYFUNCTION("IF(SUM(COUNTIF(artists!A:A, SPLIT(D36, "",""))) &gt; 0, ""UA"", 0)"),"UA")</f>
        <v>UA</v>
      </c>
      <c r="J36" s="40">
        <f ca="1">IFERROR(__xludf.DUMMYFUNCTION("IF(SUM(COUNTIF(artists!C:C, SPLIT(D36, "",""))) &gt; 0, ""RU"", 0)"),0)</f>
        <v>0</v>
      </c>
      <c r="K36" s="39">
        <f ca="1">IFERROR(__xludf.DUMMYFUNCTION("IF(SUM(COUNTIF(artists!E:E, SPLIT(D36, "",""))) &gt; 0, ""OTHER"", 0)"),0)</f>
        <v>0</v>
      </c>
    </row>
    <row r="37" spans="1:11" ht="14.25" customHeight="1">
      <c r="A37" s="21">
        <v>36</v>
      </c>
      <c r="B37" s="21">
        <v>36</v>
      </c>
      <c r="C37" s="21" t="s">
        <v>462</v>
      </c>
      <c r="D37" s="21" t="s">
        <v>463</v>
      </c>
      <c r="E37" s="21">
        <v>14</v>
      </c>
      <c r="F37" s="21">
        <v>300047</v>
      </c>
      <c r="G37" s="42">
        <v>-6.9000000000000006E-2</v>
      </c>
      <c r="H37" s="21" t="s">
        <v>465</v>
      </c>
      <c r="I37" s="39" t="str">
        <f ca="1">IFERROR(__xludf.DUMMYFUNCTION("IF(SUM(COUNTIF(artists!A:A, SPLIT(D37, "",""))) &gt; 0, ""UA"", 0)"),"UA")</f>
        <v>UA</v>
      </c>
      <c r="J37" s="40">
        <f ca="1">IFERROR(__xludf.DUMMYFUNCTION("IF(SUM(COUNTIF(artists!C:C, SPLIT(D37, "",""))) &gt; 0, ""RU"", 0)"),0)</f>
        <v>0</v>
      </c>
      <c r="K37" s="39">
        <f ca="1">IFERROR(__xludf.DUMMYFUNCTION("IF(SUM(COUNTIF(artists!E:E, SPLIT(D37, "",""))) &gt; 0, ""OTHER"", 0)"),0)</f>
        <v>0</v>
      </c>
    </row>
    <row r="38" spans="1:11" ht="14.25" customHeight="1">
      <c r="A38" s="21">
        <v>37</v>
      </c>
      <c r="B38" s="21">
        <v>34</v>
      </c>
      <c r="C38" s="21" t="s">
        <v>929</v>
      </c>
      <c r="D38" s="21" t="s">
        <v>930</v>
      </c>
      <c r="E38" s="21">
        <v>16</v>
      </c>
      <c r="F38" s="21">
        <v>295055</v>
      </c>
      <c r="G38" s="42">
        <v>-9.9000000000000005E-2</v>
      </c>
      <c r="H38" s="21" t="s">
        <v>931</v>
      </c>
      <c r="I38" s="39" t="str">
        <f ca="1">IFERROR(__xludf.DUMMYFUNCTION("IF(SUM(COUNTIF(artists!A:A, SPLIT(D38, "",""))) &gt; 0, ""UA"", 0)"),"UA")</f>
        <v>UA</v>
      </c>
      <c r="J38" s="40">
        <f ca="1">IFERROR(__xludf.DUMMYFUNCTION("IF(SUM(COUNTIF(artists!C:C, SPLIT(D38, "",""))) &gt; 0, ""RU"", 0)"),0)</f>
        <v>0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B39" s="21">
        <v>40</v>
      </c>
      <c r="C39" s="21" t="s">
        <v>921</v>
      </c>
      <c r="D39" s="21" t="s">
        <v>922</v>
      </c>
      <c r="E39" s="21">
        <v>15</v>
      </c>
      <c r="F39" s="21">
        <v>282508</v>
      </c>
      <c r="G39" s="42">
        <v>-6.2E-2</v>
      </c>
      <c r="H39" s="21" t="s">
        <v>923</v>
      </c>
      <c r="I39" s="39" t="str">
        <f ca="1">IFERROR(__xludf.DUMMYFUNCTION("IF(SUM(COUNTIF(artists!A:A, SPLIT(D39, "",""))) &gt; 0, ""UA"", 0)"),"UA")</f>
        <v>UA</v>
      </c>
      <c r="J39" s="40">
        <f ca="1">IFERROR(__xludf.DUMMYFUNCTION("IF(SUM(COUNTIF(artists!C:C, SPLIT(D39, "",""))) &gt; 0, ""RU"", 0)"),0)</f>
        <v>0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B40" s="21">
        <v>70</v>
      </c>
      <c r="C40" s="21" t="s">
        <v>579</v>
      </c>
      <c r="D40" s="21" t="s">
        <v>183</v>
      </c>
      <c r="E40" s="21">
        <v>13</v>
      </c>
      <c r="F40" s="21">
        <v>274634</v>
      </c>
      <c r="G40" s="42">
        <v>0.47299999999999998</v>
      </c>
      <c r="H40" s="21" t="s">
        <v>580</v>
      </c>
      <c r="I40" s="39" t="str">
        <f ca="1">IFERROR(__xludf.DUMMYFUNCTION("IF(SUM(COUNTIF(artists!A:A, SPLIT(D40, "",""))) &gt; 0, ""UA"", 0)"),"UA")</f>
        <v>UA</v>
      </c>
      <c r="J40" s="40">
        <f ca="1">IFERROR(__xludf.DUMMYFUNCTION("IF(SUM(COUNTIF(artists!C:C, SPLIT(D40, "",""))) &gt; 0, ""RU"", 0)"),0)</f>
        <v>0</v>
      </c>
      <c r="K40" s="39">
        <f ca="1">IFERROR(__xludf.DUMMYFUNCTION("IF(SUM(COUNTIF(artists!E:E, SPLIT(D40, "",""))) &gt; 0, ""OTHER"", 0)"),0)</f>
        <v>0</v>
      </c>
    </row>
    <row r="41" spans="1:11" ht="14.25" customHeight="1">
      <c r="A41" s="21">
        <v>40</v>
      </c>
      <c r="B41" s="21">
        <v>38</v>
      </c>
      <c r="C41" s="21" t="s">
        <v>524</v>
      </c>
      <c r="D41" s="21" t="s">
        <v>525</v>
      </c>
      <c r="E41" s="21">
        <v>7</v>
      </c>
      <c r="F41" s="21">
        <v>266791</v>
      </c>
      <c r="G41" s="42">
        <v>-0.127</v>
      </c>
      <c r="H41" s="21" t="s">
        <v>526</v>
      </c>
      <c r="I41" s="39" t="str">
        <f ca="1">IFERROR(__xludf.DUMMYFUNCTION("IF(SUM(COUNTIF(artists!A:A, SPLIT(D41, "",""))) &gt; 0, ""UA"", 0)"),"UA")</f>
        <v>UA</v>
      </c>
      <c r="J41" s="40">
        <f ca="1">IFERROR(__xludf.DUMMYFUNCTION("IF(SUM(COUNTIF(artists!C:C, SPLIT(D41, "",""))) &gt; 0, ""RU"", 0)"),0)</f>
        <v>0</v>
      </c>
      <c r="K41" s="39">
        <f ca="1">IFERROR(__xludf.DUMMYFUNCTION("IF(SUM(COUNTIF(artists!E:E, SPLIT(D41, "",""))) &gt; 0, ""OTHER"", 0)"),0)</f>
        <v>0</v>
      </c>
    </row>
    <row r="42" spans="1:11" ht="14.25" customHeight="1">
      <c r="A42" s="21">
        <v>41</v>
      </c>
      <c r="B42" s="21">
        <v>39</v>
      </c>
      <c r="C42" s="21" t="s">
        <v>168</v>
      </c>
      <c r="D42" s="21" t="s">
        <v>137</v>
      </c>
      <c r="E42" s="21">
        <v>14</v>
      </c>
      <c r="F42" s="21">
        <v>265592</v>
      </c>
      <c r="G42" s="43">
        <v>-0.13</v>
      </c>
      <c r="H42" s="21" t="s">
        <v>170</v>
      </c>
      <c r="I42" s="39" t="str">
        <f ca="1">IFERROR(__xludf.DUMMYFUNCTION("IF(SUM(COUNTIF(artists!A:A, SPLIT(D42, "",""))) &gt; 0, ""UA"", 0)"),"UA")</f>
        <v>UA</v>
      </c>
      <c r="J42" s="40">
        <f ca="1">IFERROR(__xludf.DUMMYFUNCTION("IF(SUM(COUNTIF(artists!C:C, SPLIT(D42, "",""))) &gt; 0, ""RU"", 0)"),0)</f>
        <v>0</v>
      </c>
      <c r="K42" s="39">
        <f ca="1">IFERROR(__xludf.DUMMYFUNCTION("IF(SUM(COUNTIF(artists!E:E, SPLIT(D42, "",""))) &gt; 0, ""OTHER"", 0)"),0)</f>
        <v>0</v>
      </c>
    </row>
    <row r="43" spans="1:11" ht="14.25" customHeight="1">
      <c r="A43" s="21">
        <v>42</v>
      </c>
      <c r="B43" s="21">
        <v>73</v>
      </c>
      <c r="C43" s="21" t="s">
        <v>706</v>
      </c>
      <c r="D43" s="21" t="s">
        <v>199</v>
      </c>
      <c r="E43" s="21">
        <v>19</v>
      </c>
      <c r="F43" s="21">
        <v>261825</v>
      </c>
      <c r="G43" s="42">
        <v>0.45100000000000001</v>
      </c>
      <c r="H43" s="21" t="s">
        <v>1126</v>
      </c>
      <c r="I43" s="39" t="str">
        <f ca="1">IFERROR(__xludf.DUMMYFUNCTION("IF(SUM(COUNTIF(artists!A:A, SPLIT(D43, "",""))) &gt; 0, ""UA"", 0)"),"UA")</f>
        <v>UA</v>
      </c>
      <c r="J43" s="40">
        <f ca="1">IFERROR(__xludf.DUMMYFUNCTION("IF(SUM(COUNTIF(artists!C:C, SPLIT(D43, "",""))) &gt; 0, ""RU"", 0)"),0)</f>
        <v>0</v>
      </c>
      <c r="K43" s="39">
        <f ca="1">IFERROR(__xludf.DUMMYFUNCTION("IF(SUM(COUNTIF(artists!E:E, SPLIT(D43, "",""))) &gt; 0, ""OTHER"", 0)"),0)</f>
        <v>0</v>
      </c>
    </row>
    <row r="44" spans="1:11" ht="14.25" customHeight="1">
      <c r="A44" s="21">
        <v>43</v>
      </c>
      <c r="B44" s="21">
        <v>45</v>
      </c>
      <c r="C44" s="21" t="s">
        <v>667</v>
      </c>
      <c r="D44" s="21" t="s">
        <v>668</v>
      </c>
      <c r="E44" s="21">
        <v>4</v>
      </c>
      <c r="F44" s="21">
        <v>260364</v>
      </c>
      <c r="G44" s="42">
        <v>-5.1999999999999998E-2</v>
      </c>
      <c r="H44" s="21" t="s">
        <v>669</v>
      </c>
      <c r="I44" s="39">
        <f ca="1">IFERROR(__xludf.DUMMYFUNCTION("IF(SUM(COUNTIF(artists!A:A, SPLIT(D44, "",""))) &gt; 0, ""UA"", 0)"),0)</f>
        <v>0</v>
      </c>
      <c r="J44" s="40" t="str">
        <f ca="1">IFERROR(__xludf.DUMMYFUNCTION("IF(SUM(COUNTIF(artists!C:C, SPLIT(D44, "",""))) &gt; 0, ""RU"", 0)"),"RU")</f>
        <v>RU</v>
      </c>
      <c r="K44" s="39">
        <f ca="1">IFERROR(__xludf.DUMMYFUNCTION("IF(SUM(COUNTIF(artists!E:E, SPLIT(D44, "",""))) &gt; 0, ""OTHER"", 0)"),0)</f>
        <v>0</v>
      </c>
    </row>
    <row r="45" spans="1:11" ht="14.25" customHeight="1">
      <c r="A45" s="21">
        <v>44</v>
      </c>
      <c r="B45" s="21">
        <v>44</v>
      </c>
      <c r="C45" s="21" t="s">
        <v>887</v>
      </c>
      <c r="D45" s="21" t="s">
        <v>89</v>
      </c>
      <c r="E45" s="21">
        <v>30</v>
      </c>
      <c r="F45" s="21">
        <v>259183</v>
      </c>
      <c r="G45" s="42">
        <v>-7.0999999999999994E-2</v>
      </c>
      <c r="H45" s="21" t="s">
        <v>888</v>
      </c>
      <c r="I45" s="39" t="str">
        <f ca="1">IFERROR(__xludf.DUMMYFUNCTION("IF(SUM(COUNTIF(artists!A:A, SPLIT(D45, "",""))) &gt; 0, ""UA"", 0)"),"UA")</f>
        <v>UA</v>
      </c>
      <c r="J45" s="40">
        <f ca="1">IFERROR(__xludf.DUMMYFUNCTION("IF(SUM(COUNTIF(artists!C:C, SPLIT(D45, "",""))) &gt; 0, ""RU"", 0)"),0)</f>
        <v>0</v>
      </c>
      <c r="K45" s="39">
        <f ca="1">IFERROR(__xludf.DUMMYFUNCTION("IF(SUM(COUNTIF(artists!E:E, SPLIT(D45, "",""))) &gt; 0, ""OTHER"", 0)"),0)</f>
        <v>0</v>
      </c>
    </row>
    <row r="46" spans="1:11" ht="14.25" customHeight="1">
      <c r="A46" s="21">
        <v>45</v>
      </c>
      <c r="B46" s="21">
        <v>42</v>
      </c>
      <c r="C46" s="21" t="s">
        <v>1073</v>
      </c>
      <c r="D46" s="21" t="s">
        <v>1074</v>
      </c>
      <c r="E46" s="21">
        <v>9</v>
      </c>
      <c r="F46" s="21">
        <v>258401</v>
      </c>
      <c r="G46" s="42">
        <v>-9.6000000000000002E-2</v>
      </c>
      <c r="H46" s="21" t="s">
        <v>1075</v>
      </c>
      <c r="I46" s="39" t="str">
        <f ca="1">IFERROR(__xludf.DUMMYFUNCTION("IF(SUM(COUNTIF(artists!A:A, SPLIT(D46, "",""))) &gt; 0, ""UA"", 0)"),"UA")</f>
        <v>UA</v>
      </c>
      <c r="J46" s="40">
        <f ca="1">IFERROR(__xludf.DUMMYFUNCTION("IF(SUM(COUNTIF(artists!C:C, SPLIT(D46, "",""))) &gt; 0, ""RU"", 0)"),0)</f>
        <v>0</v>
      </c>
      <c r="K46" s="39">
        <f ca="1">IFERROR(__xludf.DUMMYFUNCTION("IF(SUM(COUNTIF(artists!E:E, SPLIT(D46, "",""))) &gt; 0, ""OTHER"", 0)"),0)</f>
        <v>0</v>
      </c>
    </row>
    <row r="47" spans="1:11" ht="14.25" customHeight="1">
      <c r="A47" s="21">
        <v>46</v>
      </c>
      <c r="B47" s="21">
        <v>54</v>
      </c>
      <c r="C47" s="21" t="s">
        <v>1021</v>
      </c>
      <c r="D47" s="21" t="s">
        <v>1022</v>
      </c>
      <c r="E47" s="21">
        <v>3</v>
      </c>
      <c r="F47" s="21">
        <v>257767</v>
      </c>
      <c r="G47" s="42">
        <v>6.7000000000000004E-2</v>
      </c>
      <c r="H47" s="21" t="s">
        <v>1023</v>
      </c>
      <c r="I47" s="39">
        <f ca="1">IFERROR(__xludf.DUMMYFUNCTION("IF(SUM(COUNTIF(artists!A:A, SPLIT(D47, "",""))) &gt; 0, ""UA"", 0)"),0)</f>
        <v>0</v>
      </c>
      <c r="J47" s="40">
        <f ca="1">IFERROR(__xludf.DUMMYFUNCTION("IF(SUM(COUNTIF(artists!C:C, SPLIT(D47, "",""))) &gt; 0, ""RU"", 0)"),0)</f>
        <v>0</v>
      </c>
      <c r="K47" s="39" t="str">
        <f ca="1">IFERROR(__xludf.DUMMYFUNCTION("IF(SUM(COUNTIF(artists!E:E, SPLIT(D47, "",""))) &gt; 0, ""OTHER"", 0)"),"OTHER")</f>
        <v>OTHER</v>
      </c>
    </row>
    <row r="48" spans="1:11" ht="14.25" customHeight="1">
      <c r="A48" s="21">
        <v>47</v>
      </c>
      <c r="B48" s="21">
        <v>52</v>
      </c>
      <c r="C48" s="21" t="s">
        <v>508</v>
      </c>
      <c r="D48" s="21" t="s">
        <v>509</v>
      </c>
      <c r="E48" s="21">
        <v>4</v>
      </c>
      <c r="F48" s="21">
        <v>248327</v>
      </c>
      <c r="G48" s="42">
        <v>-1.7000000000000001E-2</v>
      </c>
      <c r="H48" s="21" t="s">
        <v>510</v>
      </c>
      <c r="I48" s="39">
        <f ca="1">IFERROR(__xludf.DUMMYFUNCTION("IF(SUM(COUNTIF(artists!A:A, SPLIT(D48, "",""))) &gt; 0, ""UA"", 0)"),0)</f>
        <v>0</v>
      </c>
      <c r="J48" s="40" t="str">
        <f ca="1">IFERROR(__xludf.DUMMYFUNCTION("IF(SUM(COUNTIF(artists!C:C, SPLIT(D48, "",""))) &gt; 0, ""RU"", 0)"),"RU")</f>
        <v>RU</v>
      </c>
      <c r="K48" s="39">
        <f ca="1">IFERROR(__xludf.DUMMYFUNCTION("IF(SUM(COUNTIF(artists!E:E, SPLIT(D48, "",""))) &gt; 0, ""OTHER"", 0)"),0)</f>
        <v>0</v>
      </c>
    </row>
    <row r="49" spans="1:11" ht="14.25" customHeight="1">
      <c r="A49" s="21">
        <v>48</v>
      </c>
      <c r="B49" s="21">
        <v>48</v>
      </c>
      <c r="C49" s="21" t="s">
        <v>516</v>
      </c>
      <c r="D49" s="21" t="s">
        <v>517</v>
      </c>
      <c r="E49" s="21">
        <v>21</v>
      </c>
      <c r="F49" s="21">
        <v>245470</v>
      </c>
      <c r="G49" s="42">
        <v>-6.5000000000000002E-2</v>
      </c>
      <c r="H49" s="21" t="s">
        <v>518</v>
      </c>
      <c r="I49" s="39">
        <f ca="1">IFERROR(__xludf.DUMMYFUNCTION("IF(SUM(COUNTIF(artists!A:A, SPLIT(D49, "",""))) &gt; 0, ""UA"", 0)"),0)</f>
        <v>0</v>
      </c>
      <c r="J49" s="40">
        <f ca="1">IFERROR(__xludf.DUMMYFUNCTION("IF(SUM(COUNTIF(artists!C:C, SPLIT(D49, "",""))) &gt; 0, ""RU"", 0)"),0)</f>
        <v>0</v>
      </c>
      <c r="K49" s="39" t="str">
        <f ca="1">IFERROR(__xludf.DUMMYFUNCTION("IF(SUM(COUNTIF(artists!E:E, SPLIT(D49, "",""))) &gt; 0, ""OTHER"", 0)"),"OTHER")</f>
        <v>OTHER</v>
      </c>
    </row>
    <row r="50" spans="1:11" ht="14.25" customHeight="1">
      <c r="A50" s="21">
        <v>49</v>
      </c>
      <c r="B50" s="21">
        <v>25</v>
      </c>
      <c r="C50" s="21" t="s">
        <v>1154</v>
      </c>
      <c r="D50" s="21" t="s">
        <v>1155</v>
      </c>
      <c r="E50" s="21">
        <v>2</v>
      </c>
      <c r="F50" s="21">
        <v>243782</v>
      </c>
      <c r="G50" s="42">
        <v>-0.39700000000000002</v>
      </c>
      <c r="H50" s="21" t="s">
        <v>1156</v>
      </c>
      <c r="I50" s="39" t="str">
        <f ca="1">IFERROR(__xludf.DUMMYFUNCTION("IF(SUM(COUNTIF(artists!A:A, SPLIT(D50, "",""))) &gt; 0, ""UA"", 0)"),"UA")</f>
        <v>UA</v>
      </c>
      <c r="J50" s="40">
        <f ca="1">IFERROR(__xludf.DUMMYFUNCTION("IF(SUM(COUNTIF(artists!C:C, SPLIT(D50, "",""))) &gt; 0, ""RU"", 0)"),0)</f>
        <v>0</v>
      </c>
      <c r="K50" s="39">
        <f ca="1">IFERROR(__xludf.DUMMYFUNCTION("IF(SUM(COUNTIF(artists!E:E, SPLIT(D50, "",""))) &gt; 0, ""OTHER"", 0)"),0)</f>
        <v>0</v>
      </c>
    </row>
    <row r="51" spans="1:11" ht="14.25" customHeight="1">
      <c r="A51" s="21">
        <v>50</v>
      </c>
      <c r="B51" s="21">
        <v>75</v>
      </c>
      <c r="C51" s="21" t="s">
        <v>527</v>
      </c>
      <c r="D51" s="21" t="s">
        <v>528</v>
      </c>
      <c r="E51" s="21">
        <v>2</v>
      </c>
      <c r="F51" s="21">
        <v>241145</v>
      </c>
      <c r="G51" s="42">
        <v>0.39600000000000002</v>
      </c>
      <c r="H51" s="21" t="s">
        <v>529</v>
      </c>
      <c r="I51" s="39" t="str">
        <f ca="1">IFERROR(__xludf.DUMMYFUNCTION("IF(SUM(COUNTIF(artists!A:A, SPLIT(D51, "",""))) &gt; 0, ""UA"", 0)"),"UA")</f>
        <v>UA</v>
      </c>
      <c r="J51" s="40">
        <f ca="1">IFERROR(__xludf.DUMMYFUNCTION("IF(SUM(COUNTIF(artists!C:C, SPLIT(D51, "",""))) &gt; 0, ""RU"", 0)"),0)</f>
        <v>0</v>
      </c>
      <c r="K51" s="39">
        <f ca="1">IFERROR(__xludf.DUMMYFUNCTION("IF(SUM(COUNTIF(artists!E:E, SPLIT(D51, "",""))) &gt; 0, ""OTHER"", 0)"),0)</f>
        <v>0</v>
      </c>
    </row>
    <row r="52" spans="1:11" ht="14.25" customHeight="1">
      <c r="A52" s="21">
        <v>51</v>
      </c>
      <c r="B52" s="21">
        <v>53</v>
      </c>
      <c r="C52" s="21" t="s">
        <v>1147</v>
      </c>
      <c r="D52" s="21" t="s">
        <v>776</v>
      </c>
      <c r="E52" s="21">
        <v>9</v>
      </c>
      <c r="F52" s="21">
        <v>241022</v>
      </c>
      <c r="G52" s="42">
        <v>-3.5999999999999997E-2</v>
      </c>
      <c r="H52" s="21" t="s">
        <v>1148</v>
      </c>
      <c r="I52" s="39" t="str">
        <f ca="1">IFERROR(__xludf.DUMMYFUNCTION("IF(SUM(COUNTIF(artists!A:A, SPLIT(D52, "",""))) &gt; 0, ""UA"", 0)"),"UA")</f>
        <v>UA</v>
      </c>
      <c r="J52" s="40">
        <f ca="1">IFERROR(__xludf.DUMMYFUNCTION("IF(SUM(COUNTIF(artists!C:C, SPLIT(D52, "",""))) &gt; 0, ""RU"", 0)"),0)</f>
        <v>0</v>
      </c>
      <c r="K52" s="39">
        <f ca="1">IFERROR(__xludf.DUMMYFUNCTION("IF(SUM(COUNTIF(artists!E:E, SPLIT(D52, "",""))) &gt; 0, ""OTHER"", 0)"),0)</f>
        <v>0</v>
      </c>
    </row>
    <row r="53" spans="1:11" ht="14.25" customHeight="1">
      <c r="A53" s="21">
        <v>52</v>
      </c>
      <c r="B53" s="21">
        <v>32</v>
      </c>
      <c r="C53" s="21" t="s">
        <v>497</v>
      </c>
      <c r="D53" s="21" t="s">
        <v>860</v>
      </c>
      <c r="E53" s="21">
        <v>3</v>
      </c>
      <c r="F53" s="21">
        <v>225413</v>
      </c>
      <c r="G53" s="42">
        <v>-0.32800000000000001</v>
      </c>
      <c r="H53" s="21" t="s">
        <v>499</v>
      </c>
      <c r="I53" s="39" t="str">
        <f ca="1">IFERROR(__xludf.DUMMYFUNCTION("IF(SUM(COUNTIF(artists!A:A, SPLIT(D53, "",""))) &gt; 0, ""UA"", 0)"),"UA")</f>
        <v>UA</v>
      </c>
      <c r="J53" s="40">
        <f ca="1">IFERROR(__xludf.DUMMYFUNCTION("IF(SUM(COUNTIF(artists!C:C, SPLIT(D53, "",""))) &gt; 0, ""RU"", 0)"),0)</f>
        <v>0</v>
      </c>
      <c r="K53" s="39">
        <f ca="1">IFERROR(__xludf.DUMMYFUNCTION("IF(SUM(COUNTIF(artists!E:E, SPLIT(D53, "",""))) &gt; 0, ""OTHER"", 0)"),0)</f>
        <v>0</v>
      </c>
    </row>
    <row r="54" spans="1:11" ht="14.25" customHeight="1">
      <c r="A54" s="21">
        <v>53</v>
      </c>
      <c r="B54" s="21">
        <v>49</v>
      </c>
      <c r="C54" s="21" t="s">
        <v>1178</v>
      </c>
      <c r="D54" s="21" t="s">
        <v>1117</v>
      </c>
      <c r="E54" s="21">
        <v>19</v>
      </c>
      <c r="F54" s="21">
        <v>224918</v>
      </c>
      <c r="G54" s="42">
        <v>-0.13300000000000001</v>
      </c>
      <c r="H54" s="21" t="s">
        <v>1179</v>
      </c>
      <c r="I54" s="39">
        <f ca="1">IFERROR(__xludf.DUMMYFUNCTION("IF(SUM(COUNTIF(artists!A:A, SPLIT(D54, "",""))) &gt; 0, ""UA"", 0)"),0)</f>
        <v>0</v>
      </c>
      <c r="J54" s="40" t="str">
        <f ca="1">IFERROR(__xludf.DUMMYFUNCTION("IF(SUM(COUNTIF(artists!C:C, SPLIT(D54, "",""))) &gt; 0, ""RU"", 0)"),"RU")</f>
        <v>RU</v>
      </c>
      <c r="K54" s="39">
        <f ca="1">IFERROR(__xludf.DUMMYFUNCTION("IF(SUM(COUNTIF(artists!E:E, SPLIT(D54, "",""))) &gt; 0, ""OTHER"", 0)"),0)</f>
        <v>0</v>
      </c>
    </row>
    <row r="55" spans="1:11" ht="14.25" customHeight="1">
      <c r="A55" s="21">
        <v>54</v>
      </c>
      <c r="B55" s="21">
        <v>51</v>
      </c>
      <c r="C55" s="21" t="s">
        <v>1089</v>
      </c>
      <c r="D55" s="21" t="s">
        <v>125</v>
      </c>
      <c r="E55" s="21">
        <v>13</v>
      </c>
      <c r="F55" s="21">
        <v>218804</v>
      </c>
      <c r="G55" s="42">
        <v>-0.151</v>
      </c>
      <c r="H55" s="21" t="s">
        <v>1090</v>
      </c>
      <c r="I55" s="39">
        <f ca="1">IFERROR(__xludf.DUMMYFUNCTION("IF(SUM(COUNTIF(artists!A:A, SPLIT(D55, "",""))) &gt; 0, ""UA"", 0)"),0)</f>
        <v>0</v>
      </c>
      <c r="J55" s="40" t="str">
        <f ca="1">IFERROR(__xludf.DUMMYFUNCTION("IF(SUM(COUNTIF(artists!C:C, SPLIT(D55, "",""))) &gt; 0, ""RU"", 0)"),"RU")</f>
        <v>RU</v>
      </c>
      <c r="K55" s="39">
        <f ca="1">IFERROR(__xludf.DUMMYFUNCTION("IF(SUM(COUNTIF(artists!E:E, SPLIT(D55, "",""))) &gt; 0, ""OTHER"", 0)"),0)</f>
        <v>0</v>
      </c>
    </row>
    <row r="56" spans="1:11" ht="14.25" customHeight="1">
      <c r="A56" s="21">
        <v>55</v>
      </c>
      <c r="B56" s="21">
        <v>61</v>
      </c>
      <c r="C56" s="21" t="s">
        <v>971</v>
      </c>
      <c r="D56" s="21" t="s">
        <v>972</v>
      </c>
      <c r="E56" s="21">
        <v>11</v>
      </c>
      <c r="F56" s="21">
        <v>206765</v>
      </c>
      <c r="G56" s="42">
        <v>-1.4999999999999999E-2</v>
      </c>
      <c r="H56" s="21" t="s">
        <v>973</v>
      </c>
      <c r="I56" s="39">
        <f ca="1">IFERROR(__xludf.DUMMYFUNCTION("IF(SUM(COUNTIF(artists!A:A, SPLIT(D56, "",""))) &gt; 0, ""UA"", 0)"),0)</f>
        <v>0</v>
      </c>
      <c r="J56" s="40">
        <f ca="1">IFERROR(__xludf.DUMMYFUNCTION("IF(SUM(COUNTIF(artists!C:C, SPLIT(D56, "",""))) &gt; 0, ""RU"", 0)"),0)</f>
        <v>0</v>
      </c>
      <c r="K56" s="39" t="str">
        <f ca="1">IFERROR(__xludf.DUMMYFUNCTION("IF(SUM(COUNTIF(artists!E:E, SPLIT(D56, "",""))) &gt; 0, ""OTHER"", 0)"),"OTHER")</f>
        <v>OTHER</v>
      </c>
    </row>
    <row r="57" spans="1:11" ht="14.25" customHeight="1">
      <c r="A57" s="21">
        <v>56</v>
      </c>
      <c r="B57" s="21">
        <v>55</v>
      </c>
      <c r="C57" s="21" t="s">
        <v>903</v>
      </c>
      <c r="D57" s="21" t="s">
        <v>904</v>
      </c>
      <c r="E57" s="21">
        <v>15</v>
      </c>
      <c r="F57" s="21">
        <v>206529</v>
      </c>
      <c r="G57" s="42">
        <v>-0.114</v>
      </c>
      <c r="H57" s="21" t="s">
        <v>905</v>
      </c>
      <c r="I57" s="39" t="str">
        <f ca="1">IFERROR(__xludf.DUMMYFUNCTION("IF(SUM(COUNTIF(artists!A:A, SPLIT(D57, "",""))) &gt; 0, ""UA"", 0)"),"UA")</f>
        <v>UA</v>
      </c>
      <c r="J57" s="40">
        <f ca="1">IFERROR(__xludf.DUMMYFUNCTION("IF(SUM(COUNTIF(artists!C:C, SPLIT(D57, "",""))) &gt; 0, ""RU"", 0)"),0)</f>
        <v>0</v>
      </c>
      <c r="K57" s="39">
        <f ca="1">IFERROR(__xludf.DUMMYFUNCTION("IF(SUM(COUNTIF(artists!E:E, SPLIT(D57, "",""))) &gt; 0, ""OTHER"", 0)"),0)</f>
        <v>0</v>
      </c>
    </row>
    <row r="58" spans="1:11" ht="14.25" customHeight="1">
      <c r="A58" s="21">
        <v>57</v>
      </c>
      <c r="B58" s="21">
        <v>67</v>
      </c>
      <c r="C58" s="21" t="s">
        <v>482</v>
      </c>
      <c r="D58" s="21" t="s">
        <v>210</v>
      </c>
      <c r="E58" s="21">
        <v>2</v>
      </c>
      <c r="F58" s="21">
        <v>204052</v>
      </c>
      <c r="G58" s="42">
        <v>1.9E-2</v>
      </c>
      <c r="H58" s="21" t="s">
        <v>484</v>
      </c>
      <c r="I58" s="39" t="str">
        <f ca="1">IFERROR(__xludf.DUMMYFUNCTION("IF(SUM(COUNTIF(artists!A:A, SPLIT(D58, "",""))) &gt; 0, ""UA"", 0)"),"UA")</f>
        <v>UA</v>
      </c>
      <c r="J58" s="40">
        <f ca="1">IFERROR(__xludf.DUMMYFUNCTION("IF(SUM(COUNTIF(artists!C:C, SPLIT(D58, "",""))) &gt; 0, ""RU"", 0)"),0)</f>
        <v>0</v>
      </c>
      <c r="K58" s="39">
        <f ca="1">IFERROR(__xludf.DUMMYFUNCTION("IF(SUM(COUNTIF(artists!E:E, SPLIT(D58, "",""))) &gt; 0, ""OTHER"", 0)"),0)</f>
        <v>0</v>
      </c>
    </row>
    <row r="59" spans="1:11" ht="14.25" customHeight="1">
      <c r="A59" s="21">
        <v>58</v>
      </c>
      <c r="B59" s="21">
        <v>62</v>
      </c>
      <c r="C59" s="21" t="s">
        <v>284</v>
      </c>
      <c r="D59" s="21" t="s">
        <v>15</v>
      </c>
      <c r="E59" s="21">
        <v>10</v>
      </c>
      <c r="F59" s="21">
        <v>202612</v>
      </c>
      <c r="G59" s="42">
        <v>-2.3E-2</v>
      </c>
      <c r="H59" s="21" t="s">
        <v>285</v>
      </c>
      <c r="I59" s="39">
        <f ca="1">IFERROR(__xludf.DUMMYFUNCTION("IF(SUM(COUNTIF(artists!A:A, SPLIT(D59, "",""))) &gt; 0, ""UA"", 0)"),0)</f>
        <v>0</v>
      </c>
      <c r="J59" s="40">
        <f ca="1">IFERROR(__xludf.DUMMYFUNCTION("IF(SUM(COUNTIF(artists!C:C, SPLIT(D59, "",""))) &gt; 0, ""RU"", 0)"),0)</f>
        <v>0</v>
      </c>
      <c r="K59" s="39" t="str">
        <f ca="1">IFERROR(__xludf.DUMMYFUNCTION("IF(SUM(COUNTIF(artists!E:E, SPLIT(D59, "",""))) &gt; 0, ""OTHER"", 0)"),"OTHER")</f>
        <v>OTHER</v>
      </c>
    </row>
    <row r="60" spans="1:11" ht="14.25" customHeight="1">
      <c r="A60" s="21">
        <v>59</v>
      </c>
      <c r="B60" s="21">
        <v>59</v>
      </c>
      <c r="C60" s="21" t="s">
        <v>868</v>
      </c>
      <c r="D60" s="21" t="s">
        <v>869</v>
      </c>
      <c r="E60" s="21">
        <v>7</v>
      </c>
      <c r="F60" s="21">
        <v>199803</v>
      </c>
      <c r="G60" s="42">
        <v>-7.2999999999999995E-2</v>
      </c>
      <c r="H60" s="21" t="s">
        <v>870</v>
      </c>
      <c r="I60" s="39">
        <f ca="1">IFERROR(__xludf.DUMMYFUNCTION("IF(SUM(COUNTIF(artists!A:A, SPLIT(D60, "",""))) &gt; 0, ""UA"", 0)"),0)</f>
        <v>0</v>
      </c>
      <c r="J60" s="40" t="str">
        <f ca="1">IFERROR(__xludf.DUMMYFUNCTION("IF(SUM(COUNTIF(artists!C:C, SPLIT(D60, "",""))) &gt; 0, ""RU"", 0)"),"RU")</f>
        <v>RU</v>
      </c>
      <c r="K60" s="39">
        <f ca="1">IFERROR(__xludf.DUMMYFUNCTION("IF(SUM(COUNTIF(artists!E:E, SPLIT(D60, "",""))) &gt; 0, ""OTHER"", 0)"),0)</f>
        <v>0</v>
      </c>
    </row>
    <row r="61" spans="1:11" ht="14.25" customHeight="1">
      <c r="A61" s="21">
        <v>60</v>
      </c>
      <c r="B61" s="21">
        <v>57</v>
      </c>
      <c r="C61" s="21" t="s">
        <v>1055</v>
      </c>
      <c r="D61" s="21" t="s">
        <v>776</v>
      </c>
      <c r="E61" s="21">
        <v>20</v>
      </c>
      <c r="F61" s="21">
        <v>197890</v>
      </c>
      <c r="G61" s="42">
        <v>-0.13600000000000001</v>
      </c>
      <c r="H61" s="21" t="s">
        <v>1056</v>
      </c>
      <c r="I61" s="39" t="str">
        <f ca="1">IFERROR(__xludf.DUMMYFUNCTION("IF(SUM(COUNTIF(artists!A:A, SPLIT(D61, "",""))) &gt; 0, ""UA"", 0)"),"UA")</f>
        <v>UA</v>
      </c>
      <c r="J61" s="40">
        <f ca="1">IFERROR(__xludf.DUMMYFUNCTION("IF(SUM(COUNTIF(artists!C:C, SPLIT(D61, "",""))) &gt; 0, ""RU"", 0)"),0)</f>
        <v>0</v>
      </c>
      <c r="K61" s="39">
        <f ca="1">IFERROR(__xludf.DUMMYFUNCTION("IF(SUM(COUNTIF(artists!E:E, SPLIT(D61, "",""))) &gt; 0, ""OTHER"", 0)"),0)</f>
        <v>0</v>
      </c>
    </row>
    <row r="62" spans="1:11" ht="14.25" customHeight="1">
      <c r="A62" s="21">
        <v>61</v>
      </c>
      <c r="B62" s="21">
        <v>63</v>
      </c>
      <c r="C62" s="21" t="s">
        <v>589</v>
      </c>
      <c r="D62" s="21" t="s">
        <v>590</v>
      </c>
      <c r="E62" s="21">
        <v>11</v>
      </c>
      <c r="F62" s="21">
        <v>196934</v>
      </c>
      <c r="G62" s="42">
        <v>-4.1000000000000002E-2</v>
      </c>
      <c r="H62" s="21" t="s">
        <v>591</v>
      </c>
      <c r="I62" s="39" t="str">
        <f ca="1">IFERROR(__xludf.DUMMYFUNCTION("IF(SUM(COUNTIF(artists!A:A, SPLIT(D62, "",""))) &gt; 0, ""UA"", 0)"),"UA")</f>
        <v>UA</v>
      </c>
      <c r="J62" s="40">
        <f ca="1">IFERROR(__xludf.DUMMYFUNCTION("IF(SUM(COUNTIF(artists!C:C, SPLIT(D62, "",""))) &gt; 0, ""RU"", 0)"),0)</f>
        <v>0</v>
      </c>
      <c r="K62" s="39">
        <f ca="1">IFERROR(__xludf.DUMMYFUNCTION("IF(SUM(COUNTIF(artists!E:E, SPLIT(D62, "",""))) &gt; 0, ""OTHER"", 0)"),0)</f>
        <v>0</v>
      </c>
    </row>
    <row r="63" spans="1:11" ht="14.25" customHeight="1">
      <c r="A63" s="21">
        <v>62</v>
      </c>
      <c r="B63" s="21">
        <v>46</v>
      </c>
      <c r="C63" s="21" t="s">
        <v>1029</v>
      </c>
      <c r="D63" s="21" t="s">
        <v>1030</v>
      </c>
      <c r="E63" s="21">
        <v>5</v>
      </c>
      <c r="F63" s="21">
        <v>193092</v>
      </c>
      <c r="G63" s="43">
        <v>-0.28000000000000003</v>
      </c>
      <c r="H63" s="21" t="s">
        <v>1031</v>
      </c>
      <c r="I63" s="39" t="str">
        <f ca="1">IFERROR(__xludf.DUMMYFUNCTION("IF(SUM(COUNTIF(artists!A:A, SPLIT(D63, "",""))) &gt; 0, ""UA"", 0)"),"UA")</f>
        <v>UA</v>
      </c>
      <c r="J63" s="40">
        <f ca="1">IFERROR(__xludf.DUMMYFUNCTION("IF(SUM(COUNTIF(artists!C:C, SPLIT(D63, "",""))) &gt; 0, ""RU"", 0)"),0)</f>
        <v>0</v>
      </c>
      <c r="K63" s="39">
        <f ca="1">IFERROR(__xludf.DUMMYFUNCTION("IF(SUM(COUNTIF(artists!E:E, SPLIT(D63, "",""))) &gt; 0, ""OTHER"", 0)"),0)</f>
        <v>0</v>
      </c>
    </row>
    <row r="64" spans="1:11" ht="14.25" customHeight="1">
      <c r="A64" s="21">
        <v>63</v>
      </c>
      <c r="B64" s="21">
        <v>76</v>
      </c>
      <c r="C64" s="21" t="s">
        <v>602</v>
      </c>
      <c r="D64" s="21" t="s">
        <v>299</v>
      </c>
      <c r="E64" s="21">
        <v>4</v>
      </c>
      <c r="F64" s="21">
        <v>190556</v>
      </c>
      <c r="G64" s="42">
        <v>0.108</v>
      </c>
      <c r="H64" s="21" t="s">
        <v>604</v>
      </c>
      <c r="I64" s="39">
        <f ca="1">IFERROR(__xludf.DUMMYFUNCTION("IF(SUM(COUNTIF(artists!A:A, SPLIT(D64, "",""))) &gt; 0, ""UA"", 0)"),0)</f>
        <v>0</v>
      </c>
      <c r="J64" s="40">
        <f ca="1">IFERROR(__xludf.DUMMYFUNCTION("IF(SUM(COUNTIF(artists!C:C, SPLIT(D64, "",""))) &gt; 0, ""RU"", 0)"),0)</f>
        <v>0</v>
      </c>
      <c r="K64" s="39" t="str">
        <f ca="1">IFERROR(__xludf.DUMMYFUNCTION("IF(SUM(COUNTIF(artists!E:E, SPLIT(D64, "",""))) &gt; 0, ""OTHER"", 0)"),"OTHER")</f>
        <v>OTHER</v>
      </c>
    </row>
    <row r="65" spans="1:11" ht="14.25" customHeight="1">
      <c r="A65" s="21">
        <v>64</v>
      </c>
      <c r="C65" s="21" t="s">
        <v>1208</v>
      </c>
      <c r="D65" s="21" t="s">
        <v>1209</v>
      </c>
      <c r="E65" s="21">
        <v>1</v>
      </c>
      <c r="F65" s="21">
        <v>189642</v>
      </c>
      <c r="H65" s="21" t="s">
        <v>1210</v>
      </c>
      <c r="I65" s="39">
        <f ca="1">IFERROR(__xludf.DUMMYFUNCTION("IF(SUM(COUNTIF(artists!A:A, SPLIT(D65, "",""))) &gt; 0, ""UA"", 0)"),0)</f>
        <v>0</v>
      </c>
      <c r="J65" s="40">
        <f ca="1">IFERROR(__xludf.DUMMYFUNCTION("IF(SUM(COUNTIF(artists!C:C, SPLIT(D65, "",""))) &gt; 0, ""RU"", 0)"),0)</f>
        <v>0</v>
      </c>
      <c r="K65" s="39" t="str">
        <f ca="1">IFERROR(__xludf.DUMMYFUNCTION("IF(SUM(COUNTIF(artists!E:E, SPLIT(D65, "",""))) &gt; 0, ""OTHER"", 0)"),"OTHER")</f>
        <v>OTHER</v>
      </c>
    </row>
    <row r="66" spans="1:11" ht="14.25" customHeight="1">
      <c r="A66" s="21">
        <v>65</v>
      </c>
      <c r="B66" s="21">
        <v>43</v>
      </c>
      <c r="C66" s="21" t="s">
        <v>1190</v>
      </c>
      <c r="D66" s="21" t="s">
        <v>916</v>
      </c>
      <c r="E66" s="21">
        <v>4</v>
      </c>
      <c r="F66" s="21">
        <v>189074</v>
      </c>
      <c r="G66" s="42">
        <v>-0.33500000000000002</v>
      </c>
      <c r="H66" s="21" t="s">
        <v>1191</v>
      </c>
      <c r="I66" s="39">
        <f ca="1">IFERROR(__xludf.DUMMYFUNCTION("IF(SUM(COUNTIF(artists!A:A, SPLIT(D66, "",""))) &gt; 0, ""UA"", 0)"),0)</f>
        <v>0</v>
      </c>
      <c r="J66" s="40" t="str">
        <f ca="1">IFERROR(__xludf.DUMMYFUNCTION("IF(SUM(COUNTIF(artists!C:C, SPLIT(D66, "",""))) &gt; 0, ""RU"", 0)"),"RU")</f>
        <v>RU</v>
      </c>
      <c r="K66" s="39">
        <f ca="1">IFERROR(__xludf.DUMMYFUNCTION("IF(SUM(COUNTIF(artists!E:E, SPLIT(D66, "",""))) &gt; 0, ""OTHER"", 0)"),0)</f>
        <v>0</v>
      </c>
    </row>
    <row r="67" spans="1:11" ht="14.25" customHeight="1">
      <c r="A67" s="21">
        <v>66</v>
      </c>
      <c r="C67" s="21" t="s">
        <v>1184</v>
      </c>
      <c r="D67" s="21" t="s">
        <v>1185</v>
      </c>
      <c r="E67" s="21">
        <v>1</v>
      </c>
      <c r="F67" s="21">
        <v>187757</v>
      </c>
      <c r="H67" s="21" t="s">
        <v>1186</v>
      </c>
      <c r="I67" s="39">
        <f ca="1">IFERROR(__xludf.DUMMYFUNCTION("IF(SUM(COUNTIF(artists!A:A, SPLIT(D67, "",""))) &gt; 0, ""UA"", 0)"),0)</f>
        <v>0</v>
      </c>
      <c r="J67" s="40">
        <f ca="1">IFERROR(__xludf.DUMMYFUNCTION("IF(SUM(COUNTIF(artists!C:C, SPLIT(D67, "",""))) &gt; 0, ""RU"", 0)"),0)</f>
        <v>0</v>
      </c>
      <c r="K67" s="39" t="str">
        <f ca="1">IFERROR(__xludf.DUMMYFUNCTION("IF(SUM(COUNTIF(artists!E:E, SPLIT(D67, "",""))) &gt; 0, ""OTHER"", 0)"),"OTHER")</f>
        <v>OTHER</v>
      </c>
    </row>
    <row r="68" spans="1:11" ht="14.25" customHeight="1">
      <c r="A68" s="21">
        <v>67</v>
      </c>
      <c r="B68" s="21">
        <v>60</v>
      </c>
      <c r="C68" s="21" t="s">
        <v>1076</v>
      </c>
      <c r="D68" s="21" t="s">
        <v>1077</v>
      </c>
      <c r="E68" s="21">
        <v>14</v>
      </c>
      <c r="F68" s="21">
        <v>184159</v>
      </c>
      <c r="G68" s="42">
        <v>-0.124</v>
      </c>
      <c r="H68" s="21" t="s">
        <v>1078</v>
      </c>
      <c r="I68" s="39" t="str">
        <f ca="1">IFERROR(__xludf.DUMMYFUNCTION("IF(SUM(COUNTIF(artists!A:A, SPLIT(D68, "",""))) &gt; 0, ""UA"", 0)"),"UA")</f>
        <v>UA</v>
      </c>
      <c r="J68" s="40">
        <f ca="1">IFERROR(__xludf.DUMMYFUNCTION("IF(SUM(COUNTIF(artists!C:C, SPLIT(D68, "",""))) &gt; 0, ""RU"", 0)"),0)</f>
        <v>0</v>
      </c>
      <c r="K68" s="39">
        <f ca="1">IFERROR(__xludf.DUMMYFUNCTION("IF(SUM(COUNTIF(artists!E:E, SPLIT(D68, "",""))) &gt; 0, ""OTHER"", 0)"),0)</f>
        <v>0</v>
      </c>
    </row>
    <row r="69" spans="1:11" ht="14.25" customHeight="1">
      <c r="A69" s="21">
        <v>68</v>
      </c>
      <c r="B69" s="21">
        <v>74</v>
      </c>
      <c r="C69" s="21" t="s">
        <v>963</v>
      </c>
      <c r="D69" s="21" t="s">
        <v>964</v>
      </c>
      <c r="E69" s="21">
        <v>2</v>
      </c>
      <c r="F69" s="21">
        <v>178502</v>
      </c>
      <c r="G69" s="42">
        <v>6.0000000000000001E-3</v>
      </c>
      <c r="H69" s="21" t="s">
        <v>965</v>
      </c>
      <c r="I69" s="39" t="str">
        <f ca="1">IFERROR(__xludf.DUMMYFUNCTION("IF(SUM(COUNTIF(artists!A:A, SPLIT(D69, "",""))) &gt; 0, ""UA"", 0)"),"UA")</f>
        <v>UA</v>
      </c>
      <c r="J69" s="40">
        <f ca="1">IFERROR(__xludf.DUMMYFUNCTION("IF(SUM(COUNTIF(artists!C:C, SPLIT(D69, "",""))) &gt; 0, ""RU"", 0)"),0)</f>
        <v>0</v>
      </c>
      <c r="K69" s="39">
        <f ca="1">IFERROR(__xludf.DUMMYFUNCTION("IF(SUM(COUNTIF(artists!E:E, SPLIT(D69, "",""))) &gt; 0, ""OTHER"", 0)"),0)</f>
        <v>0</v>
      </c>
    </row>
    <row r="70" spans="1:11" ht="14.25" customHeight="1">
      <c r="A70" s="21">
        <v>69</v>
      </c>
      <c r="B70" s="21">
        <v>79</v>
      </c>
      <c r="C70" s="21" t="s">
        <v>1038</v>
      </c>
      <c r="D70" s="21" t="s">
        <v>1039</v>
      </c>
      <c r="E70" s="21">
        <v>5</v>
      </c>
      <c r="F70" s="21">
        <v>176610</v>
      </c>
      <c r="G70" s="42">
        <v>4.1000000000000002E-2</v>
      </c>
      <c r="H70" s="21" t="s">
        <v>1040</v>
      </c>
      <c r="I70" s="39">
        <f ca="1">IFERROR(__xludf.DUMMYFUNCTION("IF(SUM(COUNTIF(artists!A:A, SPLIT(D70, "",""))) &gt; 0, ""UA"", 0)"),0)</f>
        <v>0</v>
      </c>
      <c r="J70" s="40">
        <f ca="1">IFERROR(__xludf.DUMMYFUNCTION("IF(SUM(COUNTIF(artists!C:C, SPLIT(D70, "",""))) &gt; 0, ""RU"", 0)"),0)</f>
        <v>0</v>
      </c>
      <c r="K70" s="39" t="str">
        <f ca="1">IFERROR(__xludf.DUMMYFUNCTION("IF(SUM(COUNTIF(artists!E:E, SPLIT(D70, "",""))) &gt; 0, ""OTHER"", 0)"),"OTHER")</f>
        <v>OTHER</v>
      </c>
    </row>
    <row r="71" spans="1:11" ht="14.25" customHeight="1">
      <c r="A71" s="21">
        <v>70</v>
      </c>
      <c r="C71" s="21" t="s">
        <v>358</v>
      </c>
      <c r="D71" s="21" t="s">
        <v>359</v>
      </c>
      <c r="E71" s="21">
        <v>1</v>
      </c>
      <c r="F71" s="21">
        <v>176465</v>
      </c>
      <c r="H71" s="21" t="s">
        <v>361</v>
      </c>
      <c r="I71" s="39">
        <f ca="1">IFERROR(__xludf.DUMMYFUNCTION("IF(SUM(COUNTIF(artists!A:A, SPLIT(D71, "",""))) &gt; 0, ""UA"", 0)"),0)</f>
        <v>0</v>
      </c>
      <c r="J71" s="40">
        <f ca="1">IFERROR(__xludf.DUMMYFUNCTION("IF(SUM(COUNTIF(artists!C:C, SPLIT(D71, "",""))) &gt; 0, ""RU"", 0)"),0)</f>
        <v>0</v>
      </c>
      <c r="K71" s="39" t="str">
        <f ca="1">IFERROR(__xludf.DUMMYFUNCTION("IF(SUM(COUNTIF(artists!E:E, SPLIT(D71, "",""))) &gt; 0, ""OTHER"", 0)"),"OTHER")</f>
        <v>OTHER</v>
      </c>
    </row>
    <row r="72" spans="1:11" ht="14.25" customHeight="1">
      <c r="A72" s="21">
        <v>71</v>
      </c>
      <c r="B72" s="21">
        <v>56</v>
      </c>
      <c r="C72" s="21" t="s">
        <v>1172</v>
      </c>
      <c r="D72" s="21" t="s">
        <v>1173</v>
      </c>
      <c r="E72" s="21">
        <v>4</v>
      </c>
      <c r="F72" s="21">
        <v>171854</v>
      </c>
      <c r="G72" s="42">
        <v>-0.252</v>
      </c>
      <c r="H72" s="21" t="s">
        <v>1174</v>
      </c>
      <c r="I72" s="39">
        <f ca="1">IFERROR(__xludf.DUMMYFUNCTION("IF(SUM(COUNTIF(artists!A:A, SPLIT(D72, "",""))) &gt; 0, ""UA"", 0)"),0)</f>
        <v>0</v>
      </c>
      <c r="J72" s="40" t="str">
        <f ca="1">IFERROR(__xludf.DUMMYFUNCTION("IF(SUM(COUNTIF(artists!C:C, SPLIT(D72, "",""))) &gt; 0, ""RU"", 0)"),"RU")</f>
        <v>RU</v>
      </c>
      <c r="K72" s="39">
        <f ca="1">IFERROR(__xludf.DUMMYFUNCTION("IF(SUM(COUNTIF(artists!E:E, SPLIT(D72, "",""))) &gt; 0, ""OTHER"", 0)"),0)</f>
        <v>0</v>
      </c>
    </row>
    <row r="73" spans="1:11" ht="14.25" customHeight="1">
      <c r="A73" s="21">
        <v>72</v>
      </c>
      <c r="C73" s="21" t="s">
        <v>264</v>
      </c>
      <c r="D73" s="21" t="s">
        <v>265</v>
      </c>
      <c r="E73" s="21">
        <v>1</v>
      </c>
      <c r="F73" s="21">
        <v>168307</v>
      </c>
      <c r="H73" s="21" t="s">
        <v>267</v>
      </c>
      <c r="I73" s="39">
        <f ca="1">IFERROR(__xludf.DUMMYFUNCTION("IF(SUM(COUNTIF(artists!A:A, SPLIT(D73, "",""))) &gt; 0, ""UA"", 0)"),0)</f>
        <v>0</v>
      </c>
      <c r="J73" s="40">
        <f ca="1">IFERROR(__xludf.DUMMYFUNCTION("IF(SUM(COUNTIF(artists!C:C, SPLIT(D73, "",""))) &gt; 0, ""RU"", 0)"),0)</f>
        <v>0</v>
      </c>
      <c r="K73" s="39" t="str">
        <f ca="1">IFERROR(__xludf.DUMMYFUNCTION("IF(SUM(COUNTIF(artists!E:E, SPLIT(D73, "",""))) &gt; 0, ""OTHER"", 0)"),"OTHER")</f>
        <v>OTHER</v>
      </c>
    </row>
    <row r="74" spans="1:11" ht="14.25" customHeight="1">
      <c r="A74" s="21">
        <v>73</v>
      </c>
      <c r="B74" s="21">
        <v>68</v>
      </c>
      <c r="C74" s="21" t="s">
        <v>520</v>
      </c>
      <c r="D74" s="21" t="s">
        <v>521</v>
      </c>
      <c r="E74" s="21">
        <v>14</v>
      </c>
      <c r="F74" s="21">
        <v>165031</v>
      </c>
      <c r="G74" s="42">
        <v>-0.152</v>
      </c>
      <c r="H74" s="21" t="s">
        <v>522</v>
      </c>
      <c r="I74" s="39" t="str">
        <f ca="1">IFERROR(__xludf.DUMMYFUNCTION("IF(SUM(COUNTIF(artists!A:A, SPLIT(D74, "",""))) &gt; 0, ""UA"", 0)"),"UA")</f>
        <v>UA</v>
      </c>
      <c r="J74" s="40">
        <f ca="1">IFERROR(__xludf.DUMMYFUNCTION("IF(SUM(COUNTIF(artists!C:C, SPLIT(D74, "",""))) &gt; 0, ""RU"", 0)"),0)</f>
        <v>0</v>
      </c>
      <c r="K74" s="39">
        <f ca="1">IFERROR(__xludf.DUMMYFUNCTION("IF(SUM(COUNTIF(artists!E:E, SPLIT(D74, "",""))) &gt; 0, ""OTHER"", 0)"),0)</f>
        <v>0</v>
      </c>
    </row>
    <row r="75" spans="1:11" ht="14.25" customHeight="1">
      <c r="A75" s="21">
        <v>74</v>
      </c>
      <c r="B75" s="21">
        <v>89</v>
      </c>
      <c r="C75" s="21" t="s">
        <v>1133</v>
      </c>
      <c r="D75" s="21" t="s">
        <v>89</v>
      </c>
      <c r="E75" s="21">
        <v>10</v>
      </c>
      <c r="F75" s="21">
        <v>164022</v>
      </c>
      <c r="G75" s="42">
        <v>3.2000000000000001E-2</v>
      </c>
      <c r="H75" s="21" t="s">
        <v>1134</v>
      </c>
      <c r="I75" s="39" t="str">
        <f ca="1">IFERROR(__xludf.DUMMYFUNCTION("IF(SUM(COUNTIF(artists!A:A, SPLIT(D75, "",""))) &gt; 0, ""UA"", 0)"),"UA")</f>
        <v>UA</v>
      </c>
      <c r="J75" s="40">
        <f ca="1">IFERROR(__xludf.DUMMYFUNCTION("IF(SUM(COUNTIF(artists!C:C, SPLIT(D75, "",""))) &gt; 0, ""RU"", 0)"),0)</f>
        <v>0</v>
      </c>
      <c r="K75" s="39">
        <f ca="1">IFERROR(__xludf.DUMMYFUNCTION("IF(SUM(COUNTIF(artists!E:E, SPLIT(D75, "",""))) &gt; 0, ""OTHER"", 0)"),0)</f>
        <v>0</v>
      </c>
    </row>
    <row r="76" spans="1:11" ht="14.25" customHeight="1">
      <c r="A76" s="21">
        <v>75</v>
      </c>
      <c r="B76" s="21">
        <v>81</v>
      </c>
      <c r="C76" s="21" t="s">
        <v>1062</v>
      </c>
      <c r="D76" s="21" t="s">
        <v>1063</v>
      </c>
      <c r="E76" s="21">
        <v>8</v>
      </c>
      <c r="F76" s="21">
        <v>163648</v>
      </c>
      <c r="G76" s="42">
        <v>-2.9000000000000001E-2</v>
      </c>
      <c r="H76" s="21" t="s">
        <v>1064</v>
      </c>
      <c r="I76" s="39" t="str">
        <f ca="1">IFERROR(__xludf.DUMMYFUNCTION("IF(SUM(COUNTIF(artists!A:A, SPLIT(D76, "",""))) &gt; 0, ""UA"", 0)"),"UA")</f>
        <v>UA</v>
      </c>
      <c r="J76" s="40">
        <f ca="1">IFERROR(__xludf.DUMMYFUNCTION("IF(SUM(COUNTIF(artists!C:C, SPLIT(D76, "",""))) &gt; 0, ""RU"", 0)"),0)</f>
        <v>0</v>
      </c>
      <c r="K76" s="39">
        <f ca="1">IFERROR(__xludf.DUMMYFUNCTION("IF(SUM(COUNTIF(artists!E:E, SPLIT(D76, "",""))) &gt; 0, ""OTHER"", 0)"),0)</f>
        <v>0</v>
      </c>
    </row>
    <row r="77" spans="1:11" ht="14.25" customHeight="1">
      <c r="A77" s="21">
        <v>76</v>
      </c>
      <c r="C77" s="21" t="s">
        <v>1013</v>
      </c>
      <c r="D77" s="21" t="s">
        <v>1014</v>
      </c>
      <c r="E77" s="21">
        <v>1</v>
      </c>
      <c r="F77" s="21">
        <v>161700</v>
      </c>
      <c r="H77" s="21" t="s">
        <v>1015</v>
      </c>
      <c r="I77" s="39" t="str">
        <f ca="1">IFERROR(__xludf.DUMMYFUNCTION("IF(SUM(COUNTIF(artists!A:A, SPLIT(D77, "",""))) &gt; 0, ""UA"", 0)"),"UA")</f>
        <v>UA</v>
      </c>
      <c r="J77" s="40">
        <f ca="1">IFERROR(__xludf.DUMMYFUNCTION("IF(SUM(COUNTIF(artists!C:C, SPLIT(D77, "",""))) &gt; 0, ""RU"", 0)"),0)</f>
        <v>0</v>
      </c>
      <c r="K77" s="39">
        <f ca="1">IFERROR(__xludf.DUMMYFUNCTION("IF(SUM(COUNTIF(artists!E:E, SPLIT(D77, "",""))) &gt; 0, ""OTHER"", 0)"),0)</f>
        <v>0</v>
      </c>
    </row>
    <row r="78" spans="1:11" ht="14.25" customHeight="1">
      <c r="A78" s="21">
        <v>77</v>
      </c>
      <c r="B78" s="21">
        <v>72</v>
      </c>
      <c r="C78" s="21" t="s">
        <v>1137</v>
      </c>
      <c r="D78" s="21" t="s">
        <v>1117</v>
      </c>
      <c r="E78" s="21">
        <v>7</v>
      </c>
      <c r="F78" s="21">
        <v>157115</v>
      </c>
      <c r="G78" s="43">
        <v>-0.14000000000000001</v>
      </c>
      <c r="H78" s="21" t="s">
        <v>1138</v>
      </c>
      <c r="I78" s="39">
        <f ca="1">IFERROR(__xludf.DUMMYFUNCTION("IF(SUM(COUNTIF(artists!A:A, SPLIT(D78, "",""))) &gt; 0, ""UA"", 0)"),0)</f>
        <v>0</v>
      </c>
      <c r="J78" s="40" t="str">
        <f ca="1">IFERROR(__xludf.DUMMYFUNCTION("IF(SUM(COUNTIF(artists!C:C, SPLIT(D78, "",""))) &gt; 0, ""RU"", 0)"),"RU")</f>
        <v>RU</v>
      </c>
      <c r="K78" s="39">
        <f ca="1">IFERROR(__xludf.DUMMYFUNCTION("IF(SUM(COUNTIF(artists!E:E, SPLIT(D78, "",""))) &gt; 0, ""OTHER"", 0)"),0)</f>
        <v>0</v>
      </c>
    </row>
    <row r="79" spans="1:11" ht="14.25" customHeight="1">
      <c r="A79" s="21">
        <v>78</v>
      </c>
      <c r="B79" s="21">
        <v>71</v>
      </c>
      <c r="C79" s="21" t="s">
        <v>1157</v>
      </c>
      <c r="D79" s="21" t="s">
        <v>1158</v>
      </c>
      <c r="E79" s="21">
        <v>7</v>
      </c>
      <c r="F79" s="21">
        <v>156536</v>
      </c>
      <c r="G79" s="42">
        <v>-0.14899999999999999</v>
      </c>
      <c r="H79" s="21" t="s">
        <v>1159</v>
      </c>
      <c r="I79" s="39">
        <f ca="1">IFERROR(__xludf.DUMMYFUNCTION("IF(SUM(COUNTIF(artists!A:A, SPLIT(D79, "",""))) &gt; 0, ""UA"", 0)"),0)</f>
        <v>0</v>
      </c>
      <c r="J79" s="40">
        <f ca="1">IFERROR(__xludf.DUMMYFUNCTION("IF(SUM(COUNTIF(artists!C:C, SPLIT(D79, "",""))) &gt; 0, ""RU"", 0)"),0)</f>
        <v>0</v>
      </c>
      <c r="K79" s="39" t="str">
        <f ca="1">IFERROR(__xludf.DUMMYFUNCTION("IF(SUM(COUNTIF(artists!E:E, SPLIT(D79, "",""))) &gt; 0, ""OTHER"", 0)"),"OTHER")</f>
        <v>OTHER</v>
      </c>
    </row>
    <row r="80" spans="1:11" ht="14.25" customHeight="1">
      <c r="A80" s="21">
        <v>79</v>
      </c>
      <c r="C80" s="21" t="s">
        <v>339</v>
      </c>
      <c r="D80" s="21" t="s">
        <v>340</v>
      </c>
      <c r="E80" s="21">
        <v>1</v>
      </c>
      <c r="F80" s="21">
        <v>155695</v>
      </c>
      <c r="H80" s="21" t="s">
        <v>342</v>
      </c>
      <c r="I80" s="39" t="str">
        <f ca="1">IFERROR(__xludf.DUMMYFUNCTION("IF(SUM(COUNTIF(artists!A:A, SPLIT(D80, "",""))) &gt; 0, ""UA"", 0)"),"UA")</f>
        <v>UA</v>
      </c>
      <c r="J80" s="40">
        <f ca="1">IFERROR(__xludf.DUMMYFUNCTION("IF(SUM(COUNTIF(artists!C:C, SPLIT(D80, "",""))) &gt; 0, ""RU"", 0)"),0)</f>
        <v>0</v>
      </c>
      <c r="K80" s="39">
        <f ca="1">IFERROR(__xludf.DUMMYFUNCTION("IF(SUM(COUNTIF(artists!E:E, SPLIT(D80, "",""))) &gt; 0, ""OTHER"", 0)"),0)</f>
        <v>0</v>
      </c>
    </row>
    <row r="81" spans="1:11" ht="14.25" customHeight="1">
      <c r="A81" s="21">
        <v>80</v>
      </c>
      <c r="B81" s="21">
        <v>100</v>
      </c>
      <c r="C81" s="21" t="s">
        <v>1175</v>
      </c>
      <c r="D81" s="21" t="s">
        <v>1176</v>
      </c>
      <c r="E81" s="21">
        <v>14</v>
      </c>
      <c r="F81" s="21">
        <v>154726</v>
      </c>
      <c r="G81" s="42">
        <v>6.3E-2</v>
      </c>
      <c r="H81" s="21" t="s">
        <v>1177</v>
      </c>
      <c r="I81" s="39">
        <f ca="1">IFERROR(__xludf.DUMMYFUNCTION("IF(SUM(COUNTIF(artists!A:A, SPLIT(D81, "",""))) &gt; 0, ""UA"", 0)"),0)</f>
        <v>0</v>
      </c>
      <c r="J81" s="40" t="str">
        <f ca="1">IFERROR(__xludf.DUMMYFUNCTION("IF(SUM(COUNTIF(artists!C:C, SPLIT(D81, "",""))) &gt; 0, ""RU"", 0)"),"RU")</f>
        <v>RU</v>
      </c>
      <c r="K81" s="39">
        <f ca="1">IFERROR(__xludf.DUMMYFUNCTION("IF(SUM(COUNTIF(artists!E:E, SPLIT(D81, "",""))) &gt; 0, ""OTHER"", 0)"),0)</f>
        <v>0</v>
      </c>
    </row>
    <row r="82" spans="1:11" ht="14.25" customHeight="1">
      <c r="A82" s="21">
        <v>81</v>
      </c>
      <c r="B82" s="21">
        <v>91</v>
      </c>
      <c r="C82" s="21" t="s">
        <v>605</v>
      </c>
      <c r="D82" s="21" t="s">
        <v>299</v>
      </c>
      <c r="E82" s="21">
        <v>4</v>
      </c>
      <c r="F82" s="21">
        <v>154356</v>
      </c>
      <c r="G82" s="42">
        <v>-1.4999999999999999E-2</v>
      </c>
      <c r="H82" s="21" t="s">
        <v>607</v>
      </c>
      <c r="I82" s="39">
        <f ca="1">IFERROR(__xludf.DUMMYFUNCTION("IF(SUM(COUNTIF(artists!A:A, SPLIT(D82, "",""))) &gt; 0, ""UA"", 0)"),0)</f>
        <v>0</v>
      </c>
      <c r="J82" s="40">
        <f ca="1">IFERROR(__xludf.DUMMYFUNCTION("IF(SUM(COUNTIF(artists!C:C, SPLIT(D82, "",""))) &gt; 0, ""RU"", 0)"),0)</f>
        <v>0</v>
      </c>
      <c r="K82" s="39" t="str">
        <f ca="1">IFERROR(__xludf.DUMMYFUNCTION("IF(SUM(COUNTIF(artists!E:E, SPLIT(D82, "",""))) &gt; 0, ""OTHER"", 0)"),"OTHER")</f>
        <v>OTHER</v>
      </c>
    </row>
    <row r="83" spans="1:11" ht="14.25" customHeight="1">
      <c r="A83" s="21">
        <v>82</v>
      </c>
      <c r="B83" s="21">
        <v>87</v>
      </c>
      <c r="C83" s="21" t="s">
        <v>629</v>
      </c>
      <c r="D83" s="21" t="s">
        <v>630</v>
      </c>
      <c r="E83" s="21">
        <v>7</v>
      </c>
      <c r="F83" s="21">
        <v>153596</v>
      </c>
      <c r="G83" s="42">
        <v>-3.5999999999999997E-2</v>
      </c>
      <c r="H83" s="21" t="s">
        <v>631</v>
      </c>
      <c r="I83" s="39" t="str">
        <f ca="1">IFERROR(__xludf.DUMMYFUNCTION("IF(SUM(COUNTIF(artists!A:A, SPLIT(D83, "",""))) &gt; 0, ""UA"", 0)"),"UA")</f>
        <v>UA</v>
      </c>
      <c r="J83" s="40">
        <f ca="1">IFERROR(__xludf.DUMMYFUNCTION("IF(SUM(COUNTIF(artists!C:C, SPLIT(D83, "",""))) &gt; 0, ""RU"", 0)"),0)</f>
        <v>0</v>
      </c>
      <c r="K83" s="39">
        <f ca="1">IFERROR(__xludf.DUMMYFUNCTION("IF(SUM(COUNTIF(artists!E:E, SPLIT(D83, "",""))) &gt; 0, ""OTHER"", 0)"),0)</f>
        <v>0</v>
      </c>
    </row>
    <row r="84" spans="1:11" ht="14.25" customHeight="1">
      <c r="A84" s="21">
        <v>83</v>
      </c>
      <c r="B84" s="21">
        <v>93</v>
      </c>
      <c r="C84" s="21" t="s">
        <v>1211</v>
      </c>
      <c r="D84" s="21" t="s">
        <v>1212</v>
      </c>
      <c r="E84" s="21">
        <v>9</v>
      </c>
      <c r="F84" s="21">
        <v>152619</v>
      </c>
      <c r="G84" s="42">
        <v>1.2999999999999999E-2</v>
      </c>
      <c r="H84" s="21" t="s">
        <v>1213</v>
      </c>
      <c r="I84" s="39">
        <f ca="1">IFERROR(__xludf.DUMMYFUNCTION("IF(SUM(COUNTIF(artists!A:A, SPLIT(D84, "",""))) &gt; 0, ""UA"", 0)"),0)</f>
        <v>0</v>
      </c>
      <c r="J84" s="40" t="str">
        <f ca="1">IFERROR(__xludf.DUMMYFUNCTION("IF(SUM(COUNTIF(artists!C:C, SPLIT(D84, "",""))) &gt; 0, ""RU"", 0)"),"RU")</f>
        <v>RU</v>
      </c>
      <c r="K84" s="39">
        <f ca="1">IFERROR(__xludf.DUMMYFUNCTION("IF(SUM(COUNTIF(artists!E:E, SPLIT(D84, "",""))) &gt; 0, ""OTHER"", 0)"),0)</f>
        <v>0</v>
      </c>
    </row>
    <row r="85" spans="1:11" ht="14.25" customHeight="1">
      <c r="A85" s="21">
        <v>84</v>
      </c>
      <c r="B85" s="21">
        <v>99</v>
      </c>
      <c r="C85" s="21" t="s">
        <v>1199</v>
      </c>
      <c r="D85" s="21" t="s">
        <v>1200</v>
      </c>
      <c r="E85" s="21">
        <v>3</v>
      </c>
      <c r="F85" s="21">
        <v>151839</v>
      </c>
      <c r="G85" s="42">
        <v>4.1000000000000002E-2</v>
      </c>
      <c r="H85" s="21" t="s">
        <v>1201</v>
      </c>
      <c r="I85" s="39" t="str">
        <f ca="1">IFERROR(__xludf.DUMMYFUNCTION("IF(SUM(COUNTIF(artists!A:A, SPLIT(D85, "",""))) &gt; 0, ""UA"", 0)"),"UA")</f>
        <v>UA</v>
      </c>
      <c r="J85" s="40">
        <f ca="1">IFERROR(__xludf.DUMMYFUNCTION("IF(SUM(COUNTIF(artists!C:C, SPLIT(D85, "",""))) &gt; 0, ""RU"", 0)"),0)</f>
        <v>0</v>
      </c>
      <c r="K85" s="39">
        <f ca="1">IFERROR(__xludf.DUMMYFUNCTION("IF(SUM(COUNTIF(artists!E:E, SPLIT(D85, "",""))) &gt; 0, ""OTHER"", 0)"),0)</f>
        <v>0</v>
      </c>
    </row>
    <row r="86" spans="1:11" ht="14.25" customHeight="1">
      <c r="A86" s="21">
        <v>85</v>
      </c>
      <c r="B86" s="21">
        <v>64</v>
      </c>
      <c r="C86" s="21" t="s">
        <v>1192</v>
      </c>
      <c r="D86" s="21" t="s">
        <v>1193</v>
      </c>
      <c r="E86" s="21">
        <v>4</v>
      </c>
      <c r="F86" s="21">
        <v>151829</v>
      </c>
      <c r="G86" s="42">
        <v>-0.25900000000000001</v>
      </c>
      <c r="H86" s="21" t="s">
        <v>1194</v>
      </c>
      <c r="I86" s="39" t="str">
        <f ca="1">IFERROR(__xludf.DUMMYFUNCTION("IF(SUM(COUNTIF(artists!A:A, SPLIT(D86, "",""))) &gt; 0, ""UA"", 0)"),"UA")</f>
        <v>UA</v>
      </c>
      <c r="J86" s="40">
        <f ca="1">IFERROR(__xludf.DUMMYFUNCTION("IF(SUM(COUNTIF(artists!C:C, SPLIT(D86, "",""))) &gt; 0, ""RU"", 0)"),0)</f>
        <v>0</v>
      </c>
      <c r="K86" s="39">
        <f ca="1">IFERROR(__xludf.DUMMYFUNCTION("IF(SUM(COUNTIF(artists!E:E, SPLIT(D86, "",""))) &gt; 0, ""OTHER"", 0)"),0)</f>
        <v>0</v>
      </c>
    </row>
    <row r="87" spans="1:11" ht="14.25" customHeight="1">
      <c r="A87" s="21">
        <v>86</v>
      </c>
      <c r="B87" s="21">
        <v>80</v>
      </c>
      <c r="C87" s="21" t="s">
        <v>1202</v>
      </c>
      <c r="D87" s="21" t="s">
        <v>1203</v>
      </c>
      <c r="E87" s="21">
        <v>4</v>
      </c>
      <c r="F87" s="21">
        <v>149420</v>
      </c>
      <c r="G87" s="42">
        <v>-0.115</v>
      </c>
      <c r="H87" s="21" t="s">
        <v>1204</v>
      </c>
      <c r="I87" s="39">
        <f ca="1">IFERROR(__xludf.DUMMYFUNCTION("IF(SUM(COUNTIF(artists!A:A, SPLIT(D87, "",""))) &gt; 0, ""UA"", 0)"),0)</f>
        <v>0</v>
      </c>
      <c r="J87" s="40" t="str">
        <f ca="1">IFERROR(__xludf.DUMMYFUNCTION("IF(SUM(COUNTIF(artists!C:C, SPLIT(D87, "",""))) &gt; 0, ""RU"", 0)"),"RU")</f>
        <v>RU</v>
      </c>
      <c r="K87" s="39">
        <f ca="1">IFERROR(__xludf.DUMMYFUNCTION("IF(SUM(COUNTIF(artists!E:E, SPLIT(D87, "",""))) &gt; 0, ""OTHER"", 0)"),0)</f>
        <v>0</v>
      </c>
    </row>
    <row r="88" spans="1:11" ht="14.25" customHeight="1">
      <c r="A88" s="21">
        <v>87</v>
      </c>
      <c r="B88" s="21">
        <v>69</v>
      </c>
      <c r="C88" s="21" t="s">
        <v>1101</v>
      </c>
      <c r="D88" s="21" t="s">
        <v>498</v>
      </c>
      <c r="E88" s="21">
        <v>5</v>
      </c>
      <c r="F88" s="21">
        <v>148959</v>
      </c>
      <c r="G88" s="42">
        <v>-0.216</v>
      </c>
      <c r="H88" s="21" t="s">
        <v>1102</v>
      </c>
      <c r="I88" s="39" t="str">
        <f ca="1">IFERROR(__xludf.DUMMYFUNCTION("IF(SUM(COUNTIF(artists!A:A, SPLIT(D88, "",""))) &gt; 0, ""UA"", 0)"),"UA")</f>
        <v>UA</v>
      </c>
      <c r="J88" s="40">
        <f ca="1">IFERROR(__xludf.DUMMYFUNCTION("IF(SUM(COUNTIF(artists!C:C, SPLIT(D88, "",""))) &gt; 0, ""RU"", 0)"),0)</f>
        <v>0</v>
      </c>
      <c r="K88" s="39">
        <f ca="1">IFERROR(__xludf.DUMMYFUNCTION("IF(SUM(COUNTIF(artists!E:E, SPLIT(D88, "",""))) &gt; 0, ""OTHER"", 0)"),0)</f>
        <v>0</v>
      </c>
    </row>
    <row r="89" spans="1:11" ht="14.25" customHeight="1">
      <c r="A89" s="21">
        <v>88</v>
      </c>
      <c r="B89" s="21">
        <v>90</v>
      </c>
      <c r="C89" s="21" t="s">
        <v>379</v>
      </c>
      <c r="D89" s="21" t="s">
        <v>380</v>
      </c>
      <c r="E89" s="21">
        <v>12</v>
      </c>
      <c r="F89" s="21">
        <v>148451</v>
      </c>
      <c r="G89" s="42">
        <v>-5.3999999999999999E-2</v>
      </c>
      <c r="H89" s="21" t="s">
        <v>382</v>
      </c>
      <c r="I89" s="39" t="str">
        <f ca="1">IFERROR(__xludf.DUMMYFUNCTION("IF(SUM(COUNTIF(artists!A:A, SPLIT(D89, "",""))) &gt; 0, ""UA"", 0)"),"UA")</f>
        <v>UA</v>
      </c>
      <c r="J89" s="40">
        <f ca="1">IFERROR(__xludf.DUMMYFUNCTION("IF(SUM(COUNTIF(artists!C:C, SPLIT(D89, "",""))) &gt; 0, ""RU"", 0)"),0)</f>
        <v>0</v>
      </c>
      <c r="K89" s="39">
        <f ca="1">IFERROR(__xludf.DUMMYFUNCTION("IF(SUM(COUNTIF(artists!E:E, SPLIT(D89, "",""))) &gt; 0, ""OTHER"", 0)"),0)</f>
        <v>0</v>
      </c>
    </row>
    <row r="90" spans="1:11" ht="14.25" customHeight="1">
      <c r="A90" s="21">
        <v>89</v>
      </c>
      <c r="B90" s="21">
        <v>84</v>
      </c>
      <c r="C90" s="21" t="s">
        <v>1214</v>
      </c>
      <c r="D90" s="21" t="s">
        <v>1117</v>
      </c>
      <c r="E90" s="21">
        <v>12</v>
      </c>
      <c r="F90" s="21">
        <v>147815</v>
      </c>
      <c r="G90" s="42">
        <v>-0.11799999999999999</v>
      </c>
      <c r="H90" s="21" t="s">
        <v>1215</v>
      </c>
      <c r="I90" s="39">
        <f ca="1">IFERROR(__xludf.DUMMYFUNCTION("IF(SUM(COUNTIF(artists!A:A, SPLIT(D90, "",""))) &gt; 0, ""UA"", 0)"),0)</f>
        <v>0</v>
      </c>
      <c r="J90" s="40" t="str">
        <f ca="1">IFERROR(__xludf.DUMMYFUNCTION("IF(SUM(COUNTIF(artists!C:C, SPLIT(D90, "",""))) &gt; 0, ""RU"", 0)"),"RU")</f>
        <v>RU</v>
      </c>
      <c r="K90" s="39">
        <f ca="1">IFERROR(__xludf.DUMMYFUNCTION("IF(SUM(COUNTIF(artists!E:E, SPLIT(D90, "",""))) &gt; 0, ""OTHER"", 0)"),0)</f>
        <v>0</v>
      </c>
    </row>
    <row r="91" spans="1:11" ht="14.25" customHeight="1">
      <c r="A91" s="21">
        <v>90</v>
      </c>
      <c r="B91" s="21">
        <v>58</v>
      </c>
      <c r="C91" s="21" t="s">
        <v>1166</v>
      </c>
      <c r="D91" s="21" t="s">
        <v>1167</v>
      </c>
      <c r="E91" s="21">
        <v>4</v>
      </c>
      <c r="F91" s="21">
        <v>147014</v>
      </c>
      <c r="G91" s="42">
        <v>-0.32800000000000001</v>
      </c>
      <c r="H91" s="21" t="s">
        <v>1168</v>
      </c>
      <c r="I91" s="39">
        <f ca="1">IFERROR(__xludf.DUMMYFUNCTION("IF(SUM(COUNTIF(artists!A:A, SPLIT(D91, "",""))) &gt; 0, ""UA"", 0)"),0)</f>
        <v>0</v>
      </c>
      <c r="J91" s="40" t="str">
        <f ca="1">IFERROR(__xludf.DUMMYFUNCTION("IF(SUM(COUNTIF(artists!C:C, SPLIT(D91, "",""))) &gt; 0, ""RU"", 0)"),"RU")</f>
        <v>RU</v>
      </c>
      <c r="K91" s="39">
        <f ca="1">IFERROR(__xludf.DUMMYFUNCTION("IF(SUM(COUNTIF(artists!E:E, SPLIT(D91, "",""))) &gt; 0, ""OTHER"", 0)"),0)</f>
        <v>0</v>
      </c>
    </row>
    <row r="92" spans="1:11" ht="14.25" customHeight="1">
      <c r="A92" s="21">
        <v>91</v>
      </c>
      <c r="B92" s="21">
        <v>83</v>
      </c>
      <c r="C92" s="21" t="s">
        <v>874</v>
      </c>
      <c r="D92" s="21" t="s">
        <v>108</v>
      </c>
      <c r="E92" s="21">
        <v>13</v>
      </c>
      <c r="F92" s="21">
        <v>146720</v>
      </c>
      <c r="G92" s="42">
        <v>-0.125</v>
      </c>
      <c r="H92" s="21" t="s">
        <v>875</v>
      </c>
      <c r="I92" s="39" t="str">
        <f ca="1">IFERROR(__xludf.DUMMYFUNCTION("IF(SUM(COUNTIF(artists!A:A, SPLIT(D92, "",""))) &gt; 0, ""UA"", 0)"),"UA")</f>
        <v>UA</v>
      </c>
      <c r="J92" s="40">
        <f ca="1">IFERROR(__xludf.DUMMYFUNCTION("IF(SUM(COUNTIF(artists!C:C, SPLIT(D92, "",""))) &gt; 0, ""RU"", 0)"),0)</f>
        <v>0</v>
      </c>
      <c r="K92" s="39">
        <f ca="1">IFERROR(__xludf.DUMMYFUNCTION("IF(SUM(COUNTIF(artists!E:E, SPLIT(D92, "",""))) &gt; 0, ""OTHER"", 0)"),0)</f>
        <v>0</v>
      </c>
    </row>
    <row r="93" spans="1:11" ht="14.25" customHeight="1">
      <c r="A93" s="21">
        <v>92</v>
      </c>
      <c r="B93" s="21">
        <v>77</v>
      </c>
      <c r="C93" s="21" t="s">
        <v>1135</v>
      </c>
      <c r="D93" s="21" t="s">
        <v>85</v>
      </c>
      <c r="E93" s="21">
        <v>5</v>
      </c>
      <c r="F93" s="21">
        <v>145383</v>
      </c>
      <c r="G93" s="42">
        <v>-0.154</v>
      </c>
      <c r="H93" s="21" t="s">
        <v>1136</v>
      </c>
      <c r="I93" s="39" t="str">
        <f ca="1">IFERROR(__xludf.DUMMYFUNCTION("IF(SUM(COUNTIF(artists!A:A, SPLIT(D93, "",""))) &gt; 0, ""UA"", 0)"),"UA")</f>
        <v>UA</v>
      </c>
      <c r="J93" s="40">
        <f ca="1">IFERROR(__xludf.DUMMYFUNCTION("IF(SUM(COUNTIF(artists!C:C, SPLIT(D93, "",""))) &gt; 0, ""RU"", 0)"),0)</f>
        <v>0</v>
      </c>
      <c r="K93" s="39">
        <f ca="1">IFERROR(__xludf.DUMMYFUNCTION("IF(SUM(COUNTIF(artists!E:E, SPLIT(D93, "",""))) &gt; 0, ""OTHER"", 0)"),0)</f>
        <v>0</v>
      </c>
    </row>
    <row r="94" spans="1:11" ht="14.25" customHeight="1">
      <c r="A94" s="21">
        <v>93</v>
      </c>
      <c r="B94" s="21">
        <v>95</v>
      </c>
      <c r="C94" s="21" t="s">
        <v>343</v>
      </c>
      <c r="D94" s="21" t="s">
        <v>344</v>
      </c>
      <c r="E94" s="21">
        <v>4</v>
      </c>
      <c r="F94" s="21">
        <v>144891</v>
      </c>
      <c r="G94" s="42">
        <v>-1.4999999999999999E-2</v>
      </c>
      <c r="H94" s="21" t="s">
        <v>346</v>
      </c>
      <c r="I94" s="39" t="str">
        <f ca="1">IFERROR(__xludf.DUMMYFUNCTION("IF(SUM(COUNTIF(artists!A:A, SPLIT(D94, "",""))) &gt; 0, ""UA"", 0)"),"UA")</f>
        <v>UA</v>
      </c>
      <c r="J94" s="40">
        <f ca="1">IFERROR(__xludf.DUMMYFUNCTION("IF(SUM(COUNTIF(artists!C:C, SPLIT(D94, "",""))) &gt; 0, ""RU"", 0)"),0)</f>
        <v>0</v>
      </c>
      <c r="K94" s="39">
        <f ca="1">IFERROR(__xludf.DUMMYFUNCTION("IF(SUM(COUNTIF(artists!E:E, SPLIT(D94, "",""))) &gt; 0, ""OTHER"", 0)"),0)</f>
        <v>0</v>
      </c>
    </row>
    <row r="95" spans="1:11" ht="14.25" customHeight="1">
      <c r="A95" s="21">
        <v>94</v>
      </c>
      <c r="C95" s="21" t="s">
        <v>953</v>
      </c>
      <c r="D95" s="21" t="s">
        <v>954</v>
      </c>
      <c r="E95" s="21">
        <v>1</v>
      </c>
      <c r="F95" s="21">
        <v>143975</v>
      </c>
      <c r="H95" s="21" t="s">
        <v>955</v>
      </c>
      <c r="I95" s="39">
        <f ca="1">IFERROR(__xludf.DUMMYFUNCTION("IF(SUM(COUNTIF(artists!A:A, SPLIT(D95, "",""))) &gt; 0, ""UA"", 0)"),0)</f>
        <v>0</v>
      </c>
      <c r="J95" s="40" t="str">
        <f ca="1">IFERROR(__xludf.DUMMYFUNCTION("IF(SUM(COUNTIF(artists!C:C, SPLIT(D95, "",""))) &gt; 0, ""RU"", 0)"),"RU")</f>
        <v>RU</v>
      </c>
      <c r="K95" s="39">
        <f ca="1">IFERROR(__xludf.DUMMYFUNCTION("IF(SUM(COUNTIF(artists!E:E, SPLIT(D95, "",""))) &gt; 0, ""OTHER"", 0)"),0)</f>
        <v>0</v>
      </c>
    </row>
    <row r="96" spans="1:11" ht="14.25" customHeight="1">
      <c r="A96" s="21">
        <v>95</v>
      </c>
      <c r="B96" s="21">
        <v>82</v>
      </c>
      <c r="C96" s="21" t="s">
        <v>390</v>
      </c>
      <c r="D96" s="21" t="s">
        <v>391</v>
      </c>
      <c r="E96" s="21">
        <v>7</v>
      </c>
      <c r="F96" s="21">
        <v>143444</v>
      </c>
      <c r="G96" s="42">
        <v>-0.14699999999999999</v>
      </c>
      <c r="H96" s="21" t="s">
        <v>393</v>
      </c>
      <c r="I96" s="39">
        <f ca="1">IFERROR(__xludf.DUMMYFUNCTION("IF(SUM(COUNTIF(artists!A:A, SPLIT(D96, "",""))) &gt; 0, ""UA"", 0)"),0)</f>
        <v>0</v>
      </c>
      <c r="J96" s="40" t="str">
        <f ca="1">IFERROR(__xludf.DUMMYFUNCTION("IF(SUM(COUNTIF(artists!C:C, SPLIT(D96, "",""))) &gt; 0, ""RU"", 0)"),"RU")</f>
        <v>RU</v>
      </c>
      <c r="K96" s="39">
        <f ca="1">IFERROR(__xludf.DUMMYFUNCTION("IF(SUM(COUNTIF(artists!E:E, SPLIT(D96, "",""))) &gt; 0, ""OTHER"", 0)"),0)</f>
        <v>0</v>
      </c>
    </row>
    <row r="97" spans="1:11" ht="14.25" customHeight="1">
      <c r="A97" s="21">
        <v>96</v>
      </c>
      <c r="B97" s="21">
        <v>85</v>
      </c>
      <c r="C97" s="21" t="s">
        <v>1187</v>
      </c>
      <c r="D97" s="21" t="s">
        <v>1188</v>
      </c>
      <c r="E97" s="21">
        <v>14</v>
      </c>
      <c r="F97" s="21">
        <v>139432</v>
      </c>
      <c r="G97" s="42">
        <v>-0.14299999999999999</v>
      </c>
      <c r="H97" s="21" t="s">
        <v>1189</v>
      </c>
      <c r="I97" s="39" t="str">
        <f ca="1">IFERROR(__xludf.DUMMYFUNCTION("IF(SUM(COUNTIF(artists!A:A, SPLIT(D97, "",""))) &gt; 0, ""UA"", 0)"),"UA")</f>
        <v>UA</v>
      </c>
      <c r="J97" s="40">
        <f ca="1">IFERROR(__xludf.DUMMYFUNCTION("IF(SUM(COUNTIF(artists!C:C, SPLIT(D97, "",""))) &gt; 0, ""RU"", 0)"),0)</f>
        <v>0</v>
      </c>
      <c r="K97" s="39">
        <f ca="1">IFERROR(__xludf.DUMMYFUNCTION("IF(SUM(COUNTIF(artists!E:E, SPLIT(D97, "",""))) &gt; 0, ""OTHER"", 0)"),0)</f>
        <v>0</v>
      </c>
    </row>
    <row r="98" spans="1:11" ht="14.25" customHeight="1">
      <c r="A98" s="21">
        <v>97</v>
      </c>
      <c r="C98" s="21" t="s">
        <v>313</v>
      </c>
      <c r="D98" s="21" t="s">
        <v>310</v>
      </c>
      <c r="E98" s="21">
        <v>1</v>
      </c>
      <c r="F98" s="21">
        <v>136693</v>
      </c>
      <c r="H98" s="21" t="s">
        <v>398</v>
      </c>
      <c r="I98" s="39">
        <f ca="1">IFERROR(__xludf.DUMMYFUNCTION("IF(SUM(COUNTIF(artists!A:A, SPLIT(D98, "",""))) &gt; 0, ""UA"", 0)"),0)</f>
        <v>0</v>
      </c>
      <c r="J98" s="40">
        <f ca="1">IFERROR(__xludf.DUMMYFUNCTION("IF(SUM(COUNTIF(artists!C:C, SPLIT(D98, "",""))) &gt; 0, ""RU"", 0)"),0)</f>
        <v>0</v>
      </c>
      <c r="K98" s="39" t="str">
        <f ca="1">IFERROR(__xludf.DUMMYFUNCTION("IF(SUM(COUNTIF(artists!E:E, SPLIT(D98, "",""))) &gt; 0, ""OTHER"", 0)"),"OTHER")</f>
        <v>OTHER</v>
      </c>
    </row>
    <row r="99" spans="1:11" ht="14.25" customHeight="1">
      <c r="A99" s="21">
        <v>98</v>
      </c>
      <c r="B99" s="21">
        <v>88</v>
      </c>
      <c r="C99" s="21" t="s">
        <v>769</v>
      </c>
      <c r="D99" s="21" t="s">
        <v>770</v>
      </c>
      <c r="E99" s="21">
        <v>3</v>
      </c>
      <c r="F99" s="21">
        <v>136650</v>
      </c>
      <c r="G99" s="42">
        <v>-0.14099999999999999</v>
      </c>
      <c r="H99" s="21" t="s">
        <v>771</v>
      </c>
      <c r="I99" s="39">
        <f ca="1">IFERROR(__xludf.DUMMYFUNCTION("IF(SUM(COUNTIF(artists!A:A, SPLIT(D99, "",""))) &gt; 0, ""UA"", 0)"),0)</f>
        <v>0</v>
      </c>
      <c r="J99" s="40">
        <f ca="1">IFERROR(__xludf.DUMMYFUNCTION("IF(SUM(COUNTIF(artists!C:C, SPLIT(D99, "",""))) &gt; 0, ""RU"", 0)"),0)</f>
        <v>0</v>
      </c>
      <c r="K99" s="39" t="str">
        <f ca="1">IFERROR(__xludf.DUMMYFUNCTION("IF(SUM(COUNTIF(artists!E:E, SPLIT(D99, "",""))) &gt; 0, ""OTHER"", 0)"),"OTHER")</f>
        <v>OTHER</v>
      </c>
    </row>
    <row r="100" spans="1:11" ht="14.25" customHeight="1">
      <c r="A100" s="21">
        <v>99</v>
      </c>
      <c r="B100" s="21">
        <v>96</v>
      </c>
      <c r="C100" s="21" t="s">
        <v>1216</v>
      </c>
      <c r="D100" s="21" t="s">
        <v>1217</v>
      </c>
      <c r="E100" s="21">
        <v>2</v>
      </c>
      <c r="F100" s="21">
        <v>134046</v>
      </c>
      <c r="G100" s="42">
        <v>-8.7999999999999995E-2</v>
      </c>
      <c r="H100" s="21" t="s">
        <v>1218</v>
      </c>
      <c r="I100" s="39" t="str">
        <f ca="1">IFERROR(__xludf.DUMMYFUNCTION("IF(SUM(COUNTIF(artists!A:A, SPLIT(D100, "",""))) &gt; 0, ""UA"", 0)"),"UA")</f>
        <v>UA</v>
      </c>
      <c r="J100" s="40">
        <f ca="1">IFERROR(__xludf.DUMMYFUNCTION("IF(SUM(COUNTIF(artists!C:C, SPLIT(D100, "",""))) &gt; 0, ""RU"", 0)"),0)</f>
        <v>0</v>
      </c>
      <c r="K100" s="39">
        <f ca="1">IFERROR(__xludf.DUMMYFUNCTION("IF(SUM(COUNTIF(artists!E:E, SPLIT(D100, "",""))) &gt; 0, ""OTHER"", 0)"),0)</f>
        <v>0</v>
      </c>
    </row>
    <row r="101" spans="1:11" ht="14.25" customHeight="1">
      <c r="A101" s="21">
        <v>100</v>
      </c>
      <c r="C101" s="21" t="s">
        <v>613</v>
      </c>
      <c r="D101" s="21" t="s">
        <v>614</v>
      </c>
      <c r="E101" s="21">
        <v>19</v>
      </c>
      <c r="F101" s="21">
        <v>132655</v>
      </c>
      <c r="H101" s="21" t="s">
        <v>615</v>
      </c>
      <c r="I101" s="39">
        <f ca="1">IFERROR(__xludf.DUMMYFUNCTION("IF(SUM(COUNTIF(artists!A:A, SPLIT(D101, "",""))) &gt; 0, ""UA"", 0)"),0)</f>
        <v>0</v>
      </c>
      <c r="J101" s="40" t="str">
        <f ca="1">IFERROR(__xludf.DUMMYFUNCTION("IF(SUM(COUNTIF(artists!C:C, SPLIT(D101, "",""))) &gt; 0, ""RU"", 0)"),"RU")</f>
        <v>RU</v>
      </c>
      <c r="K101" s="39">
        <f ca="1">IFERROR(__xludf.DUMMYFUNCTION("IF(SUM(COUNTIF(artists!E:E, SPLIT(D101, "",""))) &gt; 0, ""OTHER"", 0)"),0)</f>
        <v>0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81" priority="1">
      <formula>AND($I2=0, $J2=0, $K2=0)</formula>
    </cfRule>
    <cfRule type="expression" dxfId="80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Аркуш23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3" width="8.6640625" customWidth="1"/>
    <col min="4" max="4" width="12.5546875" customWidth="1"/>
    <col min="5" max="5" width="8.6640625" hidden="1" customWidth="1"/>
    <col min="6" max="6" width="8.6640625" customWidth="1"/>
    <col min="7" max="7" width="13.10937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B2" s="21">
        <v>1</v>
      </c>
      <c r="C2" s="21" t="s">
        <v>88</v>
      </c>
      <c r="D2" s="21" t="s">
        <v>89</v>
      </c>
      <c r="E2" s="21">
        <v>10</v>
      </c>
      <c r="F2" s="21">
        <v>1688106</v>
      </c>
      <c r="G2" s="43">
        <v>-0.06</v>
      </c>
      <c r="H2" s="21" t="s">
        <v>90</v>
      </c>
      <c r="I2" s="39" t="str">
        <f ca="1">IFERROR(__xludf.DUMMYFUNCTION("IF(SUM(COUNTIF(artists!A:A, SPLIT(D2, "",""))) &gt; 0, ""UA"", 0)"),"UA")</f>
        <v>UA</v>
      </c>
      <c r="J2" s="40">
        <f ca="1">IFERROR(__xludf.DUMMYFUNCTION("IF(SUM(COUNTIF(artists!C:C, SPLIT(D2, "",""))) &gt; 0, ""RU"", 0)"),0)</f>
        <v>0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B3" s="21">
        <v>3</v>
      </c>
      <c r="C3" s="21" t="s">
        <v>128</v>
      </c>
      <c r="D3" s="21" t="s">
        <v>129</v>
      </c>
      <c r="E3" s="21">
        <v>18</v>
      </c>
      <c r="F3" s="21">
        <v>961469</v>
      </c>
      <c r="G3" s="42">
        <v>-3.5999999999999997E-2</v>
      </c>
      <c r="H3" s="21" t="s">
        <v>131</v>
      </c>
      <c r="I3" s="39" t="str">
        <f ca="1">IFERROR(__xludf.DUMMYFUNCTION("IF(SUM(COUNTIF(artists!A:A, SPLIT(D3, "",""))) &gt; 0, ""UA"", 0)"),"UA")</f>
        <v>UA</v>
      </c>
      <c r="J3" s="40">
        <f ca="1">IFERROR(__xludf.DUMMYFUNCTION("IF(SUM(COUNTIF(artists!C:C, SPLIT(D3, "",""))) &gt; 0, ""RU"", 0)"),0)</f>
        <v>0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B4" s="21">
        <v>4</v>
      </c>
      <c r="C4" s="21" t="s">
        <v>145</v>
      </c>
      <c r="D4" s="21" t="s">
        <v>146</v>
      </c>
      <c r="E4" s="21">
        <v>16</v>
      </c>
      <c r="F4" s="21">
        <v>913400</v>
      </c>
      <c r="G4" s="42">
        <v>-6.3E-2</v>
      </c>
      <c r="H4" s="21" t="s">
        <v>148</v>
      </c>
      <c r="I4" s="39" t="str">
        <f ca="1">IFERROR(__xludf.DUMMYFUNCTION("IF(SUM(COUNTIF(artists!A:A, SPLIT(D4, "",""))) &gt; 0, ""UA"", 0)"),"UA")</f>
        <v>UA</v>
      </c>
      <c r="J4" s="40">
        <f ca="1">IFERROR(__xludf.DUMMYFUNCTION("IF(SUM(COUNTIF(artists!C:C, SPLIT(D4, "",""))) &gt; 0, ""RU"", 0)"),0)</f>
        <v>0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B5" s="21">
        <v>5</v>
      </c>
      <c r="C5" s="21" t="s">
        <v>115</v>
      </c>
      <c r="D5" s="21" t="s">
        <v>116</v>
      </c>
      <c r="E5" s="21">
        <v>12</v>
      </c>
      <c r="F5" s="21">
        <v>880939</v>
      </c>
      <c r="G5" s="42">
        <v>-9.6000000000000002E-2</v>
      </c>
      <c r="H5" s="21" t="s">
        <v>117</v>
      </c>
      <c r="I5" s="39" t="str">
        <f ca="1">IFERROR(__xludf.DUMMYFUNCTION("IF(SUM(COUNTIF(artists!A:A, SPLIT(D5, "",""))) &gt; 0, ""UA"", 0)"),"UA")</f>
        <v>UA</v>
      </c>
      <c r="J5" s="40">
        <f ca="1">IFERROR(__xludf.DUMMYFUNCTION("IF(SUM(COUNTIF(artists!C:C, SPLIT(D5, "",""))) &gt; 0, ""RU"", 0)"),0)</f>
        <v>0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B6" s="21">
        <v>10</v>
      </c>
      <c r="C6" s="21" t="s">
        <v>175</v>
      </c>
      <c r="D6" s="21" t="s">
        <v>89</v>
      </c>
      <c r="E6" s="21">
        <v>22</v>
      </c>
      <c r="F6" s="21">
        <v>837825</v>
      </c>
      <c r="G6" s="42">
        <v>0.154</v>
      </c>
      <c r="H6" s="21" t="s">
        <v>177</v>
      </c>
      <c r="I6" s="39" t="str">
        <f ca="1">IFERROR(__xludf.DUMMYFUNCTION("IF(SUM(COUNTIF(artists!A:A, SPLIT(D6, "",""))) &gt; 0, ""UA"", 0)"),"UA")</f>
        <v>UA</v>
      </c>
      <c r="J6" s="40">
        <f ca="1">IFERROR(__xludf.DUMMYFUNCTION("IF(SUM(COUNTIF(artists!C:C, SPLIT(D6, "",""))) &gt; 0, ""RU"", 0)"),0)</f>
        <v>0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B7" s="21">
        <v>7</v>
      </c>
      <c r="C7" s="21" t="s">
        <v>645</v>
      </c>
      <c r="D7" s="21" t="s">
        <v>352</v>
      </c>
      <c r="E7" s="21">
        <v>35</v>
      </c>
      <c r="F7" s="21">
        <v>829383</v>
      </c>
      <c r="G7" s="42">
        <v>-1.4999999999999999E-2</v>
      </c>
      <c r="H7" s="21" t="s">
        <v>647</v>
      </c>
      <c r="I7" s="39" t="str">
        <f ca="1">IFERROR(__xludf.DUMMYFUNCTION("IF(SUM(COUNTIF(artists!A:A, SPLIT(D7, "",""))) &gt; 0, ""UA"", 0)"),"UA")</f>
        <v>UA</v>
      </c>
      <c r="J7" s="40">
        <f ca="1">IFERROR(__xludf.DUMMYFUNCTION("IF(SUM(COUNTIF(artists!C:C, SPLIT(D7, "",""))) &gt; 0, ""RU"", 0)"),0)</f>
        <v>0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B8" s="21">
        <v>6</v>
      </c>
      <c r="C8" s="21" t="s">
        <v>202</v>
      </c>
      <c r="D8" s="21" t="s">
        <v>835</v>
      </c>
      <c r="E8" s="21">
        <v>12</v>
      </c>
      <c r="F8" s="21">
        <v>822228</v>
      </c>
      <c r="G8" s="42">
        <v>-3.1E-2</v>
      </c>
      <c r="H8" s="21" t="s">
        <v>204</v>
      </c>
      <c r="I8" s="39" t="str">
        <f ca="1">IFERROR(__xludf.DUMMYFUNCTION("IF(SUM(COUNTIF(artists!A:A, SPLIT(D8, "",""))) &gt; 0, ""UA"", 0)"),"UA")</f>
        <v>UA</v>
      </c>
      <c r="J8" s="40">
        <f ca="1">IFERROR(__xludf.DUMMYFUNCTION("IF(SUM(COUNTIF(artists!C:C, SPLIT(D8, "",""))) &gt; 0, ""RU"", 0)"),0)</f>
        <v>0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B9" s="21">
        <v>8</v>
      </c>
      <c r="C9" s="21" t="s">
        <v>132</v>
      </c>
      <c r="D9" s="21" t="s">
        <v>133</v>
      </c>
      <c r="E9" s="21">
        <v>22</v>
      </c>
      <c r="F9" s="21">
        <v>760676</v>
      </c>
      <c r="G9" s="42">
        <v>-5.3999999999999999E-2</v>
      </c>
      <c r="H9" s="21" t="s">
        <v>135</v>
      </c>
      <c r="I9" s="39" t="str">
        <f ca="1">IFERROR(__xludf.DUMMYFUNCTION("IF(SUM(COUNTIF(artists!A:A, SPLIT(D9, "",""))) &gt; 0, ""UA"", 0)"),"UA")</f>
        <v>UA</v>
      </c>
      <c r="J9" s="40">
        <f ca="1">IFERROR(__xludf.DUMMYFUNCTION("IF(SUM(COUNTIF(artists!C:C, SPLIT(D9, "",""))) &gt; 0, ""RU"", 0)"),0)</f>
        <v>0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B10" s="21">
        <v>2</v>
      </c>
      <c r="C10" s="21" t="s">
        <v>844</v>
      </c>
      <c r="D10" s="21" t="s">
        <v>457</v>
      </c>
      <c r="E10" s="21">
        <v>2</v>
      </c>
      <c r="F10" s="21">
        <v>748391</v>
      </c>
      <c r="G10" s="42">
        <v>-0.29299999999999998</v>
      </c>
      <c r="H10" s="21" t="s">
        <v>459</v>
      </c>
      <c r="I10" s="39">
        <f ca="1">IFERROR(__xludf.DUMMYFUNCTION("IF(SUM(COUNTIF(artists!A:A, SPLIT(D10, "",""))) &gt; 0, ""UA"", 0)"),0)</f>
        <v>0</v>
      </c>
      <c r="J10" s="40">
        <f ca="1">IFERROR(__xludf.DUMMYFUNCTION("IF(SUM(COUNTIF(artists!C:C, SPLIT(D10, "",""))) &gt; 0, ""RU"", 0)"),0)</f>
        <v>0</v>
      </c>
      <c r="K10" s="39" t="str">
        <f ca="1">IFERROR(__xludf.DUMMYFUNCTION("IF(SUM(COUNTIF(artists!E:E, SPLIT(D10, "",""))) &gt; 0, ""OTHER"", 0)"),"OTHER")</f>
        <v>OTHER</v>
      </c>
    </row>
    <row r="11" spans="1:11" ht="14.25" customHeight="1">
      <c r="A11" s="21">
        <v>10</v>
      </c>
      <c r="B11" s="21">
        <v>11</v>
      </c>
      <c r="C11" s="21" t="s">
        <v>171</v>
      </c>
      <c r="D11" s="21" t="s">
        <v>172</v>
      </c>
      <c r="E11" s="21">
        <v>17</v>
      </c>
      <c r="F11" s="21">
        <v>644160</v>
      </c>
      <c r="G11" s="42">
        <v>3.5999999999999997E-2</v>
      </c>
      <c r="H11" s="21" t="s">
        <v>174</v>
      </c>
      <c r="I11" s="39">
        <f ca="1">IFERROR(__xludf.DUMMYFUNCTION("IF(SUM(COUNTIF(artists!A:A, SPLIT(D11, "",""))) &gt; 0, ""UA"", 0)"),0)</f>
        <v>0</v>
      </c>
      <c r="J11" s="40" t="str">
        <f ca="1">IFERROR(__xludf.DUMMYFUNCTION("IF(SUM(COUNTIF(artists!C:C, SPLIT(D11, "",""))) &gt; 0, ""RU"", 0)"),"RU")</f>
        <v>RU</v>
      </c>
      <c r="K11" s="39">
        <f ca="1">IFERROR(__xludf.DUMMYFUNCTION("IF(SUM(COUNTIF(artists!E:E, SPLIT(D11, "",""))) &gt; 0, ""OTHER"", 0)"),0)</f>
        <v>0</v>
      </c>
    </row>
    <row r="12" spans="1:11" ht="14.25" customHeight="1">
      <c r="A12" s="21">
        <v>11</v>
      </c>
      <c r="B12" s="21">
        <v>12</v>
      </c>
      <c r="C12" s="21" t="s">
        <v>149</v>
      </c>
      <c r="D12" s="21" t="s">
        <v>150</v>
      </c>
      <c r="E12" s="21">
        <v>15</v>
      </c>
      <c r="F12" s="21">
        <v>617198</v>
      </c>
      <c r="G12" s="42">
        <v>3.5000000000000003E-2</v>
      </c>
      <c r="H12" s="21" t="s">
        <v>152</v>
      </c>
      <c r="I12" s="39" t="str">
        <f ca="1">IFERROR(__xludf.DUMMYFUNCTION("IF(SUM(COUNTIF(artists!A:A, SPLIT(D12, "",""))) &gt; 0, ""UA"", 0)"),"UA")</f>
        <v>UA</v>
      </c>
      <c r="J12" s="40">
        <f ca="1">IFERROR(__xludf.DUMMYFUNCTION("IF(SUM(COUNTIF(artists!C:C, SPLIT(D12, "",""))) &gt; 0, ""RU"", 0)"),0)</f>
        <v>0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B13" s="21">
        <v>16</v>
      </c>
      <c r="C13" s="21" t="s">
        <v>198</v>
      </c>
      <c r="D13" s="21" t="s">
        <v>199</v>
      </c>
      <c r="E13" s="21">
        <v>3</v>
      </c>
      <c r="F13" s="21">
        <v>604842</v>
      </c>
      <c r="G13" s="42">
        <v>0.16400000000000001</v>
      </c>
      <c r="H13" s="21" t="s">
        <v>201</v>
      </c>
      <c r="I13" s="39" t="str">
        <f ca="1">IFERROR(__xludf.DUMMYFUNCTION("IF(SUM(COUNTIF(artists!A:A, SPLIT(D13, "",""))) &gt; 0, ""UA"", 0)"),"UA")</f>
        <v>UA</v>
      </c>
      <c r="J13" s="40">
        <f ca="1">IFERROR(__xludf.DUMMYFUNCTION("IF(SUM(COUNTIF(artists!C:C, SPLIT(D13, "",""))) &gt; 0, ""RU"", 0)"),0)</f>
        <v>0</v>
      </c>
      <c r="K13" s="39">
        <f ca="1">IFERROR(__xludf.DUMMYFUNCTION("IF(SUM(COUNTIF(artists!E:E, SPLIT(D13, "",""))) &gt; 0, ""OTHER"", 0)"),0)</f>
        <v>0</v>
      </c>
    </row>
    <row r="14" spans="1:11" ht="14.25" customHeight="1">
      <c r="A14" s="21">
        <v>13</v>
      </c>
      <c r="B14" s="21">
        <v>13</v>
      </c>
      <c r="C14" s="21" t="s">
        <v>194</v>
      </c>
      <c r="D14" s="21" t="s">
        <v>195</v>
      </c>
      <c r="E14" s="21">
        <v>25</v>
      </c>
      <c r="F14" s="21">
        <v>575535</v>
      </c>
      <c r="G14" s="42">
        <v>-8.9999999999999993E-3</v>
      </c>
      <c r="H14" s="21" t="s">
        <v>197</v>
      </c>
      <c r="I14" s="39" t="str">
        <f ca="1">IFERROR(__xludf.DUMMYFUNCTION("IF(SUM(COUNTIF(artists!A:A, SPLIT(D14, "",""))) &gt; 0, ""UA"", 0)"),"UA")</f>
        <v>UA</v>
      </c>
      <c r="J14" s="40">
        <f ca="1">IFERROR(__xludf.DUMMYFUNCTION("IF(SUM(COUNTIF(artists!C:C, SPLIT(D14, "",""))) &gt; 0, ""RU"", 0)"),0)</f>
        <v>0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B15" s="21">
        <v>15</v>
      </c>
      <c r="C15" s="21" t="s">
        <v>186</v>
      </c>
      <c r="D15" s="21" t="s">
        <v>187</v>
      </c>
      <c r="E15" s="21">
        <v>26</v>
      </c>
      <c r="F15" s="21">
        <v>562737</v>
      </c>
      <c r="G15" s="42">
        <v>1.4999999999999999E-2</v>
      </c>
      <c r="H15" s="21" t="s">
        <v>189</v>
      </c>
      <c r="I15" s="39" t="str">
        <f ca="1">IFERROR(__xludf.DUMMYFUNCTION("IF(SUM(COUNTIF(artists!A:A, SPLIT(D15, "",""))) &gt; 0, ""UA"", 0)"),"UA")</f>
        <v>UA</v>
      </c>
      <c r="J15" s="40">
        <f ca="1">IFERROR(__xludf.DUMMYFUNCTION("IF(SUM(COUNTIF(artists!C:C, SPLIT(D15, "",""))) &gt; 0, ""RU"", 0)"),0)</f>
        <v>0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B16" s="21">
        <v>14</v>
      </c>
      <c r="C16" s="21" t="s">
        <v>209</v>
      </c>
      <c r="D16" s="21" t="s">
        <v>210</v>
      </c>
      <c r="E16" s="21">
        <v>15</v>
      </c>
      <c r="F16" s="21">
        <v>518833</v>
      </c>
      <c r="G16" s="42">
        <v>-7.4999999999999997E-2</v>
      </c>
      <c r="H16" s="21" t="s">
        <v>212</v>
      </c>
      <c r="I16" s="39" t="str">
        <f ca="1">IFERROR(__xludf.DUMMYFUNCTION("IF(SUM(COUNTIF(artists!A:A, SPLIT(D16, "",""))) &gt; 0, ""UA"", 0)"),"UA")</f>
        <v>UA</v>
      </c>
      <c r="J16" s="40">
        <f ca="1">IFERROR(__xludf.DUMMYFUNCTION("IF(SUM(COUNTIF(artists!C:C, SPLIT(D16, "",""))) &gt; 0, ""RU"", 0)"),0)</f>
        <v>0</v>
      </c>
      <c r="K16" s="39">
        <f ca="1">IFERROR(__xludf.DUMMYFUNCTION("IF(SUM(COUNTIF(artists!E:E, SPLIT(D16, "",""))) &gt; 0, ""OTHER"", 0)"),0)</f>
        <v>0</v>
      </c>
    </row>
    <row r="17" spans="1:11" ht="14.25" customHeight="1">
      <c r="A17" s="21">
        <v>16</v>
      </c>
      <c r="B17" s="21">
        <v>17</v>
      </c>
      <c r="C17" s="21" t="s">
        <v>700</v>
      </c>
      <c r="D17" s="21" t="s">
        <v>701</v>
      </c>
      <c r="E17" s="21">
        <v>3</v>
      </c>
      <c r="F17" s="21">
        <v>512500</v>
      </c>
      <c r="G17" s="42">
        <v>2.8000000000000001E-2</v>
      </c>
      <c r="H17" s="21" t="s">
        <v>702</v>
      </c>
      <c r="I17" s="39">
        <f ca="1">IFERROR(__xludf.DUMMYFUNCTION("IF(SUM(COUNTIF(artists!A:A, SPLIT(D17, "",""))) &gt; 0, ""UA"", 0)"),0)</f>
        <v>0</v>
      </c>
      <c r="J17" s="40" t="str">
        <f ca="1">IFERROR(__xludf.DUMMYFUNCTION("IF(SUM(COUNTIF(artists!C:C, SPLIT(D17, "",""))) &gt; 0, ""RU"", 0)"),"RU")</f>
        <v>RU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B18" s="21">
        <v>20</v>
      </c>
      <c r="C18" s="21" t="s">
        <v>682</v>
      </c>
      <c r="D18" s="21" t="s">
        <v>125</v>
      </c>
      <c r="E18" s="21">
        <v>3</v>
      </c>
      <c r="F18" s="21">
        <v>511118</v>
      </c>
      <c r="G18" s="42">
        <v>9.0999999999999998E-2</v>
      </c>
      <c r="H18" s="21" t="s">
        <v>684</v>
      </c>
      <c r="I18" s="39">
        <f ca="1">IFERROR(__xludf.DUMMYFUNCTION("IF(SUM(COUNTIF(artists!A:A, SPLIT(D18, "",""))) &gt; 0, ""UA"", 0)"),0)</f>
        <v>0</v>
      </c>
      <c r="J18" s="40" t="str">
        <f ca="1">IFERROR(__xludf.DUMMYFUNCTION("IF(SUM(COUNTIF(artists!C:C, SPLIT(D18, "",""))) &gt; 0, ""RU"", 0)"),"RU")</f>
        <v>RU</v>
      </c>
      <c r="K18" s="39">
        <f ca="1">IFERROR(__xludf.DUMMYFUNCTION("IF(SUM(COUNTIF(artists!E:E, SPLIT(D18, "",""))) &gt; 0, ""OTHER"", 0)"),0)</f>
        <v>0</v>
      </c>
    </row>
    <row r="19" spans="1:11" ht="14.25" customHeight="1">
      <c r="A19" s="21">
        <v>18</v>
      </c>
      <c r="B19" s="21">
        <v>25</v>
      </c>
      <c r="C19" s="21" t="s">
        <v>255</v>
      </c>
      <c r="D19" s="21" t="s">
        <v>256</v>
      </c>
      <c r="E19" s="21">
        <v>12</v>
      </c>
      <c r="F19" s="21">
        <v>463266</v>
      </c>
      <c r="G19" s="42">
        <v>7.9000000000000001E-2</v>
      </c>
      <c r="H19" s="21" t="s">
        <v>257</v>
      </c>
      <c r="I19" s="39" t="str">
        <f ca="1">IFERROR(__xludf.DUMMYFUNCTION("IF(SUM(COUNTIF(artists!A:A, SPLIT(D19, "",""))) &gt; 0, ""UA"", 0)"),"UA")</f>
        <v>UA</v>
      </c>
      <c r="J19" s="40">
        <f ca="1">IFERROR(__xludf.DUMMYFUNCTION("IF(SUM(COUNTIF(artists!C:C, SPLIT(D19, "",""))) &gt; 0, ""RU"", 0)"),0)</f>
        <v>0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B20" s="21">
        <v>19</v>
      </c>
      <c r="C20" s="21" t="s">
        <v>742</v>
      </c>
      <c r="D20" s="21" t="s">
        <v>743</v>
      </c>
      <c r="E20" s="21">
        <v>4</v>
      </c>
      <c r="F20" s="21">
        <v>459367</v>
      </c>
      <c r="G20" s="42">
        <v>-2.8000000000000001E-2</v>
      </c>
      <c r="H20" s="21" t="s">
        <v>744</v>
      </c>
      <c r="I20" s="39">
        <f ca="1">IFERROR(__xludf.DUMMYFUNCTION("IF(SUM(COUNTIF(artists!A:A, SPLIT(D20, "",""))) &gt; 0, ""UA"", 0)"),0)</f>
        <v>0</v>
      </c>
      <c r="J20" s="40" t="str">
        <f ca="1">IFERROR(__xludf.DUMMYFUNCTION("IF(SUM(COUNTIF(artists!C:C, SPLIT(D20, "",""))) &gt; 0, ""RU"", 0)"),"RU")</f>
        <v>RU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B21" s="21">
        <v>23</v>
      </c>
      <c r="C21" s="21" t="s">
        <v>160</v>
      </c>
      <c r="D21" s="21" t="s">
        <v>161</v>
      </c>
      <c r="E21" s="21">
        <v>16</v>
      </c>
      <c r="F21" s="21">
        <v>451731</v>
      </c>
      <c r="G21" s="43">
        <v>0.01</v>
      </c>
      <c r="H21" s="21" t="s">
        <v>163</v>
      </c>
      <c r="I21" s="39" t="str">
        <f ca="1">IFERROR(__xludf.DUMMYFUNCTION("IF(SUM(COUNTIF(artists!A:A, SPLIT(D21, "",""))) &gt; 0, ""UA"", 0)"),"UA")</f>
        <v>UA</v>
      </c>
      <c r="J21" s="40">
        <f ca="1">IFERROR(__xludf.DUMMYFUNCTION("IF(SUM(COUNTIF(artists!C:C, SPLIT(D21, "",""))) &gt; 0, ""RU"", 0)"),0)</f>
        <v>0</v>
      </c>
      <c r="K21" s="39">
        <f ca="1">IFERROR(__xludf.DUMMYFUNCTION("IF(SUM(COUNTIF(artists!E:E, SPLIT(D21, "",""))) &gt; 0, ""OTHER"", 0)"),0)</f>
        <v>0</v>
      </c>
    </row>
    <row r="22" spans="1:11" ht="14.25" customHeight="1">
      <c r="A22" s="21">
        <v>21</v>
      </c>
      <c r="B22" s="21">
        <v>22</v>
      </c>
      <c r="C22" s="21" t="s">
        <v>178</v>
      </c>
      <c r="D22" s="21" t="s">
        <v>179</v>
      </c>
      <c r="E22" s="21">
        <v>26</v>
      </c>
      <c r="F22" s="21">
        <v>437020</v>
      </c>
      <c r="G22" s="42">
        <v>-3.6999999999999998E-2</v>
      </c>
      <c r="H22" s="21" t="s">
        <v>181</v>
      </c>
      <c r="I22" s="39" t="str">
        <f ca="1">IFERROR(__xludf.DUMMYFUNCTION("IF(SUM(COUNTIF(artists!A:A, SPLIT(D22, "",""))) &gt; 0, ""UA"", 0)"),"UA")</f>
        <v>UA</v>
      </c>
      <c r="J22" s="40">
        <f ca="1">IFERROR(__xludf.DUMMYFUNCTION("IF(SUM(COUNTIF(artists!C:C, SPLIT(D22, "",""))) &gt; 0, ""RU"", 0)"),0)</f>
        <v>0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B23" s="21">
        <v>21</v>
      </c>
      <c r="C23" s="21" t="s">
        <v>251</v>
      </c>
      <c r="D23" s="21" t="s">
        <v>133</v>
      </c>
      <c r="E23" s="21">
        <v>7</v>
      </c>
      <c r="F23" s="21">
        <v>420698</v>
      </c>
      <c r="G23" s="42">
        <v>-8.3000000000000004E-2</v>
      </c>
      <c r="H23" s="21" t="s">
        <v>252</v>
      </c>
      <c r="I23" s="39" t="str">
        <f ca="1">IFERROR(__xludf.DUMMYFUNCTION("IF(SUM(COUNTIF(artists!A:A, SPLIT(D23, "",""))) &gt; 0, ""UA"", 0)"),"UA")</f>
        <v>UA</v>
      </c>
      <c r="J23" s="40">
        <f ca="1">IFERROR(__xludf.DUMMYFUNCTION("IF(SUM(COUNTIF(artists!C:C, SPLIT(D23, "",""))) &gt; 0, ""RU"", 0)"),0)</f>
        <v>0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B24" s="21">
        <v>24</v>
      </c>
      <c r="C24" s="21" t="s">
        <v>968</v>
      </c>
      <c r="D24" s="21" t="s">
        <v>969</v>
      </c>
      <c r="E24" s="21">
        <v>42</v>
      </c>
      <c r="F24" s="21">
        <v>420227</v>
      </c>
      <c r="G24" s="42">
        <v>-3.2000000000000001E-2</v>
      </c>
      <c r="H24" s="21" t="s">
        <v>970</v>
      </c>
      <c r="I24" s="39" t="str">
        <f ca="1">IFERROR(__xludf.DUMMYFUNCTION("IF(SUM(COUNTIF(artists!A:A, SPLIT(D24, "",""))) &gt; 0, ""UA"", 0)"),"UA")</f>
        <v>UA</v>
      </c>
      <c r="J24" s="40">
        <f ca="1">IFERROR(__xludf.DUMMYFUNCTION("IF(SUM(COUNTIF(artists!C:C, SPLIT(D24, "",""))) &gt; 0, ""RU"", 0)"),0)</f>
        <v>0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C25" s="21" t="s">
        <v>500</v>
      </c>
      <c r="D25" s="21" t="s">
        <v>501</v>
      </c>
      <c r="E25" s="21">
        <v>1</v>
      </c>
      <c r="F25" s="21">
        <v>405011</v>
      </c>
      <c r="H25" s="21" t="s">
        <v>503</v>
      </c>
      <c r="I25" s="39">
        <f ca="1">IFERROR(__xludf.DUMMYFUNCTION("IF(SUM(COUNTIF(artists!A:A, SPLIT(D25, "",""))) &gt; 0, ""UA"", 0)"),0)</f>
        <v>0</v>
      </c>
      <c r="J25" s="40" t="str">
        <f ca="1">IFERROR(__xludf.DUMMYFUNCTION("IF(SUM(COUNTIF(artists!C:C, SPLIT(D25, "",""))) &gt; 0, ""RU"", 0)"),"RU")</f>
        <v>RU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C26" s="21" t="s">
        <v>1154</v>
      </c>
      <c r="D26" s="21" t="s">
        <v>1155</v>
      </c>
      <c r="E26" s="21">
        <v>1</v>
      </c>
      <c r="F26" s="21">
        <v>404011</v>
      </c>
      <c r="H26" s="21" t="s">
        <v>1156</v>
      </c>
      <c r="I26" s="39" t="str">
        <f ca="1">IFERROR(__xludf.DUMMYFUNCTION("IF(SUM(COUNTIF(artists!A:A, SPLIT(D26, "",""))) &gt; 0, ""UA"", 0)"),"UA")</f>
        <v>UA</v>
      </c>
      <c r="J26" s="40">
        <f ca="1">IFERROR(__xludf.DUMMYFUNCTION("IF(SUM(COUNTIF(artists!C:C, SPLIT(D26, "",""))) &gt; 0, ""RU"", 0)"),0)</f>
        <v>0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B27" s="21">
        <v>27</v>
      </c>
      <c r="C27" s="21" t="s">
        <v>229</v>
      </c>
      <c r="D27" s="21" t="s">
        <v>230</v>
      </c>
      <c r="E27" s="21">
        <v>29</v>
      </c>
      <c r="F27" s="21">
        <v>379700</v>
      </c>
      <c r="G27" s="42">
        <v>1.4E-2</v>
      </c>
      <c r="H27" s="21" t="s">
        <v>232</v>
      </c>
      <c r="I27" s="39" t="str">
        <f ca="1">IFERROR(__xludf.DUMMYFUNCTION("IF(SUM(COUNTIF(artists!A:A, SPLIT(D27, "",""))) &gt; 0, ""UA"", 0)"),"UA")</f>
        <v>UA</v>
      </c>
      <c r="J27" s="40">
        <f ca="1">IFERROR(__xludf.DUMMYFUNCTION("IF(SUM(COUNTIF(artists!C:C, SPLIT(D27, "",""))) &gt; 0, ""RU"", 0)"),0)</f>
        <v>0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C28" s="21" t="s">
        <v>1219</v>
      </c>
      <c r="D28" s="21" t="s">
        <v>1220</v>
      </c>
      <c r="E28" s="21">
        <v>24</v>
      </c>
      <c r="F28" s="21">
        <v>378554</v>
      </c>
      <c r="H28" s="21" t="s">
        <v>1221</v>
      </c>
      <c r="I28" s="39">
        <f ca="1">IFERROR(__xludf.DUMMYFUNCTION("IF(SUM(COUNTIF(artists!A:A, SPLIT(D28, "",""))) &gt; 0, ""UA"", 0)"),0)</f>
        <v>0</v>
      </c>
      <c r="J28" s="40">
        <f ca="1">IFERROR(__xludf.DUMMYFUNCTION("IF(SUM(COUNTIF(artists!C:C, SPLIT(D28, "",""))) &gt; 0, ""RU"", 0)"),0)</f>
        <v>0</v>
      </c>
      <c r="K28" s="39" t="str">
        <f ca="1">IFERROR(__xludf.DUMMYFUNCTION("IF(SUM(COUNTIF(artists!E:E, SPLIT(D28, "",""))) &gt; 0, ""OTHER"", 0)"),"OTHER")</f>
        <v>OTHER</v>
      </c>
    </row>
    <row r="29" spans="1:11" ht="14.25" customHeight="1">
      <c r="A29" s="21">
        <v>28</v>
      </c>
      <c r="B29" s="21">
        <v>29</v>
      </c>
      <c r="C29" s="21" t="s">
        <v>841</v>
      </c>
      <c r="D29" s="21" t="s">
        <v>842</v>
      </c>
      <c r="E29" s="21">
        <v>27</v>
      </c>
      <c r="F29" s="21">
        <v>372315</v>
      </c>
      <c r="G29" s="42">
        <v>3.9E-2</v>
      </c>
      <c r="H29" s="21" t="s">
        <v>843</v>
      </c>
      <c r="I29" s="39">
        <f ca="1">IFERROR(__xludf.DUMMYFUNCTION("IF(SUM(COUNTIF(artists!A:A, SPLIT(D29, "",""))) &gt; 0, ""UA"", 0)"),0)</f>
        <v>0</v>
      </c>
      <c r="J29" s="40">
        <f ca="1">IFERROR(__xludf.DUMMYFUNCTION("IF(SUM(COUNTIF(artists!C:C, SPLIT(D29, "",""))) &gt; 0, ""RU"", 0)"),0)</f>
        <v>0</v>
      </c>
      <c r="K29" s="39" t="str">
        <f ca="1">IFERROR(__xludf.DUMMYFUNCTION("IF(SUM(COUNTIF(artists!E:E, SPLIT(D29, "",""))) &gt; 0, ""OTHER"", 0)"),"OTHER")</f>
        <v>OTHER</v>
      </c>
    </row>
    <row r="30" spans="1:11" ht="14.25" customHeight="1">
      <c r="A30" s="21">
        <v>29</v>
      </c>
      <c r="B30" s="21">
        <v>26</v>
      </c>
      <c r="C30" s="21" t="s">
        <v>253</v>
      </c>
      <c r="D30" s="21" t="s">
        <v>89</v>
      </c>
      <c r="E30" s="21">
        <v>31</v>
      </c>
      <c r="F30" s="21">
        <v>363704</v>
      </c>
      <c r="G30" s="42">
        <v>-0.111</v>
      </c>
      <c r="H30" s="21" t="s">
        <v>254</v>
      </c>
      <c r="I30" s="39" t="str">
        <f ca="1">IFERROR(__xludf.DUMMYFUNCTION("IF(SUM(COUNTIF(artists!A:A, SPLIT(D30, "",""))) &gt; 0, ""UA"", 0)"),"UA")</f>
        <v>UA</v>
      </c>
      <c r="J30" s="40">
        <f ca="1">IFERROR(__xludf.DUMMYFUNCTION("IF(SUM(COUNTIF(artists!C:C, SPLIT(D30, "",""))) &gt; 0, ""RU"", 0)"),0)</f>
        <v>0</v>
      </c>
      <c r="K30" s="39">
        <f ca="1">IFERROR(__xludf.DUMMYFUNCTION("IF(SUM(COUNTIF(artists!E:E, SPLIT(D30, "",""))) &gt; 0, ""OTHER"", 0)"),0)</f>
        <v>0</v>
      </c>
    </row>
    <row r="31" spans="1:11" ht="14.25" customHeight="1">
      <c r="A31" s="21">
        <v>30</v>
      </c>
      <c r="B31" s="21">
        <v>37</v>
      </c>
      <c r="C31" s="21" t="s">
        <v>182</v>
      </c>
      <c r="D31" s="21" t="s">
        <v>183</v>
      </c>
      <c r="E31" s="21">
        <v>18</v>
      </c>
      <c r="F31" s="21">
        <v>342373</v>
      </c>
      <c r="G31" s="42">
        <v>5.6000000000000001E-2</v>
      </c>
      <c r="H31" s="21" t="s">
        <v>185</v>
      </c>
      <c r="I31" s="39" t="str">
        <f ca="1">IFERROR(__xludf.DUMMYFUNCTION("IF(SUM(COUNTIF(artists!A:A, SPLIT(D31, "",""))) &gt; 0, ""UA"", 0)"),"UA")</f>
        <v>UA</v>
      </c>
      <c r="J31" s="40">
        <f ca="1">IFERROR(__xludf.DUMMYFUNCTION("IF(SUM(COUNTIF(artists!C:C, SPLIT(D31, "",""))) &gt; 0, ""RU"", 0)"),0)</f>
        <v>0</v>
      </c>
      <c r="K31" s="39">
        <f ca="1">IFERROR(__xludf.DUMMYFUNCTION("IF(SUM(COUNTIF(artists!E:E, SPLIT(D31, "",""))) &gt; 0, ""OTHER"", 0)"),0)</f>
        <v>0</v>
      </c>
    </row>
    <row r="32" spans="1:11" ht="14.25" customHeight="1">
      <c r="A32" s="21">
        <v>31</v>
      </c>
      <c r="B32" s="21">
        <v>41</v>
      </c>
      <c r="C32" s="21" t="s">
        <v>616</v>
      </c>
      <c r="D32" s="21" t="s">
        <v>617</v>
      </c>
      <c r="E32" s="21">
        <v>12</v>
      </c>
      <c r="F32" s="21">
        <v>340702</v>
      </c>
      <c r="G32" s="42">
        <v>0.17100000000000001</v>
      </c>
      <c r="H32" s="21" t="s">
        <v>618</v>
      </c>
      <c r="I32" s="39">
        <f ca="1">IFERROR(__xludf.DUMMYFUNCTION("IF(SUM(COUNTIF(artists!A:A, SPLIT(D32, "",""))) &gt; 0, ""UA"", 0)"),0)</f>
        <v>0</v>
      </c>
      <c r="J32" s="40">
        <f ca="1">IFERROR(__xludf.DUMMYFUNCTION("IF(SUM(COUNTIF(artists!C:C, SPLIT(D32, "",""))) &gt; 0, ""RU"", 0)"),0)</f>
        <v>0</v>
      </c>
      <c r="K32" s="39" t="str">
        <f ca="1">IFERROR(__xludf.DUMMYFUNCTION("IF(SUM(COUNTIF(artists!E:E, SPLIT(D32, "",""))) &gt; 0, ""OTHER"", 0)"),"OTHER")</f>
        <v>OTHER</v>
      </c>
    </row>
    <row r="33" spans="1:11" ht="14.25" customHeight="1">
      <c r="A33" s="21">
        <v>32</v>
      </c>
      <c r="B33" s="21">
        <v>9</v>
      </c>
      <c r="C33" s="21" t="s">
        <v>497</v>
      </c>
      <c r="D33" s="21" t="s">
        <v>860</v>
      </c>
      <c r="E33" s="21">
        <v>2</v>
      </c>
      <c r="F33" s="21">
        <v>335634</v>
      </c>
      <c r="G33" s="42">
        <v>-0.56599999999999995</v>
      </c>
      <c r="H33" s="21" t="s">
        <v>499</v>
      </c>
      <c r="I33" s="39" t="str">
        <f ca="1">IFERROR(__xludf.DUMMYFUNCTION("IF(SUM(COUNTIF(artists!A:A, SPLIT(D33, "",""))) &gt; 0, ""UA"", 0)"),"UA")</f>
        <v>UA</v>
      </c>
      <c r="J33" s="40">
        <f ca="1">IFERROR(__xludf.DUMMYFUNCTION("IF(SUM(COUNTIF(artists!C:C, SPLIT(D33, "",""))) &gt; 0, ""RU"", 0)"),0)</f>
        <v>0</v>
      </c>
      <c r="K33" s="39">
        <f ca="1">IFERROR(__xludf.DUMMYFUNCTION("IF(SUM(COUNTIF(artists!E:E, SPLIT(D33, "",""))) &gt; 0, ""OTHER"", 0)"),0)</f>
        <v>0</v>
      </c>
    </row>
    <row r="34" spans="1:11" ht="14.25" customHeight="1">
      <c r="A34" s="21">
        <v>33</v>
      </c>
      <c r="B34" s="21">
        <v>30</v>
      </c>
      <c r="C34" s="21" t="s">
        <v>799</v>
      </c>
      <c r="D34" s="21" t="s">
        <v>494</v>
      </c>
      <c r="E34" s="21">
        <v>31</v>
      </c>
      <c r="F34" s="21">
        <v>334229</v>
      </c>
      <c r="G34" s="42">
        <v>-6.7000000000000004E-2</v>
      </c>
      <c r="H34" s="21" t="s">
        <v>800</v>
      </c>
      <c r="I34" s="39" t="str">
        <f ca="1">IFERROR(__xludf.DUMMYFUNCTION("IF(SUM(COUNTIF(artists!A:A, SPLIT(D34, "",""))) &gt; 0, ""UA"", 0)"),"UA")</f>
        <v>UA</v>
      </c>
      <c r="J34" s="40">
        <f ca="1">IFERROR(__xludf.DUMMYFUNCTION("IF(SUM(COUNTIF(artists!C:C, SPLIT(D34, "",""))) &gt; 0, ""RU"", 0)"),0)</f>
        <v>0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B35" s="21">
        <v>28</v>
      </c>
      <c r="C35" s="21" t="s">
        <v>929</v>
      </c>
      <c r="D35" s="21" t="s">
        <v>930</v>
      </c>
      <c r="E35" s="21">
        <v>15</v>
      </c>
      <c r="F35" s="21">
        <v>327483</v>
      </c>
      <c r="G35" s="42">
        <v>-9.5000000000000001E-2</v>
      </c>
      <c r="H35" s="21" t="s">
        <v>931</v>
      </c>
      <c r="I35" s="39" t="str">
        <f ca="1">IFERROR(__xludf.DUMMYFUNCTION("IF(SUM(COUNTIF(artists!A:A, SPLIT(D35, "",""))) &gt; 0, ""UA"", 0)"),"UA")</f>
        <v>UA</v>
      </c>
      <c r="J35" s="40">
        <f ca="1">IFERROR(__xludf.DUMMYFUNCTION("IF(SUM(COUNTIF(artists!C:C, SPLIT(D35, "",""))) &gt; 0, ""RU"", 0)"),0)</f>
        <v>0</v>
      </c>
      <c r="K35" s="39">
        <f ca="1">IFERROR(__xludf.DUMMYFUNCTION("IF(SUM(COUNTIF(artists!E:E, SPLIT(D35, "",""))) &gt; 0, ""OTHER"", 0)"),0)</f>
        <v>0</v>
      </c>
    </row>
    <row r="36" spans="1:11" ht="14.25" customHeight="1">
      <c r="A36" s="21">
        <v>35</v>
      </c>
      <c r="B36" s="21">
        <v>38</v>
      </c>
      <c r="C36" s="21" t="s">
        <v>594</v>
      </c>
      <c r="D36" s="21" t="s">
        <v>595</v>
      </c>
      <c r="E36" s="21">
        <v>10</v>
      </c>
      <c r="F36" s="21">
        <v>326943</v>
      </c>
      <c r="G36" s="42">
        <v>5.0999999999999997E-2</v>
      </c>
      <c r="H36" s="21" t="s">
        <v>596</v>
      </c>
      <c r="I36" s="39" t="str">
        <f ca="1">IFERROR(__xludf.DUMMYFUNCTION("IF(SUM(COUNTIF(artists!A:A, SPLIT(D36, "",""))) &gt; 0, ""UA"", 0)"),"UA")</f>
        <v>UA</v>
      </c>
      <c r="J36" s="40">
        <f ca="1">IFERROR(__xludf.DUMMYFUNCTION("IF(SUM(COUNTIF(artists!C:C, SPLIT(D36, "",""))) &gt; 0, ""RU"", 0)"),0)</f>
        <v>0</v>
      </c>
      <c r="K36" s="39">
        <f ca="1">IFERROR(__xludf.DUMMYFUNCTION("IF(SUM(COUNTIF(artists!E:E, SPLIT(D36, "",""))) &gt; 0, ""OTHER"", 0)"),0)</f>
        <v>0</v>
      </c>
    </row>
    <row r="37" spans="1:11" ht="14.25" customHeight="1">
      <c r="A37" s="21">
        <v>36</v>
      </c>
      <c r="B37" s="21">
        <v>33</v>
      </c>
      <c r="C37" s="21" t="s">
        <v>462</v>
      </c>
      <c r="D37" s="21" t="s">
        <v>463</v>
      </c>
      <c r="E37" s="21">
        <v>13</v>
      </c>
      <c r="F37" s="21">
        <v>322185</v>
      </c>
      <c r="G37" s="42">
        <v>-5.5E-2</v>
      </c>
      <c r="H37" s="21" t="s">
        <v>465</v>
      </c>
      <c r="I37" s="39" t="str">
        <f ca="1">IFERROR(__xludf.DUMMYFUNCTION("IF(SUM(COUNTIF(artists!A:A, SPLIT(D37, "",""))) &gt; 0, ""UA"", 0)"),"UA")</f>
        <v>UA</v>
      </c>
      <c r="J37" s="40">
        <f ca="1">IFERROR(__xludf.DUMMYFUNCTION("IF(SUM(COUNTIF(artists!C:C, SPLIT(D37, "",""))) &gt; 0, ""RU"", 0)"),0)</f>
        <v>0</v>
      </c>
      <c r="K37" s="39">
        <f ca="1">IFERROR(__xludf.DUMMYFUNCTION("IF(SUM(COUNTIF(artists!E:E, SPLIT(D37, "",""))) &gt; 0, ""OTHER"", 0)"),0)</f>
        <v>0</v>
      </c>
    </row>
    <row r="38" spans="1:11" ht="14.25" customHeight="1">
      <c r="A38" s="21">
        <v>37</v>
      </c>
      <c r="B38" s="21">
        <v>35</v>
      </c>
      <c r="C38" s="21" t="s">
        <v>895</v>
      </c>
      <c r="D38" s="21" t="s">
        <v>896</v>
      </c>
      <c r="E38" s="21">
        <v>34</v>
      </c>
      <c r="F38" s="21">
        <v>316068</v>
      </c>
      <c r="G38" s="43">
        <v>-0.04</v>
      </c>
      <c r="H38" s="21" t="s">
        <v>897</v>
      </c>
      <c r="I38" s="39" t="str">
        <f ca="1">IFERROR(__xludf.DUMMYFUNCTION("IF(SUM(COUNTIF(artists!A:A, SPLIT(D38, "",""))) &gt; 0, ""UA"", 0)"),"UA")</f>
        <v>UA</v>
      </c>
      <c r="J38" s="40">
        <f ca="1">IFERROR(__xludf.DUMMYFUNCTION("IF(SUM(COUNTIF(artists!C:C, SPLIT(D38, "",""))) &gt; 0, ""RU"", 0)"),0)</f>
        <v>0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B39" s="21">
        <v>40</v>
      </c>
      <c r="C39" s="21" t="s">
        <v>524</v>
      </c>
      <c r="D39" s="21" t="s">
        <v>525</v>
      </c>
      <c r="E39" s="21">
        <v>6</v>
      </c>
      <c r="F39" s="21">
        <v>305550</v>
      </c>
      <c r="G39" s="42">
        <v>4.3999999999999997E-2</v>
      </c>
      <c r="H39" s="21" t="s">
        <v>526</v>
      </c>
      <c r="I39" s="39" t="str">
        <f ca="1">IFERROR(__xludf.DUMMYFUNCTION("IF(SUM(COUNTIF(artists!A:A, SPLIT(D39, "",""))) &gt; 0, ""UA"", 0)"),"UA")</f>
        <v>UA</v>
      </c>
      <c r="J39" s="40">
        <f ca="1">IFERROR(__xludf.DUMMYFUNCTION("IF(SUM(COUNTIF(artists!C:C, SPLIT(D39, "",""))) &gt; 0, ""RU"", 0)"),0)</f>
        <v>0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B40" s="21">
        <v>39</v>
      </c>
      <c r="C40" s="21" t="s">
        <v>168</v>
      </c>
      <c r="D40" s="21" t="s">
        <v>137</v>
      </c>
      <c r="E40" s="21">
        <v>13</v>
      </c>
      <c r="F40" s="21">
        <v>305138</v>
      </c>
      <c r="G40" s="42">
        <v>-1.0999999999999999E-2</v>
      </c>
      <c r="H40" s="21" t="s">
        <v>170</v>
      </c>
      <c r="I40" s="39" t="str">
        <f ca="1">IFERROR(__xludf.DUMMYFUNCTION("IF(SUM(COUNTIF(artists!A:A, SPLIT(D40, "",""))) &gt; 0, ""UA"", 0)"),"UA")</f>
        <v>UA</v>
      </c>
      <c r="J40" s="40">
        <f ca="1">IFERROR(__xludf.DUMMYFUNCTION("IF(SUM(COUNTIF(artists!C:C, SPLIT(D40, "",""))) &gt; 0, ""RU"", 0)"),0)</f>
        <v>0</v>
      </c>
      <c r="K40" s="39">
        <f ca="1">IFERROR(__xludf.DUMMYFUNCTION("IF(SUM(COUNTIF(artists!E:E, SPLIT(D40, "",""))) &gt; 0, ""OTHER"", 0)"),0)</f>
        <v>0</v>
      </c>
    </row>
    <row r="41" spans="1:11" ht="14.25" customHeight="1">
      <c r="A41" s="21">
        <v>40</v>
      </c>
      <c r="B41" s="21">
        <v>36</v>
      </c>
      <c r="C41" s="21" t="s">
        <v>921</v>
      </c>
      <c r="D41" s="21" t="s">
        <v>922</v>
      </c>
      <c r="E41" s="21">
        <v>14</v>
      </c>
      <c r="F41" s="21">
        <v>301207</v>
      </c>
      <c r="G41" s="42">
        <v>-8.1000000000000003E-2</v>
      </c>
      <c r="H41" s="21" t="s">
        <v>923</v>
      </c>
      <c r="I41" s="39" t="str">
        <f ca="1">IFERROR(__xludf.DUMMYFUNCTION("IF(SUM(COUNTIF(artists!A:A, SPLIT(D41, "",""))) &gt; 0, ""UA"", 0)"),"UA")</f>
        <v>UA</v>
      </c>
      <c r="J41" s="40">
        <f ca="1">IFERROR(__xludf.DUMMYFUNCTION("IF(SUM(COUNTIF(artists!C:C, SPLIT(D41, "",""))) &gt; 0, ""RU"", 0)"),0)</f>
        <v>0</v>
      </c>
      <c r="K41" s="39">
        <f ca="1">IFERROR(__xludf.DUMMYFUNCTION("IF(SUM(COUNTIF(artists!E:E, SPLIT(D41, "",""))) &gt; 0, ""OTHER"", 0)"),0)</f>
        <v>0</v>
      </c>
    </row>
    <row r="42" spans="1:11" ht="14.25" customHeight="1">
      <c r="A42" s="21">
        <v>41</v>
      </c>
      <c r="B42" s="21">
        <v>65</v>
      </c>
      <c r="C42" s="21" t="s">
        <v>1032</v>
      </c>
      <c r="D42" s="21" t="s">
        <v>1033</v>
      </c>
      <c r="E42" s="21">
        <v>2</v>
      </c>
      <c r="F42" s="21">
        <v>294311</v>
      </c>
      <c r="G42" s="42">
        <v>0.441</v>
      </c>
      <c r="H42" s="21" t="s">
        <v>1034</v>
      </c>
      <c r="I42" s="39" t="str">
        <f ca="1">IFERROR(__xludf.DUMMYFUNCTION("IF(SUM(COUNTIF(artists!A:A, SPLIT(D42, "",""))) &gt; 0, ""UA"", 0)"),"UA")</f>
        <v>UA</v>
      </c>
      <c r="J42" s="40">
        <f ca="1">IFERROR(__xludf.DUMMYFUNCTION("IF(SUM(COUNTIF(artists!C:C, SPLIT(D42, "",""))) &gt; 0, ""RU"", 0)"),0)</f>
        <v>0</v>
      </c>
      <c r="K42" s="39">
        <f ca="1">IFERROR(__xludf.DUMMYFUNCTION("IF(SUM(COUNTIF(artists!E:E, SPLIT(D42, "",""))) &gt; 0, ""OTHER"", 0)"),0)</f>
        <v>0</v>
      </c>
    </row>
    <row r="43" spans="1:11" ht="14.25" customHeight="1">
      <c r="A43" s="21">
        <v>42</v>
      </c>
      <c r="B43" s="21">
        <v>51</v>
      </c>
      <c r="C43" s="21" t="s">
        <v>1073</v>
      </c>
      <c r="D43" s="21" t="s">
        <v>1074</v>
      </c>
      <c r="E43" s="21">
        <v>8</v>
      </c>
      <c r="F43" s="21">
        <v>285917</v>
      </c>
      <c r="G43" s="42">
        <v>0.158</v>
      </c>
      <c r="H43" s="21" t="s">
        <v>1075</v>
      </c>
      <c r="I43" s="39" t="str">
        <f ca="1">IFERROR(__xludf.DUMMYFUNCTION("IF(SUM(COUNTIF(artists!A:A, SPLIT(D43, "",""))) &gt; 0, ""UA"", 0)"),"UA")</f>
        <v>UA</v>
      </c>
      <c r="J43" s="40">
        <f ca="1">IFERROR(__xludf.DUMMYFUNCTION("IF(SUM(COUNTIF(artists!C:C, SPLIT(D43, "",""))) &gt; 0, ""RU"", 0)"),0)</f>
        <v>0</v>
      </c>
      <c r="K43" s="39">
        <f ca="1">IFERROR(__xludf.DUMMYFUNCTION("IF(SUM(COUNTIF(artists!E:E, SPLIT(D43, "",""))) &gt; 0, ""OTHER"", 0)"),0)</f>
        <v>0</v>
      </c>
    </row>
    <row r="44" spans="1:11" ht="14.25" customHeight="1">
      <c r="A44" s="21">
        <v>43</v>
      </c>
      <c r="B44" s="21">
        <v>18</v>
      </c>
      <c r="C44" s="21" t="s">
        <v>1190</v>
      </c>
      <c r="D44" s="21" t="s">
        <v>916</v>
      </c>
      <c r="E44" s="21">
        <v>3</v>
      </c>
      <c r="F44" s="21">
        <v>284404</v>
      </c>
      <c r="G44" s="42">
        <v>-0.41199999999999998</v>
      </c>
      <c r="H44" s="21" t="s">
        <v>1191</v>
      </c>
      <c r="I44" s="39">
        <f ca="1">IFERROR(__xludf.DUMMYFUNCTION("IF(SUM(COUNTIF(artists!A:A, SPLIT(D44, "",""))) &gt; 0, ""UA"", 0)"),0)</f>
        <v>0</v>
      </c>
      <c r="J44" s="40" t="str">
        <f ca="1">IFERROR(__xludf.DUMMYFUNCTION("IF(SUM(COUNTIF(artists!C:C, SPLIT(D44, "",""))) &gt; 0, ""RU"", 0)"),"RU")</f>
        <v>RU</v>
      </c>
      <c r="K44" s="39">
        <f ca="1">IFERROR(__xludf.DUMMYFUNCTION("IF(SUM(COUNTIF(artists!E:E, SPLIT(D44, "",""))) &gt; 0, ""OTHER"", 0)"),0)</f>
        <v>0</v>
      </c>
    </row>
    <row r="45" spans="1:11" ht="14.25" customHeight="1">
      <c r="A45" s="21">
        <v>44</v>
      </c>
      <c r="B45" s="21">
        <v>43</v>
      </c>
      <c r="C45" s="21" t="s">
        <v>887</v>
      </c>
      <c r="D45" s="21" t="s">
        <v>89</v>
      </c>
      <c r="E45" s="21">
        <v>29</v>
      </c>
      <c r="F45" s="21">
        <v>278949</v>
      </c>
      <c r="G45" s="42">
        <v>-8.0000000000000002E-3</v>
      </c>
      <c r="H45" s="21" t="s">
        <v>888</v>
      </c>
      <c r="I45" s="39" t="str">
        <f ca="1">IFERROR(__xludf.DUMMYFUNCTION("IF(SUM(COUNTIF(artists!A:A, SPLIT(D45, "",""))) &gt; 0, ""UA"", 0)"),"UA")</f>
        <v>UA</v>
      </c>
      <c r="J45" s="40">
        <f ca="1">IFERROR(__xludf.DUMMYFUNCTION("IF(SUM(COUNTIF(artists!C:C, SPLIT(D45, "",""))) &gt; 0, ""RU"", 0)"),0)</f>
        <v>0</v>
      </c>
      <c r="K45" s="39">
        <f ca="1">IFERROR(__xludf.DUMMYFUNCTION("IF(SUM(COUNTIF(artists!E:E, SPLIT(D45, "",""))) &gt; 0, ""OTHER"", 0)"),0)</f>
        <v>0</v>
      </c>
    </row>
    <row r="46" spans="1:11" ht="14.25" customHeight="1">
      <c r="A46" s="21">
        <v>45</v>
      </c>
      <c r="B46" s="21">
        <v>53</v>
      </c>
      <c r="C46" s="21" t="s">
        <v>667</v>
      </c>
      <c r="D46" s="21" t="s">
        <v>668</v>
      </c>
      <c r="E46" s="21">
        <v>3</v>
      </c>
      <c r="F46" s="21">
        <v>274681</v>
      </c>
      <c r="G46" s="42">
        <v>0.13200000000000001</v>
      </c>
      <c r="H46" s="21" t="s">
        <v>669</v>
      </c>
      <c r="I46" s="39">
        <f ca="1">IFERROR(__xludf.DUMMYFUNCTION("IF(SUM(COUNTIF(artists!A:A, SPLIT(D46, "",""))) &gt; 0, ""UA"", 0)"),0)</f>
        <v>0</v>
      </c>
      <c r="J46" s="40" t="str">
        <f ca="1">IFERROR(__xludf.DUMMYFUNCTION("IF(SUM(COUNTIF(artists!C:C, SPLIT(D46, "",""))) &gt; 0, ""RU"", 0)"),"RU")</f>
        <v>RU</v>
      </c>
      <c r="K46" s="39">
        <f ca="1">IFERROR(__xludf.DUMMYFUNCTION("IF(SUM(COUNTIF(artists!E:E, SPLIT(D46, "",""))) &gt; 0, ""OTHER"", 0)"),0)</f>
        <v>0</v>
      </c>
    </row>
    <row r="47" spans="1:11" ht="14.25" customHeight="1">
      <c r="A47" s="21">
        <v>46</v>
      </c>
      <c r="B47" s="21">
        <v>32</v>
      </c>
      <c r="C47" s="21" t="s">
        <v>1029</v>
      </c>
      <c r="D47" s="21" t="s">
        <v>1030</v>
      </c>
      <c r="E47" s="21">
        <v>4</v>
      </c>
      <c r="F47" s="21">
        <v>268101</v>
      </c>
      <c r="G47" s="43">
        <v>-0.23</v>
      </c>
      <c r="H47" s="21" t="s">
        <v>1031</v>
      </c>
      <c r="I47" s="39" t="str">
        <f ca="1">IFERROR(__xludf.DUMMYFUNCTION("IF(SUM(COUNTIF(artists!A:A, SPLIT(D47, "",""))) &gt; 0, ""UA"", 0)"),"UA")</f>
        <v>UA</v>
      </c>
      <c r="J47" s="40">
        <f ca="1">IFERROR(__xludf.DUMMYFUNCTION("IF(SUM(COUNTIF(artists!C:C, SPLIT(D47, "",""))) &gt; 0, ""RU"", 0)"),0)</f>
        <v>0</v>
      </c>
      <c r="K47" s="39">
        <f ca="1">IFERROR(__xludf.DUMMYFUNCTION("IF(SUM(COUNTIF(artists!E:E, SPLIT(D47, "",""))) &gt; 0, ""OTHER"", 0)"),0)</f>
        <v>0</v>
      </c>
    </row>
    <row r="48" spans="1:11" ht="14.25" customHeight="1">
      <c r="A48" s="21">
        <v>47</v>
      </c>
      <c r="B48" s="21">
        <v>47</v>
      </c>
      <c r="C48" s="21" t="s">
        <v>118</v>
      </c>
      <c r="D48" s="21" t="s">
        <v>586</v>
      </c>
      <c r="E48" s="21">
        <v>25</v>
      </c>
      <c r="F48" s="21">
        <v>267036</v>
      </c>
      <c r="G48" s="42">
        <v>6.0000000000000001E-3</v>
      </c>
      <c r="H48" s="21" t="s">
        <v>587</v>
      </c>
      <c r="I48" s="39" t="str">
        <f ca="1">IFERROR(__xludf.DUMMYFUNCTION("IF(SUM(COUNTIF(artists!A:A, SPLIT(D48, "",""))) &gt; 0, ""UA"", 0)"),"UA")</f>
        <v>UA</v>
      </c>
      <c r="J48" s="40">
        <f ca="1">IFERROR(__xludf.DUMMYFUNCTION("IF(SUM(COUNTIF(artists!C:C, SPLIT(D48, "",""))) &gt; 0, ""RU"", 0)"),0)</f>
        <v>0</v>
      </c>
      <c r="K48" s="39">
        <f ca="1">IFERROR(__xludf.DUMMYFUNCTION("IF(SUM(COUNTIF(artists!E:E, SPLIT(D48, "",""))) &gt; 0, ""OTHER"", 0)"),0)</f>
        <v>0</v>
      </c>
    </row>
    <row r="49" spans="1:11" ht="14.25" customHeight="1">
      <c r="A49" s="21">
        <v>48</v>
      </c>
      <c r="B49" s="21">
        <v>44</v>
      </c>
      <c r="C49" s="21" t="s">
        <v>516</v>
      </c>
      <c r="D49" s="21" t="s">
        <v>517</v>
      </c>
      <c r="E49" s="21">
        <v>20</v>
      </c>
      <c r="F49" s="21">
        <v>262515</v>
      </c>
      <c r="G49" s="42">
        <v>-6.6000000000000003E-2</v>
      </c>
      <c r="H49" s="21" t="s">
        <v>518</v>
      </c>
      <c r="I49" s="39">
        <f ca="1">IFERROR(__xludf.DUMMYFUNCTION("IF(SUM(COUNTIF(artists!A:A, SPLIT(D49, "",""))) &gt; 0, ""UA"", 0)"),0)</f>
        <v>0</v>
      </c>
      <c r="J49" s="40">
        <f ca="1">IFERROR(__xludf.DUMMYFUNCTION("IF(SUM(COUNTIF(artists!C:C, SPLIT(D49, "",""))) &gt; 0, ""RU"", 0)"),0)</f>
        <v>0</v>
      </c>
      <c r="K49" s="39" t="str">
        <f ca="1">IFERROR(__xludf.DUMMYFUNCTION("IF(SUM(COUNTIF(artists!E:E, SPLIT(D49, "",""))) &gt; 0, ""OTHER"", 0)"),"OTHER")</f>
        <v>OTHER</v>
      </c>
    </row>
    <row r="50" spans="1:11" ht="14.25" customHeight="1">
      <c r="A50" s="21">
        <v>49</v>
      </c>
      <c r="B50" s="21">
        <v>46</v>
      </c>
      <c r="C50" s="21" t="s">
        <v>1178</v>
      </c>
      <c r="D50" s="21" t="s">
        <v>1117</v>
      </c>
      <c r="E50" s="21">
        <v>18</v>
      </c>
      <c r="F50" s="21">
        <v>259434</v>
      </c>
      <c r="G50" s="42">
        <v>-3.7999999999999999E-2</v>
      </c>
      <c r="H50" s="21" t="s">
        <v>1179</v>
      </c>
      <c r="I50" s="39">
        <f ca="1">IFERROR(__xludf.DUMMYFUNCTION("IF(SUM(COUNTIF(artists!A:A, SPLIT(D50, "",""))) &gt; 0, ""UA"", 0)"),0)</f>
        <v>0</v>
      </c>
      <c r="J50" s="40" t="str">
        <f ca="1">IFERROR(__xludf.DUMMYFUNCTION("IF(SUM(COUNTIF(artists!C:C, SPLIT(D50, "",""))) &gt; 0, ""RU"", 0)"),"RU")</f>
        <v>RU</v>
      </c>
      <c r="K50" s="39">
        <f ca="1">IFERROR(__xludf.DUMMYFUNCTION("IF(SUM(COUNTIF(artists!E:E, SPLIT(D50, "",""))) &gt; 0, ""OTHER"", 0)"),0)</f>
        <v>0</v>
      </c>
    </row>
    <row r="51" spans="1:11" ht="14.25" customHeight="1">
      <c r="A51" s="21">
        <v>50</v>
      </c>
      <c r="B51" s="21">
        <v>50</v>
      </c>
      <c r="C51" s="21" t="s">
        <v>678</v>
      </c>
      <c r="D51" s="21" t="s">
        <v>89</v>
      </c>
      <c r="E51" s="21">
        <v>20</v>
      </c>
      <c r="F51" s="21">
        <v>257924</v>
      </c>
      <c r="G51" s="42">
        <v>2.9000000000000001E-2</v>
      </c>
      <c r="H51" s="21" t="s">
        <v>679</v>
      </c>
      <c r="I51" s="39" t="str">
        <f ca="1">IFERROR(__xludf.DUMMYFUNCTION("IF(SUM(COUNTIF(artists!A:A, SPLIT(D51, "",""))) &gt; 0, ""UA"", 0)"),"UA")</f>
        <v>UA</v>
      </c>
      <c r="J51" s="40">
        <f ca="1">IFERROR(__xludf.DUMMYFUNCTION("IF(SUM(COUNTIF(artists!C:C, SPLIT(D51, "",""))) &gt; 0, ""RU"", 0)"),0)</f>
        <v>0</v>
      </c>
      <c r="K51" s="39">
        <f ca="1">IFERROR(__xludf.DUMMYFUNCTION("IF(SUM(COUNTIF(artists!E:E, SPLIT(D51, "",""))) &gt; 0, ""OTHER"", 0)"),0)</f>
        <v>0</v>
      </c>
    </row>
    <row r="52" spans="1:11" ht="14.25" customHeight="1">
      <c r="A52" s="21">
        <v>51</v>
      </c>
      <c r="B52" s="21">
        <v>45</v>
      </c>
      <c r="C52" s="21" t="s">
        <v>1089</v>
      </c>
      <c r="D52" s="21" t="s">
        <v>125</v>
      </c>
      <c r="E52" s="21">
        <v>12</v>
      </c>
      <c r="F52" s="21">
        <v>257822</v>
      </c>
      <c r="G52" s="42">
        <v>-5.6000000000000001E-2</v>
      </c>
      <c r="H52" s="21" t="s">
        <v>1090</v>
      </c>
      <c r="I52" s="39">
        <f ca="1">IFERROR(__xludf.DUMMYFUNCTION("IF(SUM(COUNTIF(artists!A:A, SPLIT(D52, "",""))) &gt; 0, ""UA"", 0)"),0)</f>
        <v>0</v>
      </c>
      <c r="J52" s="40" t="str">
        <f ca="1">IFERROR(__xludf.DUMMYFUNCTION("IF(SUM(COUNTIF(artists!C:C, SPLIT(D52, "",""))) &gt; 0, ""RU"", 0)"),"RU")</f>
        <v>RU</v>
      </c>
      <c r="K52" s="39">
        <f ca="1">IFERROR(__xludf.DUMMYFUNCTION("IF(SUM(COUNTIF(artists!E:E, SPLIT(D52, "",""))) &gt; 0, ""OTHER"", 0)"),0)</f>
        <v>0</v>
      </c>
    </row>
    <row r="53" spans="1:11" ht="14.25" customHeight="1">
      <c r="A53" s="21">
        <v>52</v>
      </c>
      <c r="B53" s="21">
        <v>63</v>
      </c>
      <c r="C53" s="21" t="s">
        <v>508</v>
      </c>
      <c r="D53" s="21" t="s">
        <v>509</v>
      </c>
      <c r="E53" s="21">
        <v>3</v>
      </c>
      <c r="F53" s="21">
        <v>252546</v>
      </c>
      <c r="G53" s="42">
        <v>0.20200000000000001</v>
      </c>
      <c r="H53" s="21" t="s">
        <v>510</v>
      </c>
      <c r="I53" s="39">
        <f ca="1">IFERROR(__xludf.DUMMYFUNCTION("IF(SUM(COUNTIF(artists!A:A, SPLIT(D53, "",""))) &gt; 0, ""UA"", 0)"),0)</f>
        <v>0</v>
      </c>
      <c r="J53" s="40" t="str">
        <f ca="1">IFERROR(__xludf.DUMMYFUNCTION("IF(SUM(COUNTIF(artists!C:C, SPLIT(D53, "",""))) &gt; 0, ""RU"", 0)"),"RU")</f>
        <v>RU</v>
      </c>
      <c r="K53" s="39">
        <f ca="1">IFERROR(__xludf.DUMMYFUNCTION("IF(SUM(COUNTIF(artists!E:E, SPLIT(D53, "",""))) &gt; 0, ""OTHER"", 0)"),0)</f>
        <v>0</v>
      </c>
    </row>
    <row r="54" spans="1:11" ht="14.25" customHeight="1">
      <c r="A54" s="21">
        <v>53</v>
      </c>
      <c r="B54" s="21">
        <v>54</v>
      </c>
      <c r="C54" s="21" t="s">
        <v>1147</v>
      </c>
      <c r="D54" s="21" t="s">
        <v>776</v>
      </c>
      <c r="E54" s="21">
        <v>8</v>
      </c>
      <c r="F54" s="21">
        <v>249992</v>
      </c>
      <c r="G54" s="42">
        <v>3.5999999999999997E-2</v>
      </c>
      <c r="H54" s="21" t="s">
        <v>1148</v>
      </c>
      <c r="I54" s="39" t="str">
        <f ca="1">IFERROR(__xludf.DUMMYFUNCTION("IF(SUM(COUNTIF(artists!A:A, SPLIT(D54, "",""))) &gt; 0, ""UA"", 0)"),"UA")</f>
        <v>UA</v>
      </c>
      <c r="J54" s="40">
        <f ca="1">IFERROR(__xludf.DUMMYFUNCTION("IF(SUM(COUNTIF(artists!C:C, SPLIT(D54, "",""))) &gt; 0, ""RU"", 0)"),0)</f>
        <v>0</v>
      </c>
      <c r="K54" s="39">
        <f ca="1">IFERROR(__xludf.DUMMYFUNCTION("IF(SUM(COUNTIF(artists!E:E, SPLIT(D54, "",""))) &gt; 0, ""OTHER"", 0)"),0)</f>
        <v>0</v>
      </c>
    </row>
    <row r="55" spans="1:11" ht="14.25" customHeight="1">
      <c r="A55" s="21">
        <v>54</v>
      </c>
      <c r="B55" s="21">
        <v>72</v>
      </c>
      <c r="C55" s="21" t="s">
        <v>1021</v>
      </c>
      <c r="D55" s="21" t="s">
        <v>1022</v>
      </c>
      <c r="E55" s="21">
        <v>2</v>
      </c>
      <c r="F55" s="21">
        <v>241650</v>
      </c>
      <c r="G55" s="42">
        <v>0.33500000000000002</v>
      </c>
      <c r="H55" s="21" t="s">
        <v>1023</v>
      </c>
      <c r="I55" s="39">
        <f ca="1">IFERROR(__xludf.DUMMYFUNCTION("IF(SUM(COUNTIF(artists!A:A, SPLIT(D55, "",""))) &gt; 0, ""UA"", 0)"),0)</f>
        <v>0</v>
      </c>
      <c r="J55" s="40">
        <f ca="1">IFERROR(__xludf.DUMMYFUNCTION("IF(SUM(COUNTIF(artists!C:C, SPLIT(D55, "",""))) &gt; 0, ""RU"", 0)"),0)</f>
        <v>0</v>
      </c>
      <c r="K55" s="39" t="str">
        <f ca="1">IFERROR(__xludf.DUMMYFUNCTION("IF(SUM(COUNTIF(artists!E:E, SPLIT(D55, "",""))) &gt; 0, ""OTHER"", 0)"),"OTHER")</f>
        <v>OTHER</v>
      </c>
    </row>
    <row r="56" spans="1:11" ht="14.25" customHeight="1">
      <c r="A56" s="21">
        <v>55</v>
      </c>
      <c r="B56" s="21">
        <v>48</v>
      </c>
      <c r="C56" s="21" t="s">
        <v>903</v>
      </c>
      <c r="D56" s="21" t="s">
        <v>904</v>
      </c>
      <c r="E56" s="21">
        <v>14</v>
      </c>
      <c r="F56" s="21">
        <v>233073</v>
      </c>
      <c r="G56" s="43">
        <v>-0.1</v>
      </c>
      <c r="H56" s="21" t="s">
        <v>905</v>
      </c>
      <c r="I56" s="39" t="str">
        <f ca="1">IFERROR(__xludf.DUMMYFUNCTION("IF(SUM(COUNTIF(artists!A:A, SPLIT(D56, "",""))) &gt; 0, ""UA"", 0)"),"UA")</f>
        <v>UA</v>
      </c>
      <c r="J56" s="40">
        <f ca="1">IFERROR(__xludf.DUMMYFUNCTION("IF(SUM(COUNTIF(artists!C:C, SPLIT(D56, "",""))) &gt; 0, ""RU"", 0)"),0)</f>
        <v>0</v>
      </c>
      <c r="K56" s="39">
        <f ca="1">IFERROR(__xludf.DUMMYFUNCTION("IF(SUM(COUNTIF(artists!E:E, SPLIT(D56, "",""))) &gt; 0, ""OTHER"", 0)"),0)</f>
        <v>0</v>
      </c>
    </row>
    <row r="57" spans="1:11" ht="14.25" customHeight="1">
      <c r="A57" s="21">
        <v>56</v>
      </c>
      <c r="B57" s="21">
        <v>31</v>
      </c>
      <c r="C57" s="21" t="s">
        <v>1172</v>
      </c>
      <c r="D57" s="21" t="s">
        <v>1173</v>
      </c>
      <c r="E57" s="21">
        <v>3</v>
      </c>
      <c r="F57" s="21">
        <v>229777</v>
      </c>
      <c r="G57" s="42">
        <v>-0.34899999999999998</v>
      </c>
      <c r="H57" s="21" t="s">
        <v>1174</v>
      </c>
      <c r="I57" s="39">
        <f ca="1">IFERROR(__xludf.DUMMYFUNCTION("IF(SUM(COUNTIF(artists!A:A, SPLIT(D57, "",""))) &gt; 0, ""UA"", 0)"),0)</f>
        <v>0</v>
      </c>
      <c r="J57" s="40" t="str">
        <f ca="1">IFERROR(__xludf.DUMMYFUNCTION("IF(SUM(COUNTIF(artists!C:C, SPLIT(D57, "",""))) &gt; 0, ""RU"", 0)"),"RU")</f>
        <v>RU</v>
      </c>
      <c r="K57" s="39">
        <f ca="1">IFERROR(__xludf.DUMMYFUNCTION("IF(SUM(COUNTIF(artists!E:E, SPLIT(D57, "",""))) &gt; 0, ""OTHER"", 0)"),0)</f>
        <v>0</v>
      </c>
    </row>
    <row r="58" spans="1:11" ht="14.25" customHeight="1">
      <c r="A58" s="21">
        <v>57</v>
      </c>
      <c r="B58" s="21">
        <v>55</v>
      </c>
      <c r="C58" s="21" t="s">
        <v>1055</v>
      </c>
      <c r="D58" s="21" t="s">
        <v>776</v>
      </c>
      <c r="E58" s="21">
        <v>19</v>
      </c>
      <c r="F58" s="21">
        <v>228981</v>
      </c>
      <c r="G58" s="42">
        <v>-2.9000000000000001E-2</v>
      </c>
      <c r="H58" s="21" t="s">
        <v>1056</v>
      </c>
      <c r="I58" s="39" t="str">
        <f ca="1">IFERROR(__xludf.DUMMYFUNCTION("IF(SUM(COUNTIF(artists!A:A, SPLIT(D58, "",""))) &gt; 0, ""UA"", 0)"),"UA")</f>
        <v>UA</v>
      </c>
      <c r="J58" s="40">
        <f ca="1">IFERROR(__xludf.DUMMYFUNCTION("IF(SUM(COUNTIF(artists!C:C, SPLIT(D58, "",""))) &gt; 0, ""RU"", 0)"),0)</f>
        <v>0</v>
      </c>
      <c r="K58" s="39">
        <f ca="1">IFERROR(__xludf.DUMMYFUNCTION("IF(SUM(COUNTIF(artists!E:E, SPLIT(D58, "",""))) &gt; 0, ""OTHER"", 0)"),0)</f>
        <v>0</v>
      </c>
    </row>
    <row r="59" spans="1:11" ht="14.25" customHeight="1">
      <c r="A59" s="21">
        <v>58</v>
      </c>
      <c r="B59" s="21">
        <v>52</v>
      </c>
      <c r="C59" s="21" t="s">
        <v>1166</v>
      </c>
      <c r="D59" s="21" t="s">
        <v>1167</v>
      </c>
      <c r="E59" s="21">
        <v>3</v>
      </c>
      <c r="F59" s="21">
        <v>218716</v>
      </c>
      <c r="G59" s="42">
        <v>-0.112</v>
      </c>
      <c r="H59" s="21" t="s">
        <v>1168</v>
      </c>
      <c r="I59" s="39">
        <f ca="1">IFERROR(__xludf.DUMMYFUNCTION("IF(SUM(COUNTIF(artists!A:A, SPLIT(D59, "",""))) &gt; 0, ""UA"", 0)"),0)</f>
        <v>0</v>
      </c>
      <c r="J59" s="40" t="str">
        <f ca="1">IFERROR(__xludf.DUMMYFUNCTION("IF(SUM(COUNTIF(artists!C:C, SPLIT(D59, "",""))) &gt; 0, ""RU"", 0)"),"RU")</f>
        <v>RU</v>
      </c>
      <c r="K59" s="39">
        <f ca="1">IFERROR(__xludf.DUMMYFUNCTION("IF(SUM(COUNTIF(artists!E:E, SPLIT(D59, "",""))) &gt; 0, ""OTHER"", 0)"),0)</f>
        <v>0</v>
      </c>
    </row>
    <row r="60" spans="1:11" ht="14.25" customHeight="1">
      <c r="A60" s="21">
        <v>59</v>
      </c>
      <c r="B60" s="21">
        <v>62</v>
      </c>
      <c r="C60" s="21" t="s">
        <v>868</v>
      </c>
      <c r="D60" s="21" t="s">
        <v>869</v>
      </c>
      <c r="E60" s="21">
        <v>6</v>
      </c>
      <c r="F60" s="21">
        <v>215521</v>
      </c>
      <c r="G60" s="42">
        <v>2.5000000000000001E-2</v>
      </c>
      <c r="H60" s="21" t="s">
        <v>870</v>
      </c>
      <c r="I60" s="39">
        <f ca="1">IFERROR(__xludf.DUMMYFUNCTION("IF(SUM(COUNTIF(artists!A:A, SPLIT(D60, "",""))) &gt; 0, ""UA"", 0)"),0)</f>
        <v>0</v>
      </c>
      <c r="J60" s="40" t="str">
        <f ca="1">IFERROR(__xludf.DUMMYFUNCTION("IF(SUM(COUNTIF(artists!C:C, SPLIT(D60, "",""))) &gt; 0, ""RU"", 0)"),"RU")</f>
        <v>RU</v>
      </c>
      <c r="K60" s="39">
        <f ca="1">IFERROR(__xludf.DUMMYFUNCTION("IF(SUM(COUNTIF(artists!E:E, SPLIT(D60, "",""))) &gt; 0, ""OTHER"", 0)"),0)</f>
        <v>0</v>
      </c>
    </row>
    <row r="61" spans="1:11" ht="14.25" customHeight="1">
      <c r="A61" s="21">
        <v>60</v>
      </c>
      <c r="B61" s="21">
        <v>60</v>
      </c>
      <c r="C61" s="21" t="s">
        <v>1076</v>
      </c>
      <c r="D61" s="21" t="s">
        <v>1077</v>
      </c>
      <c r="E61" s="21">
        <v>13</v>
      </c>
      <c r="F61" s="21">
        <v>210201</v>
      </c>
      <c r="G61" s="42">
        <v>-2.4E-2</v>
      </c>
      <c r="H61" s="21" t="s">
        <v>1078</v>
      </c>
      <c r="I61" s="39" t="str">
        <f ca="1">IFERROR(__xludf.DUMMYFUNCTION("IF(SUM(COUNTIF(artists!A:A, SPLIT(D61, "",""))) &gt; 0, ""UA"", 0)"),"UA")</f>
        <v>UA</v>
      </c>
      <c r="J61" s="40">
        <f ca="1">IFERROR(__xludf.DUMMYFUNCTION("IF(SUM(COUNTIF(artists!C:C, SPLIT(D61, "",""))) &gt; 0, ""RU"", 0)"),0)</f>
        <v>0</v>
      </c>
      <c r="K61" s="39">
        <f ca="1">IFERROR(__xludf.DUMMYFUNCTION("IF(SUM(COUNTIF(artists!E:E, SPLIT(D61, "",""))) &gt; 0, ""OTHER"", 0)"),0)</f>
        <v>0</v>
      </c>
    </row>
    <row r="62" spans="1:11" ht="14.25" customHeight="1">
      <c r="A62" s="21">
        <v>61</v>
      </c>
      <c r="B62" s="21">
        <v>66</v>
      </c>
      <c r="C62" s="21" t="s">
        <v>971</v>
      </c>
      <c r="D62" s="21" t="s">
        <v>972</v>
      </c>
      <c r="E62" s="21">
        <v>10</v>
      </c>
      <c r="F62" s="21">
        <v>210002</v>
      </c>
      <c r="G62" s="42">
        <v>2.9000000000000001E-2</v>
      </c>
      <c r="H62" s="21" t="s">
        <v>973</v>
      </c>
      <c r="I62" s="39">
        <f ca="1">IFERROR(__xludf.DUMMYFUNCTION("IF(SUM(COUNTIF(artists!A:A, SPLIT(D62, "",""))) &gt; 0, ""UA"", 0)"),0)</f>
        <v>0</v>
      </c>
      <c r="J62" s="40">
        <f ca="1">IFERROR(__xludf.DUMMYFUNCTION("IF(SUM(COUNTIF(artists!C:C, SPLIT(D62, "",""))) &gt; 0, ""RU"", 0)"),0)</f>
        <v>0</v>
      </c>
      <c r="K62" s="39" t="str">
        <f ca="1">IFERROR(__xludf.DUMMYFUNCTION("IF(SUM(COUNTIF(artists!E:E, SPLIT(D62, "",""))) &gt; 0, ""OTHER"", 0)"),"OTHER")</f>
        <v>OTHER</v>
      </c>
    </row>
    <row r="63" spans="1:11" ht="14.25" customHeight="1">
      <c r="A63" s="21">
        <v>62</v>
      </c>
      <c r="B63" s="21">
        <v>58</v>
      </c>
      <c r="C63" s="21" t="s">
        <v>284</v>
      </c>
      <c r="D63" s="21" t="s">
        <v>15</v>
      </c>
      <c r="E63" s="21">
        <v>9</v>
      </c>
      <c r="F63" s="21">
        <v>207477</v>
      </c>
      <c r="G63" s="42">
        <v>-6.8000000000000005E-2</v>
      </c>
      <c r="H63" s="21" t="s">
        <v>285</v>
      </c>
      <c r="I63" s="39">
        <f ca="1">IFERROR(__xludf.DUMMYFUNCTION("IF(SUM(COUNTIF(artists!A:A, SPLIT(D63, "",""))) &gt; 0, ""UA"", 0)"),0)</f>
        <v>0</v>
      </c>
      <c r="J63" s="40">
        <f ca="1">IFERROR(__xludf.DUMMYFUNCTION("IF(SUM(COUNTIF(artists!C:C, SPLIT(D63, "",""))) &gt; 0, ""RU"", 0)"),0)</f>
        <v>0</v>
      </c>
      <c r="K63" s="39" t="str">
        <f ca="1">IFERROR(__xludf.DUMMYFUNCTION("IF(SUM(COUNTIF(artists!E:E, SPLIT(D63, "",""))) &gt; 0, ""OTHER"", 0)"),"OTHER")</f>
        <v>OTHER</v>
      </c>
    </row>
    <row r="64" spans="1:11" ht="14.25" customHeight="1">
      <c r="A64" s="21">
        <v>63</v>
      </c>
      <c r="B64" s="21">
        <v>68</v>
      </c>
      <c r="C64" s="21" t="s">
        <v>589</v>
      </c>
      <c r="D64" s="21" t="s">
        <v>590</v>
      </c>
      <c r="E64" s="21">
        <v>10</v>
      </c>
      <c r="F64" s="21">
        <v>205417</v>
      </c>
      <c r="G64" s="42">
        <v>5.2999999999999999E-2</v>
      </c>
      <c r="H64" s="21" t="s">
        <v>591</v>
      </c>
      <c r="I64" s="39" t="str">
        <f ca="1">IFERROR(__xludf.DUMMYFUNCTION("IF(SUM(COUNTIF(artists!A:A, SPLIT(D64, "",""))) &gt; 0, ""UA"", 0)"),"UA")</f>
        <v>UA</v>
      </c>
      <c r="J64" s="40">
        <f ca="1">IFERROR(__xludf.DUMMYFUNCTION("IF(SUM(COUNTIF(artists!C:C, SPLIT(D64, "",""))) &gt; 0, ""RU"", 0)"),0)</f>
        <v>0</v>
      </c>
      <c r="K64" s="39">
        <f ca="1">IFERROR(__xludf.DUMMYFUNCTION("IF(SUM(COUNTIF(artists!E:E, SPLIT(D64, "",""))) &gt; 0, ""OTHER"", 0)"),0)</f>
        <v>0</v>
      </c>
    </row>
    <row r="65" spans="1:11" ht="14.25" customHeight="1">
      <c r="A65" s="21">
        <v>64</v>
      </c>
      <c r="B65" s="21">
        <v>42</v>
      </c>
      <c r="C65" s="21" t="s">
        <v>1192</v>
      </c>
      <c r="D65" s="21" t="s">
        <v>1193</v>
      </c>
      <c r="E65" s="21">
        <v>3</v>
      </c>
      <c r="F65" s="21">
        <v>204802</v>
      </c>
      <c r="G65" s="42">
        <v>-0.28599999999999998</v>
      </c>
      <c r="H65" s="21" t="s">
        <v>1194</v>
      </c>
      <c r="I65" s="39" t="str">
        <f ca="1">IFERROR(__xludf.DUMMYFUNCTION("IF(SUM(COUNTIF(artists!A:A, SPLIT(D65, "",""))) &gt; 0, ""UA"", 0)"),"UA")</f>
        <v>UA</v>
      </c>
      <c r="J65" s="40">
        <f ca="1">IFERROR(__xludf.DUMMYFUNCTION("IF(SUM(COUNTIF(artists!C:C, SPLIT(D65, "",""))) &gt; 0, ""RU"", 0)"),0)</f>
        <v>0</v>
      </c>
      <c r="K65" s="39">
        <f ca="1">IFERROR(__xludf.DUMMYFUNCTION("IF(SUM(COUNTIF(artists!E:E, SPLIT(D65, "",""))) &gt; 0, ""OTHER"", 0)"),0)</f>
        <v>0</v>
      </c>
    </row>
    <row r="66" spans="1:11" ht="14.25" customHeight="1">
      <c r="A66" s="21">
        <v>65</v>
      </c>
      <c r="C66" s="21" t="s">
        <v>632</v>
      </c>
      <c r="D66" s="21" t="s">
        <v>633</v>
      </c>
      <c r="E66" s="21">
        <v>22</v>
      </c>
      <c r="F66" s="21">
        <v>203367</v>
      </c>
      <c r="H66" s="21" t="s">
        <v>634</v>
      </c>
      <c r="I66" s="39" t="str">
        <f ca="1">IFERROR(__xludf.DUMMYFUNCTION("IF(SUM(COUNTIF(artists!A:A, SPLIT(D66, "",""))) &gt; 0, ""UA"", 0)"),"UA")</f>
        <v>UA</v>
      </c>
      <c r="J66" s="40">
        <f ca="1">IFERROR(__xludf.DUMMYFUNCTION("IF(SUM(COUNTIF(artists!C:C, SPLIT(D66, "",""))) &gt; 0, ""RU"", 0)"),0)</f>
        <v>0</v>
      </c>
      <c r="K66" s="39">
        <f ca="1">IFERROR(__xludf.DUMMYFUNCTION("IF(SUM(COUNTIF(artists!E:E, SPLIT(D66, "",""))) &gt; 0, ""OTHER"", 0)"),0)</f>
        <v>0</v>
      </c>
    </row>
    <row r="67" spans="1:11" ht="14.25" customHeight="1">
      <c r="A67" s="21">
        <v>66</v>
      </c>
      <c r="C67" s="21" t="s">
        <v>1222</v>
      </c>
      <c r="D67" s="21" t="s">
        <v>1223</v>
      </c>
      <c r="E67" s="21">
        <v>25</v>
      </c>
      <c r="F67" s="21">
        <v>202090</v>
      </c>
      <c r="H67" s="21" t="s">
        <v>1224</v>
      </c>
      <c r="I67" s="39">
        <f ca="1">IFERROR(__xludf.DUMMYFUNCTION("IF(SUM(COUNTIF(artists!A:A, SPLIT(D67, "",""))) &gt; 0, ""UA"", 0)"),0)</f>
        <v>0</v>
      </c>
      <c r="J67" s="40" t="str">
        <f ca="1">IFERROR(__xludf.DUMMYFUNCTION("IF(SUM(COUNTIF(artists!C:C, SPLIT(D67, "",""))) &gt; 0, ""RU"", 0)"),"RU")</f>
        <v>RU</v>
      </c>
      <c r="K67" s="39">
        <f ca="1">IFERROR(__xludf.DUMMYFUNCTION("IF(SUM(COUNTIF(artists!E:E, SPLIT(D67, "",""))) &gt; 0, ""OTHER"", 0)"),0)</f>
        <v>0</v>
      </c>
    </row>
    <row r="68" spans="1:11" ht="14.25" customHeight="1">
      <c r="A68" s="21">
        <v>67</v>
      </c>
      <c r="C68" s="21" t="s">
        <v>482</v>
      </c>
      <c r="D68" s="21" t="s">
        <v>210</v>
      </c>
      <c r="E68" s="21">
        <v>1</v>
      </c>
      <c r="F68" s="21">
        <v>200253</v>
      </c>
      <c r="H68" s="21" t="s">
        <v>484</v>
      </c>
      <c r="I68" s="39" t="str">
        <f ca="1">IFERROR(__xludf.DUMMYFUNCTION("IF(SUM(COUNTIF(artists!A:A, SPLIT(D68, "",""))) &gt; 0, ""UA"", 0)"),"UA")</f>
        <v>UA</v>
      </c>
      <c r="J68" s="40">
        <f ca="1">IFERROR(__xludf.DUMMYFUNCTION("IF(SUM(COUNTIF(artists!C:C, SPLIT(D68, "",""))) &gt; 0, ""RU"", 0)"),0)</f>
        <v>0</v>
      </c>
      <c r="K68" s="39">
        <f ca="1">IFERROR(__xludf.DUMMYFUNCTION("IF(SUM(COUNTIF(artists!E:E, SPLIT(D68, "",""))) &gt; 0, ""OTHER"", 0)"),0)</f>
        <v>0</v>
      </c>
    </row>
    <row r="69" spans="1:11" ht="14.25" customHeight="1">
      <c r="A69" s="21">
        <v>68</v>
      </c>
      <c r="B69" s="21">
        <v>67</v>
      </c>
      <c r="C69" s="21" t="s">
        <v>520</v>
      </c>
      <c r="D69" s="21" t="s">
        <v>521</v>
      </c>
      <c r="E69" s="21">
        <v>13</v>
      </c>
      <c r="F69" s="21">
        <v>194696</v>
      </c>
      <c r="G69" s="42">
        <v>-6.0000000000000001E-3</v>
      </c>
      <c r="H69" s="21" t="s">
        <v>522</v>
      </c>
      <c r="I69" s="39" t="str">
        <f ca="1">IFERROR(__xludf.DUMMYFUNCTION("IF(SUM(COUNTIF(artists!A:A, SPLIT(D69, "",""))) &gt; 0, ""UA"", 0)"),"UA")</f>
        <v>UA</v>
      </c>
      <c r="J69" s="40">
        <f ca="1">IFERROR(__xludf.DUMMYFUNCTION("IF(SUM(COUNTIF(artists!C:C, SPLIT(D69, "",""))) &gt; 0, ""RU"", 0)"),0)</f>
        <v>0</v>
      </c>
      <c r="K69" s="39">
        <f ca="1">IFERROR(__xludf.DUMMYFUNCTION("IF(SUM(COUNTIF(artists!E:E, SPLIT(D69, "",""))) &gt; 0, ""OTHER"", 0)"),0)</f>
        <v>0</v>
      </c>
    </row>
    <row r="70" spans="1:11" ht="14.25" customHeight="1">
      <c r="A70" s="21">
        <v>69</v>
      </c>
      <c r="B70" s="21">
        <v>57</v>
      </c>
      <c r="C70" s="21" t="s">
        <v>1101</v>
      </c>
      <c r="D70" s="21" t="s">
        <v>498</v>
      </c>
      <c r="E70" s="21">
        <v>4</v>
      </c>
      <c r="F70" s="21">
        <v>189946</v>
      </c>
      <c r="G70" s="42">
        <v>-0.158</v>
      </c>
      <c r="H70" s="21" t="s">
        <v>1102</v>
      </c>
      <c r="I70" s="39" t="str">
        <f ca="1">IFERROR(__xludf.DUMMYFUNCTION("IF(SUM(COUNTIF(artists!A:A, SPLIT(D70, "",""))) &gt; 0, ""UA"", 0)"),"UA")</f>
        <v>UA</v>
      </c>
      <c r="J70" s="40">
        <f ca="1">IFERROR(__xludf.DUMMYFUNCTION("IF(SUM(COUNTIF(artists!C:C, SPLIT(D70, "",""))) &gt; 0, ""RU"", 0)"),0)</f>
        <v>0</v>
      </c>
      <c r="K70" s="39">
        <f ca="1">IFERROR(__xludf.DUMMYFUNCTION("IF(SUM(COUNTIF(artists!E:E, SPLIT(D70, "",""))) &gt; 0, ""OTHER"", 0)"),0)</f>
        <v>0</v>
      </c>
    </row>
    <row r="71" spans="1:11" ht="14.25" customHeight="1">
      <c r="A71" s="21">
        <v>70</v>
      </c>
      <c r="C71" s="21" t="s">
        <v>579</v>
      </c>
      <c r="D71" s="21" t="s">
        <v>183</v>
      </c>
      <c r="E71" s="21">
        <v>12</v>
      </c>
      <c r="F71" s="21">
        <v>186436</v>
      </c>
      <c r="H71" s="21" t="s">
        <v>580</v>
      </c>
      <c r="I71" s="39" t="str">
        <f ca="1">IFERROR(__xludf.DUMMYFUNCTION("IF(SUM(COUNTIF(artists!A:A, SPLIT(D71, "",""))) &gt; 0, ""UA"", 0)"),"UA")</f>
        <v>UA</v>
      </c>
      <c r="J71" s="40">
        <f ca="1">IFERROR(__xludf.DUMMYFUNCTION("IF(SUM(COUNTIF(artists!C:C, SPLIT(D71, "",""))) &gt; 0, ""RU"", 0)"),0)</f>
        <v>0</v>
      </c>
      <c r="K71" s="39">
        <f ca="1">IFERROR(__xludf.DUMMYFUNCTION("IF(SUM(COUNTIF(artists!E:E, SPLIT(D71, "",""))) &gt; 0, ""OTHER"", 0)"),0)</f>
        <v>0</v>
      </c>
    </row>
    <row r="72" spans="1:11" ht="14.25" customHeight="1">
      <c r="A72" s="21">
        <v>71</v>
      </c>
      <c r="B72" s="21">
        <v>81</v>
      </c>
      <c r="C72" s="21" t="s">
        <v>1157</v>
      </c>
      <c r="D72" s="21" t="s">
        <v>1158</v>
      </c>
      <c r="E72" s="21">
        <v>6</v>
      </c>
      <c r="F72" s="21">
        <v>183861</v>
      </c>
      <c r="G72" s="42">
        <v>0.151</v>
      </c>
      <c r="H72" s="21" t="s">
        <v>1159</v>
      </c>
      <c r="I72" s="39">
        <f ca="1">IFERROR(__xludf.DUMMYFUNCTION("IF(SUM(COUNTIF(artists!A:A, SPLIT(D72, "",""))) &gt; 0, ""UA"", 0)"),0)</f>
        <v>0</v>
      </c>
      <c r="J72" s="40">
        <f ca="1">IFERROR(__xludf.DUMMYFUNCTION("IF(SUM(COUNTIF(artists!C:C, SPLIT(D72, "",""))) &gt; 0, ""RU"", 0)"),0)</f>
        <v>0</v>
      </c>
      <c r="K72" s="39" t="str">
        <f ca="1">IFERROR(__xludf.DUMMYFUNCTION("IF(SUM(COUNTIF(artists!E:E, SPLIT(D72, "",""))) &gt; 0, ""OTHER"", 0)"),"OTHER")</f>
        <v>OTHER</v>
      </c>
    </row>
    <row r="73" spans="1:11" ht="14.25" customHeight="1">
      <c r="A73" s="21">
        <v>72</v>
      </c>
      <c r="B73" s="21">
        <v>90</v>
      </c>
      <c r="C73" s="21" t="s">
        <v>1137</v>
      </c>
      <c r="D73" s="21" t="s">
        <v>1117</v>
      </c>
      <c r="E73" s="21">
        <v>6</v>
      </c>
      <c r="F73" s="21">
        <v>182740</v>
      </c>
      <c r="G73" s="42">
        <v>0.20200000000000001</v>
      </c>
      <c r="H73" s="21" t="s">
        <v>1138</v>
      </c>
      <c r="I73" s="39">
        <f ca="1">IFERROR(__xludf.DUMMYFUNCTION("IF(SUM(COUNTIF(artists!A:A, SPLIT(D73, "",""))) &gt; 0, ""UA"", 0)"),0)</f>
        <v>0</v>
      </c>
      <c r="J73" s="40" t="str">
        <f ca="1">IFERROR(__xludf.DUMMYFUNCTION("IF(SUM(COUNTIF(artists!C:C, SPLIT(D73, "",""))) &gt; 0, ""RU"", 0)"),"RU")</f>
        <v>RU</v>
      </c>
      <c r="K73" s="39">
        <f ca="1">IFERROR(__xludf.DUMMYFUNCTION("IF(SUM(COUNTIF(artists!E:E, SPLIT(D73, "",""))) &gt; 0, ""OTHER"", 0)"),0)</f>
        <v>0</v>
      </c>
    </row>
    <row r="74" spans="1:11" ht="14.25" customHeight="1">
      <c r="A74" s="21">
        <v>73</v>
      </c>
      <c r="B74" s="21">
        <v>34</v>
      </c>
      <c r="C74" s="21" t="s">
        <v>706</v>
      </c>
      <c r="D74" s="21" t="s">
        <v>199</v>
      </c>
      <c r="E74" s="21">
        <v>18</v>
      </c>
      <c r="F74" s="21">
        <v>180436</v>
      </c>
      <c r="G74" s="42">
        <v>-0.46100000000000002</v>
      </c>
      <c r="H74" s="21" t="s">
        <v>1126</v>
      </c>
      <c r="I74" s="39" t="str">
        <f ca="1">IFERROR(__xludf.DUMMYFUNCTION("IF(SUM(COUNTIF(artists!A:A, SPLIT(D74, "",""))) &gt; 0, ""UA"", 0)"),"UA")</f>
        <v>UA</v>
      </c>
      <c r="J74" s="40">
        <f ca="1">IFERROR(__xludf.DUMMYFUNCTION("IF(SUM(COUNTIF(artists!C:C, SPLIT(D74, "",""))) &gt; 0, ""RU"", 0)"),0)</f>
        <v>0</v>
      </c>
      <c r="K74" s="39">
        <f ca="1">IFERROR(__xludf.DUMMYFUNCTION("IF(SUM(COUNTIF(artists!E:E, SPLIT(D74, "",""))) &gt; 0, ""OTHER"", 0)"),0)</f>
        <v>0</v>
      </c>
    </row>
    <row r="75" spans="1:11" ht="14.25" customHeight="1">
      <c r="A75" s="21">
        <v>74</v>
      </c>
      <c r="C75" s="21" t="s">
        <v>963</v>
      </c>
      <c r="D75" s="21" t="s">
        <v>964</v>
      </c>
      <c r="E75" s="21">
        <v>1</v>
      </c>
      <c r="F75" s="21">
        <v>177385</v>
      </c>
      <c r="H75" s="21" t="s">
        <v>965</v>
      </c>
      <c r="I75" s="39" t="str">
        <f ca="1">IFERROR(__xludf.DUMMYFUNCTION("IF(SUM(COUNTIF(artists!A:A, SPLIT(D75, "",""))) &gt; 0, ""UA"", 0)"),"UA")</f>
        <v>UA</v>
      </c>
      <c r="J75" s="40">
        <f ca="1">IFERROR(__xludf.DUMMYFUNCTION("IF(SUM(COUNTIF(artists!C:C, SPLIT(D75, "",""))) &gt; 0, ""RU"", 0)"),0)</f>
        <v>0</v>
      </c>
      <c r="K75" s="39">
        <f ca="1">IFERROR(__xludf.DUMMYFUNCTION("IF(SUM(COUNTIF(artists!E:E, SPLIT(D75, "",""))) &gt; 0, ""OTHER"", 0)"),0)</f>
        <v>0</v>
      </c>
    </row>
    <row r="76" spans="1:11" ht="14.25" customHeight="1">
      <c r="A76" s="21">
        <v>75</v>
      </c>
      <c r="C76" s="21" t="s">
        <v>527</v>
      </c>
      <c r="D76" s="21" t="s">
        <v>528</v>
      </c>
      <c r="E76" s="21">
        <v>1</v>
      </c>
      <c r="F76" s="21">
        <v>172769</v>
      </c>
      <c r="H76" s="21" t="s">
        <v>529</v>
      </c>
      <c r="I76" s="39" t="str">
        <f ca="1">IFERROR(__xludf.DUMMYFUNCTION("IF(SUM(COUNTIF(artists!A:A, SPLIT(D76, "",""))) &gt; 0, ""UA"", 0)"),"UA")</f>
        <v>UA</v>
      </c>
      <c r="J76" s="40">
        <f ca="1">IFERROR(__xludf.DUMMYFUNCTION("IF(SUM(COUNTIF(artists!C:C, SPLIT(D76, "",""))) &gt; 0, ""RU"", 0)"),0)</f>
        <v>0</v>
      </c>
      <c r="K76" s="39">
        <f ca="1">IFERROR(__xludf.DUMMYFUNCTION("IF(SUM(COUNTIF(artists!E:E, SPLIT(D76, "",""))) &gt; 0, ""OTHER"", 0)"),0)</f>
        <v>0</v>
      </c>
    </row>
    <row r="77" spans="1:11" ht="14.25" customHeight="1">
      <c r="A77" s="21">
        <v>76</v>
      </c>
      <c r="B77" s="21">
        <v>80</v>
      </c>
      <c r="C77" s="21" t="s">
        <v>602</v>
      </c>
      <c r="D77" s="21" t="s">
        <v>299</v>
      </c>
      <c r="E77" s="21">
        <v>3</v>
      </c>
      <c r="F77" s="21">
        <v>171979</v>
      </c>
      <c r="G77" s="42">
        <v>7.2999999999999995E-2</v>
      </c>
      <c r="H77" s="21" t="s">
        <v>604</v>
      </c>
      <c r="I77" s="39">
        <f ca="1">IFERROR(__xludf.DUMMYFUNCTION("IF(SUM(COUNTIF(artists!A:A, SPLIT(D77, "",""))) &gt; 0, ""UA"", 0)"),0)</f>
        <v>0</v>
      </c>
      <c r="J77" s="40">
        <f ca="1">IFERROR(__xludf.DUMMYFUNCTION("IF(SUM(COUNTIF(artists!C:C, SPLIT(D77, "",""))) &gt; 0, ""RU"", 0)"),0)</f>
        <v>0</v>
      </c>
      <c r="K77" s="39" t="str">
        <f ca="1">IFERROR(__xludf.DUMMYFUNCTION("IF(SUM(COUNTIF(artists!E:E, SPLIT(D77, "",""))) &gt; 0, ""OTHER"", 0)"),"OTHER")</f>
        <v>OTHER</v>
      </c>
    </row>
    <row r="78" spans="1:11" ht="14.25" customHeight="1">
      <c r="A78" s="21">
        <v>77</v>
      </c>
      <c r="B78" s="21">
        <v>92</v>
      </c>
      <c r="C78" s="21" t="s">
        <v>1135</v>
      </c>
      <c r="D78" s="21" t="s">
        <v>85</v>
      </c>
      <c r="E78" s="21">
        <v>4</v>
      </c>
      <c r="F78" s="21">
        <v>171857</v>
      </c>
      <c r="G78" s="42">
        <v>0.14799999999999999</v>
      </c>
      <c r="H78" s="21" t="s">
        <v>1136</v>
      </c>
      <c r="I78" s="39" t="str">
        <f ca="1">IFERROR(__xludf.DUMMYFUNCTION("IF(SUM(COUNTIF(artists!A:A, SPLIT(D78, "",""))) &gt; 0, ""UA"", 0)"),"UA")</f>
        <v>UA</v>
      </c>
      <c r="J78" s="40">
        <f ca="1">IFERROR(__xludf.DUMMYFUNCTION("IF(SUM(COUNTIF(artists!C:C, SPLIT(D78, "",""))) &gt; 0, ""RU"", 0)"),0)</f>
        <v>0</v>
      </c>
      <c r="K78" s="39">
        <f ca="1">IFERROR(__xludf.DUMMYFUNCTION("IF(SUM(COUNTIF(artists!E:E, SPLIT(D78, "",""))) &gt; 0, ""OTHER"", 0)"),0)</f>
        <v>0</v>
      </c>
    </row>
    <row r="79" spans="1:11" ht="14.25" customHeight="1">
      <c r="A79" s="21">
        <v>78</v>
      </c>
      <c r="C79" s="21" t="s">
        <v>1225</v>
      </c>
      <c r="D79" s="21" t="s">
        <v>776</v>
      </c>
      <c r="E79" s="21">
        <v>1</v>
      </c>
      <c r="F79" s="21">
        <v>171797</v>
      </c>
      <c r="H79" s="21" t="s">
        <v>1226</v>
      </c>
      <c r="I79" s="39" t="str">
        <f ca="1">IFERROR(__xludf.DUMMYFUNCTION("IF(SUM(COUNTIF(artists!A:A, SPLIT(D79, "",""))) &gt; 0, ""UA"", 0)"),"UA")</f>
        <v>UA</v>
      </c>
      <c r="J79" s="40">
        <f ca="1">IFERROR(__xludf.DUMMYFUNCTION("IF(SUM(COUNTIF(artists!C:C, SPLIT(D79, "",""))) &gt; 0, ""RU"", 0)"),0)</f>
        <v>0</v>
      </c>
      <c r="K79" s="39">
        <f ca="1">IFERROR(__xludf.DUMMYFUNCTION("IF(SUM(COUNTIF(artists!E:E, SPLIT(D79, "",""))) &gt; 0, ""OTHER"", 0)"),0)</f>
        <v>0</v>
      </c>
    </row>
    <row r="80" spans="1:11" ht="14.25" customHeight="1">
      <c r="A80" s="21">
        <v>79</v>
      </c>
      <c r="B80" s="21">
        <v>83</v>
      </c>
      <c r="C80" s="21" t="s">
        <v>1038</v>
      </c>
      <c r="D80" s="21" t="s">
        <v>1039</v>
      </c>
      <c r="E80" s="21">
        <v>4</v>
      </c>
      <c r="F80" s="21">
        <v>169730</v>
      </c>
      <c r="G80" s="42">
        <v>7.2999999999999995E-2</v>
      </c>
      <c r="H80" s="21" t="s">
        <v>1040</v>
      </c>
      <c r="I80" s="39">
        <f ca="1">IFERROR(__xludf.DUMMYFUNCTION("IF(SUM(COUNTIF(artists!A:A, SPLIT(D80, "",""))) &gt; 0, ""UA"", 0)"),0)</f>
        <v>0</v>
      </c>
      <c r="J80" s="40">
        <f ca="1">IFERROR(__xludf.DUMMYFUNCTION("IF(SUM(COUNTIF(artists!C:C, SPLIT(D80, "",""))) &gt; 0, ""RU"", 0)"),0)</f>
        <v>0</v>
      </c>
      <c r="K80" s="39" t="str">
        <f ca="1">IFERROR(__xludf.DUMMYFUNCTION("IF(SUM(COUNTIF(artists!E:E, SPLIT(D80, "",""))) &gt; 0, ""OTHER"", 0)"),"OTHER")</f>
        <v>OTHER</v>
      </c>
    </row>
    <row r="81" spans="1:11" ht="14.25" customHeight="1">
      <c r="A81" s="21">
        <v>80</v>
      </c>
      <c r="B81" s="21">
        <v>73</v>
      </c>
      <c r="C81" s="21" t="s">
        <v>1202</v>
      </c>
      <c r="D81" s="21" t="s">
        <v>1203</v>
      </c>
      <c r="E81" s="21">
        <v>3</v>
      </c>
      <c r="F81" s="21">
        <v>168750</v>
      </c>
      <c r="G81" s="42">
        <v>-2.1000000000000001E-2</v>
      </c>
      <c r="H81" s="21" t="s">
        <v>1204</v>
      </c>
      <c r="I81" s="39">
        <f ca="1">IFERROR(__xludf.DUMMYFUNCTION("IF(SUM(COUNTIF(artists!A:A, SPLIT(D81, "",""))) &gt; 0, ""UA"", 0)"),0)</f>
        <v>0</v>
      </c>
      <c r="J81" s="40" t="str">
        <f ca="1">IFERROR(__xludf.DUMMYFUNCTION("IF(SUM(COUNTIF(artists!C:C, SPLIT(D81, "",""))) &gt; 0, ""RU"", 0)"),"RU")</f>
        <v>RU</v>
      </c>
      <c r="K81" s="39">
        <f ca="1">IFERROR(__xludf.DUMMYFUNCTION("IF(SUM(COUNTIF(artists!E:E, SPLIT(D81, "",""))) &gt; 0, ""OTHER"", 0)"),0)</f>
        <v>0</v>
      </c>
    </row>
    <row r="82" spans="1:11" ht="14.25" customHeight="1">
      <c r="A82" s="21">
        <v>81</v>
      </c>
      <c r="B82" s="21">
        <v>77</v>
      </c>
      <c r="C82" s="21" t="s">
        <v>1062</v>
      </c>
      <c r="D82" s="21" t="s">
        <v>1063</v>
      </c>
      <c r="E82" s="21">
        <v>7</v>
      </c>
      <c r="F82" s="21">
        <v>168589</v>
      </c>
      <c r="G82" s="42">
        <v>7.0000000000000001E-3</v>
      </c>
      <c r="H82" s="21" t="s">
        <v>1064</v>
      </c>
      <c r="I82" s="39" t="str">
        <f ca="1">IFERROR(__xludf.DUMMYFUNCTION("IF(SUM(COUNTIF(artists!A:A, SPLIT(D82, "",""))) &gt; 0, ""UA"", 0)"),"UA")</f>
        <v>UA</v>
      </c>
      <c r="J82" s="40">
        <f ca="1">IFERROR(__xludf.DUMMYFUNCTION("IF(SUM(COUNTIF(artists!C:C, SPLIT(D82, "",""))) &gt; 0, ""RU"", 0)"),0)</f>
        <v>0</v>
      </c>
      <c r="K82" s="39">
        <f ca="1">IFERROR(__xludf.DUMMYFUNCTION("IF(SUM(COUNTIF(artists!E:E, SPLIT(D82, "",""))) &gt; 0, ""OTHER"", 0)"),0)</f>
        <v>0</v>
      </c>
    </row>
    <row r="83" spans="1:11" ht="14.25" customHeight="1">
      <c r="A83" s="21">
        <v>82</v>
      </c>
      <c r="B83" s="21">
        <v>82</v>
      </c>
      <c r="C83" s="21" t="s">
        <v>390</v>
      </c>
      <c r="D83" s="21" t="s">
        <v>391</v>
      </c>
      <c r="E83" s="21">
        <v>6</v>
      </c>
      <c r="F83" s="21">
        <v>168161</v>
      </c>
      <c r="G83" s="42">
        <v>6.2E-2</v>
      </c>
      <c r="H83" s="21" t="s">
        <v>393</v>
      </c>
      <c r="I83" s="39">
        <f ca="1">IFERROR(__xludf.DUMMYFUNCTION("IF(SUM(COUNTIF(artists!A:A, SPLIT(D83, "",""))) &gt; 0, ""UA"", 0)"),0)</f>
        <v>0</v>
      </c>
      <c r="J83" s="40" t="str">
        <f ca="1">IFERROR(__xludf.DUMMYFUNCTION("IF(SUM(COUNTIF(artists!C:C, SPLIT(D83, "",""))) &gt; 0, ""RU"", 0)"),"RU")</f>
        <v>RU</v>
      </c>
      <c r="K83" s="39">
        <f ca="1">IFERROR(__xludf.DUMMYFUNCTION("IF(SUM(COUNTIF(artists!E:E, SPLIT(D83, "",""))) &gt; 0, ""OTHER"", 0)"),0)</f>
        <v>0</v>
      </c>
    </row>
    <row r="84" spans="1:11" ht="14.25" customHeight="1">
      <c r="A84" s="21">
        <v>83</v>
      </c>
      <c r="B84" s="21">
        <v>74</v>
      </c>
      <c r="C84" s="21" t="s">
        <v>874</v>
      </c>
      <c r="D84" s="21" t="s">
        <v>108</v>
      </c>
      <c r="E84" s="21">
        <v>12</v>
      </c>
      <c r="F84" s="21">
        <v>167728</v>
      </c>
      <c r="G84" s="42">
        <v>-2.1999999999999999E-2</v>
      </c>
      <c r="H84" s="21" t="s">
        <v>875</v>
      </c>
      <c r="I84" s="39" t="str">
        <f ca="1">IFERROR(__xludf.DUMMYFUNCTION("IF(SUM(COUNTIF(artists!A:A, SPLIT(D84, "",""))) &gt; 0, ""UA"", 0)"),"UA")</f>
        <v>UA</v>
      </c>
      <c r="J84" s="40">
        <f ca="1">IFERROR(__xludf.DUMMYFUNCTION("IF(SUM(COUNTIF(artists!C:C, SPLIT(D84, "",""))) &gt; 0, ""RU"", 0)"),0)</f>
        <v>0</v>
      </c>
      <c r="K84" s="39">
        <f ca="1">IFERROR(__xludf.DUMMYFUNCTION("IF(SUM(COUNTIF(artists!E:E, SPLIT(D84, "",""))) &gt; 0, ""OTHER"", 0)"),0)</f>
        <v>0</v>
      </c>
    </row>
    <row r="85" spans="1:11" ht="14.25" customHeight="1">
      <c r="A85" s="21">
        <v>84</v>
      </c>
      <c r="B85" s="21">
        <v>79</v>
      </c>
      <c r="C85" s="21" t="s">
        <v>1214</v>
      </c>
      <c r="D85" s="21" t="s">
        <v>1117</v>
      </c>
      <c r="E85" s="21">
        <v>11</v>
      </c>
      <c r="F85" s="21">
        <v>167578</v>
      </c>
      <c r="G85" s="42">
        <v>3.5000000000000003E-2</v>
      </c>
      <c r="H85" s="21" t="s">
        <v>1215</v>
      </c>
      <c r="I85" s="39">
        <f ca="1">IFERROR(__xludf.DUMMYFUNCTION("IF(SUM(COUNTIF(artists!A:A, SPLIT(D85, "",""))) &gt; 0, ""UA"", 0)"),0)</f>
        <v>0</v>
      </c>
      <c r="J85" s="40" t="str">
        <f ca="1">IFERROR(__xludf.DUMMYFUNCTION("IF(SUM(COUNTIF(artists!C:C, SPLIT(D85, "",""))) &gt; 0, ""RU"", 0)"),"RU")</f>
        <v>RU</v>
      </c>
      <c r="K85" s="39">
        <f ca="1">IFERROR(__xludf.DUMMYFUNCTION("IF(SUM(COUNTIF(artists!E:E, SPLIT(D85, "",""))) &gt; 0, ""OTHER"", 0)"),0)</f>
        <v>0</v>
      </c>
    </row>
    <row r="86" spans="1:11" ht="14.25" customHeight="1">
      <c r="A86" s="21">
        <v>85</v>
      </c>
      <c r="B86" s="21">
        <v>69</v>
      </c>
      <c r="C86" s="21" t="s">
        <v>1187</v>
      </c>
      <c r="D86" s="21" t="s">
        <v>1188</v>
      </c>
      <c r="E86" s="21">
        <v>13</v>
      </c>
      <c r="F86" s="21">
        <v>162670</v>
      </c>
      <c r="G86" s="42">
        <v>-0.16400000000000001</v>
      </c>
      <c r="H86" s="21" t="s">
        <v>1189</v>
      </c>
      <c r="I86" s="39" t="str">
        <f ca="1">IFERROR(__xludf.DUMMYFUNCTION("IF(SUM(COUNTIF(artists!A:A, SPLIT(D86, "",""))) &gt; 0, ""UA"", 0)"),"UA")</f>
        <v>UA</v>
      </c>
      <c r="J86" s="40">
        <f ca="1">IFERROR(__xludf.DUMMYFUNCTION("IF(SUM(COUNTIF(artists!C:C, SPLIT(D86, "",""))) &gt; 0, ""RU"", 0)"),0)</f>
        <v>0</v>
      </c>
      <c r="K86" s="39">
        <f ca="1">IFERROR(__xludf.DUMMYFUNCTION("IF(SUM(COUNTIF(artists!E:E, SPLIT(D86, "",""))) &gt; 0, ""OTHER"", 0)"),0)</f>
        <v>0</v>
      </c>
    </row>
    <row r="87" spans="1:11" ht="14.25" customHeight="1">
      <c r="A87" s="21">
        <v>86</v>
      </c>
      <c r="C87" s="21" t="s">
        <v>1227</v>
      </c>
      <c r="D87" s="21" t="s">
        <v>916</v>
      </c>
      <c r="E87" s="21">
        <v>1</v>
      </c>
      <c r="F87" s="21">
        <v>161026</v>
      </c>
      <c r="H87" s="21" t="s">
        <v>1228</v>
      </c>
      <c r="I87" s="39">
        <f ca="1">IFERROR(__xludf.DUMMYFUNCTION("IF(SUM(COUNTIF(artists!A:A, SPLIT(D87, "",""))) &gt; 0, ""UA"", 0)"),0)</f>
        <v>0</v>
      </c>
      <c r="J87" s="40" t="str">
        <f ca="1">IFERROR(__xludf.DUMMYFUNCTION("IF(SUM(COUNTIF(artists!C:C, SPLIT(D87, "",""))) &gt; 0, ""RU"", 0)"),"RU")</f>
        <v>RU</v>
      </c>
      <c r="K87" s="39">
        <f ca="1">IFERROR(__xludf.DUMMYFUNCTION("IF(SUM(COUNTIF(artists!E:E, SPLIT(D87, "",""))) &gt; 0, ""OTHER"", 0)"),0)</f>
        <v>0</v>
      </c>
    </row>
    <row r="88" spans="1:11" ht="14.25" customHeight="1">
      <c r="A88" s="21">
        <v>87</v>
      </c>
      <c r="C88" s="21" t="s">
        <v>629</v>
      </c>
      <c r="D88" s="21" t="s">
        <v>630</v>
      </c>
      <c r="E88" s="21">
        <v>6</v>
      </c>
      <c r="F88" s="21">
        <v>159325</v>
      </c>
      <c r="H88" s="21" t="s">
        <v>631</v>
      </c>
      <c r="I88" s="39" t="str">
        <f ca="1">IFERROR(__xludf.DUMMYFUNCTION("IF(SUM(COUNTIF(artists!A:A, SPLIT(D88, "",""))) &gt; 0, ""UA"", 0)"),"UA")</f>
        <v>UA</v>
      </c>
      <c r="J88" s="40">
        <f ca="1">IFERROR(__xludf.DUMMYFUNCTION("IF(SUM(COUNTIF(artists!C:C, SPLIT(D88, "",""))) &gt; 0, ""RU"", 0)"),0)</f>
        <v>0</v>
      </c>
      <c r="K88" s="39">
        <f ca="1">IFERROR(__xludf.DUMMYFUNCTION("IF(SUM(COUNTIF(artists!E:E, SPLIT(D88, "",""))) &gt; 0, ""OTHER"", 0)"),0)</f>
        <v>0</v>
      </c>
    </row>
    <row r="89" spans="1:11" ht="14.25" customHeight="1">
      <c r="A89" s="21">
        <v>88</v>
      </c>
      <c r="B89" s="21">
        <v>78</v>
      </c>
      <c r="C89" s="21" t="s">
        <v>769</v>
      </c>
      <c r="D89" s="21" t="s">
        <v>770</v>
      </c>
      <c r="E89" s="21">
        <v>2</v>
      </c>
      <c r="F89" s="21">
        <v>159101</v>
      </c>
      <c r="G89" s="42">
        <v>-4.3999999999999997E-2</v>
      </c>
      <c r="H89" s="21" t="s">
        <v>771</v>
      </c>
      <c r="I89" s="39">
        <f ca="1">IFERROR(__xludf.DUMMYFUNCTION("IF(SUM(COUNTIF(artists!A:A, SPLIT(D89, "",""))) &gt; 0, ""UA"", 0)"),0)</f>
        <v>0</v>
      </c>
      <c r="J89" s="40">
        <f ca="1">IFERROR(__xludf.DUMMYFUNCTION("IF(SUM(COUNTIF(artists!C:C, SPLIT(D89, "",""))) &gt; 0, ""RU"", 0)"),0)</f>
        <v>0</v>
      </c>
      <c r="K89" s="39" t="str">
        <f ca="1">IFERROR(__xludf.DUMMYFUNCTION("IF(SUM(COUNTIF(artists!E:E, SPLIT(D89, "",""))) &gt; 0, ""OTHER"", 0)"),"OTHER")</f>
        <v>OTHER</v>
      </c>
    </row>
    <row r="90" spans="1:11" ht="14.25" customHeight="1">
      <c r="A90" s="21">
        <v>89</v>
      </c>
      <c r="B90" s="21">
        <v>85</v>
      </c>
      <c r="C90" s="21" t="s">
        <v>1133</v>
      </c>
      <c r="D90" s="21" t="s">
        <v>89</v>
      </c>
      <c r="E90" s="21">
        <v>9</v>
      </c>
      <c r="F90" s="21">
        <v>158964</v>
      </c>
      <c r="G90" s="42">
        <v>1.7999999999999999E-2</v>
      </c>
      <c r="H90" s="21" t="s">
        <v>1134</v>
      </c>
      <c r="I90" s="39" t="str">
        <f ca="1">IFERROR(__xludf.DUMMYFUNCTION("IF(SUM(COUNTIF(artists!A:A, SPLIT(D90, "",""))) &gt; 0, ""UA"", 0)"),"UA")</f>
        <v>UA</v>
      </c>
      <c r="J90" s="40">
        <f ca="1">IFERROR(__xludf.DUMMYFUNCTION("IF(SUM(COUNTIF(artists!C:C, SPLIT(D90, "",""))) &gt; 0, ""RU"", 0)"),0)</f>
        <v>0</v>
      </c>
      <c r="K90" s="39">
        <f ca="1">IFERROR(__xludf.DUMMYFUNCTION("IF(SUM(COUNTIF(artists!E:E, SPLIT(D90, "",""))) &gt; 0, ""OTHER"", 0)"),0)</f>
        <v>0</v>
      </c>
    </row>
    <row r="91" spans="1:11" ht="14.25" customHeight="1">
      <c r="A91" s="21">
        <v>90</v>
      </c>
      <c r="B91" s="21">
        <v>97</v>
      </c>
      <c r="C91" s="21" t="s">
        <v>379</v>
      </c>
      <c r="D91" s="21" t="s">
        <v>380</v>
      </c>
      <c r="E91" s="21">
        <v>11</v>
      </c>
      <c r="F91" s="21">
        <v>156890</v>
      </c>
      <c r="G91" s="42">
        <v>7.0999999999999994E-2</v>
      </c>
      <c r="H91" s="21" t="s">
        <v>382</v>
      </c>
      <c r="I91" s="39" t="str">
        <f ca="1">IFERROR(__xludf.DUMMYFUNCTION("IF(SUM(COUNTIF(artists!A:A, SPLIT(D91, "",""))) &gt; 0, ""UA"", 0)"),"UA")</f>
        <v>UA</v>
      </c>
      <c r="J91" s="40">
        <f ca="1">IFERROR(__xludf.DUMMYFUNCTION("IF(SUM(COUNTIF(artists!C:C, SPLIT(D91, "",""))) &gt; 0, ""RU"", 0)"),0)</f>
        <v>0</v>
      </c>
      <c r="K91" s="39">
        <f ca="1">IFERROR(__xludf.DUMMYFUNCTION("IF(SUM(COUNTIF(artists!E:E, SPLIT(D91, "",""))) &gt; 0, ""OTHER"", 0)"),0)</f>
        <v>0</v>
      </c>
    </row>
    <row r="92" spans="1:11" ht="14.25" customHeight="1">
      <c r="A92" s="21">
        <v>91</v>
      </c>
      <c r="B92" s="21">
        <v>87</v>
      </c>
      <c r="C92" s="21" t="s">
        <v>605</v>
      </c>
      <c r="D92" s="21" t="s">
        <v>299</v>
      </c>
      <c r="E92" s="21">
        <v>3</v>
      </c>
      <c r="F92" s="21">
        <v>156722</v>
      </c>
      <c r="G92" s="42">
        <v>2.3E-2</v>
      </c>
      <c r="H92" s="21" t="s">
        <v>607</v>
      </c>
      <c r="I92" s="39">
        <f ca="1">IFERROR(__xludf.DUMMYFUNCTION("IF(SUM(COUNTIF(artists!A:A, SPLIT(D92, "",""))) &gt; 0, ""UA"", 0)"),0)</f>
        <v>0</v>
      </c>
      <c r="J92" s="40">
        <f ca="1">IFERROR(__xludf.DUMMYFUNCTION("IF(SUM(COUNTIF(artists!C:C, SPLIT(D92, "",""))) &gt; 0, ""RU"", 0)"),0)</f>
        <v>0</v>
      </c>
      <c r="K92" s="39" t="str">
        <f ca="1">IFERROR(__xludf.DUMMYFUNCTION("IF(SUM(COUNTIF(artists!E:E, SPLIT(D92, "",""))) &gt; 0, ""OTHER"", 0)"),"OTHER")</f>
        <v>OTHER</v>
      </c>
    </row>
    <row r="93" spans="1:11" ht="14.25" customHeight="1">
      <c r="A93" s="21">
        <v>92</v>
      </c>
      <c r="B93" s="21">
        <v>70</v>
      </c>
      <c r="C93" s="21" t="s">
        <v>1229</v>
      </c>
      <c r="D93" s="21" t="s">
        <v>1230</v>
      </c>
      <c r="E93" s="21">
        <v>3</v>
      </c>
      <c r="F93" s="21">
        <v>153793</v>
      </c>
      <c r="G93" s="42">
        <v>-0.17899999999999999</v>
      </c>
      <c r="H93" s="21" t="s">
        <v>1231</v>
      </c>
      <c r="I93" s="39">
        <f ca="1">IFERROR(__xludf.DUMMYFUNCTION("IF(SUM(COUNTIF(artists!A:A, SPLIT(D93, "",""))) &gt; 0, ""UA"", 0)"),0)</f>
        <v>0</v>
      </c>
      <c r="J93" s="40">
        <f ca="1">IFERROR(__xludf.DUMMYFUNCTION("IF(SUM(COUNTIF(artists!C:C, SPLIT(D93, "",""))) &gt; 0, ""RU"", 0)"),0)</f>
        <v>0</v>
      </c>
      <c r="K93" s="39" t="str">
        <f ca="1">IFERROR(__xludf.DUMMYFUNCTION("IF(SUM(COUNTIF(artists!E:E, SPLIT(D93, "",""))) &gt; 0, ""OTHER"", 0)"),"OTHER")</f>
        <v>OTHER</v>
      </c>
    </row>
    <row r="94" spans="1:11" ht="14.25" customHeight="1">
      <c r="A94" s="21">
        <v>93</v>
      </c>
      <c r="C94" s="21" t="s">
        <v>1211</v>
      </c>
      <c r="D94" s="21" t="s">
        <v>1212</v>
      </c>
      <c r="E94" s="21">
        <v>8</v>
      </c>
      <c r="F94" s="21">
        <v>150604</v>
      </c>
      <c r="H94" s="21" t="s">
        <v>1213</v>
      </c>
      <c r="I94" s="39">
        <f ca="1">IFERROR(__xludf.DUMMYFUNCTION("IF(SUM(COUNTIF(artists!A:A, SPLIT(D94, "",""))) &gt; 0, ""UA"", 0)"),0)</f>
        <v>0</v>
      </c>
      <c r="J94" s="40" t="str">
        <f ca="1">IFERROR(__xludf.DUMMYFUNCTION("IF(SUM(COUNTIF(artists!C:C, SPLIT(D94, "",""))) &gt; 0, ""RU"", 0)"),"RU")</f>
        <v>RU</v>
      </c>
      <c r="K94" s="39">
        <f ca="1">IFERROR(__xludf.DUMMYFUNCTION("IF(SUM(COUNTIF(artists!E:E, SPLIT(D94, "",""))) &gt; 0, ""OTHER"", 0)"),0)</f>
        <v>0</v>
      </c>
    </row>
    <row r="95" spans="1:11" ht="14.25" customHeight="1">
      <c r="A95" s="21">
        <v>94</v>
      </c>
      <c r="B95" s="21">
        <v>75</v>
      </c>
      <c r="C95" s="21" t="s">
        <v>1232</v>
      </c>
      <c r="D95" s="21" t="s">
        <v>104</v>
      </c>
      <c r="E95" s="21">
        <v>6</v>
      </c>
      <c r="F95" s="21">
        <v>148207</v>
      </c>
      <c r="G95" s="42">
        <v>-0.13300000000000001</v>
      </c>
      <c r="H95" s="21" t="s">
        <v>1233</v>
      </c>
      <c r="I95" s="39" t="str">
        <f ca="1">IFERROR(__xludf.DUMMYFUNCTION("IF(SUM(COUNTIF(artists!A:A, SPLIT(D95, "",""))) &gt; 0, ""UA"", 0)"),"UA")</f>
        <v>UA</v>
      </c>
      <c r="J95" s="40">
        <f ca="1">IFERROR(__xludf.DUMMYFUNCTION("IF(SUM(COUNTIF(artists!C:C, SPLIT(D95, "",""))) &gt; 0, ""RU"", 0)"),0)</f>
        <v>0</v>
      </c>
      <c r="K95" s="39">
        <f ca="1">IFERROR(__xludf.DUMMYFUNCTION("IF(SUM(COUNTIF(artists!E:E, SPLIT(D95, "",""))) &gt; 0, ""OTHER"", 0)"),0)</f>
        <v>0</v>
      </c>
    </row>
    <row r="96" spans="1:11" ht="14.25" customHeight="1">
      <c r="A96" s="21">
        <v>95</v>
      </c>
      <c r="C96" s="21" t="s">
        <v>343</v>
      </c>
      <c r="D96" s="21" t="s">
        <v>344</v>
      </c>
      <c r="E96" s="21">
        <v>3</v>
      </c>
      <c r="F96" s="21">
        <v>147055</v>
      </c>
      <c r="H96" s="21" t="s">
        <v>346</v>
      </c>
      <c r="I96" s="39" t="str">
        <f ca="1">IFERROR(__xludf.DUMMYFUNCTION("IF(SUM(COUNTIF(artists!A:A, SPLIT(D96, "",""))) &gt; 0, ""UA"", 0)"),"UA")</f>
        <v>UA</v>
      </c>
      <c r="J96" s="40">
        <f ca="1">IFERROR(__xludf.DUMMYFUNCTION("IF(SUM(COUNTIF(artists!C:C, SPLIT(D96, "",""))) &gt; 0, ""RU"", 0)"),0)</f>
        <v>0</v>
      </c>
      <c r="K96" s="39">
        <f ca="1">IFERROR(__xludf.DUMMYFUNCTION("IF(SUM(COUNTIF(artists!E:E, SPLIT(D96, "",""))) &gt; 0, ""OTHER"", 0)"),0)</f>
        <v>0</v>
      </c>
    </row>
    <row r="97" spans="1:11" ht="14.25" customHeight="1">
      <c r="A97" s="21">
        <v>96</v>
      </c>
      <c r="C97" s="21" t="s">
        <v>1216</v>
      </c>
      <c r="D97" s="21" t="s">
        <v>1217</v>
      </c>
      <c r="E97" s="21">
        <v>1</v>
      </c>
      <c r="F97" s="21">
        <v>146951</v>
      </c>
      <c r="H97" s="21" t="s">
        <v>1218</v>
      </c>
      <c r="I97" s="39" t="str">
        <f ca="1">IFERROR(__xludf.DUMMYFUNCTION("IF(SUM(COUNTIF(artists!A:A, SPLIT(D97, "",""))) &gt; 0, ""UA"", 0)"),"UA")</f>
        <v>UA</v>
      </c>
      <c r="J97" s="40">
        <f ca="1">IFERROR(__xludf.DUMMYFUNCTION("IF(SUM(COUNTIF(artists!C:C, SPLIT(D97, "",""))) &gt; 0, ""RU"", 0)"),0)</f>
        <v>0</v>
      </c>
      <c r="K97" s="39">
        <f ca="1">IFERROR(__xludf.DUMMYFUNCTION("IF(SUM(COUNTIF(artists!E:E, SPLIT(D97, "",""))) &gt; 0, ""OTHER"", 0)"),0)</f>
        <v>0</v>
      </c>
    </row>
    <row r="98" spans="1:11" ht="14.25" customHeight="1">
      <c r="A98" s="21">
        <v>97</v>
      </c>
      <c r="B98" s="21">
        <v>94</v>
      </c>
      <c r="C98" s="21" t="s">
        <v>1234</v>
      </c>
      <c r="D98" s="21" t="s">
        <v>1193</v>
      </c>
      <c r="E98" s="21">
        <v>11</v>
      </c>
      <c r="F98" s="21">
        <v>146069</v>
      </c>
      <c r="G98" s="43">
        <v>-0.02</v>
      </c>
      <c r="H98" s="21" t="s">
        <v>1235</v>
      </c>
      <c r="I98" s="39" t="str">
        <f ca="1">IFERROR(__xludf.DUMMYFUNCTION("IF(SUM(COUNTIF(artists!A:A, SPLIT(D98, "",""))) &gt; 0, ""UA"", 0)"),"UA")</f>
        <v>UA</v>
      </c>
      <c r="J98" s="40">
        <f ca="1">IFERROR(__xludf.DUMMYFUNCTION("IF(SUM(COUNTIF(artists!C:C, SPLIT(D98, "",""))) &gt; 0, ""RU"", 0)"),0)</f>
        <v>0</v>
      </c>
      <c r="K98" s="39">
        <f ca="1">IFERROR(__xludf.DUMMYFUNCTION("IF(SUM(COUNTIF(artists!E:E, SPLIT(D98, "",""))) &gt; 0, ""OTHER"", 0)"),0)</f>
        <v>0</v>
      </c>
    </row>
    <row r="99" spans="1:11" ht="14.25" customHeight="1">
      <c r="A99" s="21">
        <v>98</v>
      </c>
      <c r="C99" s="21" t="s">
        <v>1236</v>
      </c>
      <c r="D99" s="21" t="s">
        <v>1237</v>
      </c>
      <c r="E99" s="21">
        <v>12</v>
      </c>
      <c r="F99" s="21">
        <v>146050</v>
      </c>
      <c r="H99" s="21" t="s">
        <v>1238</v>
      </c>
      <c r="I99" s="39">
        <f ca="1">IFERROR(__xludf.DUMMYFUNCTION("IF(SUM(COUNTIF(artists!A:A, SPLIT(D99, "",""))) &gt; 0, ""UA"", 0)"),0)</f>
        <v>0</v>
      </c>
      <c r="J99" s="40" t="str">
        <f ca="1">IFERROR(__xludf.DUMMYFUNCTION("IF(SUM(COUNTIF(artists!C:C, SPLIT(D99, "",""))) &gt; 0, ""RU"", 0)"),"RU")</f>
        <v>RU</v>
      </c>
      <c r="K99" s="39">
        <f ca="1">IFERROR(__xludf.DUMMYFUNCTION("IF(SUM(COUNTIF(artists!E:E, SPLIT(D99, "",""))) &gt; 0, ""OTHER"", 0)"),0)</f>
        <v>0</v>
      </c>
    </row>
    <row r="100" spans="1:11" ht="14.25" customHeight="1">
      <c r="A100" s="21">
        <v>99</v>
      </c>
      <c r="B100" s="21">
        <v>96</v>
      </c>
      <c r="C100" s="21" t="s">
        <v>1199</v>
      </c>
      <c r="D100" s="21" t="s">
        <v>1200</v>
      </c>
      <c r="E100" s="21">
        <v>2</v>
      </c>
      <c r="F100" s="21">
        <v>145848</v>
      </c>
      <c r="G100" s="42">
        <v>-6.0000000000000001E-3</v>
      </c>
      <c r="H100" s="21" t="s">
        <v>1201</v>
      </c>
      <c r="I100" s="39" t="str">
        <f ca="1">IFERROR(__xludf.DUMMYFUNCTION("IF(SUM(COUNTIF(artists!A:A, SPLIT(D100, "",""))) &gt; 0, ""UA"", 0)"),"UA")</f>
        <v>UA</v>
      </c>
      <c r="J100" s="40">
        <f ca="1">IFERROR(__xludf.DUMMYFUNCTION("IF(SUM(COUNTIF(artists!C:C, SPLIT(D100, "",""))) &gt; 0, ""RU"", 0)"),0)</f>
        <v>0</v>
      </c>
      <c r="K100" s="39">
        <f ca="1">IFERROR(__xludf.DUMMYFUNCTION("IF(SUM(COUNTIF(artists!E:E, SPLIT(D100, "",""))) &gt; 0, ""OTHER"", 0)"),0)</f>
        <v>0</v>
      </c>
    </row>
    <row r="101" spans="1:11" ht="14.25" customHeight="1">
      <c r="A101" s="21">
        <v>100</v>
      </c>
      <c r="B101" s="21">
        <v>84</v>
      </c>
      <c r="C101" s="21" t="s">
        <v>1175</v>
      </c>
      <c r="D101" s="21" t="s">
        <v>1176</v>
      </c>
      <c r="E101" s="21">
        <v>13</v>
      </c>
      <c r="F101" s="21">
        <v>145520</v>
      </c>
      <c r="G101" s="42">
        <v>-7.5999999999999998E-2</v>
      </c>
      <c r="H101" s="21" t="s">
        <v>1177</v>
      </c>
      <c r="I101" s="39">
        <f ca="1">IFERROR(__xludf.DUMMYFUNCTION("IF(SUM(COUNTIF(artists!A:A, SPLIT(D101, "",""))) &gt; 0, ""UA"", 0)"),0)</f>
        <v>0</v>
      </c>
      <c r="J101" s="40" t="str">
        <f ca="1">IFERROR(__xludf.DUMMYFUNCTION("IF(SUM(COUNTIF(artists!C:C, SPLIT(D101, "",""))) &gt; 0, ""RU"", 0)"),"RU")</f>
        <v>RU</v>
      </c>
      <c r="K101" s="39">
        <f ca="1">IFERROR(__xludf.DUMMYFUNCTION("IF(SUM(COUNTIF(artists!E:E, SPLIT(D101, "",""))) &gt; 0, ""OTHER"", 0)"),0)</f>
        <v>0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79" priority="1">
      <formula>AND($I2=0, $J2=0, $K2=0)</formula>
    </cfRule>
    <cfRule type="expression" dxfId="78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Аркуш24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4" width="8.6640625" customWidth="1"/>
    <col min="5" max="5" width="8.6640625" hidden="1" customWidth="1"/>
    <col min="6" max="6" width="8.6640625" customWidth="1"/>
    <col min="7" max="7" width="13.10937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B2" s="21">
        <v>1</v>
      </c>
      <c r="C2" s="21" t="s">
        <v>88</v>
      </c>
      <c r="D2" s="21" t="s">
        <v>89</v>
      </c>
      <c r="E2" s="21">
        <v>9</v>
      </c>
      <c r="F2" s="21">
        <v>1795354</v>
      </c>
      <c r="G2" s="42">
        <v>2.9000000000000001E-2</v>
      </c>
      <c r="H2" s="21" t="s">
        <v>90</v>
      </c>
      <c r="I2" s="39" t="str">
        <f ca="1">IFERROR(__xludf.DUMMYFUNCTION("IF(SUM(COUNTIF(artists!A:A, SPLIT(D2, "",""))) &gt; 0, ""UA"", 0)"),"UA")</f>
        <v>UA</v>
      </c>
      <c r="J2" s="40">
        <f ca="1">IFERROR(__xludf.DUMMYFUNCTION("IF(SUM(COUNTIF(artists!C:C, SPLIT(D2, "",""))) &gt; 0, ""RU"", 0)"),0)</f>
        <v>0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C3" s="21" t="s">
        <v>844</v>
      </c>
      <c r="D3" s="21" t="s">
        <v>457</v>
      </c>
      <c r="E3" s="21">
        <v>1</v>
      </c>
      <c r="F3" s="21">
        <v>1058760</v>
      </c>
      <c r="H3" s="21" t="s">
        <v>459</v>
      </c>
      <c r="I3" s="39">
        <f ca="1">IFERROR(__xludf.DUMMYFUNCTION("IF(SUM(COUNTIF(artists!A:A, SPLIT(D3, "",""))) &gt; 0, ""UA"", 0)"),0)</f>
        <v>0</v>
      </c>
      <c r="J3" s="40">
        <f ca="1">IFERROR(__xludf.DUMMYFUNCTION("IF(SUM(COUNTIF(artists!C:C, SPLIT(D3, "",""))) &gt; 0, ""RU"", 0)"),0)</f>
        <v>0</v>
      </c>
      <c r="K3" s="39" t="str">
        <f ca="1">IFERROR(__xludf.DUMMYFUNCTION("IF(SUM(COUNTIF(artists!E:E, SPLIT(D3, "",""))) &gt; 0, ""OTHER"", 0)"),"OTHER")</f>
        <v>OTHER</v>
      </c>
    </row>
    <row r="4" spans="1:11" ht="14.25" customHeight="1">
      <c r="A4" s="21">
        <v>3</v>
      </c>
      <c r="B4" s="21">
        <v>2</v>
      </c>
      <c r="C4" s="21" t="s">
        <v>128</v>
      </c>
      <c r="D4" s="21" t="s">
        <v>129</v>
      </c>
      <c r="E4" s="21">
        <v>17</v>
      </c>
      <c r="F4" s="21">
        <v>997824</v>
      </c>
      <c r="G4" s="42">
        <v>-7.1999999999999995E-2</v>
      </c>
      <c r="H4" s="21" t="s">
        <v>131</v>
      </c>
      <c r="I4" s="39" t="str">
        <f ca="1">IFERROR(__xludf.DUMMYFUNCTION("IF(SUM(COUNTIF(artists!A:A, SPLIT(D4, "",""))) &gt; 0, ""UA"", 0)"),"UA")</f>
        <v>UA</v>
      </c>
      <c r="J4" s="40">
        <f ca="1">IFERROR(__xludf.DUMMYFUNCTION("IF(SUM(COUNTIF(artists!C:C, SPLIT(D4, "",""))) &gt; 0, ""RU"", 0)"),0)</f>
        <v>0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B5" s="21">
        <v>3</v>
      </c>
      <c r="C5" s="21" t="s">
        <v>145</v>
      </c>
      <c r="D5" s="21" t="s">
        <v>146</v>
      </c>
      <c r="E5" s="21">
        <v>15</v>
      </c>
      <c r="F5" s="21">
        <v>975191</v>
      </c>
      <c r="G5" s="42">
        <v>-4.3999999999999997E-2</v>
      </c>
      <c r="H5" s="21" t="s">
        <v>148</v>
      </c>
      <c r="I5" s="39" t="str">
        <f ca="1">IFERROR(__xludf.DUMMYFUNCTION("IF(SUM(COUNTIF(artists!A:A, SPLIT(D5, "",""))) &gt; 0, ""UA"", 0)"),"UA")</f>
        <v>UA</v>
      </c>
      <c r="J5" s="40">
        <f ca="1">IFERROR(__xludf.DUMMYFUNCTION("IF(SUM(COUNTIF(artists!C:C, SPLIT(D5, "",""))) &gt; 0, ""RU"", 0)"),0)</f>
        <v>0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B6" s="21">
        <v>4</v>
      </c>
      <c r="C6" s="21" t="s">
        <v>115</v>
      </c>
      <c r="D6" s="21" t="s">
        <v>116</v>
      </c>
      <c r="E6" s="21">
        <v>11</v>
      </c>
      <c r="F6" s="21">
        <v>974406</v>
      </c>
      <c r="G6" s="43">
        <v>-0.03</v>
      </c>
      <c r="H6" s="21" t="s">
        <v>117</v>
      </c>
      <c r="I6" s="39" t="str">
        <f ca="1">IFERROR(__xludf.DUMMYFUNCTION("IF(SUM(COUNTIF(artists!A:A, SPLIT(D6, "",""))) &gt; 0, ""UA"", 0)"),"UA")</f>
        <v>UA</v>
      </c>
      <c r="J6" s="40">
        <f ca="1">IFERROR(__xludf.DUMMYFUNCTION("IF(SUM(COUNTIF(artists!C:C, SPLIT(D6, "",""))) &gt; 0, ""RU"", 0)"),0)</f>
        <v>0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B7" s="21">
        <v>5</v>
      </c>
      <c r="C7" s="21" t="s">
        <v>202</v>
      </c>
      <c r="D7" s="21" t="s">
        <v>835</v>
      </c>
      <c r="E7" s="21">
        <v>11</v>
      </c>
      <c r="F7" s="21">
        <v>848939</v>
      </c>
      <c r="G7" s="42">
        <v>-5.8000000000000003E-2</v>
      </c>
      <c r="H7" s="21" t="s">
        <v>204</v>
      </c>
      <c r="I7" s="39" t="str">
        <f ca="1">IFERROR(__xludf.DUMMYFUNCTION("IF(SUM(COUNTIF(artists!A:A, SPLIT(D7, "",""))) &gt; 0, ""UA"", 0)"),"UA")</f>
        <v>UA</v>
      </c>
      <c r="J7" s="40">
        <f ca="1">IFERROR(__xludf.DUMMYFUNCTION("IF(SUM(COUNTIF(artists!C:C, SPLIT(D7, "",""))) &gt; 0, ""RU"", 0)"),0)</f>
        <v>0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B8" s="21">
        <v>6</v>
      </c>
      <c r="C8" s="21" t="s">
        <v>645</v>
      </c>
      <c r="D8" s="21" t="s">
        <v>352</v>
      </c>
      <c r="E8" s="21">
        <v>34</v>
      </c>
      <c r="F8" s="21">
        <v>842302</v>
      </c>
      <c r="G8" s="42">
        <v>-1.7000000000000001E-2</v>
      </c>
      <c r="H8" s="21" t="s">
        <v>647</v>
      </c>
      <c r="I8" s="39" t="str">
        <f ca="1">IFERROR(__xludf.DUMMYFUNCTION("IF(SUM(COUNTIF(artists!A:A, SPLIT(D8, "",""))) &gt; 0, ""UA"", 0)"),"UA")</f>
        <v>UA</v>
      </c>
      <c r="J8" s="40">
        <f ca="1">IFERROR(__xludf.DUMMYFUNCTION("IF(SUM(COUNTIF(artists!C:C, SPLIT(D8, "",""))) &gt; 0, ""RU"", 0)"),0)</f>
        <v>0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B9" s="21">
        <v>7</v>
      </c>
      <c r="C9" s="21" t="s">
        <v>132</v>
      </c>
      <c r="D9" s="21" t="s">
        <v>133</v>
      </c>
      <c r="E9" s="21">
        <v>21</v>
      </c>
      <c r="F9" s="21">
        <v>804332</v>
      </c>
      <c r="G9" s="42">
        <v>2.4E-2</v>
      </c>
      <c r="H9" s="21" t="s">
        <v>135</v>
      </c>
      <c r="I9" s="39" t="str">
        <f ca="1">IFERROR(__xludf.DUMMYFUNCTION("IF(SUM(COUNTIF(artists!A:A, SPLIT(D9, "",""))) &gt; 0, ""UA"", 0)"),"UA")</f>
        <v>UA</v>
      </c>
      <c r="J9" s="40">
        <f ca="1">IFERROR(__xludf.DUMMYFUNCTION("IF(SUM(COUNTIF(artists!C:C, SPLIT(D9, "",""))) &gt; 0, ""RU"", 0)"),0)</f>
        <v>0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C10" s="21" t="s">
        <v>497</v>
      </c>
      <c r="D10" s="21" t="s">
        <v>860</v>
      </c>
      <c r="E10" s="21">
        <v>1</v>
      </c>
      <c r="F10" s="21">
        <v>772551</v>
      </c>
      <c r="H10" s="21" t="s">
        <v>499</v>
      </c>
      <c r="I10" s="39" t="str">
        <f ca="1">IFERROR(__xludf.DUMMYFUNCTION("IF(SUM(COUNTIF(artists!A:A, SPLIT(D10, "",""))) &gt; 0, ""UA"", 0)"),"UA")</f>
        <v>UA</v>
      </c>
      <c r="J10" s="40">
        <f ca="1">IFERROR(__xludf.DUMMYFUNCTION("IF(SUM(COUNTIF(artists!C:C, SPLIT(D10, "",""))) &gt; 0, ""RU"", 0)"),0)</f>
        <v>0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B11" s="21">
        <v>8</v>
      </c>
      <c r="C11" s="21" t="s">
        <v>175</v>
      </c>
      <c r="D11" s="21" t="s">
        <v>89</v>
      </c>
      <c r="E11" s="21">
        <v>21</v>
      </c>
      <c r="F11" s="21">
        <v>726199</v>
      </c>
      <c r="G11" s="42">
        <v>-5.8000000000000003E-2</v>
      </c>
      <c r="H11" s="21" t="s">
        <v>177</v>
      </c>
      <c r="I11" s="39" t="str">
        <f ca="1">IFERROR(__xludf.DUMMYFUNCTION("IF(SUM(COUNTIF(artists!A:A, SPLIT(D11, "",""))) &gt; 0, ""UA"", 0)"),"UA")</f>
        <v>UA</v>
      </c>
      <c r="J11" s="40">
        <f ca="1">IFERROR(__xludf.DUMMYFUNCTION("IF(SUM(COUNTIF(artists!C:C, SPLIT(D11, "",""))) &gt; 0, ""RU"", 0)"),0)</f>
        <v>0</v>
      </c>
      <c r="K11" s="39">
        <f ca="1">IFERROR(__xludf.DUMMYFUNCTION("IF(SUM(COUNTIF(artists!E:E, SPLIT(D11, "",""))) &gt; 0, ""OTHER"", 0)"),0)</f>
        <v>0</v>
      </c>
    </row>
    <row r="12" spans="1:11" ht="14.25" customHeight="1">
      <c r="A12" s="21">
        <v>11</v>
      </c>
      <c r="B12" s="21">
        <v>10</v>
      </c>
      <c r="C12" s="21" t="s">
        <v>171</v>
      </c>
      <c r="D12" s="21" t="s">
        <v>172</v>
      </c>
      <c r="E12" s="21">
        <v>16</v>
      </c>
      <c r="F12" s="21">
        <v>622056</v>
      </c>
      <c r="G12" s="42">
        <v>-6.9000000000000006E-2</v>
      </c>
      <c r="H12" s="21" t="s">
        <v>174</v>
      </c>
      <c r="I12" s="39">
        <f ca="1">IFERROR(__xludf.DUMMYFUNCTION("IF(SUM(COUNTIF(artists!A:A, SPLIT(D12, "",""))) &gt; 0, ""UA"", 0)"),0)</f>
        <v>0</v>
      </c>
      <c r="J12" s="40" t="str">
        <f ca="1">IFERROR(__xludf.DUMMYFUNCTION("IF(SUM(COUNTIF(artists!C:C, SPLIT(D12, "",""))) &gt; 0, ""RU"", 0)"),"RU")</f>
        <v>RU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B13" s="21">
        <v>14</v>
      </c>
      <c r="C13" s="21" t="s">
        <v>149</v>
      </c>
      <c r="D13" s="21" t="s">
        <v>150</v>
      </c>
      <c r="E13" s="21">
        <v>14</v>
      </c>
      <c r="F13" s="21">
        <v>596501</v>
      </c>
      <c r="G13" s="42">
        <v>8.2000000000000003E-2</v>
      </c>
      <c r="H13" s="21" t="s">
        <v>152</v>
      </c>
      <c r="I13" s="39" t="str">
        <f ca="1">IFERROR(__xludf.DUMMYFUNCTION("IF(SUM(COUNTIF(artists!A:A, SPLIT(D13, "",""))) &gt; 0, ""UA"", 0)"),"UA")</f>
        <v>UA</v>
      </c>
      <c r="J13" s="40">
        <f ca="1">IFERROR(__xludf.DUMMYFUNCTION("IF(SUM(COUNTIF(artists!C:C, SPLIT(D13, "",""))) &gt; 0, ""RU"", 0)"),0)</f>
        <v>0</v>
      </c>
      <c r="K13" s="39">
        <f ca="1">IFERROR(__xludf.DUMMYFUNCTION("IF(SUM(COUNTIF(artists!E:E, SPLIT(D13, "",""))) &gt; 0, ""OTHER"", 0)"),0)</f>
        <v>0</v>
      </c>
    </row>
    <row r="14" spans="1:11" ht="14.25" customHeight="1">
      <c r="A14" s="21">
        <v>13</v>
      </c>
      <c r="B14" s="21">
        <v>11</v>
      </c>
      <c r="C14" s="21" t="s">
        <v>194</v>
      </c>
      <c r="D14" s="21" t="s">
        <v>195</v>
      </c>
      <c r="E14" s="21">
        <v>24</v>
      </c>
      <c r="F14" s="21">
        <v>580791</v>
      </c>
      <c r="G14" s="42">
        <v>-3.1E-2</v>
      </c>
      <c r="H14" s="21" t="s">
        <v>197</v>
      </c>
      <c r="I14" s="39" t="str">
        <f ca="1">IFERROR(__xludf.DUMMYFUNCTION("IF(SUM(COUNTIF(artists!A:A, SPLIT(D14, "",""))) &gt; 0, ""UA"", 0)"),"UA")</f>
        <v>UA</v>
      </c>
      <c r="J14" s="40">
        <f ca="1">IFERROR(__xludf.DUMMYFUNCTION("IF(SUM(COUNTIF(artists!C:C, SPLIT(D14, "",""))) &gt; 0, ""RU"", 0)"),0)</f>
        <v>0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B15" s="21">
        <v>15</v>
      </c>
      <c r="C15" s="21" t="s">
        <v>209</v>
      </c>
      <c r="D15" s="21" t="s">
        <v>210</v>
      </c>
      <c r="E15" s="21">
        <v>14</v>
      </c>
      <c r="F15" s="21">
        <v>561170</v>
      </c>
      <c r="G15" s="43">
        <v>0.06</v>
      </c>
      <c r="H15" s="21" t="s">
        <v>212</v>
      </c>
      <c r="I15" s="39" t="str">
        <f ca="1">IFERROR(__xludf.DUMMYFUNCTION("IF(SUM(COUNTIF(artists!A:A, SPLIT(D15, "",""))) &gt; 0, ""UA"", 0)"),"UA")</f>
        <v>UA</v>
      </c>
      <c r="J15" s="40">
        <f ca="1">IFERROR(__xludf.DUMMYFUNCTION("IF(SUM(COUNTIF(artists!C:C, SPLIT(D15, "",""))) &gt; 0, ""RU"", 0)"),0)</f>
        <v>0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B16" s="21">
        <v>13</v>
      </c>
      <c r="C16" s="21" t="s">
        <v>186</v>
      </c>
      <c r="D16" s="21" t="s">
        <v>187</v>
      </c>
      <c r="E16" s="21">
        <v>25</v>
      </c>
      <c r="F16" s="21">
        <v>554632</v>
      </c>
      <c r="G16" s="42">
        <v>-4.0000000000000001E-3</v>
      </c>
      <c r="H16" s="21" t="s">
        <v>189</v>
      </c>
      <c r="I16" s="39" t="str">
        <f ca="1">IFERROR(__xludf.DUMMYFUNCTION("IF(SUM(COUNTIF(artists!A:A, SPLIT(D16, "",""))) &gt; 0, ""UA"", 0)"),"UA")</f>
        <v>UA</v>
      </c>
      <c r="J16" s="40">
        <f ca="1">IFERROR(__xludf.DUMMYFUNCTION("IF(SUM(COUNTIF(artists!C:C, SPLIT(D16, "",""))) &gt; 0, ""RU"", 0)"),0)</f>
        <v>0</v>
      </c>
      <c r="K16" s="39">
        <f ca="1">IFERROR(__xludf.DUMMYFUNCTION("IF(SUM(COUNTIF(artists!E:E, SPLIT(D16, "",""))) &gt; 0, ""OTHER"", 0)"),0)</f>
        <v>0</v>
      </c>
    </row>
    <row r="17" spans="1:11" ht="14.25" customHeight="1">
      <c r="A17" s="21">
        <v>16</v>
      </c>
      <c r="B17" s="21">
        <v>39</v>
      </c>
      <c r="C17" s="21" t="s">
        <v>198</v>
      </c>
      <c r="D17" s="21" t="s">
        <v>199</v>
      </c>
      <c r="E17" s="21">
        <v>2</v>
      </c>
      <c r="F17" s="21">
        <v>519711</v>
      </c>
      <c r="G17" s="42">
        <v>0.74399999999999999</v>
      </c>
      <c r="H17" s="21" t="s">
        <v>201</v>
      </c>
      <c r="I17" s="39" t="str">
        <f ca="1">IFERROR(__xludf.DUMMYFUNCTION("IF(SUM(COUNTIF(artists!A:A, SPLIT(D17, "",""))) &gt; 0, ""UA"", 0)"),"UA")</f>
        <v>UA</v>
      </c>
      <c r="J17" s="40">
        <f ca="1">IFERROR(__xludf.DUMMYFUNCTION("IF(SUM(COUNTIF(artists!C:C, SPLIT(D17, "",""))) &gt; 0, ""RU"", 0)"),0)</f>
        <v>0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B18" s="21">
        <v>72</v>
      </c>
      <c r="C18" s="21" t="s">
        <v>700</v>
      </c>
      <c r="D18" s="21" t="s">
        <v>701</v>
      </c>
      <c r="E18" s="21">
        <v>2</v>
      </c>
      <c r="F18" s="21">
        <v>498607</v>
      </c>
      <c r="G18" s="42">
        <v>1.6859999999999999</v>
      </c>
      <c r="H18" s="21" t="s">
        <v>702</v>
      </c>
      <c r="I18" s="39">
        <f ca="1">IFERROR(__xludf.DUMMYFUNCTION("IF(SUM(COUNTIF(artists!A:A, SPLIT(D18, "",""))) &gt; 0, ""UA"", 0)"),0)</f>
        <v>0</v>
      </c>
      <c r="J18" s="40" t="str">
        <f ca="1">IFERROR(__xludf.DUMMYFUNCTION("IF(SUM(COUNTIF(artists!C:C, SPLIT(D18, "",""))) &gt; 0, ""RU"", 0)"),"RU")</f>
        <v>RU</v>
      </c>
      <c r="K18" s="39">
        <f ca="1">IFERROR(__xludf.DUMMYFUNCTION("IF(SUM(COUNTIF(artists!E:E, SPLIT(D18, "",""))) &gt; 0, ""OTHER"", 0)"),0)</f>
        <v>0</v>
      </c>
    </row>
    <row r="19" spans="1:11" ht="14.25" customHeight="1">
      <c r="A19" s="21">
        <v>18</v>
      </c>
      <c r="B19" s="21">
        <v>9</v>
      </c>
      <c r="C19" s="21" t="s">
        <v>1190</v>
      </c>
      <c r="D19" s="21" t="s">
        <v>916</v>
      </c>
      <c r="E19" s="21">
        <v>2</v>
      </c>
      <c r="F19" s="21">
        <v>483650</v>
      </c>
      <c r="G19" s="42">
        <v>-0.27700000000000002</v>
      </c>
      <c r="H19" s="21" t="s">
        <v>1191</v>
      </c>
      <c r="I19" s="39">
        <f ca="1">IFERROR(__xludf.DUMMYFUNCTION("IF(SUM(COUNTIF(artists!A:A, SPLIT(D19, "",""))) &gt; 0, ""UA"", 0)"),0)</f>
        <v>0</v>
      </c>
      <c r="J19" s="40" t="str">
        <f ca="1">IFERROR(__xludf.DUMMYFUNCTION("IF(SUM(COUNTIF(artists!C:C, SPLIT(D19, "",""))) &gt; 0, ""RU"", 0)"),"RU")</f>
        <v>RU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B20" s="21">
        <v>12</v>
      </c>
      <c r="C20" s="21" t="s">
        <v>742</v>
      </c>
      <c r="D20" s="21" t="s">
        <v>743</v>
      </c>
      <c r="E20" s="21">
        <v>3</v>
      </c>
      <c r="F20" s="21">
        <v>472588</v>
      </c>
      <c r="G20" s="42">
        <v>-0.17599999999999999</v>
      </c>
      <c r="H20" s="21" t="s">
        <v>744</v>
      </c>
      <c r="I20" s="39">
        <f ca="1">IFERROR(__xludf.DUMMYFUNCTION("IF(SUM(COUNTIF(artists!A:A, SPLIT(D20, "",""))) &gt; 0, ""UA"", 0)"),0)</f>
        <v>0</v>
      </c>
      <c r="J20" s="40" t="str">
        <f ca="1">IFERROR(__xludf.DUMMYFUNCTION("IF(SUM(COUNTIF(artists!C:C, SPLIT(D20, "",""))) &gt; 0, ""RU"", 0)"),"RU")</f>
        <v>RU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B21" s="21">
        <v>20</v>
      </c>
      <c r="C21" s="21" t="s">
        <v>682</v>
      </c>
      <c r="D21" s="21" t="s">
        <v>125</v>
      </c>
      <c r="E21" s="21">
        <v>2</v>
      </c>
      <c r="F21" s="21">
        <v>468649</v>
      </c>
      <c r="G21" s="42">
        <v>8.4000000000000005E-2</v>
      </c>
      <c r="H21" s="21" t="s">
        <v>684</v>
      </c>
      <c r="I21" s="39">
        <f ca="1">IFERROR(__xludf.DUMMYFUNCTION("IF(SUM(COUNTIF(artists!A:A, SPLIT(D21, "",""))) &gt; 0, ""UA"", 0)"),0)</f>
        <v>0</v>
      </c>
      <c r="J21" s="40" t="str">
        <f ca="1">IFERROR(__xludf.DUMMYFUNCTION("IF(SUM(COUNTIF(artists!C:C, SPLIT(D21, "",""))) &gt; 0, ""RU"", 0)"),"RU")</f>
        <v>RU</v>
      </c>
      <c r="K21" s="39">
        <f ca="1">IFERROR(__xludf.DUMMYFUNCTION("IF(SUM(COUNTIF(artists!E:E, SPLIT(D21, "",""))) &gt; 0, ""OTHER"", 0)"),0)</f>
        <v>0</v>
      </c>
    </row>
    <row r="22" spans="1:11" ht="14.25" customHeight="1">
      <c r="A22" s="21">
        <v>21</v>
      </c>
      <c r="B22" s="21">
        <v>16</v>
      </c>
      <c r="C22" s="21" t="s">
        <v>251</v>
      </c>
      <c r="D22" s="21" t="s">
        <v>133</v>
      </c>
      <c r="E22" s="21">
        <v>6</v>
      </c>
      <c r="F22" s="21">
        <v>458720</v>
      </c>
      <c r="G22" s="42">
        <v>-7.8E-2</v>
      </c>
      <c r="H22" s="21" t="s">
        <v>252</v>
      </c>
      <c r="I22" s="39" t="str">
        <f ca="1">IFERROR(__xludf.DUMMYFUNCTION("IF(SUM(COUNTIF(artists!A:A, SPLIT(D22, "",""))) &gt; 0, ""UA"", 0)"),"UA")</f>
        <v>UA</v>
      </c>
      <c r="J22" s="40">
        <f ca="1">IFERROR(__xludf.DUMMYFUNCTION("IF(SUM(COUNTIF(artists!C:C, SPLIT(D22, "",""))) &gt; 0, ""RU"", 0)"),0)</f>
        <v>0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B23" s="21">
        <v>21</v>
      </c>
      <c r="C23" s="21" t="s">
        <v>178</v>
      </c>
      <c r="D23" s="21" t="s">
        <v>179</v>
      </c>
      <c r="E23" s="21">
        <v>25</v>
      </c>
      <c r="F23" s="21">
        <v>453853</v>
      </c>
      <c r="G23" s="42">
        <v>5.0999999999999997E-2</v>
      </c>
      <c r="H23" s="21" t="s">
        <v>181</v>
      </c>
      <c r="I23" s="39" t="str">
        <f ca="1">IFERROR(__xludf.DUMMYFUNCTION("IF(SUM(COUNTIF(artists!A:A, SPLIT(D23, "",""))) &gt; 0, ""UA"", 0)"),"UA")</f>
        <v>UA</v>
      </c>
      <c r="J23" s="40">
        <f ca="1">IFERROR(__xludf.DUMMYFUNCTION("IF(SUM(COUNTIF(artists!C:C, SPLIT(D23, "",""))) &gt; 0, ""RU"", 0)"),0)</f>
        <v>0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B24" s="21">
        <v>18</v>
      </c>
      <c r="C24" s="21" t="s">
        <v>160</v>
      </c>
      <c r="D24" s="21" t="s">
        <v>161</v>
      </c>
      <c r="E24" s="21">
        <v>15</v>
      </c>
      <c r="F24" s="21">
        <v>447154</v>
      </c>
      <c r="G24" s="42">
        <v>-1.2999999999999999E-2</v>
      </c>
      <c r="H24" s="21" t="s">
        <v>163</v>
      </c>
      <c r="I24" s="39" t="str">
        <f ca="1">IFERROR(__xludf.DUMMYFUNCTION("IF(SUM(COUNTIF(artists!A:A, SPLIT(D24, "",""))) &gt; 0, ""UA"", 0)"),"UA")</f>
        <v>UA</v>
      </c>
      <c r="J24" s="40">
        <f ca="1">IFERROR(__xludf.DUMMYFUNCTION("IF(SUM(COUNTIF(artists!C:C, SPLIT(D24, "",""))) &gt; 0, ""RU"", 0)"),0)</f>
        <v>0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B25" s="21">
        <v>19</v>
      </c>
      <c r="C25" s="21" t="s">
        <v>968</v>
      </c>
      <c r="D25" s="21" t="s">
        <v>969</v>
      </c>
      <c r="E25" s="21">
        <v>41</v>
      </c>
      <c r="F25" s="21">
        <v>433917</v>
      </c>
      <c r="G25" s="42">
        <v>-3.1E-2</v>
      </c>
      <c r="H25" s="21" t="s">
        <v>970</v>
      </c>
      <c r="I25" s="39" t="str">
        <f ca="1">IFERROR(__xludf.DUMMYFUNCTION("IF(SUM(COUNTIF(artists!A:A, SPLIT(D25, "",""))) &gt; 0, ""UA"", 0)"),"UA")</f>
        <v>UA</v>
      </c>
      <c r="J25" s="40">
        <f ca="1">IFERROR(__xludf.DUMMYFUNCTION("IF(SUM(COUNTIF(artists!C:C, SPLIT(D25, "",""))) &gt; 0, ""RU"", 0)"),0)</f>
        <v>0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B26" s="21">
        <v>23</v>
      </c>
      <c r="C26" s="21" t="s">
        <v>255</v>
      </c>
      <c r="D26" s="21" t="s">
        <v>256</v>
      </c>
      <c r="E26" s="21">
        <v>11</v>
      </c>
      <c r="F26" s="21">
        <v>429489</v>
      </c>
      <c r="G26" s="42">
        <v>5.6000000000000001E-2</v>
      </c>
      <c r="H26" s="21" t="s">
        <v>257</v>
      </c>
      <c r="I26" s="39" t="str">
        <f ca="1">IFERROR(__xludf.DUMMYFUNCTION("IF(SUM(COUNTIF(artists!A:A, SPLIT(D26, "",""))) &gt; 0, ""UA"", 0)"),"UA")</f>
        <v>UA</v>
      </c>
      <c r="J26" s="40">
        <f ca="1">IFERROR(__xludf.DUMMYFUNCTION("IF(SUM(COUNTIF(artists!C:C, SPLIT(D26, "",""))) &gt; 0, ""RU"", 0)"),0)</f>
        <v>0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B27" s="21">
        <v>24</v>
      </c>
      <c r="C27" s="21" t="s">
        <v>253</v>
      </c>
      <c r="D27" s="21" t="s">
        <v>89</v>
      </c>
      <c r="E27" s="21">
        <v>30</v>
      </c>
      <c r="F27" s="21">
        <v>409286</v>
      </c>
      <c r="G27" s="42">
        <v>3.9E-2</v>
      </c>
      <c r="H27" s="21" t="s">
        <v>254</v>
      </c>
      <c r="I27" s="39" t="str">
        <f ca="1">IFERROR(__xludf.DUMMYFUNCTION("IF(SUM(COUNTIF(artists!A:A, SPLIT(D27, "",""))) &gt; 0, ""UA"", 0)"),"UA")</f>
        <v>UA</v>
      </c>
      <c r="J27" s="40">
        <f ca="1">IFERROR(__xludf.DUMMYFUNCTION("IF(SUM(COUNTIF(artists!C:C, SPLIT(D27, "",""))) &gt; 0, ""RU"", 0)"),0)</f>
        <v>0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B28" s="21">
        <v>26</v>
      </c>
      <c r="C28" s="21" t="s">
        <v>229</v>
      </c>
      <c r="D28" s="21" t="s">
        <v>230</v>
      </c>
      <c r="E28" s="21">
        <v>28</v>
      </c>
      <c r="F28" s="21">
        <v>374451</v>
      </c>
      <c r="G28" s="42">
        <v>-2E-3</v>
      </c>
      <c r="H28" s="21" t="s">
        <v>232</v>
      </c>
      <c r="I28" s="39" t="str">
        <f ca="1">IFERROR(__xludf.DUMMYFUNCTION("IF(SUM(COUNTIF(artists!A:A, SPLIT(D28, "",""))) &gt; 0, ""UA"", 0)"),"UA")</f>
        <v>UA</v>
      </c>
      <c r="J28" s="40">
        <f ca="1">IFERROR(__xludf.DUMMYFUNCTION("IF(SUM(COUNTIF(artists!C:C, SPLIT(D28, "",""))) &gt; 0, ""RU"", 0)"),0)</f>
        <v>0</v>
      </c>
      <c r="K28" s="39">
        <f ca="1">IFERROR(__xludf.DUMMYFUNCTION("IF(SUM(COUNTIF(artists!E:E, SPLIT(D28, "",""))) &gt; 0, ""OTHER"", 0)"),0)</f>
        <v>0</v>
      </c>
    </row>
    <row r="29" spans="1:11" ht="14.25" customHeight="1">
      <c r="A29" s="21">
        <v>28</v>
      </c>
      <c r="B29" s="21">
        <v>27</v>
      </c>
      <c r="C29" s="21" t="s">
        <v>929</v>
      </c>
      <c r="D29" s="21" t="s">
        <v>930</v>
      </c>
      <c r="E29" s="21">
        <v>14</v>
      </c>
      <c r="F29" s="21">
        <v>362013</v>
      </c>
      <c r="G29" s="42">
        <v>-2.8000000000000001E-2</v>
      </c>
      <c r="H29" s="21" t="s">
        <v>931</v>
      </c>
      <c r="I29" s="39" t="str">
        <f ca="1">IFERROR(__xludf.DUMMYFUNCTION("IF(SUM(COUNTIF(artists!A:A, SPLIT(D29, "",""))) &gt; 0, ""UA"", 0)"),"UA")</f>
        <v>UA</v>
      </c>
      <c r="J29" s="40">
        <f ca="1">IFERROR(__xludf.DUMMYFUNCTION("IF(SUM(COUNTIF(artists!C:C, SPLIT(D29, "",""))) &gt; 0, ""RU"", 0)"),0)</f>
        <v>0</v>
      </c>
      <c r="K29" s="39">
        <f ca="1">IFERROR(__xludf.DUMMYFUNCTION("IF(SUM(COUNTIF(artists!E:E, SPLIT(D29, "",""))) &gt; 0, ""OTHER"", 0)"),0)</f>
        <v>0</v>
      </c>
    </row>
    <row r="30" spans="1:11" ht="14.25" customHeight="1">
      <c r="A30" s="21">
        <v>29</v>
      </c>
      <c r="B30" s="21">
        <v>35</v>
      </c>
      <c r="C30" s="21" t="s">
        <v>841</v>
      </c>
      <c r="D30" s="21" t="s">
        <v>842</v>
      </c>
      <c r="E30" s="21">
        <v>26</v>
      </c>
      <c r="F30" s="21">
        <v>358210</v>
      </c>
      <c r="G30" s="42">
        <v>8.5000000000000006E-2</v>
      </c>
      <c r="H30" s="21" t="s">
        <v>843</v>
      </c>
      <c r="I30" s="39">
        <f ca="1">IFERROR(__xludf.DUMMYFUNCTION("IF(SUM(COUNTIF(artists!A:A, SPLIT(D30, "",""))) &gt; 0, ""UA"", 0)"),0)</f>
        <v>0</v>
      </c>
      <c r="J30" s="40">
        <f ca="1">IFERROR(__xludf.DUMMYFUNCTION("IF(SUM(COUNTIF(artists!C:C, SPLIT(D30, "",""))) &gt; 0, ""RU"", 0)"),0)</f>
        <v>0</v>
      </c>
      <c r="K30" s="39" t="str">
        <f ca="1">IFERROR(__xludf.DUMMYFUNCTION("IF(SUM(COUNTIF(artists!E:E, SPLIT(D30, "",""))) &gt; 0, ""OTHER"", 0)"),"OTHER")</f>
        <v>OTHER</v>
      </c>
    </row>
    <row r="31" spans="1:11" ht="14.25" customHeight="1">
      <c r="A31" s="21">
        <v>30</v>
      </c>
      <c r="B31" s="21">
        <v>28</v>
      </c>
      <c r="C31" s="21" t="s">
        <v>799</v>
      </c>
      <c r="D31" s="21" t="s">
        <v>494</v>
      </c>
      <c r="E31" s="21">
        <v>30</v>
      </c>
      <c r="F31" s="21">
        <v>358045</v>
      </c>
      <c r="G31" s="42">
        <v>-1.6E-2</v>
      </c>
      <c r="H31" s="21" t="s">
        <v>800</v>
      </c>
      <c r="I31" s="39" t="str">
        <f ca="1">IFERROR(__xludf.DUMMYFUNCTION("IF(SUM(COUNTIF(artists!A:A, SPLIT(D31, "",""))) &gt; 0, ""UA"", 0)"),"UA")</f>
        <v>UA</v>
      </c>
      <c r="J31" s="40">
        <f ca="1">IFERROR(__xludf.DUMMYFUNCTION("IF(SUM(COUNTIF(artists!C:C, SPLIT(D31, "",""))) &gt; 0, ""RU"", 0)"),0)</f>
        <v>0</v>
      </c>
      <c r="K31" s="39">
        <f ca="1">IFERROR(__xludf.DUMMYFUNCTION("IF(SUM(COUNTIF(artists!E:E, SPLIT(D31, "",""))) &gt; 0, ""OTHER"", 0)"),0)</f>
        <v>0</v>
      </c>
    </row>
    <row r="32" spans="1:11" ht="14.25" customHeight="1">
      <c r="A32" s="21">
        <v>31</v>
      </c>
      <c r="C32" s="21" t="s">
        <v>1172</v>
      </c>
      <c r="D32" s="21" t="s">
        <v>1173</v>
      </c>
      <c r="E32" s="21">
        <v>2</v>
      </c>
      <c r="F32" s="21">
        <v>352871</v>
      </c>
      <c r="H32" s="21" t="s">
        <v>1174</v>
      </c>
      <c r="I32" s="39">
        <f ca="1">IFERROR(__xludf.DUMMYFUNCTION("IF(SUM(COUNTIF(artists!A:A, SPLIT(D32, "",""))) &gt; 0, ""UA"", 0)"),0)</f>
        <v>0</v>
      </c>
      <c r="J32" s="40" t="str">
        <f ca="1">IFERROR(__xludf.DUMMYFUNCTION("IF(SUM(COUNTIF(artists!C:C, SPLIT(D32, "",""))) &gt; 0, ""RU"", 0)"),"RU")</f>
        <v>RU</v>
      </c>
      <c r="K32" s="39">
        <f ca="1">IFERROR(__xludf.DUMMYFUNCTION("IF(SUM(COUNTIF(artists!E:E, SPLIT(D32, "",""))) &gt; 0, ""OTHER"", 0)"),0)</f>
        <v>0</v>
      </c>
    </row>
    <row r="33" spans="1:11" ht="14.25" customHeight="1">
      <c r="A33" s="21">
        <v>32</v>
      </c>
      <c r="B33" s="21">
        <v>17</v>
      </c>
      <c r="C33" s="21" t="s">
        <v>1029</v>
      </c>
      <c r="D33" s="21" t="s">
        <v>1030</v>
      </c>
      <c r="E33" s="21">
        <v>3</v>
      </c>
      <c r="F33" s="21">
        <v>348061</v>
      </c>
      <c r="G33" s="42">
        <v>-0.23499999999999999</v>
      </c>
      <c r="H33" s="21" t="s">
        <v>1031</v>
      </c>
      <c r="I33" s="39" t="str">
        <f ca="1">IFERROR(__xludf.DUMMYFUNCTION("IF(SUM(COUNTIF(artists!A:A, SPLIT(D33, "",""))) &gt; 0, ""UA"", 0)"),"UA")</f>
        <v>UA</v>
      </c>
      <c r="J33" s="40">
        <f ca="1">IFERROR(__xludf.DUMMYFUNCTION("IF(SUM(COUNTIF(artists!C:C, SPLIT(D33, "",""))) &gt; 0, ""RU"", 0)"),0)</f>
        <v>0</v>
      </c>
      <c r="K33" s="39">
        <f ca="1">IFERROR(__xludf.DUMMYFUNCTION("IF(SUM(COUNTIF(artists!E:E, SPLIT(D33, "",""))) &gt; 0, ""OTHER"", 0)"),0)</f>
        <v>0</v>
      </c>
    </row>
    <row r="34" spans="1:11" ht="14.25" customHeight="1">
      <c r="A34" s="21">
        <v>33</v>
      </c>
      <c r="B34" s="21">
        <v>25</v>
      </c>
      <c r="C34" s="21" t="s">
        <v>462</v>
      </c>
      <c r="D34" s="21" t="s">
        <v>463</v>
      </c>
      <c r="E34" s="21">
        <v>12</v>
      </c>
      <c r="F34" s="21">
        <v>340818</v>
      </c>
      <c r="G34" s="42">
        <v>-9.5000000000000001E-2</v>
      </c>
      <c r="H34" s="21" t="s">
        <v>465</v>
      </c>
      <c r="I34" s="39" t="str">
        <f ca="1">IFERROR(__xludf.DUMMYFUNCTION("IF(SUM(COUNTIF(artists!A:A, SPLIT(D34, "",""))) &gt; 0, ""UA"", 0)"),"UA")</f>
        <v>UA</v>
      </c>
      <c r="J34" s="40">
        <f ca="1">IFERROR(__xludf.DUMMYFUNCTION("IF(SUM(COUNTIF(artists!C:C, SPLIT(D34, "",""))) &gt; 0, ""RU"", 0)"),0)</f>
        <v>0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B35" s="21">
        <v>34</v>
      </c>
      <c r="C35" s="21" t="s">
        <v>706</v>
      </c>
      <c r="D35" s="21" t="s">
        <v>199</v>
      </c>
      <c r="E35" s="21">
        <v>17</v>
      </c>
      <c r="F35" s="21">
        <v>334985</v>
      </c>
      <c r="G35" s="42">
        <v>6.0000000000000001E-3</v>
      </c>
      <c r="H35" s="21" t="s">
        <v>1126</v>
      </c>
      <c r="I35" s="39" t="str">
        <f ca="1">IFERROR(__xludf.DUMMYFUNCTION("IF(SUM(COUNTIF(artists!A:A, SPLIT(D35, "",""))) &gt; 0, ""UA"", 0)"),"UA")</f>
        <v>UA</v>
      </c>
      <c r="J35" s="40">
        <f ca="1">IFERROR(__xludf.DUMMYFUNCTION("IF(SUM(COUNTIF(artists!C:C, SPLIT(D35, "",""))) &gt; 0, ""RU"", 0)"),0)</f>
        <v>0</v>
      </c>
      <c r="K35" s="39">
        <f ca="1">IFERROR(__xludf.DUMMYFUNCTION("IF(SUM(COUNTIF(artists!E:E, SPLIT(D35, "",""))) &gt; 0, ""OTHER"", 0)"),0)</f>
        <v>0</v>
      </c>
    </row>
    <row r="36" spans="1:11" ht="14.25" customHeight="1">
      <c r="A36" s="21">
        <v>35</v>
      </c>
      <c r="B36" s="21">
        <v>33</v>
      </c>
      <c r="C36" s="21" t="s">
        <v>895</v>
      </c>
      <c r="D36" s="21" t="s">
        <v>896</v>
      </c>
      <c r="E36" s="21">
        <v>33</v>
      </c>
      <c r="F36" s="21">
        <v>329115</v>
      </c>
      <c r="G36" s="42">
        <v>-1.2999999999999999E-2</v>
      </c>
      <c r="H36" s="21" t="s">
        <v>897</v>
      </c>
      <c r="I36" s="39" t="str">
        <f ca="1">IFERROR(__xludf.DUMMYFUNCTION("IF(SUM(COUNTIF(artists!A:A, SPLIT(D36, "",""))) &gt; 0, ""UA"", 0)"),"UA")</f>
        <v>UA</v>
      </c>
      <c r="J36" s="40">
        <f ca="1">IFERROR(__xludf.DUMMYFUNCTION("IF(SUM(COUNTIF(artists!C:C, SPLIT(D36, "",""))) &gt; 0, ""RU"", 0)"),0)</f>
        <v>0</v>
      </c>
      <c r="K36" s="39">
        <f ca="1">IFERROR(__xludf.DUMMYFUNCTION("IF(SUM(COUNTIF(artists!E:E, SPLIT(D36, "",""))) &gt; 0, ""OTHER"", 0)"),0)</f>
        <v>0</v>
      </c>
    </row>
    <row r="37" spans="1:11" ht="14.25" customHeight="1">
      <c r="A37" s="21">
        <v>36</v>
      </c>
      <c r="B37" s="21">
        <v>31</v>
      </c>
      <c r="C37" s="21" t="s">
        <v>921</v>
      </c>
      <c r="D37" s="21" t="s">
        <v>922</v>
      </c>
      <c r="E37" s="21">
        <v>13</v>
      </c>
      <c r="F37" s="21">
        <v>327894</v>
      </c>
      <c r="G37" s="42">
        <v>-6.5000000000000002E-2</v>
      </c>
      <c r="H37" s="21" t="s">
        <v>923</v>
      </c>
      <c r="I37" s="39" t="str">
        <f ca="1">IFERROR(__xludf.DUMMYFUNCTION("IF(SUM(COUNTIF(artists!A:A, SPLIT(D37, "",""))) &gt; 0, ""UA"", 0)"),"UA")</f>
        <v>UA</v>
      </c>
      <c r="J37" s="40">
        <f ca="1">IFERROR(__xludf.DUMMYFUNCTION("IF(SUM(COUNTIF(artists!C:C, SPLIT(D37, "",""))) &gt; 0, ""RU"", 0)"),0)</f>
        <v>0</v>
      </c>
      <c r="K37" s="39">
        <f ca="1">IFERROR(__xludf.DUMMYFUNCTION("IF(SUM(COUNTIF(artists!E:E, SPLIT(D37, "",""))) &gt; 0, ""OTHER"", 0)"),0)</f>
        <v>0</v>
      </c>
    </row>
    <row r="38" spans="1:11" ht="14.25" customHeight="1">
      <c r="A38" s="21">
        <v>37</v>
      </c>
      <c r="B38" s="21">
        <v>29</v>
      </c>
      <c r="C38" s="21" t="s">
        <v>182</v>
      </c>
      <c r="D38" s="21" t="s">
        <v>183</v>
      </c>
      <c r="E38" s="21">
        <v>17</v>
      </c>
      <c r="F38" s="21">
        <v>324185</v>
      </c>
      <c r="G38" s="42">
        <v>-0.108</v>
      </c>
      <c r="H38" s="21" t="s">
        <v>185</v>
      </c>
      <c r="I38" s="39" t="str">
        <f ca="1">IFERROR(__xludf.DUMMYFUNCTION("IF(SUM(COUNTIF(artists!A:A, SPLIT(D38, "",""))) &gt; 0, ""UA"", 0)"),"UA")</f>
        <v>UA</v>
      </c>
      <c r="J38" s="40">
        <f ca="1">IFERROR(__xludf.DUMMYFUNCTION("IF(SUM(COUNTIF(artists!C:C, SPLIT(D38, "",""))) &gt; 0, ""RU"", 0)"),0)</f>
        <v>0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B39" s="21">
        <v>38</v>
      </c>
      <c r="C39" s="21" t="s">
        <v>594</v>
      </c>
      <c r="D39" s="21" t="s">
        <v>595</v>
      </c>
      <c r="E39" s="21">
        <v>9</v>
      </c>
      <c r="F39" s="21">
        <v>311032</v>
      </c>
      <c r="G39" s="42">
        <v>1.7000000000000001E-2</v>
      </c>
      <c r="H39" s="21" t="s">
        <v>596</v>
      </c>
      <c r="I39" s="39" t="str">
        <f ca="1">IFERROR(__xludf.DUMMYFUNCTION("IF(SUM(COUNTIF(artists!A:A, SPLIT(D39, "",""))) &gt; 0, ""UA"", 0)"),"UA")</f>
        <v>UA</v>
      </c>
      <c r="J39" s="40">
        <f ca="1">IFERROR(__xludf.DUMMYFUNCTION("IF(SUM(COUNTIF(artists!C:C, SPLIT(D39, "",""))) &gt; 0, ""RU"", 0)"),0)</f>
        <v>0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B40" s="21">
        <v>32</v>
      </c>
      <c r="C40" s="21" t="s">
        <v>168</v>
      </c>
      <c r="D40" s="21" t="s">
        <v>137</v>
      </c>
      <c r="E40" s="21">
        <v>12</v>
      </c>
      <c r="F40" s="21">
        <v>308403</v>
      </c>
      <c r="G40" s="42">
        <v>-7.4999999999999997E-2</v>
      </c>
      <c r="H40" s="21" t="s">
        <v>170</v>
      </c>
      <c r="I40" s="39" t="str">
        <f ca="1">IFERROR(__xludf.DUMMYFUNCTION("IF(SUM(COUNTIF(artists!A:A, SPLIT(D40, "",""))) &gt; 0, ""UA"", 0)"),"UA")</f>
        <v>UA</v>
      </c>
      <c r="J40" s="40">
        <f ca="1">IFERROR(__xludf.DUMMYFUNCTION("IF(SUM(COUNTIF(artists!C:C, SPLIT(D40, "",""))) &gt; 0, ""RU"", 0)"),0)</f>
        <v>0</v>
      </c>
      <c r="K40" s="39">
        <f ca="1">IFERROR(__xludf.DUMMYFUNCTION("IF(SUM(COUNTIF(artists!E:E, SPLIT(D40, "",""))) &gt; 0, ""OTHER"", 0)"),0)</f>
        <v>0</v>
      </c>
    </row>
    <row r="41" spans="1:11" ht="14.25" customHeight="1">
      <c r="A41" s="21">
        <v>40</v>
      </c>
      <c r="B41" s="21">
        <v>36</v>
      </c>
      <c r="C41" s="21" t="s">
        <v>524</v>
      </c>
      <c r="D41" s="21" t="s">
        <v>525</v>
      </c>
      <c r="E41" s="21">
        <v>5</v>
      </c>
      <c r="F41" s="21">
        <v>292569</v>
      </c>
      <c r="G41" s="42">
        <v>-8.6999999999999994E-2</v>
      </c>
      <c r="H41" s="21" t="s">
        <v>526</v>
      </c>
      <c r="I41" s="39" t="str">
        <f ca="1">IFERROR(__xludf.DUMMYFUNCTION("IF(SUM(COUNTIF(artists!A:A, SPLIT(D41, "",""))) &gt; 0, ""UA"", 0)"),"UA")</f>
        <v>UA</v>
      </c>
      <c r="J41" s="40">
        <f ca="1">IFERROR(__xludf.DUMMYFUNCTION("IF(SUM(COUNTIF(artists!C:C, SPLIT(D41, "",""))) &gt; 0, ""RU"", 0)"),0)</f>
        <v>0</v>
      </c>
      <c r="K41" s="39">
        <f ca="1">IFERROR(__xludf.DUMMYFUNCTION("IF(SUM(COUNTIF(artists!E:E, SPLIT(D41, "",""))) &gt; 0, ""OTHER"", 0)"),0)</f>
        <v>0</v>
      </c>
    </row>
    <row r="42" spans="1:11" ht="14.25" customHeight="1">
      <c r="A42" s="21">
        <v>41</v>
      </c>
      <c r="B42" s="21">
        <v>42</v>
      </c>
      <c r="C42" s="21" t="s">
        <v>616</v>
      </c>
      <c r="D42" s="21" t="s">
        <v>617</v>
      </c>
      <c r="E42" s="21">
        <v>11</v>
      </c>
      <c r="F42" s="21">
        <v>290971</v>
      </c>
      <c r="G42" s="42">
        <v>4.1000000000000002E-2</v>
      </c>
      <c r="H42" s="21" t="s">
        <v>618</v>
      </c>
      <c r="I42" s="39">
        <f ca="1">IFERROR(__xludf.DUMMYFUNCTION("IF(SUM(COUNTIF(artists!A:A, SPLIT(D42, "",""))) &gt; 0, ""UA"", 0)"),0)</f>
        <v>0</v>
      </c>
      <c r="J42" s="40">
        <f ca="1">IFERROR(__xludf.DUMMYFUNCTION("IF(SUM(COUNTIF(artists!C:C, SPLIT(D42, "",""))) &gt; 0, ""RU"", 0)"),0)</f>
        <v>0</v>
      </c>
      <c r="K42" s="39" t="str">
        <f ca="1">IFERROR(__xludf.DUMMYFUNCTION("IF(SUM(COUNTIF(artists!E:E, SPLIT(D42, "",""))) &gt; 0, ""OTHER"", 0)"),"OTHER")</f>
        <v>OTHER</v>
      </c>
    </row>
    <row r="43" spans="1:11" ht="14.25" customHeight="1">
      <c r="A43" s="21">
        <v>42</v>
      </c>
      <c r="B43" s="21">
        <v>37</v>
      </c>
      <c r="C43" s="21" t="s">
        <v>1192</v>
      </c>
      <c r="D43" s="21" t="s">
        <v>1193</v>
      </c>
      <c r="E43" s="21">
        <v>2</v>
      </c>
      <c r="F43" s="21">
        <v>286666</v>
      </c>
      <c r="G43" s="42">
        <v>-8.5000000000000006E-2</v>
      </c>
      <c r="H43" s="21" t="s">
        <v>1194</v>
      </c>
      <c r="I43" s="39" t="str">
        <f ca="1">IFERROR(__xludf.DUMMYFUNCTION("IF(SUM(COUNTIF(artists!A:A, SPLIT(D43, "",""))) &gt; 0, ""UA"", 0)"),"UA")</f>
        <v>UA</v>
      </c>
      <c r="J43" s="40">
        <f ca="1">IFERROR(__xludf.DUMMYFUNCTION("IF(SUM(COUNTIF(artists!C:C, SPLIT(D43, "",""))) &gt; 0, ""RU"", 0)"),0)</f>
        <v>0</v>
      </c>
      <c r="K43" s="39">
        <f ca="1">IFERROR(__xludf.DUMMYFUNCTION("IF(SUM(COUNTIF(artists!E:E, SPLIT(D43, "",""))) &gt; 0, ""OTHER"", 0)"),0)</f>
        <v>0</v>
      </c>
    </row>
    <row r="44" spans="1:11" ht="14.25" customHeight="1">
      <c r="A44" s="21">
        <v>43</v>
      </c>
      <c r="B44" s="21">
        <v>41</v>
      </c>
      <c r="C44" s="21" t="s">
        <v>887</v>
      </c>
      <c r="D44" s="21" t="s">
        <v>89</v>
      </c>
      <c r="E44" s="21">
        <v>28</v>
      </c>
      <c r="F44" s="21">
        <v>281287</v>
      </c>
      <c r="G44" s="42">
        <v>-2.1000000000000001E-2</v>
      </c>
      <c r="H44" s="21" t="s">
        <v>888</v>
      </c>
      <c r="I44" s="39" t="str">
        <f ca="1">IFERROR(__xludf.DUMMYFUNCTION("IF(SUM(COUNTIF(artists!A:A, SPLIT(D44, "",""))) &gt; 0, ""UA"", 0)"),"UA")</f>
        <v>UA</v>
      </c>
      <c r="J44" s="40">
        <f ca="1">IFERROR(__xludf.DUMMYFUNCTION("IF(SUM(COUNTIF(artists!C:C, SPLIT(D44, "",""))) &gt; 0, ""RU"", 0)"),0)</f>
        <v>0</v>
      </c>
      <c r="K44" s="39">
        <f ca="1">IFERROR(__xludf.DUMMYFUNCTION("IF(SUM(COUNTIF(artists!E:E, SPLIT(D44, "",""))) &gt; 0, ""OTHER"", 0)"),0)</f>
        <v>0</v>
      </c>
    </row>
    <row r="45" spans="1:11" ht="14.25" customHeight="1">
      <c r="A45" s="21">
        <v>44</v>
      </c>
      <c r="B45" s="21">
        <v>49</v>
      </c>
      <c r="C45" s="21" t="s">
        <v>516</v>
      </c>
      <c r="D45" s="21" t="s">
        <v>517</v>
      </c>
      <c r="E45" s="21">
        <v>19</v>
      </c>
      <c r="F45" s="21">
        <v>280985</v>
      </c>
      <c r="G45" s="42">
        <v>9.1999999999999998E-2</v>
      </c>
      <c r="H45" s="21" t="s">
        <v>518</v>
      </c>
      <c r="I45" s="39">
        <f ca="1">IFERROR(__xludf.DUMMYFUNCTION("IF(SUM(COUNTIF(artists!A:A, SPLIT(D45, "",""))) &gt; 0, ""UA"", 0)"),0)</f>
        <v>0</v>
      </c>
      <c r="J45" s="40">
        <f ca="1">IFERROR(__xludf.DUMMYFUNCTION("IF(SUM(COUNTIF(artists!C:C, SPLIT(D45, "",""))) &gt; 0, ""RU"", 0)"),0)</f>
        <v>0</v>
      </c>
      <c r="K45" s="39" t="str">
        <f ca="1">IFERROR(__xludf.DUMMYFUNCTION("IF(SUM(COUNTIF(artists!E:E, SPLIT(D45, "",""))) &gt; 0, ""OTHER"", 0)"),"OTHER")</f>
        <v>OTHER</v>
      </c>
    </row>
    <row r="46" spans="1:11" ht="14.25" customHeight="1">
      <c r="A46" s="21">
        <v>45</v>
      </c>
      <c r="B46" s="21">
        <v>40</v>
      </c>
      <c r="C46" s="21" t="s">
        <v>1089</v>
      </c>
      <c r="D46" s="21" t="s">
        <v>125</v>
      </c>
      <c r="E46" s="21">
        <v>11</v>
      </c>
      <c r="F46" s="21">
        <v>273117</v>
      </c>
      <c r="G46" s="42">
        <v>-5.3999999999999999E-2</v>
      </c>
      <c r="H46" s="21" t="s">
        <v>1090</v>
      </c>
      <c r="I46" s="39">
        <f ca="1">IFERROR(__xludf.DUMMYFUNCTION("IF(SUM(COUNTIF(artists!A:A, SPLIT(D46, "",""))) &gt; 0, ""UA"", 0)"),0)</f>
        <v>0</v>
      </c>
      <c r="J46" s="40" t="str">
        <f ca="1">IFERROR(__xludf.DUMMYFUNCTION("IF(SUM(COUNTIF(artists!C:C, SPLIT(D46, "",""))) &gt; 0, ""RU"", 0)"),"RU")</f>
        <v>RU</v>
      </c>
      <c r="K46" s="39">
        <f ca="1">IFERROR(__xludf.DUMMYFUNCTION("IF(SUM(COUNTIF(artists!E:E, SPLIT(D46, "",""))) &gt; 0, ""OTHER"", 0)"),0)</f>
        <v>0</v>
      </c>
    </row>
    <row r="47" spans="1:11" ht="14.25" customHeight="1">
      <c r="A47" s="21">
        <v>46</v>
      </c>
      <c r="B47" s="21">
        <v>43</v>
      </c>
      <c r="C47" s="21" t="s">
        <v>1178</v>
      </c>
      <c r="D47" s="21" t="s">
        <v>1117</v>
      </c>
      <c r="E47" s="21">
        <v>17</v>
      </c>
      <c r="F47" s="21">
        <v>269581</v>
      </c>
      <c r="G47" s="42">
        <v>-3.1E-2</v>
      </c>
      <c r="H47" s="21" t="s">
        <v>1179</v>
      </c>
      <c r="I47" s="39">
        <f ca="1">IFERROR(__xludf.DUMMYFUNCTION("IF(SUM(COUNTIF(artists!A:A, SPLIT(D47, "",""))) &gt; 0, ""UA"", 0)"),0)</f>
        <v>0</v>
      </c>
      <c r="J47" s="40" t="str">
        <f ca="1">IFERROR(__xludf.DUMMYFUNCTION("IF(SUM(COUNTIF(artists!C:C, SPLIT(D47, "",""))) &gt; 0, ""RU"", 0)"),"RU")</f>
        <v>RU</v>
      </c>
      <c r="K47" s="39">
        <f ca="1">IFERROR(__xludf.DUMMYFUNCTION("IF(SUM(COUNTIF(artists!E:E, SPLIT(D47, "",""))) &gt; 0, ""OTHER"", 0)"),0)</f>
        <v>0</v>
      </c>
    </row>
    <row r="48" spans="1:11" ht="14.25" customHeight="1">
      <c r="A48" s="21">
        <v>47</v>
      </c>
      <c r="B48" s="21">
        <v>45</v>
      </c>
      <c r="C48" s="21" t="s">
        <v>118</v>
      </c>
      <c r="D48" s="21" t="s">
        <v>586</v>
      </c>
      <c r="E48" s="21">
        <v>24</v>
      </c>
      <c r="F48" s="21">
        <v>265543</v>
      </c>
      <c r="G48" s="42">
        <v>-2.3E-2</v>
      </c>
      <c r="H48" s="21" t="s">
        <v>587</v>
      </c>
      <c r="I48" s="39" t="str">
        <f ca="1">IFERROR(__xludf.DUMMYFUNCTION("IF(SUM(COUNTIF(artists!A:A, SPLIT(D48, "",""))) &gt; 0, ""UA"", 0)"),"UA")</f>
        <v>UA</v>
      </c>
      <c r="J48" s="40">
        <f ca="1">IFERROR(__xludf.DUMMYFUNCTION("IF(SUM(COUNTIF(artists!C:C, SPLIT(D48, "",""))) &gt; 0, ""RU"", 0)"),0)</f>
        <v>0</v>
      </c>
      <c r="K48" s="39">
        <f ca="1">IFERROR(__xludf.DUMMYFUNCTION("IF(SUM(COUNTIF(artists!E:E, SPLIT(D48, "",""))) &gt; 0, ""OTHER"", 0)"),0)</f>
        <v>0</v>
      </c>
    </row>
    <row r="49" spans="1:11" ht="14.25" customHeight="1">
      <c r="A49" s="21">
        <v>48</v>
      </c>
      <c r="B49" s="21">
        <v>44</v>
      </c>
      <c r="C49" s="21" t="s">
        <v>903</v>
      </c>
      <c r="D49" s="21" t="s">
        <v>904</v>
      </c>
      <c r="E49" s="21">
        <v>13</v>
      </c>
      <c r="F49" s="21">
        <v>258911</v>
      </c>
      <c r="G49" s="42">
        <v>-5.5E-2</v>
      </c>
      <c r="H49" s="21" t="s">
        <v>905</v>
      </c>
      <c r="I49" s="39" t="str">
        <f ca="1">IFERROR(__xludf.DUMMYFUNCTION("IF(SUM(COUNTIF(artists!A:A, SPLIT(D49, "",""))) &gt; 0, ""UA"", 0)"),"UA")</f>
        <v>UA</v>
      </c>
      <c r="J49" s="40">
        <f ca="1">IFERROR(__xludf.DUMMYFUNCTION("IF(SUM(COUNTIF(artists!C:C, SPLIT(D49, "",""))) &gt; 0, ""RU"", 0)"),0)</f>
        <v>0</v>
      </c>
      <c r="K49" s="39">
        <f ca="1">IFERROR(__xludf.DUMMYFUNCTION("IF(SUM(COUNTIF(artists!E:E, SPLIT(D49, "",""))) &gt; 0, ""OTHER"", 0)"),0)</f>
        <v>0</v>
      </c>
    </row>
    <row r="50" spans="1:11" ht="14.25" customHeight="1">
      <c r="A50" s="21">
        <v>49</v>
      </c>
      <c r="B50" s="21">
        <v>46</v>
      </c>
      <c r="C50" s="21" t="s">
        <v>909</v>
      </c>
      <c r="D50" s="21" t="s">
        <v>910</v>
      </c>
      <c r="E50" s="21">
        <v>31</v>
      </c>
      <c r="F50" s="21">
        <v>256540</v>
      </c>
      <c r="G50" s="42">
        <v>-2.4E-2</v>
      </c>
      <c r="H50" s="21" t="s">
        <v>911</v>
      </c>
      <c r="I50" s="39" t="str">
        <f ca="1">IFERROR(__xludf.DUMMYFUNCTION("IF(SUM(COUNTIF(artists!A:A, SPLIT(D50, "",""))) &gt; 0, ""UA"", 0)"),"UA")</f>
        <v>UA</v>
      </c>
      <c r="J50" s="40">
        <f ca="1">IFERROR(__xludf.DUMMYFUNCTION("IF(SUM(COUNTIF(artists!C:C, SPLIT(D50, "",""))) &gt; 0, ""RU"", 0)"),0)</f>
        <v>0</v>
      </c>
      <c r="K50" s="39">
        <f ca="1">IFERROR(__xludf.DUMMYFUNCTION("IF(SUM(COUNTIF(artists!E:E, SPLIT(D50, "",""))) &gt; 0, ""OTHER"", 0)"),0)</f>
        <v>0</v>
      </c>
    </row>
    <row r="51" spans="1:11" ht="14.25" customHeight="1">
      <c r="A51" s="21">
        <v>50</v>
      </c>
      <c r="B51" s="21">
        <v>57</v>
      </c>
      <c r="C51" s="21" t="s">
        <v>678</v>
      </c>
      <c r="D51" s="21" t="s">
        <v>89</v>
      </c>
      <c r="E51" s="21">
        <v>19</v>
      </c>
      <c r="F51" s="21">
        <v>250660</v>
      </c>
      <c r="G51" s="42">
        <v>9.7000000000000003E-2</v>
      </c>
      <c r="H51" s="21" t="s">
        <v>679</v>
      </c>
      <c r="I51" s="39" t="str">
        <f ca="1">IFERROR(__xludf.DUMMYFUNCTION("IF(SUM(COUNTIF(artists!A:A, SPLIT(D51, "",""))) &gt; 0, ""UA"", 0)"),"UA")</f>
        <v>UA</v>
      </c>
      <c r="J51" s="40">
        <f ca="1">IFERROR(__xludf.DUMMYFUNCTION("IF(SUM(COUNTIF(artists!C:C, SPLIT(D51, "",""))) &gt; 0, ""RU"", 0)"),0)</f>
        <v>0</v>
      </c>
      <c r="K51" s="39">
        <f ca="1">IFERROR(__xludf.DUMMYFUNCTION("IF(SUM(COUNTIF(artists!E:E, SPLIT(D51, "",""))) &gt; 0, ""OTHER"", 0)"),0)</f>
        <v>0</v>
      </c>
    </row>
    <row r="52" spans="1:11" ht="14.25" customHeight="1">
      <c r="A52" s="21">
        <v>51</v>
      </c>
      <c r="B52" s="21">
        <v>52</v>
      </c>
      <c r="C52" s="21" t="s">
        <v>1073</v>
      </c>
      <c r="D52" s="21" t="s">
        <v>1074</v>
      </c>
      <c r="E52" s="21">
        <v>7</v>
      </c>
      <c r="F52" s="21">
        <v>246910</v>
      </c>
      <c r="G52" s="42">
        <v>2.1000000000000001E-2</v>
      </c>
      <c r="H52" s="21" t="s">
        <v>1075</v>
      </c>
      <c r="I52" s="39" t="str">
        <f ca="1">IFERROR(__xludf.DUMMYFUNCTION("IF(SUM(COUNTIF(artists!A:A, SPLIT(D52, "",""))) &gt; 0, ""UA"", 0)"),"UA")</f>
        <v>UA</v>
      </c>
      <c r="J52" s="40">
        <f ca="1">IFERROR(__xludf.DUMMYFUNCTION("IF(SUM(COUNTIF(artists!C:C, SPLIT(D52, "",""))) &gt; 0, ""RU"", 0)"),0)</f>
        <v>0</v>
      </c>
      <c r="K52" s="39">
        <f ca="1">IFERROR(__xludf.DUMMYFUNCTION("IF(SUM(COUNTIF(artists!E:E, SPLIT(D52, "",""))) &gt; 0, ""OTHER"", 0)"),0)</f>
        <v>0</v>
      </c>
    </row>
    <row r="53" spans="1:11" ht="14.25" customHeight="1">
      <c r="A53" s="21">
        <v>52</v>
      </c>
      <c r="B53" s="21">
        <v>56</v>
      </c>
      <c r="C53" s="21" t="s">
        <v>1166</v>
      </c>
      <c r="D53" s="21" t="s">
        <v>1167</v>
      </c>
      <c r="E53" s="21">
        <v>2</v>
      </c>
      <c r="F53" s="21">
        <v>246434</v>
      </c>
      <c r="G53" s="43">
        <v>0.05</v>
      </c>
      <c r="H53" s="21" t="s">
        <v>1168</v>
      </c>
      <c r="I53" s="39">
        <f ca="1">IFERROR(__xludf.DUMMYFUNCTION("IF(SUM(COUNTIF(artists!A:A, SPLIT(D53, "",""))) &gt; 0, ""UA"", 0)"),0)</f>
        <v>0</v>
      </c>
      <c r="J53" s="40" t="str">
        <f ca="1">IFERROR(__xludf.DUMMYFUNCTION("IF(SUM(COUNTIF(artists!C:C, SPLIT(D53, "",""))) &gt; 0, ""RU"", 0)"),"RU")</f>
        <v>RU</v>
      </c>
      <c r="K53" s="39">
        <f ca="1">IFERROR(__xludf.DUMMYFUNCTION("IF(SUM(COUNTIF(artists!E:E, SPLIT(D53, "",""))) &gt; 0, ""OTHER"", 0)"),0)</f>
        <v>0</v>
      </c>
    </row>
    <row r="54" spans="1:11" ht="14.25" customHeight="1">
      <c r="A54" s="21">
        <v>53</v>
      </c>
      <c r="B54" s="21">
        <v>84</v>
      </c>
      <c r="C54" s="21" t="s">
        <v>667</v>
      </c>
      <c r="D54" s="21" t="s">
        <v>668</v>
      </c>
      <c r="E54" s="21">
        <v>2</v>
      </c>
      <c r="F54" s="21">
        <v>242570</v>
      </c>
      <c r="G54" s="42">
        <v>0.51200000000000001</v>
      </c>
      <c r="H54" s="21" t="s">
        <v>669</v>
      </c>
      <c r="I54" s="39">
        <f ca="1">IFERROR(__xludf.DUMMYFUNCTION("IF(SUM(COUNTIF(artists!A:A, SPLIT(D54, "",""))) &gt; 0, ""UA"", 0)"),0)</f>
        <v>0</v>
      </c>
      <c r="J54" s="40" t="str">
        <f ca="1">IFERROR(__xludf.DUMMYFUNCTION("IF(SUM(COUNTIF(artists!C:C, SPLIT(D54, "",""))) &gt; 0, ""RU"", 0)"),"RU")</f>
        <v>RU</v>
      </c>
      <c r="K54" s="39">
        <f ca="1">IFERROR(__xludf.DUMMYFUNCTION("IF(SUM(COUNTIF(artists!E:E, SPLIT(D54, "",""))) &gt; 0, ""OTHER"", 0)"),0)</f>
        <v>0</v>
      </c>
    </row>
    <row r="55" spans="1:11" ht="14.25" customHeight="1">
      <c r="A55" s="21">
        <v>54</v>
      </c>
      <c r="B55" s="21">
        <v>50</v>
      </c>
      <c r="C55" s="21" t="s">
        <v>1147</v>
      </c>
      <c r="D55" s="21" t="s">
        <v>776</v>
      </c>
      <c r="E55" s="21">
        <v>7</v>
      </c>
      <c r="F55" s="21">
        <v>241329</v>
      </c>
      <c r="G55" s="42">
        <v>-4.7E-2</v>
      </c>
      <c r="H55" s="21" t="s">
        <v>1148</v>
      </c>
      <c r="I55" s="39" t="str">
        <f ca="1">IFERROR(__xludf.DUMMYFUNCTION("IF(SUM(COUNTIF(artists!A:A, SPLIT(D55, "",""))) &gt; 0, ""UA"", 0)"),"UA")</f>
        <v>UA</v>
      </c>
      <c r="J55" s="40">
        <f ca="1">IFERROR(__xludf.DUMMYFUNCTION("IF(SUM(COUNTIF(artists!C:C, SPLIT(D55, "",""))) &gt; 0, ""RU"", 0)"),0)</f>
        <v>0</v>
      </c>
      <c r="K55" s="39">
        <f ca="1">IFERROR(__xludf.DUMMYFUNCTION("IF(SUM(COUNTIF(artists!E:E, SPLIT(D55, "",""))) &gt; 0, ""OTHER"", 0)"),0)</f>
        <v>0</v>
      </c>
    </row>
    <row r="56" spans="1:11" ht="14.25" customHeight="1">
      <c r="A56" s="21">
        <v>55</v>
      </c>
      <c r="B56" s="21">
        <v>54</v>
      </c>
      <c r="C56" s="21" t="s">
        <v>1055</v>
      </c>
      <c r="D56" s="21" t="s">
        <v>776</v>
      </c>
      <c r="E56" s="21">
        <v>18</v>
      </c>
      <c r="F56" s="21">
        <v>235835</v>
      </c>
      <c r="G56" s="42">
        <v>-1.2E-2</v>
      </c>
      <c r="H56" s="21" t="s">
        <v>1056</v>
      </c>
      <c r="I56" s="39" t="str">
        <f ca="1">IFERROR(__xludf.DUMMYFUNCTION("IF(SUM(COUNTIF(artists!A:A, SPLIT(D56, "",""))) &gt; 0, ""UA"", 0)"),"UA")</f>
        <v>UA</v>
      </c>
      <c r="J56" s="40">
        <f ca="1">IFERROR(__xludf.DUMMYFUNCTION("IF(SUM(COUNTIF(artists!C:C, SPLIT(D56, "",""))) &gt; 0, ""RU"", 0)"),0)</f>
        <v>0</v>
      </c>
      <c r="K56" s="39">
        <f ca="1">IFERROR(__xludf.DUMMYFUNCTION("IF(SUM(COUNTIF(artists!E:E, SPLIT(D56, "",""))) &gt; 0, ""OTHER"", 0)"),0)</f>
        <v>0</v>
      </c>
    </row>
    <row r="57" spans="1:11" ht="14.25" customHeight="1">
      <c r="A57" s="21">
        <v>56</v>
      </c>
      <c r="B57" s="21">
        <v>90</v>
      </c>
      <c r="C57" s="21" t="s">
        <v>1239</v>
      </c>
      <c r="D57" s="21" t="s">
        <v>1240</v>
      </c>
      <c r="E57" s="21">
        <v>23</v>
      </c>
      <c r="F57" s="21">
        <v>225696</v>
      </c>
      <c r="G57" s="42">
        <v>0.46899999999999997</v>
      </c>
      <c r="H57" s="21" t="s">
        <v>1241</v>
      </c>
      <c r="I57" s="39">
        <f ca="1">IFERROR(__xludf.DUMMYFUNCTION("IF(SUM(COUNTIF(artists!A:A, SPLIT(D57, "",""))) &gt; 0, ""UA"", 0)"),0)</f>
        <v>0</v>
      </c>
      <c r="J57" s="40" t="str">
        <f ca="1">IFERROR(__xludf.DUMMYFUNCTION("IF(SUM(COUNTIF(artists!C:C, SPLIT(D57, "",""))) &gt; 0, ""RU"", 0)"),"RU")</f>
        <v>RU</v>
      </c>
      <c r="K57" s="39">
        <f ca="1">IFERROR(__xludf.DUMMYFUNCTION("IF(SUM(COUNTIF(artists!E:E, SPLIT(D57, "",""))) &gt; 0, ""OTHER"", 0)"),0)</f>
        <v>0</v>
      </c>
    </row>
    <row r="58" spans="1:11" ht="14.25" customHeight="1">
      <c r="A58" s="21">
        <v>57</v>
      </c>
      <c r="B58" s="21">
        <v>51</v>
      </c>
      <c r="C58" s="21" t="s">
        <v>1101</v>
      </c>
      <c r="D58" s="21" t="s">
        <v>498</v>
      </c>
      <c r="E58" s="21">
        <v>3</v>
      </c>
      <c r="F58" s="21">
        <v>225689</v>
      </c>
      <c r="G58" s="42">
        <v>-8.5000000000000006E-2</v>
      </c>
      <c r="H58" s="21" t="s">
        <v>1102</v>
      </c>
      <c r="I58" s="39" t="str">
        <f ca="1">IFERROR(__xludf.DUMMYFUNCTION("IF(SUM(COUNTIF(artists!A:A, SPLIT(D58, "",""))) &gt; 0, ""UA"", 0)"),"UA")</f>
        <v>UA</v>
      </c>
      <c r="J58" s="40">
        <f ca="1">IFERROR(__xludf.DUMMYFUNCTION("IF(SUM(COUNTIF(artists!C:C, SPLIT(D58, "",""))) &gt; 0, ""RU"", 0)"),0)</f>
        <v>0</v>
      </c>
      <c r="K58" s="39">
        <f ca="1">IFERROR(__xludf.DUMMYFUNCTION("IF(SUM(COUNTIF(artists!E:E, SPLIT(D58, "",""))) &gt; 0, ""OTHER"", 0)"),0)</f>
        <v>0</v>
      </c>
    </row>
    <row r="59" spans="1:11" ht="14.25" customHeight="1">
      <c r="A59" s="21">
        <v>58</v>
      </c>
      <c r="B59" s="21">
        <v>53</v>
      </c>
      <c r="C59" s="21" t="s">
        <v>284</v>
      </c>
      <c r="D59" s="21" t="s">
        <v>15</v>
      </c>
      <c r="E59" s="21">
        <v>8</v>
      </c>
      <c r="F59" s="21">
        <v>222509</v>
      </c>
      <c r="G59" s="43">
        <v>-7.0000000000000007E-2</v>
      </c>
      <c r="H59" s="21" t="s">
        <v>285</v>
      </c>
      <c r="I59" s="39">
        <f ca="1">IFERROR(__xludf.DUMMYFUNCTION("IF(SUM(COUNTIF(artists!A:A, SPLIT(D59, "",""))) &gt; 0, ""UA"", 0)"),0)</f>
        <v>0</v>
      </c>
      <c r="J59" s="40">
        <f ca="1">IFERROR(__xludf.DUMMYFUNCTION("IF(SUM(COUNTIF(artists!C:C, SPLIT(D59, "",""))) &gt; 0, ""RU"", 0)"),0)</f>
        <v>0</v>
      </c>
      <c r="K59" s="39" t="str">
        <f ca="1">IFERROR(__xludf.DUMMYFUNCTION("IF(SUM(COUNTIF(artists!E:E, SPLIT(D59, "",""))) &gt; 0, ""OTHER"", 0)"),"OTHER")</f>
        <v>OTHER</v>
      </c>
    </row>
    <row r="60" spans="1:11" ht="14.25" customHeight="1">
      <c r="A60" s="21">
        <v>59</v>
      </c>
      <c r="B60" s="21">
        <v>58</v>
      </c>
      <c r="C60" s="21" t="s">
        <v>1242</v>
      </c>
      <c r="D60" s="21" t="s">
        <v>969</v>
      </c>
      <c r="E60" s="21">
        <v>20</v>
      </c>
      <c r="F60" s="21">
        <v>220308</v>
      </c>
      <c r="G60" s="42">
        <v>-1.9E-2</v>
      </c>
      <c r="H60" s="21" t="s">
        <v>1243</v>
      </c>
      <c r="I60" s="39" t="str">
        <f ca="1">IFERROR(__xludf.DUMMYFUNCTION("IF(SUM(COUNTIF(artists!A:A, SPLIT(D60, "",""))) &gt; 0, ""UA"", 0)"),"UA")</f>
        <v>UA</v>
      </c>
      <c r="J60" s="40">
        <f ca="1">IFERROR(__xludf.DUMMYFUNCTION("IF(SUM(COUNTIF(artists!C:C, SPLIT(D60, "",""))) &gt; 0, ""RU"", 0)"),0)</f>
        <v>0</v>
      </c>
      <c r="K60" s="39">
        <f ca="1">IFERROR(__xludf.DUMMYFUNCTION("IF(SUM(COUNTIF(artists!E:E, SPLIT(D60, "",""))) &gt; 0, ""OTHER"", 0)"),0)</f>
        <v>0</v>
      </c>
    </row>
    <row r="61" spans="1:11" ht="14.25" customHeight="1">
      <c r="A61" s="21">
        <v>60</v>
      </c>
      <c r="B61" s="21">
        <v>70</v>
      </c>
      <c r="C61" s="21" t="s">
        <v>1076</v>
      </c>
      <c r="D61" s="21" t="s">
        <v>1077</v>
      </c>
      <c r="E61" s="21">
        <v>12</v>
      </c>
      <c r="F61" s="21">
        <v>215464</v>
      </c>
      <c r="G61" s="42">
        <v>0.11899999999999999</v>
      </c>
      <c r="H61" s="21" t="s">
        <v>1078</v>
      </c>
      <c r="I61" s="39" t="str">
        <f ca="1">IFERROR(__xludf.DUMMYFUNCTION("IF(SUM(COUNTIF(artists!A:A, SPLIT(D61, "",""))) &gt; 0, ""UA"", 0)"),"UA")</f>
        <v>UA</v>
      </c>
      <c r="J61" s="40">
        <f ca="1">IFERROR(__xludf.DUMMYFUNCTION("IF(SUM(COUNTIF(artists!C:C, SPLIT(D61, "",""))) &gt; 0, ""RU"", 0)"),0)</f>
        <v>0</v>
      </c>
      <c r="K61" s="39">
        <f ca="1">IFERROR(__xludf.DUMMYFUNCTION("IF(SUM(COUNTIF(artists!E:E, SPLIT(D61, "",""))) &gt; 0, ""OTHER"", 0)"),0)</f>
        <v>0</v>
      </c>
    </row>
    <row r="62" spans="1:11" ht="14.25" customHeight="1">
      <c r="A62" s="21">
        <v>61</v>
      </c>
      <c r="C62" s="21" t="s">
        <v>1182</v>
      </c>
      <c r="D62" s="21" t="s">
        <v>466</v>
      </c>
      <c r="E62" s="21">
        <v>21</v>
      </c>
      <c r="F62" s="21">
        <v>214562</v>
      </c>
      <c r="H62" s="21" t="s">
        <v>1183</v>
      </c>
      <c r="I62" s="39" t="str">
        <f ca="1">IFERROR(__xludf.DUMMYFUNCTION("IF(SUM(COUNTIF(artists!A:A, SPLIT(D62, "",""))) &gt; 0, ""UA"", 0)"),"UA")</f>
        <v>UA</v>
      </c>
      <c r="J62" s="40">
        <f ca="1">IFERROR(__xludf.DUMMYFUNCTION("IF(SUM(COUNTIF(artists!C:C, SPLIT(D62, "",""))) &gt; 0, ""RU"", 0)"),0)</f>
        <v>0</v>
      </c>
      <c r="K62" s="39">
        <f ca="1">IFERROR(__xludf.DUMMYFUNCTION("IF(SUM(COUNTIF(artists!E:E, SPLIT(D62, "",""))) &gt; 0, ""OTHER"", 0)"),0)</f>
        <v>0</v>
      </c>
    </row>
    <row r="63" spans="1:11" ht="14.25" customHeight="1">
      <c r="A63" s="21">
        <v>62</v>
      </c>
      <c r="B63" s="21">
        <v>75</v>
      </c>
      <c r="C63" s="21" t="s">
        <v>868</v>
      </c>
      <c r="D63" s="21" t="s">
        <v>869</v>
      </c>
      <c r="E63" s="21">
        <v>5</v>
      </c>
      <c r="F63" s="21">
        <v>210307</v>
      </c>
      <c r="G63" s="42">
        <v>0.158</v>
      </c>
      <c r="H63" s="21" t="s">
        <v>870</v>
      </c>
      <c r="I63" s="39">
        <f ca="1">IFERROR(__xludf.DUMMYFUNCTION("IF(SUM(COUNTIF(artists!A:A, SPLIT(D63, "",""))) &gt; 0, ""UA"", 0)"),0)</f>
        <v>0</v>
      </c>
      <c r="J63" s="40" t="str">
        <f ca="1">IFERROR(__xludf.DUMMYFUNCTION("IF(SUM(COUNTIF(artists!C:C, SPLIT(D63, "",""))) &gt; 0, ""RU"", 0)"),"RU")</f>
        <v>RU</v>
      </c>
      <c r="K63" s="39">
        <f ca="1">IFERROR(__xludf.DUMMYFUNCTION("IF(SUM(COUNTIF(artists!E:E, SPLIT(D63, "",""))) &gt; 0, ""OTHER"", 0)"),0)</f>
        <v>0</v>
      </c>
    </row>
    <row r="64" spans="1:11" ht="14.25" customHeight="1">
      <c r="A64" s="21">
        <v>63</v>
      </c>
      <c r="B64" s="21">
        <v>85</v>
      </c>
      <c r="C64" s="21" t="s">
        <v>508</v>
      </c>
      <c r="D64" s="21" t="s">
        <v>509</v>
      </c>
      <c r="E64" s="21">
        <v>2</v>
      </c>
      <c r="F64" s="21">
        <v>210037</v>
      </c>
      <c r="G64" s="43">
        <v>0.32</v>
      </c>
      <c r="H64" s="21" t="s">
        <v>510</v>
      </c>
      <c r="I64" s="39">
        <f ca="1">IFERROR(__xludf.DUMMYFUNCTION("IF(SUM(COUNTIF(artists!A:A, SPLIT(D64, "",""))) &gt; 0, ""UA"", 0)"),0)</f>
        <v>0</v>
      </c>
      <c r="J64" s="40" t="str">
        <f ca="1">IFERROR(__xludf.DUMMYFUNCTION("IF(SUM(COUNTIF(artists!C:C, SPLIT(D64, "",""))) &gt; 0, ""RU"", 0)"),"RU")</f>
        <v>RU</v>
      </c>
      <c r="K64" s="39">
        <f ca="1">IFERROR(__xludf.DUMMYFUNCTION("IF(SUM(COUNTIF(artists!E:E, SPLIT(D64, "",""))) &gt; 0, ""OTHER"", 0)"),0)</f>
        <v>0</v>
      </c>
    </row>
    <row r="65" spans="1:11" ht="14.25" customHeight="1">
      <c r="A65" s="21">
        <v>64</v>
      </c>
      <c r="B65" s="21">
        <v>67</v>
      </c>
      <c r="C65" s="21" t="s">
        <v>636</v>
      </c>
      <c r="D65" s="21" t="s">
        <v>637</v>
      </c>
      <c r="E65" s="21">
        <v>20</v>
      </c>
      <c r="F65" s="21">
        <v>204959</v>
      </c>
      <c r="G65" s="42">
        <v>5.3999999999999999E-2</v>
      </c>
      <c r="H65" s="21" t="s">
        <v>638</v>
      </c>
      <c r="I65" s="39">
        <f ca="1">IFERROR(__xludf.DUMMYFUNCTION("IF(SUM(COUNTIF(artists!A:A, SPLIT(D65, "",""))) &gt; 0, ""UA"", 0)"),0)</f>
        <v>0</v>
      </c>
      <c r="J65" s="40">
        <f ca="1">IFERROR(__xludf.DUMMYFUNCTION("IF(SUM(COUNTIF(artists!C:C, SPLIT(D65, "",""))) &gt; 0, ""RU"", 0)"),0)</f>
        <v>0</v>
      </c>
      <c r="K65" s="39" t="str">
        <f ca="1">IFERROR(__xludf.DUMMYFUNCTION("IF(SUM(COUNTIF(artists!E:E, SPLIT(D65, "",""))) &gt; 0, ""OTHER"", 0)"),"OTHER")</f>
        <v>OTHER</v>
      </c>
    </row>
    <row r="66" spans="1:11" ht="14.25" customHeight="1">
      <c r="A66" s="21">
        <v>65</v>
      </c>
      <c r="C66" s="21" t="s">
        <v>1032</v>
      </c>
      <c r="D66" s="21" t="s">
        <v>1033</v>
      </c>
      <c r="E66" s="21">
        <v>1</v>
      </c>
      <c r="F66" s="21">
        <v>204198</v>
      </c>
      <c r="H66" s="21" t="s">
        <v>1034</v>
      </c>
      <c r="I66" s="39" t="str">
        <f ca="1">IFERROR(__xludf.DUMMYFUNCTION("IF(SUM(COUNTIF(artists!A:A, SPLIT(D66, "",""))) &gt; 0, ""UA"", 0)"),"UA")</f>
        <v>UA</v>
      </c>
      <c r="J66" s="40">
        <f ca="1">IFERROR(__xludf.DUMMYFUNCTION("IF(SUM(COUNTIF(artists!C:C, SPLIT(D66, "",""))) &gt; 0, ""RU"", 0)"),0)</f>
        <v>0</v>
      </c>
      <c r="K66" s="39">
        <f ca="1">IFERROR(__xludf.DUMMYFUNCTION("IF(SUM(COUNTIF(artists!E:E, SPLIT(D66, "",""))) &gt; 0, ""OTHER"", 0)"),0)</f>
        <v>0</v>
      </c>
    </row>
    <row r="67" spans="1:11" ht="14.25" customHeight="1">
      <c r="A67" s="21">
        <v>66</v>
      </c>
      <c r="B67" s="21">
        <v>68</v>
      </c>
      <c r="C67" s="21" t="s">
        <v>971</v>
      </c>
      <c r="D67" s="21" t="s">
        <v>972</v>
      </c>
      <c r="E67" s="21">
        <v>9</v>
      </c>
      <c r="F67" s="21">
        <v>204159</v>
      </c>
      <c r="G67" s="42">
        <v>5.2999999999999999E-2</v>
      </c>
      <c r="H67" s="21" t="s">
        <v>973</v>
      </c>
      <c r="I67" s="39">
        <f ca="1">IFERROR(__xludf.DUMMYFUNCTION("IF(SUM(COUNTIF(artists!A:A, SPLIT(D67, "",""))) &gt; 0, ""UA"", 0)"),0)</f>
        <v>0</v>
      </c>
      <c r="J67" s="40">
        <f ca="1">IFERROR(__xludf.DUMMYFUNCTION("IF(SUM(COUNTIF(artists!C:C, SPLIT(D67, "",""))) &gt; 0, ""RU"", 0)"),0)</f>
        <v>0</v>
      </c>
      <c r="K67" s="39" t="str">
        <f ca="1">IFERROR(__xludf.DUMMYFUNCTION("IF(SUM(COUNTIF(artists!E:E, SPLIT(D67, "",""))) &gt; 0, ""OTHER"", 0)"),"OTHER")</f>
        <v>OTHER</v>
      </c>
    </row>
    <row r="68" spans="1:11" ht="14.25" customHeight="1">
      <c r="A68" s="21">
        <v>67</v>
      </c>
      <c r="B68" s="21">
        <v>66</v>
      </c>
      <c r="C68" s="21" t="s">
        <v>520</v>
      </c>
      <c r="D68" s="21" t="s">
        <v>521</v>
      </c>
      <c r="E68" s="21">
        <v>12</v>
      </c>
      <c r="F68" s="21">
        <v>195950</v>
      </c>
      <c r="G68" s="42">
        <v>4.0000000000000001E-3</v>
      </c>
      <c r="H68" s="21" t="s">
        <v>522</v>
      </c>
      <c r="I68" s="39" t="str">
        <f ca="1">IFERROR(__xludf.DUMMYFUNCTION("IF(SUM(COUNTIF(artists!A:A, SPLIT(D68, "",""))) &gt; 0, ""UA"", 0)"),"UA")</f>
        <v>UA</v>
      </c>
      <c r="J68" s="40">
        <f ca="1">IFERROR(__xludf.DUMMYFUNCTION("IF(SUM(COUNTIF(artists!C:C, SPLIT(D68, "",""))) &gt; 0, ""RU"", 0)"),0)</f>
        <v>0</v>
      </c>
      <c r="K68" s="39">
        <f ca="1">IFERROR(__xludf.DUMMYFUNCTION("IF(SUM(COUNTIF(artists!E:E, SPLIT(D68, "",""))) &gt; 0, ""OTHER"", 0)"),0)</f>
        <v>0</v>
      </c>
    </row>
    <row r="69" spans="1:11" ht="14.25" customHeight="1">
      <c r="A69" s="21">
        <v>68</v>
      </c>
      <c r="B69" s="21">
        <v>69</v>
      </c>
      <c r="C69" s="21" t="s">
        <v>589</v>
      </c>
      <c r="D69" s="21" t="s">
        <v>590</v>
      </c>
      <c r="E69" s="21">
        <v>9</v>
      </c>
      <c r="F69" s="21">
        <v>195044</v>
      </c>
      <c r="G69" s="42">
        <v>6.0000000000000001E-3</v>
      </c>
      <c r="H69" s="21" t="s">
        <v>591</v>
      </c>
      <c r="I69" s="39" t="str">
        <f ca="1">IFERROR(__xludf.DUMMYFUNCTION("IF(SUM(COUNTIF(artists!A:A, SPLIT(D69, "",""))) &gt; 0, ""UA"", 0)"),"UA")</f>
        <v>UA</v>
      </c>
      <c r="J69" s="40">
        <f ca="1">IFERROR(__xludf.DUMMYFUNCTION("IF(SUM(COUNTIF(artists!C:C, SPLIT(D69, "",""))) &gt; 0, ""RU"", 0)"),0)</f>
        <v>0</v>
      </c>
      <c r="K69" s="39">
        <f ca="1">IFERROR(__xludf.DUMMYFUNCTION("IF(SUM(COUNTIF(artists!E:E, SPLIT(D69, "",""))) &gt; 0, ""OTHER"", 0)"),0)</f>
        <v>0</v>
      </c>
    </row>
    <row r="70" spans="1:11" ht="14.25" customHeight="1">
      <c r="A70" s="21">
        <v>69</v>
      </c>
      <c r="B70" s="21">
        <v>64</v>
      </c>
      <c r="C70" s="21" t="s">
        <v>1187</v>
      </c>
      <c r="D70" s="21" t="s">
        <v>1188</v>
      </c>
      <c r="E70" s="21">
        <v>12</v>
      </c>
      <c r="F70" s="21">
        <v>194577</v>
      </c>
      <c r="G70" s="42">
        <v>-1.0999999999999999E-2</v>
      </c>
      <c r="H70" s="21" t="s">
        <v>1189</v>
      </c>
      <c r="I70" s="39" t="str">
        <f ca="1">IFERROR(__xludf.DUMMYFUNCTION("IF(SUM(COUNTIF(artists!A:A, SPLIT(D70, "",""))) &gt; 0, ""UA"", 0)"),"UA")</f>
        <v>UA</v>
      </c>
      <c r="J70" s="40">
        <f ca="1">IFERROR(__xludf.DUMMYFUNCTION("IF(SUM(COUNTIF(artists!C:C, SPLIT(D70, "",""))) &gt; 0, ""RU"", 0)"),0)</f>
        <v>0</v>
      </c>
      <c r="K70" s="39">
        <f ca="1">IFERROR(__xludf.DUMMYFUNCTION("IF(SUM(COUNTIF(artists!E:E, SPLIT(D70, "",""))) &gt; 0, ""OTHER"", 0)"),0)</f>
        <v>0</v>
      </c>
    </row>
    <row r="71" spans="1:11" ht="14.25" customHeight="1">
      <c r="A71" s="21">
        <v>70</v>
      </c>
      <c r="B71" s="21">
        <v>22</v>
      </c>
      <c r="C71" s="21" t="s">
        <v>1229</v>
      </c>
      <c r="D71" s="21" t="s">
        <v>1230</v>
      </c>
      <c r="E71" s="21">
        <v>2</v>
      </c>
      <c r="F71" s="21">
        <v>187377</v>
      </c>
      <c r="G71" s="42">
        <v>-0.56200000000000006</v>
      </c>
      <c r="H71" s="21" t="s">
        <v>1231</v>
      </c>
      <c r="I71" s="39">
        <f ca="1">IFERROR(__xludf.DUMMYFUNCTION("IF(SUM(COUNTIF(artists!A:A, SPLIT(D71, "",""))) &gt; 0, ""UA"", 0)"),0)</f>
        <v>0</v>
      </c>
      <c r="J71" s="40">
        <f ca="1">IFERROR(__xludf.DUMMYFUNCTION("IF(SUM(COUNTIF(artists!C:C, SPLIT(D71, "",""))) &gt; 0, ""RU"", 0)"),0)</f>
        <v>0</v>
      </c>
      <c r="K71" s="39" t="str">
        <f ca="1">IFERROR(__xludf.DUMMYFUNCTION("IF(SUM(COUNTIF(artists!E:E, SPLIT(D71, "",""))) &gt; 0, ""OTHER"", 0)"),"OTHER")</f>
        <v>OTHER</v>
      </c>
    </row>
    <row r="72" spans="1:11" ht="14.25" customHeight="1">
      <c r="A72" s="21">
        <v>71</v>
      </c>
      <c r="C72" s="21" t="s">
        <v>1244</v>
      </c>
      <c r="D72" s="21" t="s">
        <v>1245</v>
      </c>
      <c r="E72" s="21">
        <v>1</v>
      </c>
      <c r="F72" s="21">
        <v>183998</v>
      </c>
      <c r="H72" s="21" t="s">
        <v>1246</v>
      </c>
      <c r="I72" s="39" t="str">
        <f ca="1">IFERROR(__xludf.DUMMYFUNCTION("IF(SUM(COUNTIF(artists!A:A, SPLIT(D72, "",""))) &gt; 0, ""UA"", 0)"),"UA")</f>
        <v>UA</v>
      </c>
      <c r="J72" s="40">
        <f ca="1">IFERROR(__xludf.DUMMYFUNCTION("IF(SUM(COUNTIF(artists!C:C, SPLIT(D72, "",""))) &gt; 0, ""RU"", 0)"),0)</f>
        <v>0</v>
      </c>
      <c r="K72" s="39">
        <f ca="1">IFERROR(__xludf.DUMMYFUNCTION("IF(SUM(COUNTIF(artists!E:E, SPLIT(D72, "",""))) &gt; 0, ""OTHER"", 0)"),0)</f>
        <v>0</v>
      </c>
    </row>
    <row r="73" spans="1:11" ht="14.25" customHeight="1">
      <c r="A73" s="21">
        <v>72</v>
      </c>
      <c r="C73" s="21" t="s">
        <v>1021</v>
      </c>
      <c r="D73" s="21" t="s">
        <v>1022</v>
      </c>
      <c r="E73" s="21">
        <v>1</v>
      </c>
      <c r="F73" s="21">
        <v>181045</v>
      </c>
      <c r="H73" s="21" t="s">
        <v>1023</v>
      </c>
      <c r="I73" s="39">
        <f ca="1">IFERROR(__xludf.DUMMYFUNCTION("IF(SUM(COUNTIF(artists!A:A, SPLIT(D73, "",""))) &gt; 0, ""UA"", 0)"),0)</f>
        <v>0</v>
      </c>
      <c r="J73" s="40">
        <f ca="1">IFERROR(__xludf.DUMMYFUNCTION("IF(SUM(COUNTIF(artists!C:C, SPLIT(D73, "",""))) &gt; 0, ""RU"", 0)"),0)</f>
        <v>0</v>
      </c>
      <c r="K73" s="39" t="str">
        <f ca="1">IFERROR(__xludf.DUMMYFUNCTION("IF(SUM(COUNTIF(artists!E:E, SPLIT(D73, "",""))) &gt; 0, ""OTHER"", 0)"),"OTHER")</f>
        <v>OTHER</v>
      </c>
    </row>
    <row r="74" spans="1:11" ht="14.25" customHeight="1">
      <c r="A74" s="21">
        <v>73</v>
      </c>
      <c r="B74" s="21">
        <v>73</v>
      </c>
      <c r="C74" s="21" t="s">
        <v>1202</v>
      </c>
      <c r="D74" s="21" t="s">
        <v>1203</v>
      </c>
      <c r="E74" s="21">
        <v>2</v>
      </c>
      <c r="F74" s="21">
        <v>172367</v>
      </c>
      <c r="G74" s="43">
        <v>-0.06</v>
      </c>
      <c r="H74" s="21" t="s">
        <v>1204</v>
      </c>
      <c r="I74" s="39">
        <f ca="1">IFERROR(__xludf.DUMMYFUNCTION("IF(SUM(COUNTIF(artists!A:A, SPLIT(D74, "",""))) &gt; 0, ""UA"", 0)"),0)</f>
        <v>0</v>
      </c>
      <c r="J74" s="40" t="str">
        <f ca="1">IFERROR(__xludf.DUMMYFUNCTION("IF(SUM(COUNTIF(artists!C:C, SPLIT(D74, "",""))) &gt; 0, ""RU"", 0)"),"RU")</f>
        <v>RU</v>
      </c>
      <c r="K74" s="39">
        <f ca="1">IFERROR(__xludf.DUMMYFUNCTION("IF(SUM(COUNTIF(artists!E:E, SPLIT(D74, "",""))) &gt; 0, ""OTHER"", 0)"),0)</f>
        <v>0</v>
      </c>
    </row>
    <row r="75" spans="1:11" ht="14.25" customHeight="1">
      <c r="A75" s="21">
        <v>74</v>
      </c>
      <c r="B75" s="21">
        <v>79</v>
      </c>
      <c r="C75" s="21" t="s">
        <v>874</v>
      </c>
      <c r="D75" s="21" t="s">
        <v>108</v>
      </c>
      <c r="E75" s="21">
        <v>11</v>
      </c>
      <c r="F75" s="21">
        <v>171452</v>
      </c>
      <c r="G75" s="43">
        <v>0.01</v>
      </c>
      <c r="H75" s="21" t="s">
        <v>875</v>
      </c>
      <c r="I75" s="39" t="str">
        <f ca="1">IFERROR(__xludf.DUMMYFUNCTION("IF(SUM(COUNTIF(artists!A:A, SPLIT(D75, "",""))) &gt; 0, ""UA"", 0)"),"UA")</f>
        <v>UA</v>
      </c>
      <c r="J75" s="40">
        <f ca="1">IFERROR(__xludf.DUMMYFUNCTION("IF(SUM(COUNTIF(artists!C:C, SPLIT(D75, "",""))) &gt; 0, ""RU"", 0)"),0)</f>
        <v>0</v>
      </c>
      <c r="K75" s="39">
        <f ca="1">IFERROR(__xludf.DUMMYFUNCTION("IF(SUM(COUNTIF(artists!E:E, SPLIT(D75, "",""))) &gt; 0, ""OTHER"", 0)"),0)</f>
        <v>0</v>
      </c>
    </row>
    <row r="76" spans="1:11" ht="14.25" customHeight="1">
      <c r="A76" s="21">
        <v>75</v>
      </c>
      <c r="B76" s="21">
        <v>78</v>
      </c>
      <c r="C76" s="21" t="s">
        <v>1232</v>
      </c>
      <c r="D76" s="21" t="s">
        <v>104</v>
      </c>
      <c r="E76" s="21">
        <v>5</v>
      </c>
      <c r="F76" s="21">
        <v>170980</v>
      </c>
      <c r="G76" s="42">
        <v>-2.1000000000000001E-2</v>
      </c>
      <c r="H76" s="21" t="s">
        <v>1233</v>
      </c>
      <c r="I76" s="39" t="str">
        <f ca="1">IFERROR(__xludf.DUMMYFUNCTION("IF(SUM(COUNTIF(artists!A:A, SPLIT(D76, "",""))) &gt; 0, ""UA"", 0)"),"UA")</f>
        <v>UA</v>
      </c>
      <c r="J76" s="40">
        <f ca="1">IFERROR(__xludf.DUMMYFUNCTION("IF(SUM(COUNTIF(artists!C:C, SPLIT(D76, "",""))) &gt; 0, ""RU"", 0)"),0)</f>
        <v>0</v>
      </c>
      <c r="K76" s="39">
        <f ca="1">IFERROR(__xludf.DUMMYFUNCTION("IF(SUM(COUNTIF(artists!E:E, SPLIT(D76, "",""))) &gt; 0, ""OTHER"", 0)"),0)</f>
        <v>0</v>
      </c>
    </row>
    <row r="77" spans="1:11" ht="14.25" customHeight="1">
      <c r="A77" s="21">
        <v>76</v>
      </c>
      <c r="C77" s="21" t="s">
        <v>1247</v>
      </c>
      <c r="D77" s="21" t="s">
        <v>853</v>
      </c>
      <c r="E77" s="21">
        <v>26</v>
      </c>
      <c r="F77" s="21">
        <v>170190</v>
      </c>
      <c r="H77" s="21" t="s">
        <v>1248</v>
      </c>
      <c r="I77" s="39" t="str">
        <f ca="1">IFERROR(__xludf.DUMMYFUNCTION("IF(SUM(COUNTIF(artists!A:A, SPLIT(D77, "",""))) &gt; 0, ""UA"", 0)"),"UA")</f>
        <v>UA</v>
      </c>
      <c r="J77" s="40">
        <f ca="1">IFERROR(__xludf.DUMMYFUNCTION("IF(SUM(COUNTIF(artists!C:C, SPLIT(D77, "",""))) &gt; 0, ""RU"", 0)"),0)</f>
        <v>0</v>
      </c>
      <c r="K77" s="39">
        <f ca="1">IFERROR(__xludf.DUMMYFUNCTION("IF(SUM(COUNTIF(artists!E:E, SPLIT(D77, "",""))) &gt; 0, ""OTHER"", 0)"),0)</f>
        <v>0</v>
      </c>
    </row>
    <row r="78" spans="1:11" ht="14.25" customHeight="1">
      <c r="A78" s="21">
        <v>77</v>
      </c>
      <c r="B78" s="21">
        <v>60</v>
      </c>
      <c r="C78" s="21" t="s">
        <v>1062</v>
      </c>
      <c r="D78" s="21" t="s">
        <v>1063</v>
      </c>
      <c r="E78" s="21">
        <v>6</v>
      </c>
      <c r="F78" s="21">
        <v>167366</v>
      </c>
      <c r="G78" s="43">
        <v>-0.21</v>
      </c>
      <c r="H78" s="21" t="s">
        <v>1064</v>
      </c>
      <c r="I78" s="39" t="str">
        <f ca="1">IFERROR(__xludf.DUMMYFUNCTION("IF(SUM(COUNTIF(artists!A:A, SPLIT(D78, "",""))) &gt; 0, ""UA"", 0)"),"UA")</f>
        <v>UA</v>
      </c>
      <c r="J78" s="40">
        <f ca="1">IFERROR(__xludf.DUMMYFUNCTION("IF(SUM(COUNTIF(artists!C:C, SPLIT(D78, "",""))) &gt; 0, ""RU"", 0)"),0)</f>
        <v>0</v>
      </c>
      <c r="K78" s="39">
        <f ca="1">IFERROR(__xludf.DUMMYFUNCTION("IF(SUM(COUNTIF(artists!E:E, SPLIT(D78, "",""))) &gt; 0, ""OTHER"", 0)"),0)</f>
        <v>0</v>
      </c>
    </row>
    <row r="79" spans="1:11" ht="14.25" customHeight="1">
      <c r="A79" s="21">
        <v>78</v>
      </c>
      <c r="C79" s="21" t="s">
        <v>769</v>
      </c>
      <c r="D79" s="21" t="s">
        <v>770</v>
      </c>
      <c r="E79" s="21">
        <v>1</v>
      </c>
      <c r="F79" s="21">
        <v>166435</v>
      </c>
      <c r="H79" s="21" t="s">
        <v>771</v>
      </c>
      <c r="I79" s="39">
        <f ca="1">IFERROR(__xludf.DUMMYFUNCTION("IF(SUM(COUNTIF(artists!A:A, SPLIT(D79, "",""))) &gt; 0, ""UA"", 0)"),0)</f>
        <v>0</v>
      </c>
      <c r="J79" s="40">
        <f ca="1">IFERROR(__xludf.DUMMYFUNCTION("IF(SUM(COUNTIF(artists!C:C, SPLIT(D79, "",""))) &gt; 0, ""RU"", 0)"),0)</f>
        <v>0</v>
      </c>
      <c r="K79" s="39" t="str">
        <f ca="1">IFERROR(__xludf.DUMMYFUNCTION("IF(SUM(COUNTIF(artists!E:E, SPLIT(D79, "",""))) &gt; 0, ""OTHER"", 0)"),"OTHER")</f>
        <v>OTHER</v>
      </c>
    </row>
    <row r="80" spans="1:11" ht="14.25" customHeight="1">
      <c r="A80" s="21">
        <v>79</v>
      </c>
      <c r="B80" s="21">
        <v>74</v>
      </c>
      <c r="C80" s="21" t="s">
        <v>1214</v>
      </c>
      <c r="D80" s="21" t="s">
        <v>1117</v>
      </c>
      <c r="E80" s="21">
        <v>10</v>
      </c>
      <c r="F80" s="21">
        <v>161952</v>
      </c>
      <c r="G80" s="42">
        <v>-0.108</v>
      </c>
      <c r="H80" s="21" t="s">
        <v>1215</v>
      </c>
      <c r="I80" s="39">
        <f ca="1">IFERROR(__xludf.DUMMYFUNCTION("IF(SUM(COUNTIF(artists!A:A, SPLIT(D80, "",""))) &gt; 0, ""UA"", 0)"),0)</f>
        <v>0</v>
      </c>
      <c r="J80" s="40" t="str">
        <f ca="1">IFERROR(__xludf.DUMMYFUNCTION("IF(SUM(COUNTIF(artists!C:C, SPLIT(D80, "",""))) &gt; 0, ""RU"", 0)"),"RU")</f>
        <v>RU</v>
      </c>
      <c r="K80" s="39">
        <f ca="1">IFERROR(__xludf.DUMMYFUNCTION("IF(SUM(COUNTIF(artists!E:E, SPLIT(D80, "",""))) &gt; 0, ""OTHER"", 0)"),0)</f>
        <v>0</v>
      </c>
    </row>
    <row r="81" spans="1:11" ht="14.25" customHeight="1">
      <c r="A81" s="21">
        <v>80</v>
      </c>
      <c r="B81" s="21">
        <v>98</v>
      </c>
      <c r="C81" s="21" t="s">
        <v>602</v>
      </c>
      <c r="D81" s="21" t="s">
        <v>299</v>
      </c>
      <c r="E81" s="21">
        <v>2</v>
      </c>
      <c r="F81" s="21">
        <v>160311</v>
      </c>
      <c r="G81" s="42">
        <v>0.10299999999999999</v>
      </c>
      <c r="H81" s="21" t="s">
        <v>604</v>
      </c>
      <c r="I81" s="39">
        <f ca="1">IFERROR(__xludf.DUMMYFUNCTION("IF(SUM(COUNTIF(artists!A:A, SPLIT(D81, "",""))) &gt; 0, ""UA"", 0)"),0)</f>
        <v>0</v>
      </c>
      <c r="J81" s="40">
        <f ca="1">IFERROR(__xludf.DUMMYFUNCTION("IF(SUM(COUNTIF(artists!C:C, SPLIT(D81, "",""))) &gt; 0, ""RU"", 0)"),0)</f>
        <v>0</v>
      </c>
      <c r="K81" s="39" t="str">
        <f ca="1">IFERROR(__xludf.DUMMYFUNCTION("IF(SUM(COUNTIF(artists!E:E, SPLIT(D81, "",""))) &gt; 0, ""OTHER"", 0)"),"OTHER")</f>
        <v>OTHER</v>
      </c>
    </row>
    <row r="82" spans="1:11" ht="14.25" customHeight="1">
      <c r="A82" s="21">
        <v>81</v>
      </c>
      <c r="B82" s="21">
        <v>96</v>
      </c>
      <c r="C82" s="21" t="s">
        <v>1157</v>
      </c>
      <c r="D82" s="21" t="s">
        <v>1158</v>
      </c>
      <c r="E82" s="21">
        <v>5</v>
      </c>
      <c r="F82" s="21">
        <v>159684</v>
      </c>
      <c r="G82" s="42">
        <v>8.4000000000000005E-2</v>
      </c>
      <c r="H82" s="21" t="s">
        <v>1159</v>
      </c>
      <c r="I82" s="39">
        <f ca="1">IFERROR(__xludf.DUMMYFUNCTION("IF(SUM(COUNTIF(artists!A:A, SPLIT(D82, "",""))) &gt; 0, ""UA"", 0)"),0)</f>
        <v>0</v>
      </c>
      <c r="J82" s="40">
        <f ca="1">IFERROR(__xludf.DUMMYFUNCTION("IF(SUM(COUNTIF(artists!C:C, SPLIT(D82, "",""))) &gt; 0, ""RU"", 0)"),0)</f>
        <v>0</v>
      </c>
      <c r="K82" s="39" t="str">
        <f ca="1">IFERROR(__xludf.DUMMYFUNCTION("IF(SUM(COUNTIF(artists!E:E, SPLIT(D82, "",""))) &gt; 0, ""OTHER"", 0)"),"OTHER")</f>
        <v>OTHER</v>
      </c>
    </row>
    <row r="83" spans="1:11" ht="14.25" customHeight="1">
      <c r="A83" s="21">
        <v>82</v>
      </c>
      <c r="B83" s="21">
        <v>93</v>
      </c>
      <c r="C83" s="21" t="s">
        <v>390</v>
      </c>
      <c r="D83" s="21" t="s">
        <v>391</v>
      </c>
      <c r="E83" s="21">
        <v>5</v>
      </c>
      <c r="F83" s="21">
        <v>158318</v>
      </c>
      <c r="G83" s="42">
        <v>6.7000000000000004E-2</v>
      </c>
      <c r="H83" s="21" t="s">
        <v>393</v>
      </c>
      <c r="I83" s="39">
        <f ca="1">IFERROR(__xludf.DUMMYFUNCTION("IF(SUM(COUNTIF(artists!A:A, SPLIT(D83, "",""))) &gt; 0, ""UA"", 0)"),0)</f>
        <v>0</v>
      </c>
      <c r="J83" s="40" t="str">
        <f ca="1">IFERROR(__xludf.DUMMYFUNCTION("IF(SUM(COUNTIF(artists!C:C, SPLIT(D83, "",""))) &gt; 0, ""RU"", 0)"),"RU")</f>
        <v>RU</v>
      </c>
      <c r="K83" s="39">
        <f ca="1">IFERROR(__xludf.DUMMYFUNCTION("IF(SUM(COUNTIF(artists!E:E, SPLIT(D83, "",""))) &gt; 0, ""OTHER"", 0)"),0)</f>
        <v>0</v>
      </c>
    </row>
    <row r="84" spans="1:11" ht="14.25" customHeight="1">
      <c r="A84" s="21">
        <v>83</v>
      </c>
      <c r="B84" s="21">
        <v>88</v>
      </c>
      <c r="C84" s="21" t="s">
        <v>1038</v>
      </c>
      <c r="D84" s="21" t="s">
        <v>1039</v>
      </c>
      <c r="E84" s="21">
        <v>3</v>
      </c>
      <c r="F84" s="21">
        <v>158242</v>
      </c>
      <c r="G84" s="43">
        <v>0.02</v>
      </c>
      <c r="H84" s="21" t="s">
        <v>1040</v>
      </c>
      <c r="I84" s="39">
        <f ca="1">IFERROR(__xludf.DUMMYFUNCTION("IF(SUM(COUNTIF(artists!A:A, SPLIT(D84, "",""))) &gt; 0, ""UA"", 0)"),0)</f>
        <v>0</v>
      </c>
      <c r="J84" s="40">
        <f ca="1">IFERROR(__xludf.DUMMYFUNCTION("IF(SUM(COUNTIF(artists!C:C, SPLIT(D84, "",""))) &gt; 0, ""RU"", 0)"),0)</f>
        <v>0</v>
      </c>
      <c r="K84" s="39" t="str">
        <f ca="1">IFERROR(__xludf.DUMMYFUNCTION("IF(SUM(COUNTIF(artists!E:E, SPLIT(D84, "",""))) &gt; 0, ""OTHER"", 0)"),"OTHER")</f>
        <v>OTHER</v>
      </c>
    </row>
    <row r="85" spans="1:11" ht="14.25" customHeight="1">
      <c r="A85" s="21">
        <v>84</v>
      </c>
      <c r="B85" s="21">
        <v>80</v>
      </c>
      <c r="C85" s="21" t="s">
        <v>1175</v>
      </c>
      <c r="D85" s="21" t="s">
        <v>1176</v>
      </c>
      <c r="E85" s="21">
        <v>12</v>
      </c>
      <c r="F85" s="21">
        <v>157443</v>
      </c>
      <c r="G85" s="42">
        <v>-5.8000000000000003E-2</v>
      </c>
      <c r="H85" s="21" t="s">
        <v>1177</v>
      </c>
      <c r="I85" s="39">
        <f ca="1">IFERROR(__xludf.DUMMYFUNCTION("IF(SUM(COUNTIF(artists!A:A, SPLIT(D85, "",""))) &gt; 0, ""UA"", 0)"),0)</f>
        <v>0</v>
      </c>
      <c r="J85" s="40" t="str">
        <f ca="1">IFERROR(__xludf.DUMMYFUNCTION("IF(SUM(COUNTIF(artists!C:C, SPLIT(D85, "",""))) &gt; 0, ""RU"", 0)"),"RU")</f>
        <v>RU</v>
      </c>
      <c r="K85" s="39">
        <f ca="1">IFERROR(__xludf.DUMMYFUNCTION("IF(SUM(COUNTIF(artists!E:E, SPLIT(D85, "",""))) &gt; 0, ""OTHER"", 0)"),0)</f>
        <v>0</v>
      </c>
    </row>
    <row r="86" spans="1:11" ht="14.25" customHeight="1">
      <c r="A86" s="21">
        <v>85</v>
      </c>
      <c r="B86" s="21">
        <v>92</v>
      </c>
      <c r="C86" s="21" t="s">
        <v>1133</v>
      </c>
      <c r="D86" s="21" t="s">
        <v>89</v>
      </c>
      <c r="E86" s="21">
        <v>8</v>
      </c>
      <c r="F86" s="21">
        <v>156227</v>
      </c>
      <c r="G86" s="42">
        <v>5.1999999999999998E-2</v>
      </c>
      <c r="H86" s="21" t="s">
        <v>1134</v>
      </c>
      <c r="I86" s="39" t="str">
        <f ca="1">IFERROR(__xludf.DUMMYFUNCTION("IF(SUM(COUNTIF(artists!A:A, SPLIT(D86, "",""))) &gt; 0, ""UA"", 0)"),"UA")</f>
        <v>UA</v>
      </c>
      <c r="J86" s="40">
        <f ca="1">IFERROR(__xludf.DUMMYFUNCTION("IF(SUM(COUNTIF(artists!C:C, SPLIT(D86, "",""))) &gt; 0, ""RU"", 0)"),0)</f>
        <v>0</v>
      </c>
      <c r="K86" s="39">
        <f ca="1">IFERROR(__xludf.DUMMYFUNCTION("IF(SUM(COUNTIF(artists!E:E, SPLIT(D86, "",""))) &gt; 0, ""OTHER"", 0)"),0)</f>
        <v>0</v>
      </c>
    </row>
    <row r="87" spans="1:11" ht="14.25" customHeight="1">
      <c r="A87" s="21">
        <v>86</v>
      </c>
      <c r="C87" s="21" t="s">
        <v>486</v>
      </c>
      <c r="D87" s="21" t="s">
        <v>487</v>
      </c>
      <c r="E87" s="21">
        <v>21</v>
      </c>
      <c r="F87" s="21">
        <v>155250</v>
      </c>
      <c r="H87" s="21" t="s">
        <v>488</v>
      </c>
      <c r="I87" s="39">
        <f ca="1">IFERROR(__xludf.DUMMYFUNCTION("IF(SUM(COUNTIF(artists!A:A, SPLIT(D87, "",""))) &gt; 0, ""UA"", 0)"),0)</f>
        <v>0</v>
      </c>
      <c r="J87" s="40">
        <f ca="1">IFERROR(__xludf.DUMMYFUNCTION("IF(SUM(COUNTIF(artists!C:C, SPLIT(D87, "",""))) &gt; 0, ""RU"", 0)"),0)</f>
        <v>0</v>
      </c>
      <c r="K87" s="39" t="str">
        <f ca="1">IFERROR(__xludf.DUMMYFUNCTION("IF(SUM(COUNTIF(artists!E:E, SPLIT(D87, "",""))) &gt; 0, ""OTHER"", 0)"),"OTHER")</f>
        <v>OTHER</v>
      </c>
    </row>
    <row r="88" spans="1:11" ht="14.25" customHeight="1">
      <c r="A88" s="21">
        <v>87</v>
      </c>
      <c r="B88" s="21">
        <v>99</v>
      </c>
      <c r="C88" s="21" t="s">
        <v>605</v>
      </c>
      <c r="D88" s="21" t="s">
        <v>299</v>
      </c>
      <c r="E88" s="21">
        <v>2</v>
      </c>
      <c r="F88" s="21">
        <v>153218</v>
      </c>
      <c r="G88" s="42">
        <v>6.5000000000000002E-2</v>
      </c>
      <c r="H88" s="21" t="s">
        <v>607</v>
      </c>
      <c r="I88" s="39">
        <f ca="1">IFERROR(__xludf.DUMMYFUNCTION("IF(SUM(COUNTIF(artists!A:A, SPLIT(D88, "",""))) &gt; 0, ""UA"", 0)"),0)</f>
        <v>0</v>
      </c>
      <c r="J88" s="40">
        <f ca="1">IFERROR(__xludf.DUMMYFUNCTION("IF(SUM(COUNTIF(artists!C:C, SPLIT(D88, "",""))) &gt; 0, ""RU"", 0)"),0)</f>
        <v>0</v>
      </c>
      <c r="K88" s="39" t="str">
        <f ca="1">IFERROR(__xludf.DUMMYFUNCTION("IF(SUM(COUNTIF(artists!E:E, SPLIT(D88, "",""))) &gt; 0, ""OTHER"", 0)"),"OTHER")</f>
        <v>OTHER</v>
      </c>
    </row>
    <row r="89" spans="1:11" ht="14.25" customHeight="1">
      <c r="A89" s="21">
        <v>88</v>
      </c>
      <c r="B89" s="21">
        <v>86</v>
      </c>
      <c r="C89" s="21" t="s">
        <v>1249</v>
      </c>
      <c r="D89" s="21" t="s">
        <v>187</v>
      </c>
      <c r="E89" s="21">
        <v>13</v>
      </c>
      <c r="F89" s="21">
        <v>152991</v>
      </c>
      <c r="G89" s="42">
        <v>-2.5999999999999999E-2</v>
      </c>
      <c r="H89" s="21" t="s">
        <v>1250</v>
      </c>
      <c r="I89" s="39" t="str">
        <f ca="1">IFERROR(__xludf.DUMMYFUNCTION("IF(SUM(COUNTIF(artists!A:A, SPLIT(D89, "",""))) &gt; 0, ""UA"", 0)"),"UA")</f>
        <v>UA</v>
      </c>
      <c r="J89" s="40">
        <f ca="1">IFERROR(__xludf.DUMMYFUNCTION("IF(SUM(COUNTIF(artists!C:C, SPLIT(D89, "",""))) &gt; 0, ""RU"", 0)"),0)</f>
        <v>0</v>
      </c>
      <c r="K89" s="39">
        <f ca="1">IFERROR(__xludf.DUMMYFUNCTION("IF(SUM(COUNTIF(artists!E:E, SPLIT(D89, "",""))) &gt; 0, ""OTHER"", 0)"),0)</f>
        <v>0</v>
      </c>
    </row>
    <row r="90" spans="1:11" ht="14.25" customHeight="1">
      <c r="A90" s="21">
        <v>89</v>
      </c>
      <c r="B90" s="21">
        <v>87</v>
      </c>
      <c r="C90" s="21" t="s">
        <v>697</v>
      </c>
      <c r="D90" s="21" t="s">
        <v>698</v>
      </c>
      <c r="E90" s="21">
        <v>17</v>
      </c>
      <c r="F90" s="21">
        <v>152337</v>
      </c>
      <c r="G90" s="42">
        <v>-2.1000000000000001E-2</v>
      </c>
      <c r="H90" s="21" t="s">
        <v>699</v>
      </c>
      <c r="I90" s="39">
        <f ca="1">IFERROR(__xludf.DUMMYFUNCTION("IF(SUM(COUNTIF(artists!A:A, SPLIT(D90, "",""))) &gt; 0, ""UA"", 0)"),0)</f>
        <v>0</v>
      </c>
      <c r="J90" s="40" t="str">
        <f ca="1">IFERROR(__xludf.DUMMYFUNCTION("IF(SUM(COUNTIF(artists!C:C, SPLIT(D90, "",""))) &gt; 0, ""RU"", 0)"),"RU")</f>
        <v>RU</v>
      </c>
      <c r="K90" s="39">
        <f ca="1">IFERROR(__xludf.DUMMYFUNCTION("IF(SUM(COUNTIF(artists!E:E, SPLIT(D90, "",""))) &gt; 0, ""OTHER"", 0)"),0)</f>
        <v>0</v>
      </c>
    </row>
    <row r="91" spans="1:11" ht="14.25" customHeight="1">
      <c r="A91" s="21">
        <v>90</v>
      </c>
      <c r="B91" s="21">
        <v>77</v>
      </c>
      <c r="C91" s="21" t="s">
        <v>1137</v>
      </c>
      <c r="D91" s="21" t="s">
        <v>1117</v>
      </c>
      <c r="E91" s="21">
        <v>5</v>
      </c>
      <c r="F91" s="21">
        <v>152088</v>
      </c>
      <c r="G91" s="42">
        <v>-0.13100000000000001</v>
      </c>
      <c r="H91" s="21" t="s">
        <v>1138</v>
      </c>
      <c r="I91" s="39">
        <f ca="1">IFERROR(__xludf.DUMMYFUNCTION("IF(SUM(COUNTIF(artists!A:A, SPLIT(D91, "",""))) &gt; 0, ""UA"", 0)"),0)</f>
        <v>0</v>
      </c>
      <c r="J91" s="40" t="str">
        <f ca="1">IFERROR(__xludf.DUMMYFUNCTION("IF(SUM(COUNTIF(artists!C:C, SPLIT(D91, "",""))) &gt; 0, ""RU"", 0)"),"RU")</f>
        <v>RU</v>
      </c>
      <c r="K91" s="39">
        <f ca="1">IFERROR(__xludf.DUMMYFUNCTION("IF(SUM(COUNTIF(artists!E:E, SPLIT(D91, "",""))) &gt; 0, ""OTHER"", 0)"),0)</f>
        <v>0</v>
      </c>
    </row>
    <row r="92" spans="1:11" ht="14.25" customHeight="1">
      <c r="A92" s="21">
        <v>91</v>
      </c>
      <c r="C92" s="21" t="s">
        <v>597</v>
      </c>
      <c r="D92" s="21" t="s">
        <v>598</v>
      </c>
      <c r="E92" s="21">
        <v>21</v>
      </c>
      <c r="F92" s="21">
        <v>151434</v>
      </c>
      <c r="H92" s="21" t="s">
        <v>600</v>
      </c>
      <c r="I92" s="39" t="str">
        <f ca="1">IFERROR(__xludf.DUMMYFUNCTION("IF(SUM(COUNTIF(artists!A:A, SPLIT(D92, "",""))) &gt; 0, ""UA"", 0)"),"UA")</f>
        <v>UA</v>
      </c>
      <c r="J92" s="40">
        <f ca="1">IFERROR(__xludf.DUMMYFUNCTION("IF(SUM(COUNTIF(artists!C:C, SPLIT(D92, "",""))) &gt; 0, ""RU"", 0)"),0)</f>
        <v>0</v>
      </c>
      <c r="K92" s="39">
        <f ca="1">IFERROR(__xludf.DUMMYFUNCTION("IF(SUM(COUNTIF(artists!E:E, SPLIT(D92, "",""))) &gt; 0, ""OTHER"", 0)"),0)</f>
        <v>0</v>
      </c>
    </row>
    <row r="93" spans="1:11" ht="14.25" customHeight="1">
      <c r="A93" s="21">
        <v>92</v>
      </c>
      <c r="C93" s="21" t="s">
        <v>1135</v>
      </c>
      <c r="D93" s="21" t="s">
        <v>85</v>
      </c>
      <c r="E93" s="21">
        <v>3</v>
      </c>
      <c r="F93" s="21">
        <v>149746</v>
      </c>
      <c r="H93" s="21" t="s">
        <v>1136</v>
      </c>
      <c r="I93" s="39" t="str">
        <f ca="1">IFERROR(__xludf.DUMMYFUNCTION("IF(SUM(COUNTIF(artists!A:A, SPLIT(D93, "",""))) &gt; 0, ""UA"", 0)"),"UA")</f>
        <v>UA</v>
      </c>
      <c r="J93" s="40">
        <f ca="1">IFERROR(__xludf.DUMMYFUNCTION("IF(SUM(COUNTIF(artists!C:C, SPLIT(D93, "",""))) &gt; 0, ""RU"", 0)"),0)</f>
        <v>0</v>
      </c>
      <c r="K93" s="39">
        <f ca="1">IFERROR(__xludf.DUMMYFUNCTION("IF(SUM(COUNTIF(artists!E:E, SPLIT(D93, "",""))) &gt; 0, ""OTHER"", 0)"),0)</f>
        <v>0</v>
      </c>
    </row>
    <row r="94" spans="1:11" ht="14.25" customHeight="1">
      <c r="A94" s="21">
        <v>93</v>
      </c>
      <c r="B94" s="21">
        <v>63</v>
      </c>
      <c r="C94" s="21" t="s">
        <v>1251</v>
      </c>
      <c r="D94" s="21" t="s">
        <v>1230</v>
      </c>
      <c r="E94" s="21">
        <v>6</v>
      </c>
      <c r="F94" s="21">
        <v>149405</v>
      </c>
      <c r="G94" s="42">
        <v>-0.254</v>
      </c>
      <c r="H94" s="21" t="s">
        <v>1252</v>
      </c>
      <c r="I94" s="39">
        <f ca="1">IFERROR(__xludf.DUMMYFUNCTION("IF(SUM(COUNTIF(artists!A:A, SPLIT(D94, "",""))) &gt; 0, ""UA"", 0)"),0)</f>
        <v>0</v>
      </c>
      <c r="J94" s="40">
        <f ca="1">IFERROR(__xludf.DUMMYFUNCTION("IF(SUM(COUNTIF(artists!C:C, SPLIT(D94, "",""))) &gt; 0, ""RU"", 0)"),0)</f>
        <v>0</v>
      </c>
      <c r="K94" s="39" t="str">
        <f ca="1">IFERROR(__xludf.DUMMYFUNCTION("IF(SUM(COUNTIF(artists!E:E, SPLIT(D94, "",""))) &gt; 0, ""OTHER"", 0)"),"OTHER")</f>
        <v>OTHER</v>
      </c>
    </row>
    <row r="95" spans="1:11" ht="14.25" customHeight="1">
      <c r="A95" s="21">
        <v>94</v>
      </c>
      <c r="C95" s="21" t="s">
        <v>1234</v>
      </c>
      <c r="D95" s="21" t="s">
        <v>1193</v>
      </c>
      <c r="E95" s="21">
        <v>10</v>
      </c>
      <c r="F95" s="21">
        <v>149027</v>
      </c>
      <c r="H95" s="21" t="s">
        <v>1235</v>
      </c>
      <c r="I95" s="39" t="str">
        <f ca="1">IFERROR(__xludf.DUMMYFUNCTION("IF(SUM(COUNTIF(artists!A:A, SPLIT(D95, "",""))) &gt; 0, ""UA"", 0)"),"UA")</f>
        <v>UA</v>
      </c>
      <c r="J95" s="40">
        <f ca="1">IFERROR(__xludf.DUMMYFUNCTION("IF(SUM(COUNTIF(artists!C:C, SPLIT(D95, "",""))) &gt; 0, ""RU"", 0)"),0)</f>
        <v>0</v>
      </c>
      <c r="K95" s="39">
        <f ca="1">IFERROR(__xludf.DUMMYFUNCTION("IF(SUM(COUNTIF(artists!E:E, SPLIT(D95, "",""))) &gt; 0, ""OTHER"", 0)"),0)</f>
        <v>0</v>
      </c>
    </row>
    <row r="96" spans="1:11" ht="14.25" customHeight="1">
      <c r="A96" s="21">
        <v>95</v>
      </c>
      <c r="C96" s="21" t="s">
        <v>399</v>
      </c>
      <c r="D96" s="21" t="s">
        <v>400</v>
      </c>
      <c r="E96" s="21">
        <v>1</v>
      </c>
      <c r="F96" s="21">
        <v>148516</v>
      </c>
      <c r="H96" s="21" t="s">
        <v>401</v>
      </c>
      <c r="I96" s="39" t="str">
        <f ca="1">IFERROR(__xludf.DUMMYFUNCTION("IF(SUM(COUNTIF(artists!A:A, SPLIT(D96, "",""))) &gt; 0, ""UA"", 0)"),"UA")</f>
        <v>UA</v>
      </c>
      <c r="J96" s="40">
        <f ca="1">IFERROR(__xludf.DUMMYFUNCTION("IF(SUM(COUNTIF(artists!C:C, SPLIT(D96, "",""))) &gt; 0, ""RU"", 0)"),0)</f>
        <v>0</v>
      </c>
      <c r="K96" s="39">
        <f ca="1">IFERROR(__xludf.DUMMYFUNCTION("IF(SUM(COUNTIF(artists!E:E, SPLIT(D96, "",""))) &gt; 0, ""OTHER"", 0)"),0)</f>
        <v>0</v>
      </c>
    </row>
    <row r="97" spans="1:11" ht="14.25" customHeight="1">
      <c r="A97" s="21">
        <v>96</v>
      </c>
      <c r="C97" s="21" t="s">
        <v>1199</v>
      </c>
      <c r="D97" s="21" t="s">
        <v>1200</v>
      </c>
      <c r="E97" s="21">
        <v>1</v>
      </c>
      <c r="F97" s="21">
        <v>146774</v>
      </c>
      <c r="H97" s="21" t="s">
        <v>1201</v>
      </c>
      <c r="I97" s="39" t="str">
        <f ca="1">IFERROR(__xludf.DUMMYFUNCTION("IF(SUM(COUNTIF(artists!A:A, SPLIT(D97, "",""))) &gt; 0, ""UA"", 0)"),"UA")</f>
        <v>UA</v>
      </c>
      <c r="J97" s="40">
        <f ca="1">IFERROR(__xludf.DUMMYFUNCTION("IF(SUM(COUNTIF(artists!C:C, SPLIT(D97, "",""))) &gt; 0, ""RU"", 0)"),0)</f>
        <v>0</v>
      </c>
      <c r="K97" s="39">
        <f ca="1">IFERROR(__xludf.DUMMYFUNCTION("IF(SUM(COUNTIF(artists!E:E, SPLIT(D97, "",""))) &gt; 0, ""OTHER"", 0)"),0)</f>
        <v>0</v>
      </c>
    </row>
    <row r="98" spans="1:11" ht="14.25" customHeight="1">
      <c r="A98" s="21">
        <v>97</v>
      </c>
      <c r="B98" s="21">
        <v>94</v>
      </c>
      <c r="C98" s="21" t="s">
        <v>379</v>
      </c>
      <c r="D98" s="21" t="s">
        <v>380</v>
      </c>
      <c r="E98" s="21">
        <v>10</v>
      </c>
      <c r="F98" s="21">
        <v>146453</v>
      </c>
      <c r="G98" s="42">
        <v>-8.0000000000000002E-3</v>
      </c>
      <c r="H98" s="21" t="s">
        <v>382</v>
      </c>
      <c r="I98" s="39" t="str">
        <f ca="1">IFERROR(__xludf.DUMMYFUNCTION("IF(SUM(COUNTIF(artists!A:A, SPLIT(D98, "",""))) &gt; 0, ""UA"", 0)"),"UA")</f>
        <v>UA</v>
      </c>
      <c r="J98" s="40">
        <f ca="1">IFERROR(__xludf.DUMMYFUNCTION("IF(SUM(COUNTIF(artists!C:C, SPLIT(D98, "",""))) &gt; 0, ""RU"", 0)"),0)</f>
        <v>0</v>
      </c>
      <c r="K98" s="39">
        <f ca="1">IFERROR(__xludf.DUMMYFUNCTION("IF(SUM(COUNTIF(artists!E:E, SPLIT(D98, "",""))) &gt; 0, ""OTHER"", 0)"),0)</f>
        <v>0</v>
      </c>
    </row>
    <row r="99" spans="1:11" ht="14.25" customHeight="1">
      <c r="A99" s="21">
        <v>98</v>
      </c>
      <c r="C99" s="21" t="s">
        <v>613</v>
      </c>
      <c r="D99" s="21" t="s">
        <v>614</v>
      </c>
      <c r="E99" s="21">
        <v>18</v>
      </c>
      <c r="F99" s="21">
        <v>145736</v>
      </c>
      <c r="H99" s="21" t="s">
        <v>615</v>
      </c>
      <c r="I99" s="39">
        <f ca="1">IFERROR(__xludf.DUMMYFUNCTION("IF(SUM(COUNTIF(artists!A:A, SPLIT(D99, "",""))) &gt; 0, ""UA"", 0)"),0)</f>
        <v>0</v>
      </c>
      <c r="J99" s="40" t="str">
        <f ca="1">IFERROR(__xludf.DUMMYFUNCTION("IF(SUM(COUNTIF(artists!C:C, SPLIT(D99, "",""))) &gt; 0, ""RU"", 0)"),"RU")</f>
        <v>RU</v>
      </c>
      <c r="K99" s="39">
        <f ca="1">IFERROR(__xludf.DUMMYFUNCTION("IF(SUM(COUNTIF(artists!E:E, SPLIT(D99, "",""))) &gt; 0, ""OTHER"", 0)"),0)</f>
        <v>0</v>
      </c>
    </row>
    <row r="100" spans="1:11" ht="14.25" customHeight="1">
      <c r="A100" s="21">
        <v>99</v>
      </c>
      <c r="B100" s="21">
        <v>71</v>
      </c>
      <c r="C100" s="21" t="s">
        <v>1253</v>
      </c>
      <c r="D100" s="21" t="s">
        <v>997</v>
      </c>
      <c r="E100" s="21">
        <v>3</v>
      </c>
      <c r="F100" s="21">
        <v>145246</v>
      </c>
      <c r="G100" s="42">
        <v>-0.24399999999999999</v>
      </c>
      <c r="H100" s="21" t="s">
        <v>1254</v>
      </c>
      <c r="I100" s="39" t="str">
        <f ca="1">IFERROR(__xludf.DUMMYFUNCTION("IF(SUM(COUNTIF(artists!A:A, SPLIT(D100, "",""))) &gt; 0, ""UA"", 0)"),"UA")</f>
        <v>UA</v>
      </c>
      <c r="J100" s="40">
        <f ca="1">IFERROR(__xludf.DUMMYFUNCTION("IF(SUM(COUNTIF(artists!C:C, SPLIT(D100, "",""))) &gt; 0, ""RU"", 0)"),0)</f>
        <v>0</v>
      </c>
      <c r="K100" s="39">
        <f ca="1">IFERROR(__xludf.DUMMYFUNCTION("IF(SUM(COUNTIF(artists!E:E, SPLIT(D100, "",""))) &gt; 0, ""OTHER"", 0)"),0)</f>
        <v>0</v>
      </c>
    </row>
    <row r="101" spans="1:11" ht="14.25" customHeight="1">
      <c r="A101" s="21">
        <v>100</v>
      </c>
      <c r="B101" s="21">
        <v>59</v>
      </c>
      <c r="C101" s="21" t="s">
        <v>1255</v>
      </c>
      <c r="D101" s="21" t="s">
        <v>1256</v>
      </c>
      <c r="E101" s="21">
        <v>2</v>
      </c>
      <c r="F101" s="21">
        <v>145242</v>
      </c>
      <c r="G101" s="42">
        <v>-0.316</v>
      </c>
      <c r="H101" s="21" t="s">
        <v>1257</v>
      </c>
      <c r="I101" s="39" t="str">
        <f ca="1">IFERROR(__xludf.DUMMYFUNCTION("IF(SUM(COUNTIF(artists!A:A, SPLIT(D101, "",""))) &gt; 0, ""UA"", 0)"),"UA")</f>
        <v>UA</v>
      </c>
      <c r="J101" s="40">
        <f ca="1">IFERROR(__xludf.DUMMYFUNCTION("IF(SUM(COUNTIF(artists!C:C, SPLIT(D101, "",""))) &gt; 0, ""RU"", 0)"),0)</f>
        <v>0</v>
      </c>
      <c r="K101" s="39">
        <f ca="1">IFERROR(__xludf.DUMMYFUNCTION("IF(SUM(COUNTIF(artists!E:E, SPLIT(D101, "",""))) &gt; 0, ""OTHER"", 0)"),0)</f>
        <v>0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77" priority="1">
      <formula>AND($I2=0, $J2=0, $K2=0)</formula>
    </cfRule>
    <cfRule type="expression" dxfId="76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Аркуш25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4" width="8.6640625" customWidth="1"/>
    <col min="5" max="5" width="8.6640625" hidden="1" customWidth="1"/>
    <col min="6" max="6" width="8.6640625" customWidth="1"/>
    <col min="7" max="7" width="13.10937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B2" s="21">
        <v>1</v>
      </c>
      <c r="C2" s="21" t="s">
        <v>88</v>
      </c>
      <c r="D2" s="21" t="s">
        <v>89</v>
      </c>
      <c r="E2" s="21">
        <v>8</v>
      </c>
      <c r="F2" s="21">
        <v>1744775</v>
      </c>
      <c r="G2" s="42">
        <v>-1.6E-2</v>
      </c>
      <c r="H2" s="21" t="s">
        <v>90</v>
      </c>
      <c r="I2" s="39" t="str">
        <f ca="1">IFERROR(__xludf.DUMMYFUNCTION("IF(SUM(COUNTIF(artists!A:A, SPLIT(D2, "",""))) &gt; 0, ""UA"", 0)"),"UA")</f>
        <v>UA</v>
      </c>
      <c r="J2" s="40">
        <f ca="1">IFERROR(__xludf.DUMMYFUNCTION("IF(SUM(COUNTIF(artists!C:C, SPLIT(D2, "",""))) &gt; 0, ""RU"", 0)"),0)</f>
        <v>0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B3" s="21">
        <v>4</v>
      </c>
      <c r="C3" s="21" t="s">
        <v>128</v>
      </c>
      <c r="D3" s="21" t="s">
        <v>129</v>
      </c>
      <c r="E3" s="21">
        <v>16</v>
      </c>
      <c r="F3" s="21">
        <v>1075054</v>
      </c>
      <c r="G3" s="42">
        <v>1.0999999999999999E-2</v>
      </c>
      <c r="H3" s="21" t="s">
        <v>131</v>
      </c>
      <c r="I3" s="39" t="str">
        <f ca="1">IFERROR(__xludf.DUMMYFUNCTION("IF(SUM(COUNTIF(artists!A:A, SPLIT(D3, "",""))) &gt; 0, ""UA"", 0)"),"UA")</f>
        <v>UA</v>
      </c>
      <c r="J3" s="40">
        <f ca="1">IFERROR(__xludf.DUMMYFUNCTION("IF(SUM(COUNTIF(artists!C:C, SPLIT(D3, "",""))) &gt; 0, ""RU"", 0)"),0)</f>
        <v>0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B4" s="21">
        <v>3</v>
      </c>
      <c r="C4" s="21" t="s">
        <v>145</v>
      </c>
      <c r="D4" s="21" t="s">
        <v>146</v>
      </c>
      <c r="E4" s="21">
        <v>14</v>
      </c>
      <c r="F4" s="21">
        <v>1020536</v>
      </c>
      <c r="G4" s="42">
        <v>-5.8999999999999997E-2</v>
      </c>
      <c r="H4" s="21" t="s">
        <v>148</v>
      </c>
      <c r="I4" s="39" t="str">
        <f ca="1">IFERROR(__xludf.DUMMYFUNCTION("IF(SUM(COUNTIF(artists!A:A, SPLIT(D4, "",""))) &gt; 0, ""UA"", 0)"),"UA")</f>
        <v>UA</v>
      </c>
      <c r="J4" s="40">
        <f ca="1">IFERROR(__xludf.DUMMYFUNCTION("IF(SUM(COUNTIF(artists!C:C, SPLIT(D4, "",""))) &gt; 0, ""RU"", 0)"),0)</f>
        <v>0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B5" s="21">
        <v>2</v>
      </c>
      <c r="C5" s="21" t="s">
        <v>115</v>
      </c>
      <c r="D5" s="21" t="s">
        <v>116</v>
      </c>
      <c r="E5" s="21">
        <v>10</v>
      </c>
      <c r="F5" s="21">
        <v>1004903</v>
      </c>
      <c r="G5" s="42">
        <v>-0.111</v>
      </c>
      <c r="H5" s="21" t="s">
        <v>117</v>
      </c>
      <c r="I5" s="39" t="str">
        <f ca="1">IFERROR(__xludf.DUMMYFUNCTION("IF(SUM(COUNTIF(artists!A:A, SPLIT(D5, "",""))) &gt; 0, ""UA"", 0)"),"UA")</f>
        <v>UA</v>
      </c>
      <c r="J5" s="40">
        <f ca="1">IFERROR(__xludf.DUMMYFUNCTION("IF(SUM(COUNTIF(artists!C:C, SPLIT(D5, "",""))) &gt; 0, ""RU"", 0)"),0)</f>
        <v>0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B6" s="21">
        <v>5</v>
      </c>
      <c r="C6" s="21" t="s">
        <v>202</v>
      </c>
      <c r="D6" s="21" t="s">
        <v>835</v>
      </c>
      <c r="E6" s="21">
        <v>10</v>
      </c>
      <c r="F6" s="21">
        <v>901197</v>
      </c>
      <c r="G6" s="42">
        <v>6.0999999999999999E-2</v>
      </c>
      <c r="H6" s="21" t="s">
        <v>204</v>
      </c>
      <c r="I6" s="39" t="str">
        <f ca="1">IFERROR(__xludf.DUMMYFUNCTION("IF(SUM(COUNTIF(artists!A:A, SPLIT(D6, "",""))) &gt; 0, ""UA"", 0)"),"UA")</f>
        <v>UA</v>
      </c>
      <c r="J6" s="40">
        <f ca="1">IFERROR(__xludf.DUMMYFUNCTION("IF(SUM(COUNTIF(artists!C:C, SPLIT(D6, "",""))) &gt; 0, ""RU"", 0)"),0)</f>
        <v>0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B7" s="21">
        <v>6</v>
      </c>
      <c r="C7" s="21" t="s">
        <v>645</v>
      </c>
      <c r="D7" s="21" t="s">
        <v>352</v>
      </c>
      <c r="E7" s="21">
        <v>33</v>
      </c>
      <c r="F7" s="21">
        <v>857265</v>
      </c>
      <c r="G7" s="42">
        <v>2.4E-2</v>
      </c>
      <c r="H7" s="21" t="s">
        <v>647</v>
      </c>
      <c r="I7" s="39" t="str">
        <f ca="1">IFERROR(__xludf.DUMMYFUNCTION("IF(SUM(COUNTIF(artists!A:A, SPLIT(D7, "",""))) &gt; 0, ""UA"", 0)"),"UA")</f>
        <v>UA</v>
      </c>
      <c r="J7" s="40">
        <f ca="1">IFERROR(__xludf.DUMMYFUNCTION("IF(SUM(COUNTIF(artists!C:C, SPLIT(D7, "",""))) &gt; 0, ""RU"", 0)"),0)</f>
        <v>0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B8" s="21">
        <v>7</v>
      </c>
      <c r="C8" s="21" t="s">
        <v>132</v>
      </c>
      <c r="D8" s="21" t="s">
        <v>133</v>
      </c>
      <c r="E8" s="21">
        <v>20</v>
      </c>
      <c r="F8" s="21">
        <v>785145</v>
      </c>
      <c r="G8" s="42">
        <v>-5.1999999999999998E-2</v>
      </c>
      <c r="H8" s="21" t="s">
        <v>135</v>
      </c>
      <c r="I8" s="39" t="str">
        <f ca="1">IFERROR(__xludf.DUMMYFUNCTION("IF(SUM(COUNTIF(artists!A:A, SPLIT(D8, "",""))) &gt; 0, ""UA"", 0)"),"UA")</f>
        <v>UA</v>
      </c>
      <c r="J8" s="40">
        <f ca="1">IFERROR(__xludf.DUMMYFUNCTION("IF(SUM(COUNTIF(artists!C:C, SPLIT(D8, "",""))) &gt; 0, ""RU"", 0)"),0)</f>
        <v>0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B9" s="21">
        <v>8</v>
      </c>
      <c r="C9" s="21" t="s">
        <v>175</v>
      </c>
      <c r="D9" s="21" t="s">
        <v>89</v>
      </c>
      <c r="E9" s="21">
        <v>20</v>
      </c>
      <c r="F9" s="21">
        <v>771196</v>
      </c>
      <c r="G9" s="42">
        <v>-3.0000000000000001E-3</v>
      </c>
      <c r="H9" s="21" t="s">
        <v>177</v>
      </c>
      <c r="I9" s="39" t="str">
        <f ca="1">IFERROR(__xludf.DUMMYFUNCTION("IF(SUM(COUNTIF(artists!A:A, SPLIT(D9, "",""))) &gt; 0, ""UA"", 0)"),"UA")</f>
        <v>UA</v>
      </c>
      <c r="J9" s="40">
        <f ca="1">IFERROR(__xludf.DUMMYFUNCTION("IF(SUM(COUNTIF(artists!C:C, SPLIT(D9, "",""))) &gt; 0, ""RU"", 0)"),0)</f>
        <v>0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C10" s="21" t="s">
        <v>1190</v>
      </c>
      <c r="D10" s="21" t="s">
        <v>916</v>
      </c>
      <c r="E10" s="21">
        <v>1</v>
      </c>
      <c r="F10" s="21">
        <v>669387</v>
      </c>
      <c r="H10" s="21" t="s">
        <v>1191</v>
      </c>
      <c r="I10" s="39">
        <f ca="1">IFERROR(__xludf.DUMMYFUNCTION("IF(SUM(COUNTIF(artists!A:A, SPLIT(D10, "",""))) &gt; 0, ""UA"", 0)"),0)</f>
        <v>0</v>
      </c>
      <c r="J10" s="40" t="str">
        <f ca="1">IFERROR(__xludf.DUMMYFUNCTION("IF(SUM(COUNTIF(artists!C:C, SPLIT(D10, "",""))) &gt; 0, ""RU"", 0)"),"RU")</f>
        <v>RU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B11" s="21">
        <v>10</v>
      </c>
      <c r="C11" s="21" t="s">
        <v>171</v>
      </c>
      <c r="D11" s="21" t="s">
        <v>172</v>
      </c>
      <c r="E11" s="21">
        <v>15</v>
      </c>
      <c r="F11" s="21">
        <v>667991</v>
      </c>
      <c r="G11" s="42">
        <v>-2.8000000000000001E-2</v>
      </c>
      <c r="H11" s="21" t="s">
        <v>174</v>
      </c>
      <c r="I11" s="39">
        <f ca="1">IFERROR(__xludf.DUMMYFUNCTION("IF(SUM(COUNTIF(artists!A:A, SPLIT(D11, "",""))) &gt; 0, ""UA"", 0)"),0)</f>
        <v>0</v>
      </c>
      <c r="J11" s="40" t="str">
        <f ca="1">IFERROR(__xludf.DUMMYFUNCTION("IF(SUM(COUNTIF(artists!C:C, SPLIT(D11, "",""))) &gt; 0, ""RU"", 0)"),"RU")</f>
        <v>RU</v>
      </c>
      <c r="K11" s="39">
        <f ca="1">IFERROR(__xludf.DUMMYFUNCTION("IF(SUM(COUNTIF(artists!E:E, SPLIT(D11, "",""))) &gt; 0, ""OTHER"", 0)"),0)</f>
        <v>0</v>
      </c>
    </row>
    <row r="12" spans="1:11" ht="14.25" customHeight="1">
      <c r="A12" s="21">
        <v>11</v>
      </c>
      <c r="B12" s="21">
        <v>9</v>
      </c>
      <c r="C12" s="21" t="s">
        <v>194</v>
      </c>
      <c r="D12" s="21" t="s">
        <v>195</v>
      </c>
      <c r="E12" s="21">
        <v>23</v>
      </c>
      <c r="F12" s="21">
        <v>599358</v>
      </c>
      <c r="G12" s="42">
        <v>-0.14299999999999999</v>
      </c>
      <c r="H12" s="21" t="s">
        <v>197</v>
      </c>
      <c r="I12" s="39" t="str">
        <f ca="1">IFERROR(__xludf.DUMMYFUNCTION("IF(SUM(COUNTIF(artists!A:A, SPLIT(D12, "",""))) &gt; 0, ""UA"", 0)"),"UA")</f>
        <v>UA</v>
      </c>
      <c r="J12" s="40">
        <f ca="1">IFERROR(__xludf.DUMMYFUNCTION("IF(SUM(COUNTIF(artists!C:C, SPLIT(D12, "",""))) &gt; 0, ""RU"", 0)"),0)</f>
        <v>0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B13" s="21">
        <v>69</v>
      </c>
      <c r="C13" s="21" t="s">
        <v>742</v>
      </c>
      <c r="D13" s="21" t="s">
        <v>743</v>
      </c>
      <c r="E13" s="21">
        <v>2</v>
      </c>
      <c r="F13" s="21">
        <v>573428</v>
      </c>
      <c r="G13" s="42">
        <v>2.177</v>
      </c>
      <c r="H13" s="21" t="s">
        <v>744</v>
      </c>
      <c r="I13" s="39">
        <f ca="1">IFERROR(__xludf.DUMMYFUNCTION("IF(SUM(COUNTIF(artists!A:A, SPLIT(D13, "",""))) &gt; 0, ""UA"", 0)"),0)</f>
        <v>0</v>
      </c>
      <c r="J13" s="40" t="str">
        <f ca="1">IFERROR(__xludf.DUMMYFUNCTION("IF(SUM(COUNTIF(artists!C:C, SPLIT(D13, "",""))) &gt; 0, ""RU"", 0)"),"RU")</f>
        <v>RU</v>
      </c>
      <c r="K13" s="39">
        <f ca="1">IFERROR(__xludf.DUMMYFUNCTION("IF(SUM(COUNTIF(artists!E:E, SPLIT(D13, "",""))) &gt; 0, ""OTHER"", 0)"),0)</f>
        <v>0</v>
      </c>
    </row>
    <row r="14" spans="1:11" ht="14.25" customHeight="1">
      <c r="A14" s="21">
        <v>13</v>
      </c>
      <c r="B14" s="21">
        <v>13</v>
      </c>
      <c r="C14" s="21" t="s">
        <v>186</v>
      </c>
      <c r="D14" s="21" t="s">
        <v>187</v>
      </c>
      <c r="E14" s="21">
        <v>24</v>
      </c>
      <c r="F14" s="21">
        <v>557124</v>
      </c>
      <c r="G14" s="42">
        <v>2.3E-2</v>
      </c>
      <c r="H14" s="21" t="s">
        <v>189</v>
      </c>
      <c r="I14" s="39" t="str">
        <f ca="1">IFERROR(__xludf.DUMMYFUNCTION("IF(SUM(COUNTIF(artists!A:A, SPLIT(D14, "",""))) &gt; 0, ""UA"", 0)"),"UA")</f>
        <v>UA</v>
      </c>
      <c r="J14" s="40">
        <f ca="1">IFERROR(__xludf.DUMMYFUNCTION("IF(SUM(COUNTIF(artists!C:C, SPLIT(D14, "",""))) &gt; 0, ""RU"", 0)"),0)</f>
        <v>0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B15" s="21">
        <v>12</v>
      </c>
      <c r="C15" s="21" t="s">
        <v>149</v>
      </c>
      <c r="D15" s="21" t="s">
        <v>150</v>
      </c>
      <c r="E15" s="21">
        <v>13</v>
      </c>
      <c r="F15" s="21">
        <v>551288</v>
      </c>
      <c r="G15" s="42">
        <v>8.0000000000000002E-3</v>
      </c>
      <c r="H15" s="21" t="s">
        <v>152</v>
      </c>
      <c r="I15" s="39" t="str">
        <f ca="1">IFERROR(__xludf.DUMMYFUNCTION("IF(SUM(COUNTIF(artists!A:A, SPLIT(D15, "",""))) &gt; 0, ""UA"", 0)"),"UA")</f>
        <v>UA</v>
      </c>
      <c r="J15" s="40">
        <f ca="1">IFERROR(__xludf.DUMMYFUNCTION("IF(SUM(COUNTIF(artists!C:C, SPLIT(D15, "",""))) &gt; 0, ""RU"", 0)"),0)</f>
        <v>0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B16" s="21">
        <v>11</v>
      </c>
      <c r="C16" s="21" t="s">
        <v>209</v>
      </c>
      <c r="D16" s="21" t="s">
        <v>210</v>
      </c>
      <c r="E16" s="21">
        <v>13</v>
      </c>
      <c r="F16" s="21">
        <v>529605</v>
      </c>
      <c r="G16" s="42">
        <v>-3.4000000000000002E-2</v>
      </c>
      <c r="H16" s="21" t="s">
        <v>212</v>
      </c>
      <c r="I16" s="39" t="str">
        <f ca="1">IFERROR(__xludf.DUMMYFUNCTION("IF(SUM(COUNTIF(artists!A:A, SPLIT(D16, "",""))) &gt; 0, ""UA"", 0)"),"UA")</f>
        <v>UA</v>
      </c>
      <c r="J16" s="40">
        <f ca="1">IFERROR(__xludf.DUMMYFUNCTION("IF(SUM(COUNTIF(artists!C:C, SPLIT(D16, "",""))) &gt; 0, ""RU"", 0)"),0)</f>
        <v>0</v>
      </c>
      <c r="K16" s="39">
        <f ca="1">IFERROR(__xludf.DUMMYFUNCTION("IF(SUM(COUNTIF(artists!E:E, SPLIT(D16, "",""))) &gt; 0, ""OTHER"", 0)"),0)</f>
        <v>0</v>
      </c>
    </row>
    <row r="17" spans="1:11" ht="14.25" customHeight="1">
      <c r="A17" s="21">
        <v>16</v>
      </c>
      <c r="B17" s="21">
        <v>14</v>
      </c>
      <c r="C17" s="21" t="s">
        <v>251</v>
      </c>
      <c r="D17" s="21" t="s">
        <v>133</v>
      </c>
      <c r="E17" s="21">
        <v>5</v>
      </c>
      <c r="F17" s="21">
        <v>497746</v>
      </c>
      <c r="G17" s="42">
        <v>-6.0999999999999999E-2</v>
      </c>
      <c r="H17" s="21" t="s">
        <v>252</v>
      </c>
      <c r="I17" s="39" t="str">
        <f ca="1">IFERROR(__xludf.DUMMYFUNCTION("IF(SUM(COUNTIF(artists!A:A, SPLIT(D17, "",""))) &gt; 0, ""UA"", 0)"),"UA")</f>
        <v>UA</v>
      </c>
      <c r="J17" s="40">
        <f ca="1">IFERROR(__xludf.DUMMYFUNCTION("IF(SUM(COUNTIF(artists!C:C, SPLIT(D17, "",""))) &gt; 0, ""RU"", 0)"),0)</f>
        <v>0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B18" s="21">
        <v>23</v>
      </c>
      <c r="C18" s="21" t="s">
        <v>1029</v>
      </c>
      <c r="D18" s="21" t="s">
        <v>1030</v>
      </c>
      <c r="E18" s="21">
        <v>2</v>
      </c>
      <c r="F18" s="21">
        <v>454717</v>
      </c>
      <c r="G18" s="43">
        <v>0.22</v>
      </c>
      <c r="H18" s="21" t="s">
        <v>1031</v>
      </c>
      <c r="I18" s="39" t="str">
        <f ca="1">IFERROR(__xludf.DUMMYFUNCTION("IF(SUM(COUNTIF(artists!A:A, SPLIT(D18, "",""))) &gt; 0, ""UA"", 0)"),"UA")</f>
        <v>UA</v>
      </c>
      <c r="J18" s="40">
        <f ca="1">IFERROR(__xludf.DUMMYFUNCTION("IF(SUM(COUNTIF(artists!C:C, SPLIT(D18, "",""))) &gt; 0, ""RU"", 0)"),0)</f>
        <v>0</v>
      </c>
      <c r="K18" s="39">
        <f ca="1">IFERROR(__xludf.DUMMYFUNCTION("IF(SUM(COUNTIF(artists!E:E, SPLIT(D18, "",""))) &gt; 0, ""OTHER"", 0)"),0)</f>
        <v>0</v>
      </c>
    </row>
    <row r="19" spans="1:11" ht="14.25" customHeight="1">
      <c r="A19" s="21">
        <v>18</v>
      </c>
      <c r="B19" s="21">
        <v>15</v>
      </c>
      <c r="C19" s="21" t="s">
        <v>160</v>
      </c>
      <c r="D19" s="21" t="s">
        <v>161</v>
      </c>
      <c r="E19" s="21">
        <v>14</v>
      </c>
      <c r="F19" s="21">
        <v>452862</v>
      </c>
      <c r="G19" s="42">
        <v>-1.7999999999999999E-2</v>
      </c>
      <c r="H19" s="21" t="s">
        <v>163</v>
      </c>
      <c r="I19" s="39" t="str">
        <f ca="1">IFERROR(__xludf.DUMMYFUNCTION("IF(SUM(COUNTIF(artists!A:A, SPLIT(D19, "",""))) &gt; 0, ""UA"", 0)"),"UA")</f>
        <v>UA</v>
      </c>
      <c r="J19" s="40">
        <f ca="1">IFERROR(__xludf.DUMMYFUNCTION("IF(SUM(COUNTIF(artists!C:C, SPLIT(D19, "",""))) &gt; 0, ""RU"", 0)"),0)</f>
        <v>0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B20" s="21">
        <v>16</v>
      </c>
      <c r="C20" s="21" t="s">
        <v>968</v>
      </c>
      <c r="D20" s="21" t="s">
        <v>969</v>
      </c>
      <c r="E20" s="21">
        <v>40</v>
      </c>
      <c r="F20" s="21">
        <v>447818</v>
      </c>
      <c r="G20" s="42">
        <v>1.4E-2</v>
      </c>
      <c r="H20" s="21" t="s">
        <v>970</v>
      </c>
      <c r="I20" s="39" t="str">
        <f ca="1">IFERROR(__xludf.DUMMYFUNCTION("IF(SUM(COUNTIF(artists!A:A, SPLIT(D20, "",""))) &gt; 0, ""UA"", 0)"),"UA")</f>
        <v>UA</v>
      </c>
      <c r="J20" s="40">
        <f ca="1">IFERROR(__xludf.DUMMYFUNCTION("IF(SUM(COUNTIF(artists!C:C, SPLIT(D20, "",""))) &gt; 0, ""RU"", 0)"),0)</f>
        <v>0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C21" s="21" t="s">
        <v>682</v>
      </c>
      <c r="D21" s="21" t="s">
        <v>125</v>
      </c>
      <c r="E21" s="21">
        <v>1</v>
      </c>
      <c r="F21" s="21">
        <v>432464</v>
      </c>
      <c r="H21" s="21" t="s">
        <v>684</v>
      </c>
      <c r="I21" s="39">
        <f ca="1">IFERROR(__xludf.DUMMYFUNCTION("IF(SUM(COUNTIF(artists!A:A, SPLIT(D21, "",""))) &gt; 0, ""UA"", 0)"),0)</f>
        <v>0</v>
      </c>
      <c r="J21" s="40" t="str">
        <f ca="1">IFERROR(__xludf.DUMMYFUNCTION("IF(SUM(COUNTIF(artists!C:C, SPLIT(D21, "",""))) &gt; 0, ""RU"", 0)"),"RU")</f>
        <v>RU</v>
      </c>
      <c r="K21" s="39">
        <f ca="1">IFERROR(__xludf.DUMMYFUNCTION("IF(SUM(COUNTIF(artists!E:E, SPLIT(D21, "",""))) &gt; 0, ""OTHER"", 0)"),0)</f>
        <v>0</v>
      </c>
    </row>
    <row r="22" spans="1:11" ht="14.25" customHeight="1">
      <c r="A22" s="21">
        <v>21</v>
      </c>
      <c r="B22" s="21">
        <v>17</v>
      </c>
      <c r="C22" s="21" t="s">
        <v>178</v>
      </c>
      <c r="D22" s="21" t="s">
        <v>179</v>
      </c>
      <c r="E22" s="21">
        <v>24</v>
      </c>
      <c r="F22" s="21">
        <v>431627</v>
      </c>
      <c r="G22" s="42">
        <v>3.0000000000000001E-3</v>
      </c>
      <c r="H22" s="21" t="s">
        <v>181</v>
      </c>
      <c r="I22" s="39" t="str">
        <f ca="1">IFERROR(__xludf.DUMMYFUNCTION("IF(SUM(COUNTIF(artists!A:A, SPLIT(D22, "",""))) &gt; 0, ""UA"", 0)"),"UA")</f>
        <v>UA</v>
      </c>
      <c r="J22" s="40">
        <f ca="1">IFERROR(__xludf.DUMMYFUNCTION("IF(SUM(COUNTIF(artists!C:C, SPLIT(D22, "",""))) &gt; 0, ""RU"", 0)"),0)</f>
        <v>0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C23" s="21" t="s">
        <v>1229</v>
      </c>
      <c r="D23" s="21" t="s">
        <v>1230</v>
      </c>
      <c r="E23" s="21">
        <v>1</v>
      </c>
      <c r="F23" s="21">
        <v>427695</v>
      </c>
      <c r="H23" s="21" t="s">
        <v>1231</v>
      </c>
      <c r="I23" s="39">
        <f ca="1">IFERROR(__xludf.DUMMYFUNCTION("IF(SUM(COUNTIF(artists!A:A, SPLIT(D23, "",""))) &gt; 0, ""UA"", 0)"),0)</f>
        <v>0</v>
      </c>
      <c r="J23" s="40">
        <f ca="1">IFERROR(__xludf.DUMMYFUNCTION("IF(SUM(COUNTIF(artists!C:C, SPLIT(D23, "",""))) &gt; 0, ""RU"", 0)"),0)</f>
        <v>0</v>
      </c>
      <c r="K23" s="39" t="str">
        <f ca="1">IFERROR(__xludf.DUMMYFUNCTION("IF(SUM(COUNTIF(artists!E:E, SPLIT(D23, "",""))) &gt; 0, ""OTHER"", 0)"),"OTHER")</f>
        <v>OTHER</v>
      </c>
    </row>
    <row r="24" spans="1:11" ht="14.25" customHeight="1">
      <c r="A24" s="21">
        <v>23</v>
      </c>
      <c r="B24" s="21">
        <v>19</v>
      </c>
      <c r="C24" s="21" t="s">
        <v>255</v>
      </c>
      <c r="D24" s="21" t="s">
        <v>256</v>
      </c>
      <c r="E24" s="21">
        <v>10</v>
      </c>
      <c r="F24" s="21">
        <v>406758</v>
      </c>
      <c r="G24" s="42">
        <v>-3.3000000000000002E-2</v>
      </c>
      <c r="H24" s="21" t="s">
        <v>257</v>
      </c>
      <c r="I24" s="39" t="str">
        <f ca="1">IFERROR(__xludf.DUMMYFUNCTION("IF(SUM(COUNTIF(artists!A:A, SPLIT(D24, "",""))) &gt; 0, ""UA"", 0)"),"UA")</f>
        <v>UA</v>
      </c>
      <c r="J24" s="40">
        <f ca="1">IFERROR(__xludf.DUMMYFUNCTION("IF(SUM(COUNTIF(artists!C:C, SPLIT(D24, "",""))) &gt; 0, ""RU"", 0)"),0)</f>
        <v>0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B25" s="21">
        <v>27</v>
      </c>
      <c r="C25" s="21" t="s">
        <v>253</v>
      </c>
      <c r="D25" s="21" t="s">
        <v>89</v>
      </c>
      <c r="E25" s="21">
        <v>29</v>
      </c>
      <c r="F25" s="21">
        <v>393938</v>
      </c>
      <c r="G25" s="42">
        <v>0.109</v>
      </c>
      <c r="H25" s="21" t="s">
        <v>254</v>
      </c>
      <c r="I25" s="39" t="str">
        <f ca="1">IFERROR(__xludf.DUMMYFUNCTION("IF(SUM(COUNTIF(artists!A:A, SPLIT(D25, "",""))) &gt; 0, ""UA"", 0)"),"UA")</f>
        <v>UA</v>
      </c>
      <c r="J25" s="40">
        <f ca="1">IFERROR(__xludf.DUMMYFUNCTION("IF(SUM(COUNTIF(artists!C:C, SPLIT(D25, "",""))) &gt; 0, ""RU"", 0)"),0)</f>
        <v>0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B26" s="21">
        <v>18</v>
      </c>
      <c r="C26" s="21" t="s">
        <v>462</v>
      </c>
      <c r="D26" s="21" t="s">
        <v>463</v>
      </c>
      <c r="E26" s="21">
        <v>11</v>
      </c>
      <c r="F26" s="21">
        <v>376659</v>
      </c>
      <c r="G26" s="42">
        <v>-0.107</v>
      </c>
      <c r="H26" s="21" t="s">
        <v>465</v>
      </c>
      <c r="I26" s="39" t="str">
        <f ca="1">IFERROR(__xludf.DUMMYFUNCTION("IF(SUM(COUNTIF(artists!A:A, SPLIT(D26, "",""))) &gt; 0, ""UA"", 0)"),"UA")</f>
        <v>UA</v>
      </c>
      <c r="J26" s="40">
        <f ca="1">IFERROR(__xludf.DUMMYFUNCTION("IF(SUM(COUNTIF(artists!C:C, SPLIT(D26, "",""))) &gt; 0, ""RU"", 0)"),0)</f>
        <v>0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B27" s="21">
        <v>20</v>
      </c>
      <c r="C27" s="21" t="s">
        <v>229</v>
      </c>
      <c r="D27" s="21" t="s">
        <v>230</v>
      </c>
      <c r="E27" s="21">
        <v>27</v>
      </c>
      <c r="F27" s="21">
        <v>375225</v>
      </c>
      <c r="G27" s="42">
        <v>-9.8000000000000004E-2</v>
      </c>
      <c r="H27" s="21" t="s">
        <v>232</v>
      </c>
      <c r="I27" s="39" t="str">
        <f ca="1">IFERROR(__xludf.DUMMYFUNCTION("IF(SUM(COUNTIF(artists!A:A, SPLIT(D27, "",""))) &gt; 0, ""UA"", 0)"),"UA")</f>
        <v>UA</v>
      </c>
      <c r="J27" s="40">
        <f ca="1">IFERROR(__xludf.DUMMYFUNCTION("IF(SUM(COUNTIF(artists!C:C, SPLIT(D27, "",""))) &gt; 0, ""RU"", 0)"),0)</f>
        <v>0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B28" s="21">
        <v>21</v>
      </c>
      <c r="C28" s="21" t="s">
        <v>929</v>
      </c>
      <c r="D28" s="21" t="s">
        <v>930</v>
      </c>
      <c r="E28" s="21">
        <v>13</v>
      </c>
      <c r="F28" s="21">
        <v>372413</v>
      </c>
      <c r="G28" s="42">
        <v>-3.5999999999999997E-2</v>
      </c>
      <c r="H28" s="21" t="s">
        <v>931</v>
      </c>
      <c r="I28" s="39" t="str">
        <f ca="1">IFERROR(__xludf.DUMMYFUNCTION("IF(SUM(COUNTIF(artists!A:A, SPLIT(D28, "",""))) &gt; 0, ""UA"", 0)"),"UA")</f>
        <v>UA</v>
      </c>
      <c r="J28" s="40">
        <f ca="1">IFERROR(__xludf.DUMMYFUNCTION("IF(SUM(COUNTIF(artists!C:C, SPLIT(D28, "",""))) &gt; 0, ""RU"", 0)"),0)</f>
        <v>0</v>
      </c>
      <c r="K28" s="39">
        <f ca="1">IFERROR(__xludf.DUMMYFUNCTION("IF(SUM(COUNTIF(artists!E:E, SPLIT(D28, "",""))) &gt; 0, ""OTHER"", 0)"),0)</f>
        <v>0</v>
      </c>
    </row>
    <row r="29" spans="1:11" ht="14.25" customHeight="1">
      <c r="A29" s="21">
        <v>28</v>
      </c>
      <c r="B29" s="21">
        <v>25</v>
      </c>
      <c r="C29" s="21" t="s">
        <v>799</v>
      </c>
      <c r="D29" s="21" t="s">
        <v>494</v>
      </c>
      <c r="E29" s="21">
        <v>29</v>
      </c>
      <c r="F29" s="21">
        <v>364021</v>
      </c>
      <c r="G29" s="43">
        <v>-0.01</v>
      </c>
      <c r="H29" s="21" t="s">
        <v>800</v>
      </c>
      <c r="I29" s="39" t="str">
        <f ca="1">IFERROR(__xludf.DUMMYFUNCTION("IF(SUM(COUNTIF(artists!A:A, SPLIT(D29, "",""))) &gt; 0, ""UA"", 0)"),"UA")</f>
        <v>UA</v>
      </c>
      <c r="J29" s="40">
        <f ca="1">IFERROR(__xludf.DUMMYFUNCTION("IF(SUM(COUNTIF(artists!C:C, SPLIT(D29, "",""))) &gt; 0, ""RU"", 0)"),0)</f>
        <v>0</v>
      </c>
      <c r="K29" s="39">
        <f ca="1">IFERROR(__xludf.DUMMYFUNCTION("IF(SUM(COUNTIF(artists!E:E, SPLIT(D29, "",""))) &gt; 0, ""OTHER"", 0)"),0)</f>
        <v>0</v>
      </c>
    </row>
    <row r="30" spans="1:11" ht="14.25" customHeight="1">
      <c r="A30" s="21">
        <v>29</v>
      </c>
      <c r="B30" s="21">
        <v>29</v>
      </c>
      <c r="C30" s="21" t="s">
        <v>182</v>
      </c>
      <c r="D30" s="21" t="s">
        <v>183</v>
      </c>
      <c r="E30" s="21">
        <v>16</v>
      </c>
      <c r="F30" s="21">
        <v>363327</v>
      </c>
      <c r="G30" s="42">
        <v>7.5999999999999998E-2</v>
      </c>
      <c r="H30" s="21" t="s">
        <v>185</v>
      </c>
      <c r="I30" s="39" t="str">
        <f ca="1">IFERROR(__xludf.DUMMYFUNCTION("IF(SUM(COUNTIF(artists!A:A, SPLIT(D30, "",""))) &gt; 0, ""UA"", 0)"),"UA")</f>
        <v>UA</v>
      </c>
      <c r="J30" s="40">
        <f ca="1">IFERROR(__xludf.DUMMYFUNCTION("IF(SUM(COUNTIF(artists!C:C, SPLIT(D30, "",""))) &gt; 0, ""RU"", 0)"),0)</f>
        <v>0</v>
      </c>
      <c r="K30" s="39">
        <f ca="1">IFERROR(__xludf.DUMMYFUNCTION("IF(SUM(COUNTIF(artists!E:E, SPLIT(D30, "",""))) &gt; 0, ""OTHER"", 0)"),0)</f>
        <v>0</v>
      </c>
    </row>
    <row r="31" spans="1:11" ht="14.25" customHeight="1">
      <c r="A31" s="21">
        <v>30</v>
      </c>
      <c r="C31" s="21" t="s">
        <v>1258</v>
      </c>
      <c r="D31" s="21" t="s">
        <v>1259</v>
      </c>
      <c r="E31" s="21">
        <v>1</v>
      </c>
      <c r="F31" s="21">
        <v>357350</v>
      </c>
      <c r="H31" s="21" t="s">
        <v>1260</v>
      </c>
      <c r="I31" s="39" t="str">
        <f ca="1">IFERROR(__xludf.DUMMYFUNCTION("IF(SUM(COUNTIF(artists!A:A, SPLIT(D31, "",""))) &gt; 0, ""UA"", 0)"),"UA")</f>
        <v>UA</v>
      </c>
      <c r="J31" s="40">
        <f ca="1">IFERROR(__xludf.DUMMYFUNCTION("IF(SUM(COUNTIF(artists!C:C, SPLIT(D31, "",""))) &gt; 0, ""RU"", 0)"),0)</f>
        <v>0</v>
      </c>
      <c r="K31" s="39">
        <f ca="1">IFERROR(__xludf.DUMMYFUNCTION("IF(SUM(COUNTIF(artists!E:E, SPLIT(D31, "",""))) &gt; 0, ""OTHER"", 0)"),0)</f>
        <v>0</v>
      </c>
    </row>
    <row r="32" spans="1:11" ht="14.25" customHeight="1">
      <c r="A32" s="21">
        <v>31</v>
      </c>
      <c r="B32" s="21">
        <v>22</v>
      </c>
      <c r="C32" s="21" t="s">
        <v>921</v>
      </c>
      <c r="D32" s="21" t="s">
        <v>922</v>
      </c>
      <c r="E32" s="21">
        <v>12</v>
      </c>
      <c r="F32" s="21">
        <v>350572</v>
      </c>
      <c r="G32" s="42">
        <v>-6.2E-2</v>
      </c>
      <c r="H32" s="21" t="s">
        <v>923</v>
      </c>
      <c r="I32" s="39" t="str">
        <f ca="1">IFERROR(__xludf.DUMMYFUNCTION("IF(SUM(COUNTIF(artists!A:A, SPLIT(D32, "",""))) &gt; 0, ""UA"", 0)"),"UA")</f>
        <v>UA</v>
      </c>
      <c r="J32" s="40">
        <f ca="1">IFERROR(__xludf.DUMMYFUNCTION("IF(SUM(COUNTIF(artists!C:C, SPLIT(D32, "",""))) &gt; 0, ""RU"", 0)"),0)</f>
        <v>0</v>
      </c>
      <c r="K32" s="39">
        <f ca="1">IFERROR(__xludf.DUMMYFUNCTION("IF(SUM(COUNTIF(artists!E:E, SPLIT(D32, "",""))) &gt; 0, ""OTHER"", 0)"),0)</f>
        <v>0</v>
      </c>
    </row>
    <row r="33" spans="1:11" ht="14.25" customHeight="1">
      <c r="A33" s="21">
        <v>32</v>
      </c>
      <c r="B33" s="21">
        <v>28</v>
      </c>
      <c r="C33" s="21" t="s">
        <v>168</v>
      </c>
      <c r="D33" s="21" t="s">
        <v>137</v>
      </c>
      <c r="E33" s="21">
        <v>11</v>
      </c>
      <c r="F33" s="21">
        <v>333463</v>
      </c>
      <c r="G33" s="42">
        <v>-5.5E-2</v>
      </c>
      <c r="H33" s="21" t="s">
        <v>170</v>
      </c>
      <c r="I33" s="39" t="str">
        <f ca="1">IFERROR(__xludf.DUMMYFUNCTION("IF(SUM(COUNTIF(artists!A:A, SPLIT(D33, "",""))) &gt; 0, ""UA"", 0)"),"UA")</f>
        <v>UA</v>
      </c>
      <c r="J33" s="40">
        <f ca="1">IFERROR(__xludf.DUMMYFUNCTION("IF(SUM(COUNTIF(artists!C:C, SPLIT(D33, "",""))) &gt; 0, ""RU"", 0)"),0)</f>
        <v>0</v>
      </c>
      <c r="K33" s="39">
        <f ca="1">IFERROR(__xludf.DUMMYFUNCTION("IF(SUM(COUNTIF(artists!E:E, SPLIT(D33, "",""))) &gt; 0, ""OTHER"", 0)"),0)</f>
        <v>0</v>
      </c>
    </row>
    <row r="34" spans="1:11" ht="14.25" customHeight="1">
      <c r="A34" s="21">
        <v>33</v>
      </c>
      <c r="B34" s="21">
        <v>26</v>
      </c>
      <c r="C34" s="21" t="s">
        <v>895</v>
      </c>
      <c r="D34" s="21" t="s">
        <v>896</v>
      </c>
      <c r="E34" s="21">
        <v>32</v>
      </c>
      <c r="F34" s="21">
        <v>333318</v>
      </c>
      <c r="G34" s="42">
        <v>-7.0999999999999994E-2</v>
      </c>
      <c r="H34" s="21" t="s">
        <v>897</v>
      </c>
      <c r="I34" s="39" t="str">
        <f ca="1">IFERROR(__xludf.DUMMYFUNCTION("IF(SUM(COUNTIF(artists!A:A, SPLIT(D34, "",""))) &gt; 0, ""UA"", 0)"),"UA")</f>
        <v>UA</v>
      </c>
      <c r="J34" s="40">
        <f ca="1">IFERROR(__xludf.DUMMYFUNCTION("IF(SUM(COUNTIF(artists!C:C, SPLIT(D34, "",""))) &gt; 0, ""RU"", 0)"),0)</f>
        <v>0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B35" s="21">
        <v>31</v>
      </c>
      <c r="C35" s="21" t="s">
        <v>706</v>
      </c>
      <c r="D35" s="21" t="s">
        <v>199</v>
      </c>
      <c r="E35" s="21">
        <v>16</v>
      </c>
      <c r="F35" s="21">
        <v>332958</v>
      </c>
      <c r="G35" s="42">
        <v>9.5000000000000001E-2</v>
      </c>
      <c r="H35" s="21" t="s">
        <v>1126</v>
      </c>
      <c r="I35" s="39" t="str">
        <f ca="1">IFERROR(__xludf.DUMMYFUNCTION("IF(SUM(COUNTIF(artists!A:A, SPLIT(D35, "",""))) &gt; 0, ""UA"", 0)"),"UA")</f>
        <v>UA</v>
      </c>
      <c r="J35" s="40">
        <f ca="1">IFERROR(__xludf.DUMMYFUNCTION("IF(SUM(COUNTIF(artists!C:C, SPLIT(D35, "",""))) &gt; 0, ""RU"", 0)"),0)</f>
        <v>0</v>
      </c>
      <c r="K35" s="39">
        <f ca="1">IFERROR(__xludf.DUMMYFUNCTION("IF(SUM(COUNTIF(artists!E:E, SPLIT(D35, "",""))) &gt; 0, ""OTHER"", 0)"),0)</f>
        <v>0</v>
      </c>
    </row>
    <row r="36" spans="1:11" ht="14.25" customHeight="1">
      <c r="A36" s="21">
        <v>35</v>
      </c>
      <c r="C36" s="21" t="s">
        <v>841</v>
      </c>
      <c r="D36" s="21" t="s">
        <v>842</v>
      </c>
      <c r="E36" s="21">
        <v>25</v>
      </c>
      <c r="F36" s="21">
        <v>330123</v>
      </c>
      <c r="H36" s="21" t="s">
        <v>843</v>
      </c>
      <c r="I36" s="39">
        <f ca="1">IFERROR(__xludf.DUMMYFUNCTION("IF(SUM(COUNTIF(artists!A:A, SPLIT(D36, "",""))) &gt; 0, ""UA"", 0)"),0)</f>
        <v>0</v>
      </c>
      <c r="J36" s="40">
        <f ca="1">IFERROR(__xludf.DUMMYFUNCTION("IF(SUM(COUNTIF(artists!C:C, SPLIT(D36, "",""))) &gt; 0, ""RU"", 0)"),0)</f>
        <v>0</v>
      </c>
      <c r="K36" s="39" t="str">
        <f ca="1">IFERROR(__xludf.DUMMYFUNCTION("IF(SUM(COUNTIF(artists!E:E, SPLIT(D36, "",""))) &gt; 0, ""OTHER"", 0)"),"OTHER")</f>
        <v>OTHER</v>
      </c>
    </row>
    <row r="37" spans="1:11" ht="14.25" customHeight="1">
      <c r="A37" s="21">
        <v>36</v>
      </c>
      <c r="B37" s="21">
        <v>24</v>
      </c>
      <c r="C37" s="21" t="s">
        <v>524</v>
      </c>
      <c r="D37" s="21" t="s">
        <v>525</v>
      </c>
      <c r="E37" s="21">
        <v>4</v>
      </c>
      <c r="F37" s="21">
        <v>320295</v>
      </c>
      <c r="G37" s="42">
        <v>-0.13800000000000001</v>
      </c>
      <c r="H37" s="21" t="s">
        <v>526</v>
      </c>
      <c r="I37" s="39" t="str">
        <f ca="1">IFERROR(__xludf.DUMMYFUNCTION("IF(SUM(COUNTIF(artists!A:A, SPLIT(D37, "",""))) &gt; 0, ""UA"", 0)"),"UA")</f>
        <v>UA</v>
      </c>
      <c r="J37" s="40">
        <f ca="1">IFERROR(__xludf.DUMMYFUNCTION("IF(SUM(COUNTIF(artists!C:C, SPLIT(D37, "",""))) &gt; 0, ""RU"", 0)"),0)</f>
        <v>0</v>
      </c>
      <c r="K37" s="39">
        <f ca="1">IFERROR(__xludf.DUMMYFUNCTION("IF(SUM(COUNTIF(artists!E:E, SPLIT(D37, "",""))) &gt; 0, ""OTHER"", 0)"),0)</f>
        <v>0</v>
      </c>
    </row>
    <row r="38" spans="1:11" ht="14.25" customHeight="1">
      <c r="A38" s="21">
        <v>37</v>
      </c>
      <c r="C38" s="21" t="s">
        <v>1192</v>
      </c>
      <c r="D38" s="21" t="s">
        <v>1193</v>
      </c>
      <c r="E38" s="21">
        <v>1</v>
      </c>
      <c r="F38" s="21">
        <v>313248</v>
      </c>
      <c r="H38" s="21" t="s">
        <v>1194</v>
      </c>
      <c r="I38" s="39" t="str">
        <f ca="1">IFERROR(__xludf.DUMMYFUNCTION("IF(SUM(COUNTIF(artists!A:A, SPLIT(D38, "",""))) &gt; 0, ""UA"", 0)"),"UA")</f>
        <v>UA</v>
      </c>
      <c r="J38" s="40">
        <f ca="1">IFERROR(__xludf.DUMMYFUNCTION("IF(SUM(COUNTIF(artists!C:C, SPLIT(D38, "",""))) &gt; 0, ""RU"", 0)"),0)</f>
        <v>0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B39" s="21">
        <v>30</v>
      </c>
      <c r="C39" s="21" t="s">
        <v>594</v>
      </c>
      <c r="D39" s="21" t="s">
        <v>595</v>
      </c>
      <c r="E39" s="21">
        <v>8</v>
      </c>
      <c r="F39" s="21">
        <v>305841</v>
      </c>
      <c r="G39" s="43">
        <v>-0.05</v>
      </c>
      <c r="H39" s="21" t="s">
        <v>596</v>
      </c>
      <c r="I39" s="39" t="str">
        <f ca="1">IFERROR(__xludf.DUMMYFUNCTION("IF(SUM(COUNTIF(artists!A:A, SPLIT(D39, "",""))) &gt; 0, ""UA"", 0)"),"UA")</f>
        <v>UA</v>
      </c>
      <c r="J39" s="40">
        <f ca="1">IFERROR(__xludf.DUMMYFUNCTION("IF(SUM(COUNTIF(artists!C:C, SPLIT(D39, "",""))) &gt; 0, ""RU"", 0)"),0)</f>
        <v>0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C40" s="21" t="s">
        <v>198</v>
      </c>
      <c r="D40" s="21" t="s">
        <v>199</v>
      </c>
      <c r="E40" s="21">
        <v>1</v>
      </c>
      <c r="F40" s="21">
        <v>297962</v>
      </c>
      <c r="H40" s="21" t="s">
        <v>201</v>
      </c>
      <c r="I40" s="39" t="str">
        <f ca="1">IFERROR(__xludf.DUMMYFUNCTION("IF(SUM(COUNTIF(artists!A:A, SPLIT(D40, "",""))) &gt; 0, ""UA"", 0)"),"UA")</f>
        <v>UA</v>
      </c>
      <c r="J40" s="40">
        <f ca="1">IFERROR(__xludf.DUMMYFUNCTION("IF(SUM(COUNTIF(artists!C:C, SPLIT(D40, "",""))) &gt; 0, ""RU"", 0)"),0)</f>
        <v>0</v>
      </c>
      <c r="K40" s="39">
        <f ca="1">IFERROR(__xludf.DUMMYFUNCTION("IF(SUM(COUNTIF(artists!E:E, SPLIT(D40, "",""))) &gt; 0, ""OTHER"", 0)"),0)</f>
        <v>0</v>
      </c>
    </row>
    <row r="41" spans="1:11" ht="14.25" customHeight="1">
      <c r="A41" s="21">
        <v>40</v>
      </c>
      <c r="B41" s="21">
        <v>33</v>
      </c>
      <c r="C41" s="21" t="s">
        <v>1089</v>
      </c>
      <c r="D41" s="21" t="s">
        <v>125</v>
      </c>
      <c r="E41" s="21">
        <v>10</v>
      </c>
      <c r="F41" s="21">
        <v>288600</v>
      </c>
      <c r="G41" s="42">
        <v>1.6E-2</v>
      </c>
      <c r="H41" s="21" t="s">
        <v>1090</v>
      </c>
      <c r="I41" s="39">
        <f ca="1">IFERROR(__xludf.DUMMYFUNCTION("IF(SUM(COUNTIF(artists!A:A, SPLIT(D41, "",""))) &gt; 0, ""UA"", 0)"),0)</f>
        <v>0</v>
      </c>
      <c r="J41" s="40" t="str">
        <f ca="1">IFERROR(__xludf.DUMMYFUNCTION("IF(SUM(COUNTIF(artists!C:C, SPLIT(D41, "",""))) &gt; 0, ""RU"", 0)"),"RU")</f>
        <v>RU</v>
      </c>
      <c r="K41" s="39">
        <f ca="1">IFERROR(__xludf.DUMMYFUNCTION("IF(SUM(COUNTIF(artists!E:E, SPLIT(D41, "",""))) &gt; 0, ""OTHER"", 0)"),0)</f>
        <v>0</v>
      </c>
    </row>
    <row r="42" spans="1:11" ht="14.25" customHeight="1">
      <c r="A42" s="21">
        <v>41</v>
      </c>
      <c r="B42" s="21">
        <v>36</v>
      </c>
      <c r="C42" s="21" t="s">
        <v>887</v>
      </c>
      <c r="D42" s="21" t="s">
        <v>89</v>
      </c>
      <c r="E42" s="21">
        <v>27</v>
      </c>
      <c r="F42" s="21">
        <v>287208</v>
      </c>
      <c r="G42" s="42">
        <v>4.3999999999999997E-2</v>
      </c>
      <c r="H42" s="21" t="s">
        <v>888</v>
      </c>
      <c r="I42" s="39" t="str">
        <f ca="1">IFERROR(__xludf.DUMMYFUNCTION("IF(SUM(COUNTIF(artists!A:A, SPLIT(D42, "",""))) &gt; 0, ""UA"", 0)"),"UA")</f>
        <v>UA</v>
      </c>
      <c r="J42" s="40">
        <f ca="1">IFERROR(__xludf.DUMMYFUNCTION("IF(SUM(COUNTIF(artists!C:C, SPLIT(D42, "",""))) &gt; 0, ""RU"", 0)"),0)</f>
        <v>0</v>
      </c>
      <c r="K42" s="39">
        <f ca="1">IFERROR(__xludf.DUMMYFUNCTION("IF(SUM(COUNTIF(artists!E:E, SPLIT(D42, "",""))) &gt; 0, ""OTHER"", 0)"),0)</f>
        <v>0</v>
      </c>
    </row>
    <row r="43" spans="1:11" ht="14.25" customHeight="1">
      <c r="A43" s="21">
        <v>42</v>
      </c>
      <c r="B43" s="21">
        <v>40</v>
      </c>
      <c r="C43" s="21" t="s">
        <v>616</v>
      </c>
      <c r="D43" s="21" t="s">
        <v>617</v>
      </c>
      <c r="E43" s="21">
        <v>10</v>
      </c>
      <c r="F43" s="21">
        <v>279625</v>
      </c>
      <c r="G43" s="42">
        <v>3.7999999999999999E-2</v>
      </c>
      <c r="H43" s="21" t="s">
        <v>618</v>
      </c>
      <c r="I43" s="39">
        <f ca="1">IFERROR(__xludf.DUMMYFUNCTION("IF(SUM(COUNTIF(artists!A:A, SPLIT(D43, "",""))) &gt; 0, ""UA"", 0)"),0)</f>
        <v>0</v>
      </c>
      <c r="J43" s="40">
        <f ca="1">IFERROR(__xludf.DUMMYFUNCTION("IF(SUM(COUNTIF(artists!C:C, SPLIT(D43, "",""))) &gt; 0, ""RU"", 0)"),0)</f>
        <v>0</v>
      </c>
      <c r="K43" s="39" t="str">
        <f ca="1">IFERROR(__xludf.DUMMYFUNCTION("IF(SUM(COUNTIF(artists!E:E, SPLIT(D43, "",""))) &gt; 0, ""OTHER"", 0)"),"OTHER")</f>
        <v>OTHER</v>
      </c>
    </row>
    <row r="44" spans="1:11" ht="14.25" customHeight="1">
      <c r="A44" s="21">
        <v>43</v>
      </c>
      <c r="B44" s="21">
        <v>37</v>
      </c>
      <c r="C44" s="21" t="s">
        <v>1178</v>
      </c>
      <c r="D44" s="21" t="s">
        <v>1117</v>
      </c>
      <c r="E44" s="21">
        <v>16</v>
      </c>
      <c r="F44" s="21">
        <v>278215</v>
      </c>
      <c r="G44" s="42">
        <v>1.6E-2</v>
      </c>
      <c r="H44" s="21" t="s">
        <v>1179</v>
      </c>
      <c r="I44" s="39">
        <f ca="1">IFERROR(__xludf.DUMMYFUNCTION("IF(SUM(COUNTIF(artists!A:A, SPLIT(D44, "",""))) &gt; 0, ""UA"", 0)"),0)</f>
        <v>0</v>
      </c>
      <c r="J44" s="40" t="str">
        <f ca="1">IFERROR(__xludf.DUMMYFUNCTION("IF(SUM(COUNTIF(artists!C:C, SPLIT(D44, "",""))) &gt; 0, ""RU"", 0)"),"RU")</f>
        <v>RU</v>
      </c>
      <c r="K44" s="39">
        <f ca="1">IFERROR(__xludf.DUMMYFUNCTION("IF(SUM(COUNTIF(artists!E:E, SPLIT(D44, "",""))) &gt; 0, ""OTHER"", 0)"),0)</f>
        <v>0</v>
      </c>
    </row>
    <row r="45" spans="1:11" ht="14.25" customHeight="1">
      <c r="A45" s="21">
        <v>44</v>
      </c>
      <c r="B45" s="21">
        <v>35</v>
      </c>
      <c r="C45" s="21" t="s">
        <v>903</v>
      </c>
      <c r="D45" s="21" t="s">
        <v>904</v>
      </c>
      <c r="E45" s="21">
        <v>12</v>
      </c>
      <c r="F45" s="21">
        <v>273930</v>
      </c>
      <c r="G45" s="42">
        <v>-8.9999999999999993E-3</v>
      </c>
      <c r="H45" s="21" t="s">
        <v>905</v>
      </c>
      <c r="I45" s="39" t="str">
        <f ca="1">IFERROR(__xludf.DUMMYFUNCTION("IF(SUM(COUNTIF(artists!A:A, SPLIT(D45, "",""))) &gt; 0, ""UA"", 0)"),"UA")</f>
        <v>UA</v>
      </c>
      <c r="J45" s="40">
        <f ca="1">IFERROR(__xludf.DUMMYFUNCTION("IF(SUM(COUNTIF(artists!C:C, SPLIT(D45, "",""))) &gt; 0, ""RU"", 0)"),0)</f>
        <v>0</v>
      </c>
      <c r="K45" s="39">
        <f ca="1">IFERROR(__xludf.DUMMYFUNCTION("IF(SUM(COUNTIF(artists!E:E, SPLIT(D45, "",""))) &gt; 0, ""OTHER"", 0)"),0)</f>
        <v>0</v>
      </c>
    </row>
    <row r="46" spans="1:11" ht="14.25" customHeight="1">
      <c r="A46" s="21">
        <v>45</v>
      </c>
      <c r="B46" s="21">
        <v>38</v>
      </c>
      <c r="C46" s="21" t="s">
        <v>118</v>
      </c>
      <c r="D46" s="21" t="s">
        <v>586</v>
      </c>
      <c r="E46" s="21">
        <v>23</v>
      </c>
      <c r="F46" s="21">
        <v>271846</v>
      </c>
      <c r="G46" s="42">
        <v>-4.0000000000000001E-3</v>
      </c>
      <c r="H46" s="21" t="s">
        <v>587</v>
      </c>
      <c r="I46" s="39" t="str">
        <f ca="1">IFERROR(__xludf.DUMMYFUNCTION("IF(SUM(COUNTIF(artists!A:A, SPLIT(D46, "",""))) &gt; 0, ""UA"", 0)"),"UA")</f>
        <v>UA</v>
      </c>
      <c r="J46" s="40">
        <f ca="1">IFERROR(__xludf.DUMMYFUNCTION("IF(SUM(COUNTIF(artists!C:C, SPLIT(D46, "",""))) &gt; 0, ""RU"", 0)"),0)</f>
        <v>0</v>
      </c>
      <c r="K46" s="39">
        <f ca="1">IFERROR(__xludf.DUMMYFUNCTION("IF(SUM(COUNTIF(artists!E:E, SPLIT(D46, "",""))) &gt; 0, ""OTHER"", 0)"),0)</f>
        <v>0</v>
      </c>
    </row>
    <row r="47" spans="1:11" ht="14.25" customHeight="1">
      <c r="A47" s="21">
        <v>46</v>
      </c>
      <c r="B47" s="21">
        <v>34</v>
      </c>
      <c r="C47" s="21" t="s">
        <v>909</v>
      </c>
      <c r="D47" s="21" t="s">
        <v>910</v>
      </c>
      <c r="E47" s="21">
        <v>30</v>
      </c>
      <c r="F47" s="21">
        <v>262763</v>
      </c>
      <c r="G47" s="42">
        <v>-6.4000000000000001E-2</v>
      </c>
      <c r="H47" s="21" t="s">
        <v>911</v>
      </c>
      <c r="I47" s="39" t="str">
        <f ca="1">IFERROR(__xludf.DUMMYFUNCTION("IF(SUM(COUNTIF(artists!A:A, SPLIT(D47, "",""))) &gt; 0, ""UA"", 0)"),"UA")</f>
        <v>UA</v>
      </c>
      <c r="J47" s="40">
        <f ca="1">IFERROR(__xludf.DUMMYFUNCTION("IF(SUM(COUNTIF(artists!C:C, SPLIT(D47, "",""))) &gt; 0, ""RU"", 0)"),0)</f>
        <v>0</v>
      </c>
      <c r="K47" s="39">
        <f ca="1">IFERROR(__xludf.DUMMYFUNCTION("IF(SUM(COUNTIF(artists!E:E, SPLIT(D47, "",""))) &gt; 0, ""OTHER"", 0)"),0)</f>
        <v>0</v>
      </c>
    </row>
    <row r="48" spans="1:11" ht="14.25" customHeight="1">
      <c r="A48" s="21">
        <v>47</v>
      </c>
      <c r="B48" s="21">
        <v>41</v>
      </c>
      <c r="C48" s="21" t="s">
        <v>1261</v>
      </c>
      <c r="D48" s="21" t="s">
        <v>137</v>
      </c>
      <c r="E48" s="21">
        <v>37</v>
      </c>
      <c r="F48" s="21">
        <v>262341</v>
      </c>
      <c r="G48" s="42">
        <v>-2.1999999999999999E-2</v>
      </c>
      <c r="H48" s="21" t="s">
        <v>1262</v>
      </c>
      <c r="I48" s="39" t="str">
        <f ca="1">IFERROR(__xludf.DUMMYFUNCTION("IF(SUM(COUNTIF(artists!A:A, SPLIT(D48, "",""))) &gt; 0, ""UA"", 0)"),"UA")</f>
        <v>UA</v>
      </c>
      <c r="J48" s="40">
        <f ca="1">IFERROR(__xludf.DUMMYFUNCTION("IF(SUM(COUNTIF(artists!C:C, SPLIT(D48, "",""))) &gt; 0, ""RU"", 0)"),0)</f>
        <v>0</v>
      </c>
      <c r="K48" s="39">
        <f ca="1">IFERROR(__xludf.DUMMYFUNCTION("IF(SUM(COUNTIF(artists!E:E, SPLIT(D48, "",""))) &gt; 0, ""OTHER"", 0)"),0)</f>
        <v>0</v>
      </c>
    </row>
    <row r="49" spans="1:11" ht="14.25" customHeight="1">
      <c r="A49" s="21">
        <v>48</v>
      </c>
      <c r="B49" s="21">
        <v>39</v>
      </c>
      <c r="C49" s="21" t="s">
        <v>1263</v>
      </c>
      <c r="D49" s="21" t="s">
        <v>1264</v>
      </c>
      <c r="E49" s="21">
        <v>46</v>
      </c>
      <c r="F49" s="21">
        <v>261686</v>
      </c>
      <c r="G49" s="43">
        <v>-0.03</v>
      </c>
      <c r="H49" s="21" t="s">
        <v>1265</v>
      </c>
      <c r="I49" s="39">
        <f ca="1">IFERROR(__xludf.DUMMYFUNCTION("IF(SUM(COUNTIF(artists!A:A, SPLIT(D49, "",""))) &gt; 0, ""UA"", 0)"),0)</f>
        <v>0</v>
      </c>
      <c r="J49" s="40" t="str">
        <f ca="1">IFERROR(__xludf.DUMMYFUNCTION("IF(SUM(COUNTIF(artists!C:C, SPLIT(D49, "",""))) &gt; 0, ""RU"", 0)"),"RU")</f>
        <v>RU</v>
      </c>
      <c r="K49" s="39">
        <f ca="1">IFERROR(__xludf.DUMMYFUNCTION("IF(SUM(COUNTIF(artists!E:E, SPLIT(D49, "",""))) &gt; 0, ""OTHER"", 0)"),0)</f>
        <v>0</v>
      </c>
    </row>
    <row r="50" spans="1:11" ht="14.25" customHeight="1">
      <c r="A50" s="21">
        <v>49</v>
      </c>
      <c r="B50" s="21">
        <v>45</v>
      </c>
      <c r="C50" s="21" t="s">
        <v>516</v>
      </c>
      <c r="D50" s="21" t="s">
        <v>517</v>
      </c>
      <c r="E50" s="21">
        <v>18</v>
      </c>
      <c r="F50" s="21">
        <v>257288</v>
      </c>
      <c r="G50" s="42">
        <v>6.0999999999999999E-2</v>
      </c>
      <c r="H50" s="21" t="s">
        <v>518</v>
      </c>
      <c r="I50" s="39">
        <f ca="1">IFERROR(__xludf.DUMMYFUNCTION("IF(SUM(COUNTIF(artists!A:A, SPLIT(D50, "",""))) &gt; 0, ""UA"", 0)"),0)</f>
        <v>0</v>
      </c>
      <c r="J50" s="40">
        <f ca="1">IFERROR(__xludf.DUMMYFUNCTION("IF(SUM(COUNTIF(artists!C:C, SPLIT(D50, "",""))) &gt; 0, ""RU"", 0)"),0)</f>
        <v>0</v>
      </c>
      <c r="K50" s="39" t="str">
        <f ca="1">IFERROR(__xludf.DUMMYFUNCTION("IF(SUM(COUNTIF(artists!E:E, SPLIT(D50, "",""))) &gt; 0, ""OTHER"", 0)"),"OTHER")</f>
        <v>OTHER</v>
      </c>
    </row>
    <row r="51" spans="1:11" ht="14.25" customHeight="1">
      <c r="A51" s="21">
        <v>50</v>
      </c>
      <c r="B51" s="21">
        <v>32</v>
      </c>
      <c r="C51" s="21" t="s">
        <v>1147</v>
      </c>
      <c r="D51" s="21" t="s">
        <v>776</v>
      </c>
      <c r="E51" s="21">
        <v>6</v>
      </c>
      <c r="F51" s="21">
        <v>253219</v>
      </c>
      <c r="G51" s="42">
        <v>-0.13400000000000001</v>
      </c>
      <c r="H51" s="21" t="s">
        <v>1148</v>
      </c>
      <c r="I51" s="39" t="str">
        <f ca="1">IFERROR(__xludf.DUMMYFUNCTION("IF(SUM(COUNTIF(artists!A:A, SPLIT(D51, "",""))) &gt; 0, ""UA"", 0)"),"UA")</f>
        <v>UA</v>
      </c>
      <c r="J51" s="40">
        <f ca="1">IFERROR(__xludf.DUMMYFUNCTION("IF(SUM(COUNTIF(artists!C:C, SPLIT(D51, "",""))) &gt; 0, ""RU"", 0)"),0)</f>
        <v>0</v>
      </c>
      <c r="K51" s="39">
        <f ca="1">IFERROR(__xludf.DUMMYFUNCTION("IF(SUM(COUNTIF(artists!E:E, SPLIT(D51, "",""))) &gt; 0, ""OTHER"", 0)"),0)</f>
        <v>0</v>
      </c>
    </row>
    <row r="52" spans="1:11" ht="14.25" customHeight="1">
      <c r="A52" s="21">
        <v>51</v>
      </c>
      <c r="B52" s="21">
        <v>57</v>
      </c>
      <c r="C52" s="21" t="s">
        <v>1101</v>
      </c>
      <c r="D52" s="21" t="s">
        <v>498</v>
      </c>
      <c r="E52" s="21">
        <v>2</v>
      </c>
      <c r="F52" s="21">
        <v>246784</v>
      </c>
      <c r="G52" s="42">
        <v>0.21299999999999999</v>
      </c>
      <c r="H52" s="21" t="s">
        <v>1102</v>
      </c>
      <c r="I52" s="39" t="str">
        <f ca="1">IFERROR(__xludf.DUMMYFUNCTION("IF(SUM(COUNTIF(artists!A:A, SPLIT(D52, "",""))) &gt; 0, ""UA"", 0)"),"UA")</f>
        <v>UA</v>
      </c>
      <c r="J52" s="40">
        <f ca="1">IFERROR(__xludf.DUMMYFUNCTION("IF(SUM(COUNTIF(artists!C:C, SPLIT(D52, "",""))) &gt; 0, ""RU"", 0)"),0)</f>
        <v>0</v>
      </c>
      <c r="K52" s="39">
        <f ca="1">IFERROR(__xludf.DUMMYFUNCTION("IF(SUM(COUNTIF(artists!E:E, SPLIT(D52, "",""))) &gt; 0, ""OTHER"", 0)"),0)</f>
        <v>0</v>
      </c>
    </row>
    <row r="53" spans="1:11" ht="14.25" customHeight="1">
      <c r="A53" s="21">
        <v>52</v>
      </c>
      <c r="B53" s="21">
        <v>52</v>
      </c>
      <c r="C53" s="21" t="s">
        <v>1073</v>
      </c>
      <c r="D53" s="21" t="s">
        <v>1074</v>
      </c>
      <c r="E53" s="21">
        <v>6</v>
      </c>
      <c r="F53" s="21">
        <v>241949</v>
      </c>
      <c r="G53" s="42">
        <v>9.1999999999999998E-2</v>
      </c>
      <c r="H53" s="21" t="s">
        <v>1075</v>
      </c>
      <c r="I53" s="39" t="str">
        <f ca="1">IFERROR(__xludf.DUMMYFUNCTION("IF(SUM(COUNTIF(artists!A:A, SPLIT(D53, "",""))) &gt; 0, ""UA"", 0)"),"UA")</f>
        <v>UA</v>
      </c>
      <c r="J53" s="40">
        <f ca="1">IFERROR(__xludf.DUMMYFUNCTION("IF(SUM(COUNTIF(artists!C:C, SPLIT(D53, "",""))) &gt; 0, ""RU"", 0)"),0)</f>
        <v>0</v>
      </c>
      <c r="K53" s="39">
        <f ca="1">IFERROR(__xludf.DUMMYFUNCTION("IF(SUM(COUNTIF(artists!E:E, SPLIT(D53, "",""))) &gt; 0, ""OTHER"", 0)"),0)</f>
        <v>0</v>
      </c>
    </row>
    <row r="54" spans="1:11" ht="14.25" customHeight="1">
      <c r="A54" s="21">
        <v>53</v>
      </c>
      <c r="B54" s="21">
        <v>42</v>
      </c>
      <c r="C54" s="21" t="s">
        <v>284</v>
      </c>
      <c r="D54" s="21" t="s">
        <v>15</v>
      </c>
      <c r="E54" s="21">
        <v>7</v>
      </c>
      <c r="F54" s="21">
        <v>239135</v>
      </c>
      <c r="G54" s="42">
        <v>-9.9000000000000005E-2</v>
      </c>
      <c r="H54" s="21" t="s">
        <v>285</v>
      </c>
      <c r="I54" s="39">
        <f ca="1">IFERROR(__xludf.DUMMYFUNCTION("IF(SUM(COUNTIF(artists!A:A, SPLIT(D54, "",""))) &gt; 0, ""UA"", 0)"),0)</f>
        <v>0</v>
      </c>
      <c r="J54" s="40">
        <f ca="1">IFERROR(__xludf.DUMMYFUNCTION("IF(SUM(COUNTIF(artists!C:C, SPLIT(D54, "",""))) &gt; 0, ""RU"", 0)"),0)</f>
        <v>0</v>
      </c>
      <c r="K54" s="39" t="str">
        <f ca="1">IFERROR(__xludf.DUMMYFUNCTION("IF(SUM(COUNTIF(artists!E:E, SPLIT(D54, "",""))) &gt; 0, ""OTHER"", 0)"),"OTHER")</f>
        <v>OTHER</v>
      </c>
    </row>
    <row r="55" spans="1:11" ht="14.25" customHeight="1">
      <c r="A55" s="21">
        <v>54</v>
      </c>
      <c r="B55" s="21">
        <v>46</v>
      </c>
      <c r="C55" s="21" t="s">
        <v>1055</v>
      </c>
      <c r="D55" s="21" t="s">
        <v>776</v>
      </c>
      <c r="E55" s="21">
        <v>17</v>
      </c>
      <c r="F55" s="21">
        <v>238716</v>
      </c>
      <c r="G55" s="42">
        <v>-1.4E-2</v>
      </c>
      <c r="H55" s="21" t="s">
        <v>1056</v>
      </c>
      <c r="I55" s="39" t="str">
        <f ca="1">IFERROR(__xludf.DUMMYFUNCTION("IF(SUM(COUNTIF(artists!A:A, SPLIT(D55, "",""))) &gt; 0, ""UA"", 0)"),"UA")</f>
        <v>UA</v>
      </c>
      <c r="J55" s="40">
        <f ca="1">IFERROR(__xludf.DUMMYFUNCTION("IF(SUM(COUNTIF(artists!C:C, SPLIT(D55, "",""))) &gt; 0, ""RU"", 0)"),0)</f>
        <v>0</v>
      </c>
      <c r="K55" s="39">
        <f ca="1">IFERROR(__xludf.DUMMYFUNCTION("IF(SUM(COUNTIF(artists!E:E, SPLIT(D55, "",""))) &gt; 0, ""OTHER"", 0)"),0)</f>
        <v>0</v>
      </c>
    </row>
    <row r="56" spans="1:11" ht="14.25" customHeight="1">
      <c r="A56" s="21">
        <v>55</v>
      </c>
      <c r="C56" s="21" t="s">
        <v>1116</v>
      </c>
      <c r="D56" s="21" t="s">
        <v>1117</v>
      </c>
      <c r="E56" s="21">
        <v>30</v>
      </c>
      <c r="F56" s="21">
        <v>237199</v>
      </c>
      <c r="H56" s="21" t="s">
        <v>1118</v>
      </c>
      <c r="I56" s="39">
        <f ca="1">IFERROR(__xludf.DUMMYFUNCTION("IF(SUM(COUNTIF(artists!A:A, SPLIT(D56, "",""))) &gt; 0, ""UA"", 0)"),0)</f>
        <v>0</v>
      </c>
      <c r="J56" s="40" t="str">
        <f ca="1">IFERROR(__xludf.DUMMYFUNCTION("IF(SUM(COUNTIF(artists!C:C, SPLIT(D56, "",""))) &gt; 0, ""RU"", 0)"),"RU")</f>
        <v>RU</v>
      </c>
      <c r="K56" s="39">
        <f ca="1">IFERROR(__xludf.DUMMYFUNCTION("IF(SUM(COUNTIF(artists!E:E, SPLIT(D56, "",""))) &gt; 0, ""OTHER"", 0)"),0)</f>
        <v>0</v>
      </c>
    </row>
    <row r="57" spans="1:11" ht="14.25" customHeight="1">
      <c r="A57" s="21">
        <v>56</v>
      </c>
      <c r="C57" s="21" t="s">
        <v>1166</v>
      </c>
      <c r="D57" s="21" t="s">
        <v>1167</v>
      </c>
      <c r="E57" s="21">
        <v>1</v>
      </c>
      <c r="F57" s="21">
        <v>234738</v>
      </c>
      <c r="H57" s="21" t="s">
        <v>1168</v>
      </c>
      <c r="I57" s="39">
        <f ca="1">IFERROR(__xludf.DUMMYFUNCTION("IF(SUM(COUNTIF(artists!A:A, SPLIT(D57, "",""))) &gt; 0, ""UA"", 0)"),0)</f>
        <v>0</v>
      </c>
      <c r="J57" s="40" t="str">
        <f ca="1">IFERROR(__xludf.DUMMYFUNCTION("IF(SUM(COUNTIF(artists!C:C, SPLIT(D57, "",""))) &gt; 0, ""RU"", 0)"),"RU")</f>
        <v>RU</v>
      </c>
      <c r="K57" s="39">
        <f ca="1">IFERROR(__xludf.DUMMYFUNCTION("IF(SUM(COUNTIF(artists!E:E, SPLIT(D57, "",""))) &gt; 0, ""OTHER"", 0)"),0)</f>
        <v>0</v>
      </c>
    </row>
    <row r="58" spans="1:11" ht="14.25" customHeight="1">
      <c r="A58" s="21">
        <v>57</v>
      </c>
      <c r="B58" s="21">
        <v>55</v>
      </c>
      <c r="C58" s="21" t="s">
        <v>678</v>
      </c>
      <c r="D58" s="21" t="s">
        <v>89</v>
      </c>
      <c r="E58" s="21">
        <v>18</v>
      </c>
      <c r="F58" s="21">
        <v>228456</v>
      </c>
      <c r="G58" s="42">
        <v>7.8E-2</v>
      </c>
      <c r="H58" s="21" t="s">
        <v>679</v>
      </c>
      <c r="I58" s="39" t="str">
        <f ca="1">IFERROR(__xludf.DUMMYFUNCTION("IF(SUM(COUNTIF(artists!A:A, SPLIT(D58, "",""))) &gt; 0, ""UA"", 0)"),"UA")</f>
        <v>UA</v>
      </c>
      <c r="J58" s="40">
        <f ca="1">IFERROR(__xludf.DUMMYFUNCTION("IF(SUM(COUNTIF(artists!C:C, SPLIT(D58, "",""))) &gt; 0, ""RU"", 0)"),0)</f>
        <v>0</v>
      </c>
      <c r="K58" s="39">
        <f ca="1">IFERROR(__xludf.DUMMYFUNCTION("IF(SUM(COUNTIF(artists!E:E, SPLIT(D58, "",""))) &gt; 0, ""OTHER"", 0)"),0)</f>
        <v>0</v>
      </c>
    </row>
    <row r="59" spans="1:11" ht="14.25" customHeight="1">
      <c r="A59" s="21">
        <v>58</v>
      </c>
      <c r="B59" s="21">
        <v>43</v>
      </c>
      <c r="C59" s="21" t="s">
        <v>1242</v>
      </c>
      <c r="D59" s="21" t="s">
        <v>969</v>
      </c>
      <c r="E59" s="21">
        <v>19</v>
      </c>
      <c r="F59" s="21">
        <v>224461</v>
      </c>
      <c r="G59" s="42">
        <v>-0.107</v>
      </c>
      <c r="H59" s="21" t="s">
        <v>1243</v>
      </c>
      <c r="I59" s="39" t="str">
        <f ca="1">IFERROR(__xludf.DUMMYFUNCTION("IF(SUM(COUNTIF(artists!A:A, SPLIT(D59, "",""))) &gt; 0, ""UA"", 0)"),"UA")</f>
        <v>UA</v>
      </c>
      <c r="J59" s="40">
        <f ca="1">IFERROR(__xludf.DUMMYFUNCTION("IF(SUM(COUNTIF(artists!C:C, SPLIT(D59, "",""))) &gt; 0, ""RU"", 0)"),0)</f>
        <v>0</v>
      </c>
      <c r="K59" s="39">
        <f ca="1">IFERROR(__xludf.DUMMYFUNCTION("IF(SUM(COUNTIF(artists!E:E, SPLIT(D59, "",""))) &gt; 0, ""OTHER"", 0)"),0)</f>
        <v>0</v>
      </c>
    </row>
    <row r="60" spans="1:11" ht="14.25" customHeight="1">
      <c r="A60" s="21">
        <v>59</v>
      </c>
      <c r="C60" s="21" t="s">
        <v>1255</v>
      </c>
      <c r="D60" s="21" t="s">
        <v>1256</v>
      </c>
      <c r="E60" s="21">
        <v>1</v>
      </c>
      <c r="F60" s="21">
        <v>212396</v>
      </c>
      <c r="H60" s="21" t="s">
        <v>1257</v>
      </c>
      <c r="I60" s="39" t="str">
        <f ca="1">IFERROR(__xludf.DUMMYFUNCTION("IF(SUM(COUNTIF(artists!A:A, SPLIT(D60, "",""))) &gt; 0, ""UA"", 0)"),"UA")</f>
        <v>UA</v>
      </c>
      <c r="J60" s="40">
        <f ca="1">IFERROR(__xludf.DUMMYFUNCTION("IF(SUM(COUNTIF(artists!C:C, SPLIT(D60, "",""))) &gt; 0, ""RU"", 0)"),0)</f>
        <v>0</v>
      </c>
      <c r="K60" s="39">
        <f ca="1">IFERROR(__xludf.DUMMYFUNCTION("IF(SUM(COUNTIF(artists!E:E, SPLIT(D60, "",""))) &gt; 0, ""OTHER"", 0)"),0)</f>
        <v>0</v>
      </c>
    </row>
    <row r="61" spans="1:11" ht="14.25" customHeight="1">
      <c r="A61" s="21">
        <v>60</v>
      </c>
      <c r="B61" s="21">
        <v>44</v>
      </c>
      <c r="C61" s="21" t="s">
        <v>1062</v>
      </c>
      <c r="D61" s="21" t="s">
        <v>1063</v>
      </c>
      <c r="E61" s="21">
        <v>5</v>
      </c>
      <c r="F61" s="21">
        <v>211739</v>
      </c>
      <c r="G61" s="42">
        <v>-0.153</v>
      </c>
      <c r="H61" s="21" t="s">
        <v>1064</v>
      </c>
      <c r="I61" s="39" t="str">
        <f ca="1">IFERROR(__xludf.DUMMYFUNCTION("IF(SUM(COUNTIF(artists!A:A, SPLIT(D61, "",""))) &gt; 0, ""UA"", 0)"),"UA")</f>
        <v>UA</v>
      </c>
      <c r="J61" s="40">
        <f ca="1">IFERROR(__xludf.DUMMYFUNCTION("IF(SUM(COUNTIF(artists!C:C, SPLIT(D61, "",""))) &gt; 0, ""RU"", 0)"),0)</f>
        <v>0</v>
      </c>
      <c r="K61" s="39">
        <f ca="1">IFERROR(__xludf.DUMMYFUNCTION("IF(SUM(COUNTIF(artists!E:E, SPLIT(D61, "",""))) &gt; 0, ""OTHER"", 0)"),0)</f>
        <v>0</v>
      </c>
    </row>
    <row r="62" spans="1:11" ht="14.25" customHeight="1">
      <c r="A62" s="21">
        <v>61</v>
      </c>
      <c r="B62" s="21">
        <v>83</v>
      </c>
      <c r="C62" s="21" t="s">
        <v>1266</v>
      </c>
      <c r="D62" s="21" t="s">
        <v>1267</v>
      </c>
      <c r="E62" s="21">
        <v>2</v>
      </c>
      <c r="F62" s="21">
        <v>205402</v>
      </c>
      <c r="G62" s="42">
        <v>0.35899999999999999</v>
      </c>
      <c r="H62" s="21" t="s">
        <v>1268</v>
      </c>
      <c r="I62" s="39">
        <f ca="1">IFERROR(__xludf.DUMMYFUNCTION("IF(SUM(COUNTIF(artists!A:A, SPLIT(D62, "",""))) &gt; 0, ""UA"", 0)"),0)</f>
        <v>0</v>
      </c>
      <c r="J62" s="40">
        <f ca="1">IFERROR(__xludf.DUMMYFUNCTION("IF(SUM(COUNTIF(artists!C:C, SPLIT(D62, "",""))) &gt; 0, ""RU"", 0)"),0)</f>
        <v>0</v>
      </c>
      <c r="K62" s="39" t="str">
        <f ca="1">IFERROR(__xludf.DUMMYFUNCTION("IF(SUM(COUNTIF(artists!E:E, SPLIT(D62, "",""))) &gt; 0, ""OTHER"", 0)"),"OTHER")</f>
        <v>OTHER</v>
      </c>
    </row>
    <row r="63" spans="1:11" ht="14.25" customHeight="1">
      <c r="A63" s="21">
        <v>62</v>
      </c>
      <c r="B63" s="21">
        <v>51</v>
      </c>
      <c r="C63" s="21" t="s">
        <v>1269</v>
      </c>
      <c r="D63" s="21" t="s">
        <v>1270</v>
      </c>
      <c r="E63" s="21">
        <v>15</v>
      </c>
      <c r="F63" s="21">
        <v>204169</v>
      </c>
      <c r="G63" s="42">
        <v>-0.13700000000000001</v>
      </c>
      <c r="H63" s="21" t="s">
        <v>1271</v>
      </c>
      <c r="I63" s="39">
        <f ca="1">IFERROR(__xludf.DUMMYFUNCTION("IF(SUM(COUNTIF(artists!A:A, SPLIT(D63, "",""))) &gt; 0, ""UA"", 0)"),0)</f>
        <v>0</v>
      </c>
      <c r="J63" s="40" t="str">
        <f ca="1">IFERROR(__xludf.DUMMYFUNCTION("IF(SUM(COUNTIF(artists!C:C, SPLIT(D63, "",""))) &gt; 0, ""RU"", 0)"),"RU")</f>
        <v>RU</v>
      </c>
      <c r="K63" s="39">
        <f ca="1">IFERROR(__xludf.DUMMYFUNCTION("IF(SUM(COUNTIF(artists!E:E, SPLIT(D63, "",""))) &gt; 0, ""OTHER"", 0)"),0)</f>
        <v>0</v>
      </c>
    </row>
    <row r="64" spans="1:11" ht="14.25" customHeight="1">
      <c r="A64" s="21">
        <v>63</v>
      </c>
      <c r="B64" s="21">
        <v>68</v>
      </c>
      <c r="C64" s="21" t="s">
        <v>1251</v>
      </c>
      <c r="D64" s="21" t="s">
        <v>1230</v>
      </c>
      <c r="E64" s="21">
        <v>5</v>
      </c>
      <c r="F64" s="21">
        <v>200223</v>
      </c>
      <c r="G64" s="43">
        <v>0.09</v>
      </c>
      <c r="H64" s="21" t="s">
        <v>1252</v>
      </c>
      <c r="I64" s="39">
        <f ca="1">IFERROR(__xludf.DUMMYFUNCTION("IF(SUM(COUNTIF(artists!A:A, SPLIT(D64, "",""))) &gt; 0, ""UA"", 0)"),0)</f>
        <v>0</v>
      </c>
      <c r="J64" s="40">
        <f ca="1">IFERROR(__xludf.DUMMYFUNCTION("IF(SUM(COUNTIF(artists!C:C, SPLIT(D64, "",""))) &gt; 0, ""RU"", 0)"),0)</f>
        <v>0</v>
      </c>
      <c r="K64" s="39" t="str">
        <f ca="1">IFERROR(__xludf.DUMMYFUNCTION("IF(SUM(COUNTIF(artists!E:E, SPLIT(D64, "",""))) &gt; 0, ""OTHER"", 0)"),"OTHER")</f>
        <v>OTHER</v>
      </c>
    </row>
    <row r="65" spans="1:11" ht="14.25" customHeight="1">
      <c r="A65" s="21">
        <v>64</v>
      </c>
      <c r="B65" s="21">
        <v>58</v>
      </c>
      <c r="C65" s="21" t="s">
        <v>1187</v>
      </c>
      <c r="D65" s="21" t="s">
        <v>1188</v>
      </c>
      <c r="E65" s="21">
        <v>11</v>
      </c>
      <c r="F65" s="21">
        <v>196801</v>
      </c>
      <c r="G65" s="42">
        <v>-2.5999999999999999E-2</v>
      </c>
      <c r="H65" s="21" t="s">
        <v>1189</v>
      </c>
      <c r="I65" s="39" t="str">
        <f ca="1">IFERROR(__xludf.DUMMYFUNCTION("IF(SUM(COUNTIF(artists!A:A, SPLIT(D65, "",""))) &gt; 0, ""UA"", 0)"),"UA")</f>
        <v>UA</v>
      </c>
      <c r="J65" s="40">
        <f ca="1">IFERROR(__xludf.DUMMYFUNCTION("IF(SUM(COUNTIF(artists!C:C, SPLIT(D65, "",""))) &gt; 0, ""RU"", 0)"),0)</f>
        <v>0</v>
      </c>
      <c r="K65" s="39">
        <f ca="1">IFERROR(__xludf.DUMMYFUNCTION("IF(SUM(COUNTIF(artists!E:E, SPLIT(D65, "",""))) &gt; 0, ""OTHER"", 0)"),0)</f>
        <v>0</v>
      </c>
    </row>
    <row r="66" spans="1:11" ht="14.25" customHeight="1">
      <c r="A66" s="21">
        <v>65</v>
      </c>
      <c r="C66" s="21" t="s">
        <v>1222</v>
      </c>
      <c r="D66" s="21" t="s">
        <v>1223</v>
      </c>
      <c r="E66" s="21">
        <v>24</v>
      </c>
      <c r="F66" s="21">
        <v>196644</v>
      </c>
      <c r="H66" s="21" t="s">
        <v>1224</v>
      </c>
      <c r="I66" s="39">
        <f ca="1">IFERROR(__xludf.DUMMYFUNCTION("IF(SUM(COUNTIF(artists!A:A, SPLIT(D66, "",""))) &gt; 0, ""UA"", 0)"),0)</f>
        <v>0</v>
      </c>
      <c r="J66" s="40" t="str">
        <f ca="1">IFERROR(__xludf.DUMMYFUNCTION("IF(SUM(COUNTIF(artists!C:C, SPLIT(D66, "",""))) &gt; 0, ""RU"", 0)"),"RU")</f>
        <v>RU</v>
      </c>
      <c r="K66" s="39">
        <f ca="1">IFERROR(__xludf.DUMMYFUNCTION("IF(SUM(COUNTIF(artists!E:E, SPLIT(D66, "",""))) &gt; 0, ""OTHER"", 0)"),0)</f>
        <v>0</v>
      </c>
    </row>
    <row r="67" spans="1:11" ht="14.25" customHeight="1">
      <c r="A67" s="21">
        <v>66</v>
      </c>
      <c r="B67" s="21">
        <v>59</v>
      </c>
      <c r="C67" s="21" t="s">
        <v>520</v>
      </c>
      <c r="D67" s="21" t="s">
        <v>521</v>
      </c>
      <c r="E67" s="21">
        <v>11</v>
      </c>
      <c r="F67" s="21">
        <v>195198</v>
      </c>
      <c r="G67" s="42">
        <v>-2.8000000000000001E-2</v>
      </c>
      <c r="H67" s="21" t="s">
        <v>522</v>
      </c>
      <c r="I67" s="39" t="str">
        <f ca="1">IFERROR(__xludf.DUMMYFUNCTION("IF(SUM(COUNTIF(artists!A:A, SPLIT(D67, "",""))) &gt; 0, ""UA"", 0)"),"UA")</f>
        <v>UA</v>
      </c>
      <c r="J67" s="40">
        <f ca="1">IFERROR(__xludf.DUMMYFUNCTION("IF(SUM(COUNTIF(artists!C:C, SPLIT(D67, "",""))) &gt; 0, ""RU"", 0)"),0)</f>
        <v>0</v>
      </c>
      <c r="K67" s="39">
        <f ca="1">IFERROR(__xludf.DUMMYFUNCTION("IF(SUM(COUNTIF(artists!E:E, SPLIT(D67, "",""))) &gt; 0, ""OTHER"", 0)"),0)</f>
        <v>0</v>
      </c>
    </row>
    <row r="68" spans="1:11" ht="14.25" customHeight="1">
      <c r="A68" s="21">
        <v>67</v>
      </c>
      <c r="B68" s="21">
        <v>73</v>
      </c>
      <c r="C68" s="21" t="s">
        <v>636</v>
      </c>
      <c r="D68" s="21" t="s">
        <v>637</v>
      </c>
      <c r="E68" s="21">
        <v>19</v>
      </c>
      <c r="F68" s="21">
        <v>194374</v>
      </c>
      <c r="G68" s="43">
        <v>0.17</v>
      </c>
      <c r="H68" s="21" t="s">
        <v>638</v>
      </c>
      <c r="I68" s="39">
        <f ca="1">IFERROR(__xludf.DUMMYFUNCTION("IF(SUM(COUNTIF(artists!A:A, SPLIT(D68, "",""))) &gt; 0, ""UA"", 0)"),0)</f>
        <v>0</v>
      </c>
      <c r="J68" s="40">
        <f ca="1">IFERROR(__xludf.DUMMYFUNCTION("IF(SUM(COUNTIF(artists!C:C, SPLIT(D68, "",""))) &gt; 0, ""RU"", 0)"),0)</f>
        <v>0</v>
      </c>
      <c r="K68" s="39" t="str">
        <f ca="1">IFERROR(__xludf.DUMMYFUNCTION("IF(SUM(COUNTIF(artists!E:E, SPLIT(D68, "",""))) &gt; 0, ""OTHER"", 0)"),"OTHER")</f>
        <v>OTHER</v>
      </c>
    </row>
    <row r="69" spans="1:11" ht="14.25" customHeight="1">
      <c r="A69" s="21">
        <v>68</v>
      </c>
      <c r="B69" s="21">
        <v>61</v>
      </c>
      <c r="C69" s="21" t="s">
        <v>971</v>
      </c>
      <c r="D69" s="21" t="s">
        <v>972</v>
      </c>
      <c r="E69" s="21">
        <v>8</v>
      </c>
      <c r="F69" s="21">
        <v>193930</v>
      </c>
      <c r="G69" s="42">
        <v>-7.0000000000000001E-3</v>
      </c>
      <c r="H69" s="21" t="s">
        <v>973</v>
      </c>
      <c r="I69" s="39">
        <f ca="1">IFERROR(__xludf.DUMMYFUNCTION("IF(SUM(COUNTIF(artists!A:A, SPLIT(D69, "",""))) &gt; 0, ""UA"", 0)"),0)</f>
        <v>0</v>
      </c>
      <c r="J69" s="40">
        <f ca="1">IFERROR(__xludf.DUMMYFUNCTION("IF(SUM(COUNTIF(artists!C:C, SPLIT(D69, "",""))) &gt; 0, ""RU"", 0)"),0)</f>
        <v>0</v>
      </c>
      <c r="K69" s="39" t="str">
        <f ca="1">IFERROR(__xludf.DUMMYFUNCTION("IF(SUM(COUNTIF(artists!E:E, SPLIT(D69, "",""))) &gt; 0, ""OTHER"", 0)"),"OTHER")</f>
        <v>OTHER</v>
      </c>
    </row>
    <row r="70" spans="1:11" ht="14.25" customHeight="1">
      <c r="A70" s="21">
        <v>69</v>
      </c>
      <c r="B70" s="21">
        <v>53</v>
      </c>
      <c r="C70" s="21" t="s">
        <v>589</v>
      </c>
      <c r="D70" s="21" t="s">
        <v>590</v>
      </c>
      <c r="E70" s="21">
        <v>8</v>
      </c>
      <c r="F70" s="21">
        <v>193846</v>
      </c>
      <c r="G70" s="42">
        <v>-9.1999999999999998E-2</v>
      </c>
      <c r="H70" s="21" t="s">
        <v>591</v>
      </c>
      <c r="I70" s="39" t="str">
        <f ca="1">IFERROR(__xludf.DUMMYFUNCTION("IF(SUM(COUNTIF(artists!A:A, SPLIT(D70, "",""))) &gt; 0, ""UA"", 0)"),"UA")</f>
        <v>UA</v>
      </c>
      <c r="J70" s="40">
        <f ca="1">IFERROR(__xludf.DUMMYFUNCTION("IF(SUM(COUNTIF(artists!C:C, SPLIT(D70, "",""))) &gt; 0, ""RU"", 0)"),0)</f>
        <v>0</v>
      </c>
      <c r="K70" s="39">
        <f ca="1">IFERROR(__xludf.DUMMYFUNCTION("IF(SUM(COUNTIF(artists!E:E, SPLIT(D70, "",""))) &gt; 0, ""OTHER"", 0)"),0)</f>
        <v>0</v>
      </c>
    </row>
    <row r="71" spans="1:11" ht="14.25" customHeight="1">
      <c r="A71" s="21">
        <v>70</v>
      </c>
      <c r="B71" s="21">
        <v>71</v>
      </c>
      <c r="C71" s="21" t="s">
        <v>1076</v>
      </c>
      <c r="D71" s="21" t="s">
        <v>1077</v>
      </c>
      <c r="E71" s="21">
        <v>11</v>
      </c>
      <c r="F71" s="21">
        <v>192631</v>
      </c>
      <c r="G71" s="42">
        <v>0.111</v>
      </c>
      <c r="H71" s="21" t="s">
        <v>1078</v>
      </c>
      <c r="I71" s="39" t="str">
        <f ca="1">IFERROR(__xludf.DUMMYFUNCTION("IF(SUM(COUNTIF(artists!A:A, SPLIT(D71, "",""))) &gt; 0, ""UA"", 0)"),"UA")</f>
        <v>UA</v>
      </c>
      <c r="J71" s="40">
        <f ca="1">IFERROR(__xludf.DUMMYFUNCTION("IF(SUM(COUNTIF(artists!C:C, SPLIT(D71, "",""))) &gt; 0, ""RU"", 0)"),0)</f>
        <v>0</v>
      </c>
      <c r="K71" s="39">
        <f ca="1">IFERROR(__xludf.DUMMYFUNCTION("IF(SUM(COUNTIF(artists!E:E, SPLIT(D71, "",""))) &gt; 0, ""OTHER"", 0)"),0)</f>
        <v>0</v>
      </c>
    </row>
    <row r="72" spans="1:11" ht="14.25" customHeight="1">
      <c r="A72" s="21">
        <v>71</v>
      </c>
      <c r="B72" s="21">
        <v>60</v>
      </c>
      <c r="C72" s="21" t="s">
        <v>1253</v>
      </c>
      <c r="D72" s="21" t="s">
        <v>997</v>
      </c>
      <c r="E72" s="21">
        <v>2</v>
      </c>
      <c r="F72" s="21">
        <v>192073</v>
      </c>
      <c r="G72" s="42">
        <v>-2.4E-2</v>
      </c>
      <c r="H72" s="21" t="s">
        <v>1254</v>
      </c>
      <c r="I72" s="39" t="str">
        <f ca="1">IFERROR(__xludf.DUMMYFUNCTION("IF(SUM(COUNTIF(artists!A:A, SPLIT(D72, "",""))) &gt; 0, ""UA"", 0)"),"UA")</f>
        <v>UA</v>
      </c>
      <c r="J72" s="40">
        <f ca="1">IFERROR(__xludf.DUMMYFUNCTION("IF(SUM(COUNTIF(artists!C:C, SPLIT(D72, "",""))) &gt; 0, ""RU"", 0)"),0)</f>
        <v>0</v>
      </c>
      <c r="K72" s="39">
        <f ca="1">IFERROR(__xludf.DUMMYFUNCTION("IF(SUM(COUNTIF(artists!E:E, SPLIT(D72, "",""))) &gt; 0, ""OTHER"", 0)"),0)</f>
        <v>0</v>
      </c>
    </row>
    <row r="73" spans="1:11" ht="14.25" customHeight="1">
      <c r="A73" s="21">
        <v>72</v>
      </c>
      <c r="C73" s="21" t="s">
        <v>700</v>
      </c>
      <c r="D73" s="21" t="s">
        <v>701</v>
      </c>
      <c r="E73" s="21">
        <v>1</v>
      </c>
      <c r="F73" s="21">
        <v>185601</v>
      </c>
      <c r="H73" s="21" t="s">
        <v>702</v>
      </c>
      <c r="I73" s="39">
        <f ca="1">IFERROR(__xludf.DUMMYFUNCTION("IF(SUM(COUNTIF(artists!A:A, SPLIT(D73, "",""))) &gt; 0, ""UA"", 0)"),0)</f>
        <v>0</v>
      </c>
      <c r="J73" s="40" t="str">
        <f ca="1">IFERROR(__xludf.DUMMYFUNCTION("IF(SUM(COUNTIF(artists!C:C, SPLIT(D73, "",""))) &gt; 0, ""RU"", 0)"),"RU")</f>
        <v>RU</v>
      </c>
      <c r="K73" s="39">
        <f ca="1">IFERROR(__xludf.DUMMYFUNCTION("IF(SUM(COUNTIF(artists!E:E, SPLIT(D73, "",""))) &gt; 0, ""OTHER"", 0)"),0)</f>
        <v>0</v>
      </c>
    </row>
    <row r="74" spans="1:11" ht="14.25" customHeight="1">
      <c r="A74" s="21">
        <v>73</v>
      </c>
      <c r="C74" s="21" t="s">
        <v>1202</v>
      </c>
      <c r="D74" s="21" t="s">
        <v>1203</v>
      </c>
      <c r="E74" s="21">
        <v>1</v>
      </c>
      <c r="F74" s="21">
        <v>183426</v>
      </c>
      <c r="H74" s="21" t="s">
        <v>1204</v>
      </c>
      <c r="I74" s="39">
        <f ca="1">IFERROR(__xludf.DUMMYFUNCTION("IF(SUM(COUNTIF(artists!A:A, SPLIT(D74, "",""))) &gt; 0, ""UA"", 0)"),0)</f>
        <v>0</v>
      </c>
      <c r="J74" s="40" t="str">
        <f ca="1">IFERROR(__xludf.DUMMYFUNCTION("IF(SUM(COUNTIF(artists!C:C, SPLIT(D74, "",""))) &gt; 0, ""RU"", 0)"),"RU")</f>
        <v>RU</v>
      </c>
      <c r="K74" s="39">
        <f ca="1">IFERROR(__xludf.DUMMYFUNCTION("IF(SUM(COUNTIF(artists!E:E, SPLIT(D74, "",""))) &gt; 0, ""OTHER"", 0)"),0)</f>
        <v>0</v>
      </c>
    </row>
    <row r="75" spans="1:11" ht="14.25" customHeight="1">
      <c r="A75" s="21">
        <v>74</v>
      </c>
      <c r="B75" s="21">
        <v>64</v>
      </c>
      <c r="C75" s="21" t="s">
        <v>1214</v>
      </c>
      <c r="D75" s="21" t="s">
        <v>1117</v>
      </c>
      <c r="E75" s="21">
        <v>9</v>
      </c>
      <c r="F75" s="21">
        <v>181629</v>
      </c>
      <c r="G75" s="43">
        <v>-0.04</v>
      </c>
      <c r="H75" s="21" t="s">
        <v>1215</v>
      </c>
      <c r="I75" s="39">
        <f ca="1">IFERROR(__xludf.DUMMYFUNCTION("IF(SUM(COUNTIF(artists!A:A, SPLIT(D75, "",""))) &gt; 0, ""UA"", 0)"),0)</f>
        <v>0</v>
      </c>
      <c r="J75" s="40" t="str">
        <f ca="1">IFERROR(__xludf.DUMMYFUNCTION("IF(SUM(COUNTIF(artists!C:C, SPLIT(D75, "",""))) &gt; 0, ""RU"", 0)"),"RU")</f>
        <v>RU</v>
      </c>
      <c r="K75" s="39">
        <f ca="1">IFERROR(__xludf.DUMMYFUNCTION("IF(SUM(COUNTIF(artists!E:E, SPLIT(D75, "",""))) &gt; 0, ""OTHER"", 0)"),0)</f>
        <v>0</v>
      </c>
    </row>
    <row r="76" spans="1:11" ht="14.25" customHeight="1">
      <c r="A76" s="21">
        <v>75</v>
      </c>
      <c r="B76" s="21">
        <v>66</v>
      </c>
      <c r="C76" s="21" t="s">
        <v>868</v>
      </c>
      <c r="D76" s="21" t="s">
        <v>869</v>
      </c>
      <c r="E76" s="21">
        <v>4</v>
      </c>
      <c r="F76" s="21">
        <v>181617</v>
      </c>
      <c r="G76" s="42">
        <v>-2.8000000000000001E-2</v>
      </c>
      <c r="H76" s="21" t="s">
        <v>870</v>
      </c>
      <c r="I76" s="39">
        <f ca="1">IFERROR(__xludf.DUMMYFUNCTION("IF(SUM(COUNTIF(artists!A:A, SPLIT(D76, "",""))) &gt; 0, ""UA"", 0)"),0)</f>
        <v>0</v>
      </c>
      <c r="J76" s="40" t="str">
        <f ca="1">IFERROR(__xludf.DUMMYFUNCTION("IF(SUM(COUNTIF(artists!C:C, SPLIT(D76, "",""))) &gt; 0, ""RU"", 0)"),"RU")</f>
        <v>RU</v>
      </c>
      <c r="K76" s="39">
        <f ca="1">IFERROR(__xludf.DUMMYFUNCTION("IF(SUM(COUNTIF(artists!E:E, SPLIT(D76, "",""))) &gt; 0, ""OTHER"", 0)"),0)</f>
        <v>0</v>
      </c>
    </row>
    <row r="77" spans="1:11" ht="14.25" customHeight="1">
      <c r="A77" s="21">
        <v>76</v>
      </c>
      <c r="C77" s="21" t="s">
        <v>505</v>
      </c>
      <c r="D77" s="21" t="s">
        <v>506</v>
      </c>
      <c r="E77" s="21">
        <v>22</v>
      </c>
      <c r="F77" s="21">
        <v>177027</v>
      </c>
      <c r="H77" s="21" t="s">
        <v>507</v>
      </c>
      <c r="I77" s="39">
        <f ca="1">IFERROR(__xludf.DUMMYFUNCTION("IF(SUM(COUNTIF(artists!A:A, SPLIT(D77, "",""))) &gt; 0, ""UA"", 0)"),0)</f>
        <v>0</v>
      </c>
      <c r="J77" s="40">
        <f ca="1">IFERROR(__xludf.DUMMYFUNCTION("IF(SUM(COUNTIF(artists!C:C, SPLIT(D77, "",""))) &gt; 0, ""RU"", 0)"),0)</f>
        <v>0</v>
      </c>
      <c r="K77" s="39" t="str">
        <f ca="1">IFERROR(__xludf.DUMMYFUNCTION("IF(SUM(COUNTIF(artists!E:E, SPLIT(D77, "",""))) &gt; 0, ""OTHER"", 0)"),"OTHER")</f>
        <v>OTHER</v>
      </c>
    </row>
    <row r="78" spans="1:11" ht="14.25" customHeight="1">
      <c r="A78" s="21">
        <v>77</v>
      </c>
      <c r="B78" s="21">
        <v>67</v>
      </c>
      <c r="C78" s="21" t="s">
        <v>1137</v>
      </c>
      <c r="D78" s="21" t="s">
        <v>1117</v>
      </c>
      <c r="E78" s="21">
        <v>4</v>
      </c>
      <c r="F78" s="21">
        <v>175097</v>
      </c>
      <c r="G78" s="42">
        <v>-5.8000000000000003E-2</v>
      </c>
      <c r="H78" s="21" t="s">
        <v>1138</v>
      </c>
      <c r="I78" s="39">
        <f ca="1">IFERROR(__xludf.DUMMYFUNCTION("IF(SUM(COUNTIF(artists!A:A, SPLIT(D78, "",""))) &gt; 0, ""UA"", 0)"),0)</f>
        <v>0</v>
      </c>
      <c r="J78" s="40" t="str">
        <f ca="1">IFERROR(__xludf.DUMMYFUNCTION("IF(SUM(COUNTIF(artists!C:C, SPLIT(D78, "",""))) &gt; 0, ""RU"", 0)"),"RU")</f>
        <v>RU</v>
      </c>
      <c r="K78" s="39">
        <f ca="1">IFERROR(__xludf.DUMMYFUNCTION("IF(SUM(COUNTIF(artists!E:E, SPLIT(D78, "",""))) &gt; 0, ""OTHER"", 0)"),0)</f>
        <v>0</v>
      </c>
    </row>
    <row r="79" spans="1:11" ht="14.25" customHeight="1">
      <c r="A79" s="21">
        <v>78</v>
      </c>
      <c r="B79" s="21">
        <v>82</v>
      </c>
      <c r="C79" s="21" t="s">
        <v>1232</v>
      </c>
      <c r="D79" s="21" t="s">
        <v>104</v>
      </c>
      <c r="E79" s="21">
        <v>4</v>
      </c>
      <c r="F79" s="21">
        <v>174665</v>
      </c>
      <c r="G79" s="42">
        <v>0.13900000000000001</v>
      </c>
      <c r="H79" s="21" t="s">
        <v>1233</v>
      </c>
      <c r="I79" s="39" t="str">
        <f ca="1">IFERROR(__xludf.DUMMYFUNCTION("IF(SUM(COUNTIF(artists!A:A, SPLIT(D79, "",""))) &gt; 0, ""UA"", 0)"),"UA")</f>
        <v>UA</v>
      </c>
      <c r="J79" s="40">
        <f ca="1">IFERROR(__xludf.DUMMYFUNCTION("IF(SUM(COUNTIF(artists!C:C, SPLIT(D79, "",""))) &gt; 0, ""RU"", 0)"),0)</f>
        <v>0</v>
      </c>
      <c r="K79" s="39">
        <f ca="1">IFERROR(__xludf.DUMMYFUNCTION("IF(SUM(COUNTIF(artists!E:E, SPLIT(D79, "",""))) &gt; 0, ""OTHER"", 0)"),0)</f>
        <v>0</v>
      </c>
    </row>
    <row r="80" spans="1:11" ht="14.25" customHeight="1">
      <c r="A80" s="21">
        <v>79</v>
      </c>
      <c r="B80" s="21">
        <v>65</v>
      </c>
      <c r="C80" s="21" t="s">
        <v>874</v>
      </c>
      <c r="D80" s="21" t="s">
        <v>108</v>
      </c>
      <c r="E80" s="21">
        <v>10</v>
      </c>
      <c r="F80" s="21">
        <v>169754</v>
      </c>
      <c r="G80" s="42">
        <v>-0.10100000000000001</v>
      </c>
      <c r="H80" s="21" t="s">
        <v>875</v>
      </c>
      <c r="I80" s="39" t="str">
        <f ca="1">IFERROR(__xludf.DUMMYFUNCTION("IF(SUM(COUNTIF(artists!A:A, SPLIT(D80, "",""))) &gt; 0, ""UA"", 0)"),"UA")</f>
        <v>UA</v>
      </c>
      <c r="J80" s="40">
        <f ca="1">IFERROR(__xludf.DUMMYFUNCTION("IF(SUM(COUNTIF(artists!C:C, SPLIT(D80, "",""))) &gt; 0, ""RU"", 0)"),0)</f>
        <v>0</v>
      </c>
      <c r="K80" s="39">
        <f ca="1">IFERROR(__xludf.DUMMYFUNCTION("IF(SUM(COUNTIF(artists!E:E, SPLIT(D80, "",""))) &gt; 0, ""OTHER"", 0)"),0)</f>
        <v>0</v>
      </c>
    </row>
    <row r="81" spans="1:11" ht="14.25" customHeight="1">
      <c r="A81" s="21">
        <v>80</v>
      </c>
      <c r="B81" s="21">
        <v>72</v>
      </c>
      <c r="C81" s="21" t="s">
        <v>1175</v>
      </c>
      <c r="D81" s="21" t="s">
        <v>1176</v>
      </c>
      <c r="E81" s="21">
        <v>11</v>
      </c>
      <c r="F81" s="21">
        <v>167061</v>
      </c>
      <c r="G81" s="42">
        <v>-5.0000000000000001E-3</v>
      </c>
      <c r="H81" s="21" t="s">
        <v>1177</v>
      </c>
      <c r="I81" s="39">
        <f ca="1">IFERROR(__xludf.DUMMYFUNCTION("IF(SUM(COUNTIF(artists!A:A, SPLIT(D81, "",""))) &gt; 0, ""UA"", 0)"),0)</f>
        <v>0</v>
      </c>
      <c r="J81" s="40" t="str">
        <f ca="1">IFERROR(__xludf.DUMMYFUNCTION("IF(SUM(COUNTIF(artists!C:C, SPLIT(D81, "",""))) &gt; 0, ""RU"", 0)"),"RU")</f>
        <v>RU</v>
      </c>
      <c r="K81" s="39">
        <f ca="1">IFERROR(__xludf.DUMMYFUNCTION("IF(SUM(COUNTIF(artists!E:E, SPLIT(D81, "",""))) &gt; 0, ""OTHER"", 0)"),0)</f>
        <v>0</v>
      </c>
    </row>
    <row r="82" spans="1:11" ht="14.25" customHeight="1">
      <c r="A82" s="21">
        <v>81</v>
      </c>
      <c r="B82" s="21">
        <v>79</v>
      </c>
      <c r="C82" s="21" t="s">
        <v>1211</v>
      </c>
      <c r="D82" s="21" t="s">
        <v>1212</v>
      </c>
      <c r="E82" s="21">
        <v>7</v>
      </c>
      <c r="F82" s="21">
        <v>163193</v>
      </c>
      <c r="G82" s="42">
        <v>3.5000000000000003E-2</v>
      </c>
      <c r="H82" s="21" t="s">
        <v>1213</v>
      </c>
      <c r="I82" s="39">
        <f ca="1">IFERROR(__xludf.DUMMYFUNCTION("IF(SUM(COUNTIF(artists!A:A, SPLIT(D82, "",""))) &gt; 0, ""UA"", 0)"),0)</f>
        <v>0</v>
      </c>
      <c r="J82" s="40" t="str">
        <f ca="1">IFERROR(__xludf.DUMMYFUNCTION("IF(SUM(COUNTIF(artists!C:C, SPLIT(D82, "",""))) &gt; 0, ""RU"", 0)"),"RU")</f>
        <v>RU</v>
      </c>
      <c r="K82" s="39">
        <f ca="1">IFERROR(__xludf.DUMMYFUNCTION("IF(SUM(COUNTIF(artists!E:E, SPLIT(D82, "",""))) &gt; 0, ""OTHER"", 0)"),0)</f>
        <v>0</v>
      </c>
    </row>
    <row r="83" spans="1:11" ht="14.25" customHeight="1">
      <c r="A83" s="21">
        <v>82</v>
      </c>
      <c r="B83" s="21">
        <v>84</v>
      </c>
      <c r="C83" s="21" t="s">
        <v>1236</v>
      </c>
      <c r="D83" s="21" t="s">
        <v>1237</v>
      </c>
      <c r="E83" s="21">
        <v>11</v>
      </c>
      <c r="F83" s="21">
        <v>162918</v>
      </c>
      <c r="G83" s="42">
        <v>8.4000000000000005E-2</v>
      </c>
      <c r="H83" s="21" t="s">
        <v>1238</v>
      </c>
      <c r="I83" s="39">
        <f ca="1">IFERROR(__xludf.DUMMYFUNCTION("IF(SUM(COUNTIF(artists!A:A, SPLIT(D83, "",""))) &gt; 0, ""UA"", 0)"),0)</f>
        <v>0</v>
      </c>
      <c r="J83" s="40" t="str">
        <f ca="1">IFERROR(__xludf.DUMMYFUNCTION("IF(SUM(COUNTIF(artists!C:C, SPLIT(D83, "",""))) &gt; 0, ""RU"", 0)"),"RU")</f>
        <v>RU</v>
      </c>
      <c r="K83" s="39">
        <f ca="1">IFERROR(__xludf.DUMMYFUNCTION("IF(SUM(COUNTIF(artists!E:E, SPLIT(D83, "",""))) &gt; 0, ""OTHER"", 0)"),0)</f>
        <v>0</v>
      </c>
    </row>
    <row r="84" spans="1:11" ht="14.25" customHeight="1">
      <c r="A84" s="21">
        <v>83</v>
      </c>
      <c r="C84" s="21" t="s">
        <v>1272</v>
      </c>
      <c r="D84" s="21" t="s">
        <v>972</v>
      </c>
      <c r="E84" s="21">
        <v>47</v>
      </c>
      <c r="F84" s="21">
        <v>160778</v>
      </c>
      <c r="H84" s="21" t="s">
        <v>1273</v>
      </c>
      <c r="I84" s="39">
        <f ca="1">IFERROR(__xludf.DUMMYFUNCTION("IF(SUM(COUNTIF(artists!A:A, SPLIT(D84, "",""))) &gt; 0, ""UA"", 0)"),0)</f>
        <v>0</v>
      </c>
      <c r="J84" s="40">
        <f ca="1">IFERROR(__xludf.DUMMYFUNCTION("IF(SUM(COUNTIF(artists!C:C, SPLIT(D84, "",""))) &gt; 0, ""RU"", 0)"),0)</f>
        <v>0</v>
      </c>
      <c r="K84" s="39" t="str">
        <f ca="1">IFERROR(__xludf.DUMMYFUNCTION("IF(SUM(COUNTIF(artists!E:E, SPLIT(D84, "",""))) &gt; 0, ""OTHER"", 0)"),"OTHER")</f>
        <v>OTHER</v>
      </c>
    </row>
    <row r="85" spans="1:11" ht="14.25" customHeight="1">
      <c r="A85" s="21">
        <v>84</v>
      </c>
      <c r="C85" s="21" t="s">
        <v>667</v>
      </c>
      <c r="D85" s="21" t="s">
        <v>668</v>
      </c>
      <c r="E85" s="21">
        <v>1</v>
      </c>
      <c r="F85" s="21">
        <v>160430</v>
      </c>
      <c r="H85" s="21" t="s">
        <v>669</v>
      </c>
      <c r="I85" s="39">
        <f ca="1">IFERROR(__xludf.DUMMYFUNCTION("IF(SUM(COUNTIF(artists!A:A, SPLIT(D85, "",""))) &gt; 0, ""UA"", 0)"),0)</f>
        <v>0</v>
      </c>
      <c r="J85" s="40" t="str">
        <f ca="1">IFERROR(__xludf.DUMMYFUNCTION("IF(SUM(COUNTIF(artists!C:C, SPLIT(D85, "",""))) &gt; 0, ""RU"", 0)"),"RU")</f>
        <v>RU</v>
      </c>
      <c r="K85" s="39">
        <f ca="1">IFERROR(__xludf.DUMMYFUNCTION("IF(SUM(COUNTIF(artists!E:E, SPLIT(D85, "",""))) &gt; 0, ""OTHER"", 0)"),0)</f>
        <v>0</v>
      </c>
    </row>
    <row r="86" spans="1:11" ht="14.25" customHeight="1">
      <c r="A86" s="21">
        <v>85</v>
      </c>
      <c r="C86" s="21" t="s">
        <v>508</v>
      </c>
      <c r="D86" s="21" t="s">
        <v>509</v>
      </c>
      <c r="E86" s="21">
        <v>1</v>
      </c>
      <c r="F86" s="21">
        <v>159102</v>
      </c>
      <c r="H86" s="21" t="s">
        <v>510</v>
      </c>
      <c r="I86" s="39">
        <f ca="1">IFERROR(__xludf.DUMMYFUNCTION("IF(SUM(COUNTIF(artists!A:A, SPLIT(D86, "",""))) &gt; 0, ""UA"", 0)"),0)</f>
        <v>0</v>
      </c>
      <c r="J86" s="40" t="str">
        <f ca="1">IFERROR(__xludf.DUMMYFUNCTION("IF(SUM(COUNTIF(artists!C:C, SPLIT(D86, "",""))) &gt; 0, ""RU"", 0)"),"RU")</f>
        <v>RU</v>
      </c>
      <c r="K86" s="39">
        <f ca="1">IFERROR(__xludf.DUMMYFUNCTION("IF(SUM(COUNTIF(artists!E:E, SPLIT(D86, "",""))) &gt; 0, ""OTHER"", 0)"),0)</f>
        <v>0</v>
      </c>
    </row>
    <row r="87" spans="1:11" ht="14.25" customHeight="1">
      <c r="A87" s="21">
        <v>86</v>
      </c>
      <c r="B87" s="21">
        <v>86</v>
      </c>
      <c r="C87" s="21" t="s">
        <v>1249</v>
      </c>
      <c r="D87" s="21" t="s">
        <v>187</v>
      </c>
      <c r="E87" s="21">
        <v>12</v>
      </c>
      <c r="F87" s="21">
        <v>157018</v>
      </c>
      <c r="G87" s="42">
        <v>5.1999999999999998E-2</v>
      </c>
      <c r="H87" s="21" t="s">
        <v>1250</v>
      </c>
      <c r="I87" s="39" t="str">
        <f ca="1">IFERROR(__xludf.DUMMYFUNCTION("IF(SUM(COUNTIF(artists!A:A, SPLIT(D87, "",""))) &gt; 0, ""UA"", 0)"),"UA")</f>
        <v>UA</v>
      </c>
      <c r="J87" s="40">
        <f ca="1">IFERROR(__xludf.DUMMYFUNCTION("IF(SUM(COUNTIF(artists!C:C, SPLIT(D87, "",""))) &gt; 0, ""RU"", 0)"),0)</f>
        <v>0</v>
      </c>
      <c r="K87" s="39">
        <f ca="1">IFERROR(__xludf.DUMMYFUNCTION("IF(SUM(COUNTIF(artists!E:E, SPLIT(D87, "",""))) &gt; 0, ""OTHER"", 0)"),0)</f>
        <v>0</v>
      </c>
    </row>
    <row r="88" spans="1:11" ht="14.25" customHeight="1">
      <c r="A88" s="21">
        <v>87</v>
      </c>
      <c r="B88" s="21">
        <v>77</v>
      </c>
      <c r="C88" s="21" t="s">
        <v>697</v>
      </c>
      <c r="D88" s="21" t="s">
        <v>698</v>
      </c>
      <c r="E88" s="21">
        <v>16</v>
      </c>
      <c r="F88" s="21">
        <v>155532</v>
      </c>
      <c r="G88" s="42">
        <v>-2.3E-2</v>
      </c>
      <c r="H88" s="21" t="s">
        <v>699</v>
      </c>
      <c r="I88" s="39">
        <f ca="1">IFERROR(__xludf.DUMMYFUNCTION("IF(SUM(COUNTIF(artists!A:A, SPLIT(D88, "",""))) &gt; 0, ""UA"", 0)"),0)</f>
        <v>0</v>
      </c>
      <c r="J88" s="40" t="str">
        <f ca="1">IFERROR(__xludf.DUMMYFUNCTION("IF(SUM(COUNTIF(artists!C:C, SPLIT(D88, "",""))) &gt; 0, ""RU"", 0)"),"RU")</f>
        <v>RU</v>
      </c>
      <c r="K88" s="39">
        <f ca="1">IFERROR(__xludf.DUMMYFUNCTION("IF(SUM(COUNTIF(artists!E:E, SPLIT(D88, "",""))) &gt; 0, ""OTHER"", 0)"),0)</f>
        <v>0</v>
      </c>
    </row>
    <row r="89" spans="1:11" ht="14.25" customHeight="1">
      <c r="A89" s="21">
        <v>88</v>
      </c>
      <c r="B89" s="21">
        <v>100</v>
      </c>
      <c r="C89" s="21" t="s">
        <v>1038</v>
      </c>
      <c r="D89" s="21" t="s">
        <v>1039</v>
      </c>
      <c r="E89" s="21">
        <v>2</v>
      </c>
      <c r="F89" s="21">
        <v>155121</v>
      </c>
      <c r="G89" s="42">
        <v>0.126</v>
      </c>
      <c r="H89" s="21" t="s">
        <v>1040</v>
      </c>
      <c r="I89" s="39">
        <f ca="1">IFERROR(__xludf.DUMMYFUNCTION("IF(SUM(COUNTIF(artists!A:A, SPLIT(D89, "",""))) &gt; 0, ""UA"", 0)"),0)</f>
        <v>0</v>
      </c>
      <c r="J89" s="40">
        <f ca="1">IFERROR(__xludf.DUMMYFUNCTION("IF(SUM(COUNTIF(artists!C:C, SPLIT(D89, "",""))) &gt; 0, ""RU"", 0)"),0)</f>
        <v>0</v>
      </c>
      <c r="K89" s="39" t="str">
        <f ca="1">IFERROR(__xludf.DUMMYFUNCTION("IF(SUM(COUNTIF(artists!E:E, SPLIT(D89, "",""))) &gt; 0, ""OTHER"", 0)"),"OTHER")</f>
        <v>OTHER</v>
      </c>
    </row>
    <row r="90" spans="1:11" ht="14.25" customHeight="1">
      <c r="A90" s="21">
        <v>89</v>
      </c>
      <c r="C90" s="21" t="s">
        <v>470</v>
      </c>
      <c r="D90" s="21" t="s">
        <v>598</v>
      </c>
      <c r="E90" s="21">
        <v>23</v>
      </c>
      <c r="F90" s="21">
        <v>153703</v>
      </c>
      <c r="H90" s="21" t="s">
        <v>1274</v>
      </c>
      <c r="I90" s="39" t="str">
        <f ca="1">IFERROR(__xludf.DUMMYFUNCTION("IF(SUM(COUNTIF(artists!A:A, SPLIT(D90, "",""))) &gt; 0, ""UA"", 0)"),"UA")</f>
        <v>UA</v>
      </c>
      <c r="J90" s="40">
        <f ca="1">IFERROR(__xludf.DUMMYFUNCTION("IF(SUM(COUNTIF(artists!C:C, SPLIT(D90, "",""))) &gt; 0, ""RU"", 0)"),0)</f>
        <v>0</v>
      </c>
      <c r="K90" s="39">
        <f ca="1">IFERROR(__xludf.DUMMYFUNCTION("IF(SUM(COUNTIF(artists!E:E, SPLIT(D90, "",""))) &gt; 0, ""OTHER"", 0)"),0)</f>
        <v>0</v>
      </c>
    </row>
    <row r="91" spans="1:11" ht="14.25" customHeight="1">
      <c r="A91" s="21">
        <v>90</v>
      </c>
      <c r="C91" s="21" t="s">
        <v>1239</v>
      </c>
      <c r="D91" s="21" t="s">
        <v>1240</v>
      </c>
      <c r="E91" s="21">
        <v>22</v>
      </c>
      <c r="F91" s="21">
        <v>153601</v>
      </c>
      <c r="H91" s="21" t="s">
        <v>1241</v>
      </c>
      <c r="I91" s="39">
        <f ca="1">IFERROR(__xludf.DUMMYFUNCTION("IF(SUM(COUNTIF(artists!A:A, SPLIT(D91, "",""))) &gt; 0, ""UA"", 0)"),0)</f>
        <v>0</v>
      </c>
      <c r="J91" s="40" t="str">
        <f ca="1">IFERROR(__xludf.DUMMYFUNCTION("IF(SUM(COUNTIF(artists!C:C, SPLIT(D91, "",""))) &gt; 0, ""RU"", 0)"),"RU")</f>
        <v>RU</v>
      </c>
      <c r="K91" s="39">
        <f ca="1">IFERROR(__xludf.DUMMYFUNCTION("IF(SUM(COUNTIF(artists!E:E, SPLIT(D91, "",""))) &gt; 0, ""OTHER"", 0)"),0)</f>
        <v>0</v>
      </c>
    </row>
    <row r="92" spans="1:11" ht="14.25" customHeight="1">
      <c r="A92" s="21">
        <v>91</v>
      </c>
      <c r="B92" s="21">
        <v>98</v>
      </c>
      <c r="C92" s="21" t="s">
        <v>1275</v>
      </c>
      <c r="D92" s="21" t="s">
        <v>89</v>
      </c>
      <c r="E92" s="21">
        <v>4</v>
      </c>
      <c r="F92" s="21">
        <v>149610</v>
      </c>
      <c r="G92" s="42">
        <v>7.3999999999999996E-2</v>
      </c>
      <c r="H92" s="21" t="s">
        <v>1276</v>
      </c>
      <c r="I92" s="39" t="str">
        <f ca="1">IFERROR(__xludf.DUMMYFUNCTION("IF(SUM(COUNTIF(artists!A:A, SPLIT(D92, "",""))) &gt; 0, ""UA"", 0)"),"UA")</f>
        <v>UA</v>
      </c>
      <c r="J92" s="40">
        <f ca="1">IFERROR(__xludf.DUMMYFUNCTION("IF(SUM(COUNTIF(artists!C:C, SPLIT(D92, "",""))) &gt; 0, ""RU"", 0)"),0)</f>
        <v>0</v>
      </c>
      <c r="K92" s="39">
        <f ca="1">IFERROR(__xludf.DUMMYFUNCTION("IF(SUM(COUNTIF(artists!E:E, SPLIT(D92, "",""))) &gt; 0, ""OTHER"", 0)"),0)</f>
        <v>0</v>
      </c>
    </row>
    <row r="93" spans="1:11" ht="14.25" customHeight="1">
      <c r="A93" s="21">
        <v>92</v>
      </c>
      <c r="B93" s="21">
        <v>95</v>
      </c>
      <c r="C93" s="21" t="s">
        <v>1133</v>
      </c>
      <c r="D93" s="21" t="s">
        <v>89</v>
      </c>
      <c r="E93" s="21">
        <v>7</v>
      </c>
      <c r="F93" s="21">
        <v>148527</v>
      </c>
      <c r="G93" s="42">
        <v>5.0999999999999997E-2</v>
      </c>
      <c r="H93" s="21" t="s">
        <v>1134</v>
      </c>
      <c r="I93" s="39" t="str">
        <f ca="1">IFERROR(__xludf.DUMMYFUNCTION("IF(SUM(COUNTIF(artists!A:A, SPLIT(D93, "",""))) &gt; 0, ""UA"", 0)"),"UA")</f>
        <v>UA</v>
      </c>
      <c r="J93" s="40">
        <f ca="1">IFERROR(__xludf.DUMMYFUNCTION("IF(SUM(COUNTIF(artists!C:C, SPLIT(D93, "",""))) &gt; 0, ""RU"", 0)"),0)</f>
        <v>0</v>
      </c>
      <c r="K93" s="39">
        <f ca="1">IFERROR(__xludf.DUMMYFUNCTION("IF(SUM(COUNTIF(artists!E:E, SPLIT(D93, "",""))) &gt; 0, ""OTHER"", 0)"),0)</f>
        <v>0</v>
      </c>
    </row>
    <row r="94" spans="1:11" ht="14.25" customHeight="1">
      <c r="A94" s="21">
        <v>93</v>
      </c>
      <c r="C94" s="21" t="s">
        <v>390</v>
      </c>
      <c r="D94" s="21" t="s">
        <v>391</v>
      </c>
      <c r="E94" s="21">
        <v>4</v>
      </c>
      <c r="F94" s="21">
        <v>148308</v>
      </c>
      <c r="H94" s="21" t="s">
        <v>393</v>
      </c>
      <c r="I94" s="39">
        <f ca="1">IFERROR(__xludf.DUMMYFUNCTION("IF(SUM(COUNTIF(artists!A:A, SPLIT(D94, "",""))) &gt; 0, ""UA"", 0)"),0)</f>
        <v>0</v>
      </c>
      <c r="J94" s="40" t="str">
        <f ca="1">IFERROR(__xludf.DUMMYFUNCTION("IF(SUM(COUNTIF(artists!C:C, SPLIT(D94, "",""))) &gt; 0, ""RU"", 0)"),"RU")</f>
        <v>RU</v>
      </c>
      <c r="K94" s="39">
        <f ca="1">IFERROR(__xludf.DUMMYFUNCTION("IF(SUM(COUNTIF(artists!E:E, SPLIT(D94, "",""))) &gt; 0, ""OTHER"", 0)"),0)</f>
        <v>0</v>
      </c>
    </row>
    <row r="95" spans="1:11" ht="14.25" customHeight="1">
      <c r="A95" s="21">
        <v>94</v>
      </c>
      <c r="B95" s="21">
        <v>90</v>
      </c>
      <c r="C95" s="21" t="s">
        <v>379</v>
      </c>
      <c r="D95" s="21" t="s">
        <v>380</v>
      </c>
      <c r="E95" s="21">
        <v>9</v>
      </c>
      <c r="F95" s="21">
        <v>147652</v>
      </c>
      <c r="G95" s="42">
        <v>1.2999999999999999E-2</v>
      </c>
      <c r="H95" s="21" t="s">
        <v>382</v>
      </c>
      <c r="I95" s="39" t="str">
        <f ca="1">IFERROR(__xludf.DUMMYFUNCTION("IF(SUM(COUNTIF(artists!A:A, SPLIT(D95, "",""))) &gt; 0, ""UA"", 0)"),"UA")</f>
        <v>UA</v>
      </c>
      <c r="J95" s="40">
        <f ca="1">IFERROR(__xludf.DUMMYFUNCTION("IF(SUM(COUNTIF(artists!C:C, SPLIT(D95, "",""))) &gt; 0, ""RU"", 0)"),0)</f>
        <v>0</v>
      </c>
      <c r="K95" s="39">
        <f ca="1">IFERROR(__xludf.DUMMYFUNCTION("IF(SUM(COUNTIF(artists!E:E, SPLIT(D95, "",""))) &gt; 0, ""OTHER"", 0)"),0)</f>
        <v>0</v>
      </c>
    </row>
    <row r="96" spans="1:11" ht="14.25" customHeight="1">
      <c r="A96" s="21">
        <v>95</v>
      </c>
      <c r="B96" s="21">
        <v>80</v>
      </c>
      <c r="C96" s="21" t="s">
        <v>1277</v>
      </c>
      <c r="D96" s="21" t="s">
        <v>1278</v>
      </c>
      <c r="E96" s="21">
        <v>4</v>
      </c>
      <c r="F96" s="21">
        <v>147573</v>
      </c>
      <c r="G96" s="42">
        <v>-6.2E-2</v>
      </c>
      <c r="H96" s="21" t="s">
        <v>1279</v>
      </c>
      <c r="I96" s="39">
        <f ca="1">IFERROR(__xludf.DUMMYFUNCTION("IF(SUM(COUNTIF(artists!A:A, SPLIT(D96, "",""))) &gt; 0, ""UA"", 0)"),0)</f>
        <v>0</v>
      </c>
      <c r="J96" s="40" t="str">
        <f ca="1">IFERROR(__xludf.DUMMYFUNCTION("IF(SUM(COUNTIF(artists!C:C, SPLIT(D96, "",""))) &gt; 0, ""RU"", 0)"),"RU")</f>
        <v>RU</v>
      </c>
      <c r="K96" s="39">
        <f ca="1">IFERROR(__xludf.DUMMYFUNCTION("IF(SUM(COUNTIF(artists!E:E, SPLIT(D96, "",""))) &gt; 0, ""OTHER"", 0)"),0)</f>
        <v>0</v>
      </c>
    </row>
    <row r="97" spans="1:11" ht="14.25" customHeight="1">
      <c r="A97" s="21">
        <v>96</v>
      </c>
      <c r="B97" s="21">
        <v>92</v>
      </c>
      <c r="C97" s="21" t="s">
        <v>1157</v>
      </c>
      <c r="D97" s="21" t="s">
        <v>1158</v>
      </c>
      <c r="E97" s="21">
        <v>4</v>
      </c>
      <c r="F97" s="21">
        <v>147261</v>
      </c>
      <c r="G97" s="42">
        <v>2.1000000000000001E-2</v>
      </c>
      <c r="H97" s="21" t="s">
        <v>1159</v>
      </c>
      <c r="I97" s="39">
        <f ca="1">IFERROR(__xludf.DUMMYFUNCTION("IF(SUM(COUNTIF(artists!A:A, SPLIT(D97, "",""))) &gt; 0, ""UA"", 0)"),0)</f>
        <v>0</v>
      </c>
      <c r="J97" s="40">
        <f ca="1">IFERROR(__xludf.DUMMYFUNCTION("IF(SUM(COUNTIF(artists!C:C, SPLIT(D97, "",""))) &gt; 0, ""RU"", 0)"),0)</f>
        <v>0</v>
      </c>
      <c r="K97" s="39" t="str">
        <f ca="1">IFERROR(__xludf.DUMMYFUNCTION("IF(SUM(COUNTIF(artists!E:E, SPLIT(D97, "",""))) &gt; 0, ""OTHER"", 0)"),"OTHER")</f>
        <v>OTHER</v>
      </c>
    </row>
    <row r="98" spans="1:11" ht="14.25" customHeight="1">
      <c r="A98" s="21">
        <v>97</v>
      </c>
      <c r="B98" s="21">
        <v>89</v>
      </c>
      <c r="C98" s="21" t="s">
        <v>579</v>
      </c>
      <c r="D98" s="21" t="s">
        <v>183</v>
      </c>
      <c r="E98" s="21">
        <v>11</v>
      </c>
      <c r="F98" s="21">
        <v>146457</v>
      </c>
      <c r="G98" s="43">
        <v>0</v>
      </c>
      <c r="H98" s="21" t="s">
        <v>580</v>
      </c>
      <c r="I98" s="39" t="str">
        <f ca="1">IFERROR(__xludf.DUMMYFUNCTION("IF(SUM(COUNTIF(artists!A:A, SPLIT(D98, "",""))) &gt; 0, ""UA"", 0)"),"UA")</f>
        <v>UA</v>
      </c>
      <c r="J98" s="40">
        <f ca="1">IFERROR(__xludf.DUMMYFUNCTION("IF(SUM(COUNTIF(artists!C:C, SPLIT(D98, "",""))) &gt; 0, ""RU"", 0)"),0)</f>
        <v>0</v>
      </c>
      <c r="K98" s="39">
        <f ca="1">IFERROR(__xludf.DUMMYFUNCTION("IF(SUM(COUNTIF(artists!E:E, SPLIT(D98, "",""))) &gt; 0, ""OTHER"", 0)"),0)</f>
        <v>0</v>
      </c>
    </row>
    <row r="99" spans="1:11" ht="14.25" customHeight="1">
      <c r="A99" s="21">
        <v>98</v>
      </c>
      <c r="C99" s="21" t="s">
        <v>602</v>
      </c>
      <c r="D99" s="21" t="s">
        <v>299</v>
      </c>
      <c r="E99" s="21">
        <v>1</v>
      </c>
      <c r="F99" s="21">
        <v>145296</v>
      </c>
      <c r="H99" s="21" t="s">
        <v>604</v>
      </c>
      <c r="I99" s="39">
        <f ca="1">IFERROR(__xludf.DUMMYFUNCTION("IF(SUM(COUNTIF(artists!A:A, SPLIT(D99, "",""))) &gt; 0, ""UA"", 0)"),0)</f>
        <v>0</v>
      </c>
      <c r="J99" s="40">
        <f ca="1">IFERROR(__xludf.DUMMYFUNCTION("IF(SUM(COUNTIF(artists!C:C, SPLIT(D99, "",""))) &gt; 0, ""RU"", 0)"),0)</f>
        <v>0</v>
      </c>
      <c r="K99" s="39" t="str">
        <f ca="1">IFERROR(__xludf.DUMMYFUNCTION("IF(SUM(COUNTIF(artists!E:E, SPLIT(D99, "",""))) &gt; 0, ""OTHER"", 0)"),"OTHER")</f>
        <v>OTHER</v>
      </c>
    </row>
    <row r="100" spans="1:11" ht="14.25" customHeight="1">
      <c r="A100" s="21">
        <v>99</v>
      </c>
      <c r="C100" s="21" t="s">
        <v>605</v>
      </c>
      <c r="D100" s="21" t="s">
        <v>299</v>
      </c>
      <c r="E100" s="21">
        <v>1</v>
      </c>
      <c r="F100" s="21">
        <v>143817</v>
      </c>
      <c r="H100" s="21" t="s">
        <v>607</v>
      </c>
      <c r="I100" s="39">
        <f ca="1">IFERROR(__xludf.DUMMYFUNCTION("IF(SUM(COUNTIF(artists!A:A, SPLIT(D100, "",""))) &gt; 0, ""UA"", 0)"),0)</f>
        <v>0</v>
      </c>
      <c r="J100" s="40">
        <f ca="1">IFERROR(__xludf.DUMMYFUNCTION("IF(SUM(COUNTIF(artists!C:C, SPLIT(D100, "",""))) &gt; 0, ""RU"", 0)"),0)</f>
        <v>0</v>
      </c>
      <c r="K100" s="39" t="str">
        <f ca="1">IFERROR(__xludf.DUMMYFUNCTION("IF(SUM(COUNTIF(artists!E:E, SPLIT(D100, "",""))) &gt; 0, ""OTHER"", 0)"),"OTHER")</f>
        <v>OTHER</v>
      </c>
    </row>
    <row r="101" spans="1:11" ht="14.25" customHeight="1">
      <c r="A101" s="21">
        <v>100</v>
      </c>
      <c r="C101" s="21" t="s">
        <v>1280</v>
      </c>
      <c r="D101" s="21" t="s">
        <v>1193</v>
      </c>
      <c r="E101" s="21">
        <v>8</v>
      </c>
      <c r="F101" s="21">
        <v>143126</v>
      </c>
      <c r="H101" s="21" t="s">
        <v>1281</v>
      </c>
      <c r="I101" s="39" t="str">
        <f ca="1">IFERROR(__xludf.DUMMYFUNCTION("IF(SUM(COUNTIF(artists!A:A, SPLIT(D101, "",""))) &gt; 0, ""UA"", 0)"),"UA")</f>
        <v>UA</v>
      </c>
      <c r="J101" s="40">
        <f ca="1">IFERROR(__xludf.DUMMYFUNCTION("IF(SUM(COUNTIF(artists!C:C, SPLIT(D101, "",""))) &gt; 0, ""RU"", 0)"),0)</f>
        <v>0</v>
      </c>
      <c r="K101" s="39">
        <f ca="1">IFERROR(__xludf.DUMMYFUNCTION("IF(SUM(COUNTIF(artists!E:E, SPLIT(D101, "",""))) &gt; 0, ""OTHER"", 0)"),0)</f>
        <v>0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75" priority="1">
      <formula>AND($I2=0, $J2=0, $K2=0)</formula>
    </cfRule>
    <cfRule type="expression" dxfId="74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Аркуш26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4" width="8.6640625" customWidth="1"/>
    <col min="5" max="5" width="8.6640625" hidden="1" customWidth="1"/>
    <col min="6" max="6" width="8.6640625" customWidth="1"/>
    <col min="7" max="7" width="13.10937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B2" s="21">
        <v>1</v>
      </c>
      <c r="C2" s="21" t="s">
        <v>88</v>
      </c>
      <c r="D2" s="21" t="s">
        <v>89</v>
      </c>
      <c r="E2" s="21">
        <v>7</v>
      </c>
      <c r="F2" s="21">
        <v>1772816</v>
      </c>
      <c r="G2" s="42">
        <v>-3.7999999999999999E-2</v>
      </c>
      <c r="H2" s="21" t="s">
        <v>90</v>
      </c>
      <c r="I2" s="39" t="str">
        <f ca="1">IFERROR(__xludf.DUMMYFUNCTION("IF(SUM(COUNTIF(artists!A:A, SPLIT(D2, "",""))) &gt; 0, ""UA"", 0)"),"UA")</f>
        <v>UA</v>
      </c>
      <c r="J2" s="40">
        <f ca="1">IFERROR(__xludf.DUMMYFUNCTION("IF(SUM(COUNTIF(artists!C:C, SPLIT(D2, "",""))) &gt; 0, ""RU"", 0)"),0)</f>
        <v>0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B3" s="21">
        <v>2</v>
      </c>
      <c r="C3" s="21" t="s">
        <v>115</v>
      </c>
      <c r="D3" s="21" t="s">
        <v>116</v>
      </c>
      <c r="E3" s="21">
        <v>9</v>
      </c>
      <c r="F3" s="21">
        <v>1130546</v>
      </c>
      <c r="G3" s="42">
        <v>-5.0000000000000001E-3</v>
      </c>
      <c r="H3" s="21" t="s">
        <v>117</v>
      </c>
      <c r="I3" s="39" t="str">
        <f ca="1">IFERROR(__xludf.DUMMYFUNCTION("IF(SUM(COUNTIF(artists!A:A, SPLIT(D3, "",""))) &gt; 0, ""UA"", 0)"),"UA")</f>
        <v>UA</v>
      </c>
      <c r="J3" s="40">
        <f ca="1">IFERROR(__xludf.DUMMYFUNCTION("IF(SUM(COUNTIF(artists!C:C, SPLIT(D3, "",""))) &gt; 0, ""RU"", 0)"),0)</f>
        <v>0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B4" s="21">
        <v>3</v>
      </c>
      <c r="C4" s="21" t="s">
        <v>145</v>
      </c>
      <c r="D4" s="21" t="s">
        <v>146</v>
      </c>
      <c r="E4" s="21">
        <v>13</v>
      </c>
      <c r="F4" s="21">
        <v>1084662</v>
      </c>
      <c r="G4" s="42">
        <v>4.0000000000000001E-3</v>
      </c>
      <c r="H4" s="21" t="s">
        <v>148</v>
      </c>
      <c r="I4" s="39" t="str">
        <f ca="1">IFERROR(__xludf.DUMMYFUNCTION("IF(SUM(COUNTIF(artists!A:A, SPLIT(D4, "",""))) &gt; 0, ""UA"", 0)"),"UA")</f>
        <v>UA</v>
      </c>
      <c r="J4" s="40">
        <f ca="1">IFERROR(__xludf.DUMMYFUNCTION("IF(SUM(COUNTIF(artists!C:C, SPLIT(D4, "",""))) &gt; 0, ""RU"", 0)"),0)</f>
        <v>0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B5" s="21">
        <v>4</v>
      </c>
      <c r="C5" s="21" t="s">
        <v>128</v>
      </c>
      <c r="D5" s="21" t="s">
        <v>129</v>
      </c>
      <c r="E5" s="21">
        <v>15</v>
      </c>
      <c r="F5" s="21">
        <v>1062927</v>
      </c>
      <c r="G5" s="42">
        <v>3.2000000000000001E-2</v>
      </c>
      <c r="H5" s="21" t="s">
        <v>131</v>
      </c>
      <c r="I5" s="39" t="str">
        <f ca="1">IFERROR(__xludf.DUMMYFUNCTION("IF(SUM(COUNTIF(artists!A:A, SPLIT(D5, "",""))) &gt; 0, ""UA"", 0)"),"UA")</f>
        <v>UA</v>
      </c>
      <c r="J5" s="40">
        <f ca="1">IFERROR(__xludf.DUMMYFUNCTION("IF(SUM(COUNTIF(artists!C:C, SPLIT(D5, "",""))) &gt; 0, ""RU"", 0)"),0)</f>
        <v>0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B6" s="21">
        <v>7</v>
      </c>
      <c r="C6" s="21" t="s">
        <v>202</v>
      </c>
      <c r="D6" s="21" t="s">
        <v>835</v>
      </c>
      <c r="E6" s="21">
        <v>9</v>
      </c>
      <c r="F6" s="21">
        <v>849710</v>
      </c>
      <c r="G6" s="42">
        <v>7.3999999999999996E-2</v>
      </c>
      <c r="H6" s="21" t="s">
        <v>204</v>
      </c>
      <c r="I6" s="39" t="str">
        <f ca="1">IFERROR(__xludf.DUMMYFUNCTION("IF(SUM(COUNTIF(artists!A:A, SPLIT(D6, "",""))) &gt; 0, ""UA"", 0)"),"UA")</f>
        <v>UA</v>
      </c>
      <c r="J6" s="40">
        <f ca="1">IFERROR(__xludf.DUMMYFUNCTION("IF(SUM(COUNTIF(artists!C:C, SPLIT(D6, "",""))) &gt; 0, ""RU"", 0)"),0)</f>
        <v>0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B7" s="21">
        <v>5</v>
      </c>
      <c r="C7" s="21" t="s">
        <v>645</v>
      </c>
      <c r="D7" s="21" t="s">
        <v>352</v>
      </c>
      <c r="E7" s="21">
        <v>32</v>
      </c>
      <c r="F7" s="21">
        <v>837578</v>
      </c>
      <c r="G7" s="42">
        <v>2.1000000000000001E-2</v>
      </c>
      <c r="H7" s="21" t="s">
        <v>647</v>
      </c>
      <c r="I7" s="39" t="str">
        <f ca="1">IFERROR(__xludf.DUMMYFUNCTION("IF(SUM(COUNTIF(artists!A:A, SPLIT(D7, "",""))) &gt; 0, ""UA"", 0)"),"UA")</f>
        <v>UA</v>
      </c>
      <c r="J7" s="40">
        <f ca="1">IFERROR(__xludf.DUMMYFUNCTION("IF(SUM(COUNTIF(artists!C:C, SPLIT(D7, "",""))) &gt; 0, ""RU"", 0)"),0)</f>
        <v>0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B8" s="21">
        <v>6</v>
      </c>
      <c r="C8" s="21" t="s">
        <v>132</v>
      </c>
      <c r="D8" s="21" t="s">
        <v>133</v>
      </c>
      <c r="E8" s="21">
        <v>19</v>
      </c>
      <c r="F8" s="21">
        <v>827998</v>
      </c>
      <c r="G8" s="42">
        <v>1.9E-2</v>
      </c>
      <c r="H8" s="21" t="s">
        <v>135</v>
      </c>
      <c r="I8" s="39" t="str">
        <f ca="1">IFERROR(__xludf.DUMMYFUNCTION("IF(SUM(COUNTIF(artists!A:A, SPLIT(D8, "",""))) &gt; 0, ""UA"", 0)"),"UA")</f>
        <v>UA</v>
      </c>
      <c r="J8" s="40">
        <f ca="1">IFERROR(__xludf.DUMMYFUNCTION("IF(SUM(COUNTIF(artists!C:C, SPLIT(D8, "",""))) &gt; 0, ""RU"", 0)"),0)</f>
        <v>0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B9" s="21">
        <v>8</v>
      </c>
      <c r="C9" s="21" t="s">
        <v>175</v>
      </c>
      <c r="D9" s="21" t="s">
        <v>89</v>
      </c>
      <c r="E9" s="21">
        <v>19</v>
      </c>
      <c r="F9" s="21">
        <v>773485</v>
      </c>
      <c r="G9" s="42">
        <v>-2.1000000000000001E-2</v>
      </c>
      <c r="H9" s="21" t="s">
        <v>177</v>
      </c>
      <c r="I9" s="39" t="str">
        <f ca="1">IFERROR(__xludf.DUMMYFUNCTION("IF(SUM(COUNTIF(artists!A:A, SPLIT(D9, "",""))) &gt; 0, ""UA"", 0)"),"UA")</f>
        <v>UA</v>
      </c>
      <c r="J9" s="40">
        <f ca="1">IFERROR(__xludf.DUMMYFUNCTION("IF(SUM(COUNTIF(artists!C:C, SPLIT(D9, "",""))) &gt; 0, ""RU"", 0)"),0)</f>
        <v>0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B10" s="21">
        <v>14</v>
      </c>
      <c r="C10" s="21" t="s">
        <v>194</v>
      </c>
      <c r="D10" s="21" t="s">
        <v>195</v>
      </c>
      <c r="E10" s="21">
        <v>22</v>
      </c>
      <c r="F10" s="21">
        <v>699695</v>
      </c>
      <c r="G10" s="42">
        <v>0.34300000000000003</v>
      </c>
      <c r="H10" s="21" t="s">
        <v>197</v>
      </c>
      <c r="I10" s="39" t="str">
        <f ca="1">IFERROR(__xludf.DUMMYFUNCTION("IF(SUM(COUNTIF(artists!A:A, SPLIT(D10, "",""))) &gt; 0, ""UA"", 0)"),"UA")</f>
        <v>UA</v>
      </c>
      <c r="J10" s="40">
        <f ca="1">IFERROR(__xludf.DUMMYFUNCTION("IF(SUM(COUNTIF(artists!C:C, SPLIT(D10, "",""))) &gt; 0, ""RU"", 0)"),0)</f>
        <v>0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B11" s="21">
        <v>9</v>
      </c>
      <c r="C11" s="21" t="s">
        <v>171</v>
      </c>
      <c r="D11" s="21" t="s">
        <v>172</v>
      </c>
      <c r="E11" s="21">
        <v>14</v>
      </c>
      <c r="F11" s="21">
        <v>687027</v>
      </c>
      <c r="G11" s="42">
        <v>-5.5E-2</v>
      </c>
      <c r="H11" s="21" t="s">
        <v>174</v>
      </c>
      <c r="I11" s="39">
        <f ca="1">IFERROR(__xludf.DUMMYFUNCTION("IF(SUM(COUNTIF(artists!A:A, SPLIT(D11, "",""))) &gt; 0, ""UA"", 0)"),0)</f>
        <v>0</v>
      </c>
      <c r="J11" s="40" t="str">
        <f ca="1">IFERROR(__xludf.DUMMYFUNCTION("IF(SUM(COUNTIF(artists!C:C, SPLIT(D11, "",""))) &gt; 0, ""RU"", 0)"),"RU")</f>
        <v>RU</v>
      </c>
      <c r="K11" s="39">
        <f ca="1">IFERROR(__xludf.DUMMYFUNCTION("IF(SUM(COUNTIF(artists!E:E, SPLIT(D11, "",""))) &gt; 0, ""OTHER"", 0)"),0)</f>
        <v>0</v>
      </c>
    </row>
    <row r="12" spans="1:11" ht="14.25" customHeight="1">
      <c r="A12" s="21">
        <v>11</v>
      </c>
      <c r="B12" s="21">
        <v>12</v>
      </c>
      <c r="C12" s="21" t="s">
        <v>209</v>
      </c>
      <c r="D12" s="21" t="s">
        <v>210</v>
      </c>
      <c r="E12" s="21">
        <v>12</v>
      </c>
      <c r="F12" s="21">
        <v>548430</v>
      </c>
      <c r="G12" s="42">
        <v>-2.1000000000000001E-2</v>
      </c>
      <c r="H12" s="21" t="s">
        <v>212</v>
      </c>
      <c r="I12" s="39" t="str">
        <f ca="1">IFERROR(__xludf.DUMMYFUNCTION("IF(SUM(COUNTIF(artists!A:A, SPLIT(D12, "",""))) &gt; 0, ""UA"", 0)"),"UA")</f>
        <v>UA</v>
      </c>
      <c r="J12" s="40">
        <f ca="1">IFERROR(__xludf.DUMMYFUNCTION("IF(SUM(COUNTIF(artists!C:C, SPLIT(D12, "",""))) &gt; 0, ""RU"", 0)"),0)</f>
        <v>0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B13" s="21">
        <v>13</v>
      </c>
      <c r="C13" s="21" t="s">
        <v>149</v>
      </c>
      <c r="D13" s="21" t="s">
        <v>150</v>
      </c>
      <c r="E13" s="21">
        <v>12</v>
      </c>
      <c r="F13" s="21">
        <v>547024</v>
      </c>
      <c r="G13" s="42">
        <v>-1.2E-2</v>
      </c>
      <c r="H13" s="21" t="s">
        <v>152</v>
      </c>
      <c r="I13" s="39" t="str">
        <f ca="1">IFERROR(__xludf.DUMMYFUNCTION("IF(SUM(COUNTIF(artists!A:A, SPLIT(D13, "",""))) &gt; 0, ""UA"", 0)"),"UA")</f>
        <v>UA</v>
      </c>
      <c r="J13" s="40">
        <f ca="1">IFERROR(__xludf.DUMMYFUNCTION("IF(SUM(COUNTIF(artists!C:C, SPLIT(D13, "",""))) &gt; 0, ""RU"", 0)"),0)</f>
        <v>0</v>
      </c>
      <c r="K13" s="39">
        <f ca="1">IFERROR(__xludf.DUMMYFUNCTION("IF(SUM(COUNTIF(artists!E:E, SPLIT(D13, "",""))) &gt; 0, ""OTHER"", 0)"),0)</f>
        <v>0</v>
      </c>
    </row>
    <row r="14" spans="1:11" ht="14.25" customHeight="1">
      <c r="A14" s="21">
        <v>13</v>
      </c>
      <c r="B14" s="21">
        <v>11</v>
      </c>
      <c r="C14" s="21" t="s">
        <v>186</v>
      </c>
      <c r="D14" s="21" t="s">
        <v>187</v>
      </c>
      <c r="E14" s="21">
        <v>23</v>
      </c>
      <c r="F14" s="21">
        <v>544609</v>
      </c>
      <c r="G14" s="42">
        <v>-3.3000000000000002E-2</v>
      </c>
      <c r="H14" s="21" t="s">
        <v>189</v>
      </c>
      <c r="I14" s="39" t="str">
        <f ca="1">IFERROR(__xludf.DUMMYFUNCTION("IF(SUM(COUNTIF(artists!A:A, SPLIT(D14, "",""))) &gt; 0, ""UA"", 0)"),"UA")</f>
        <v>UA</v>
      </c>
      <c r="J14" s="40">
        <f ca="1">IFERROR(__xludf.DUMMYFUNCTION("IF(SUM(COUNTIF(artists!C:C, SPLIT(D14, "",""))) &gt; 0, ""RU"", 0)"),0)</f>
        <v>0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B15" s="21">
        <v>10</v>
      </c>
      <c r="C15" s="21" t="s">
        <v>251</v>
      </c>
      <c r="D15" s="21" t="s">
        <v>133</v>
      </c>
      <c r="E15" s="21">
        <v>4</v>
      </c>
      <c r="F15" s="21">
        <v>529976</v>
      </c>
      <c r="G15" s="42">
        <v>-0.14299999999999999</v>
      </c>
      <c r="H15" s="21" t="s">
        <v>252</v>
      </c>
      <c r="I15" s="39" t="str">
        <f ca="1">IFERROR(__xludf.DUMMYFUNCTION("IF(SUM(COUNTIF(artists!A:A, SPLIT(D15, "",""))) &gt; 0, ""UA"", 0)"),"UA")</f>
        <v>UA</v>
      </c>
      <c r="J15" s="40">
        <f ca="1">IFERROR(__xludf.DUMMYFUNCTION("IF(SUM(COUNTIF(artists!C:C, SPLIT(D15, "",""))) &gt; 0, ""RU"", 0)"),0)</f>
        <v>0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B16" s="21">
        <v>17</v>
      </c>
      <c r="C16" s="21" t="s">
        <v>160</v>
      </c>
      <c r="D16" s="21" t="s">
        <v>161</v>
      </c>
      <c r="E16" s="21">
        <v>13</v>
      </c>
      <c r="F16" s="21">
        <v>461372</v>
      </c>
      <c r="G16" s="42">
        <v>8.7999999999999995E-2</v>
      </c>
      <c r="H16" s="21" t="s">
        <v>163</v>
      </c>
      <c r="I16" s="39" t="str">
        <f ca="1">IFERROR(__xludf.DUMMYFUNCTION("IF(SUM(COUNTIF(artists!A:A, SPLIT(D16, "",""))) &gt; 0, ""UA"", 0)"),"UA")</f>
        <v>UA</v>
      </c>
      <c r="J16" s="40">
        <f ca="1">IFERROR(__xludf.DUMMYFUNCTION("IF(SUM(COUNTIF(artists!C:C, SPLIT(D16, "",""))) &gt; 0, ""RU"", 0)"),0)</f>
        <v>0</v>
      </c>
      <c r="K16" s="39">
        <f ca="1">IFERROR(__xludf.DUMMYFUNCTION("IF(SUM(COUNTIF(artists!E:E, SPLIT(D16, "",""))) &gt; 0, ""OTHER"", 0)"),0)</f>
        <v>0</v>
      </c>
    </row>
    <row r="17" spans="1:11" ht="14.25" customHeight="1">
      <c r="A17" s="21">
        <v>16</v>
      </c>
      <c r="B17" s="21">
        <v>15</v>
      </c>
      <c r="C17" s="21" t="s">
        <v>968</v>
      </c>
      <c r="D17" s="21" t="s">
        <v>969</v>
      </c>
      <c r="E17" s="21">
        <v>39</v>
      </c>
      <c r="F17" s="21">
        <v>441740</v>
      </c>
      <c r="G17" s="42">
        <v>-7.1999999999999995E-2</v>
      </c>
      <c r="H17" s="21" t="s">
        <v>970</v>
      </c>
      <c r="I17" s="39" t="str">
        <f ca="1">IFERROR(__xludf.DUMMYFUNCTION("IF(SUM(COUNTIF(artists!A:A, SPLIT(D17, "",""))) &gt; 0, ""UA"", 0)"),"UA")</f>
        <v>UA</v>
      </c>
      <c r="J17" s="40">
        <f ca="1">IFERROR(__xludf.DUMMYFUNCTION("IF(SUM(COUNTIF(artists!C:C, SPLIT(D17, "",""))) &gt; 0, ""RU"", 0)"),0)</f>
        <v>0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B18" s="21">
        <v>20</v>
      </c>
      <c r="C18" s="21" t="s">
        <v>178</v>
      </c>
      <c r="D18" s="21" t="s">
        <v>179</v>
      </c>
      <c r="E18" s="21">
        <v>23</v>
      </c>
      <c r="F18" s="21">
        <v>430203</v>
      </c>
      <c r="G18" s="42">
        <v>5.1999999999999998E-2</v>
      </c>
      <c r="H18" s="21" t="s">
        <v>181</v>
      </c>
      <c r="I18" s="39" t="str">
        <f ca="1">IFERROR(__xludf.DUMMYFUNCTION("IF(SUM(COUNTIF(artists!A:A, SPLIT(D18, "",""))) &gt; 0, ""UA"", 0)"),"UA")</f>
        <v>UA</v>
      </c>
      <c r="J18" s="40">
        <f ca="1">IFERROR(__xludf.DUMMYFUNCTION("IF(SUM(COUNTIF(artists!C:C, SPLIT(D18, "",""))) &gt; 0, ""RU"", 0)"),0)</f>
        <v>0</v>
      </c>
      <c r="K18" s="39">
        <f ca="1">IFERROR(__xludf.DUMMYFUNCTION("IF(SUM(COUNTIF(artists!E:E, SPLIT(D18, "",""))) &gt; 0, ""OTHER"", 0)"),0)</f>
        <v>0</v>
      </c>
    </row>
    <row r="19" spans="1:11" ht="14.25" customHeight="1">
      <c r="A19" s="21">
        <v>18</v>
      </c>
      <c r="B19" s="21">
        <v>18</v>
      </c>
      <c r="C19" s="21" t="s">
        <v>462</v>
      </c>
      <c r="D19" s="21" t="s">
        <v>463</v>
      </c>
      <c r="E19" s="21">
        <v>10</v>
      </c>
      <c r="F19" s="21">
        <v>421570</v>
      </c>
      <c r="G19" s="42">
        <v>1E-3</v>
      </c>
      <c r="H19" s="21" t="s">
        <v>465</v>
      </c>
      <c r="I19" s="39" t="str">
        <f ca="1">IFERROR(__xludf.DUMMYFUNCTION("IF(SUM(COUNTIF(artists!A:A, SPLIT(D19, "",""))) &gt; 0, ""UA"", 0)"),"UA")</f>
        <v>UA</v>
      </c>
      <c r="J19" s="40">
        <f ca="1">IFERROR(__xludf.DUMMYFUNCTION("IF(SUM(COUNTIF(artists!C:C, SPLIT(D19, "",""))) &gt; 0, ""RU"", 0)"),0)</f>
        <v>0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B20" s="21">
        <v>22</v>
      </c>
      <c r="C20" s="21" t="s">
        <v>255</v>
      </c>
      <c r="D20" s="21" t="s">
        <v>256</v>
      </c>
      <c r="E20" s="21">
        <v>9</v>
      </c>
      <c r="F20" s="21">
        <v>420612</v>
      </c>
      <c r="G20" s="42">
        <v>5.5E-2</v>
      </c>
      <c r="H20" s="21" t="s">
        <v>257</v>
      </c>
      <c r="I20" s="39" t="str">
        <f ca="1">IFERROR(__xludf.DUMMYFUNCTION("IF(SUM(COUNTIF(artists!A:A, SPLIT(D20, "",""))) &gt; 0, ""UA"", 0)"),"UA")</f>
        <v>UA</v>
      </c>
      <c r="J20" s="40">
        <f ca="1">IFERROR(__xludf.DUMMYFUNCTION("IF(SUM(COUNTIF(artists!C:C, SPLIT(D20, "",""))) &gt; 0, ""RU"", 0)"),0)</f>
        <v>0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B21" s="21">
        <v>19</v>
      </c>
      <c r="C21" s="21" t="s">
        <v>229</v>
      </c>
      <c r="D21" s="21" t="s">
        <v>230</v>
      </c>
      <c r="E21" s="21">
        <v>26</v>
      </c>
      <c r="F21" s="21">
        <v>415833</v>
      </c>
      <c r="G21" s="42">
        <v>-3.0000000000000001E-3</v>
      </c>
      <c r="H21" s="21" t="s">
        <v>232</v>
      </c>
      <c r="I21" s="39" t="str">
        <f ca="1">IFERROR(__xludf.DUMMYFUNCTION("IF(SUM(COUNTIF(artists!A:A, SPLIT(D21, "",""))) &gt; 0, ""UA"", 0)"),"UA")</f>
        <v>UA</v>
      </c>
      <c r="J21" s="40">
        <f ca="1">IFERROR(__xludf.DUMMYFUNCTION("IF(SUM(COUNTIF(artists!C:C, SPLIT(D21, "",""))) &gt; 0, ""RU"", 0)"),0)</f>
        <v>0</v>
      </c>
      <c r="K21" s="39">
        <f ca="1">IFERROR(__xludf.DUMMYFUNCTION("IF(SUM(COUNTIF(artists!E:E, SPLIT(D21, "",""))) &gt; 0, ""OTHER"", 0)"),0)</f>
        <v>0</v>
      </c>
    </row>
    <row r="22" spans="1:11" ht="14.25" customHeight="1">
      <c r="A22" s="21">
        <v>21</v>
      </c>
      <c r="B22" s="21">
        <v>27</v>
      </c>
      <c r="C22" s="21" t="s">
        <v>929</v>
      </c>
      <c r="D22" s="21" t="s">
        <v>930</v>
      </c>
      <c r="E22" s="21">
        <v>12</v>
      </c>
      <c r="F22" s="21">
        <v>386476</v>
      </c>
      <c r="G22" s="42">
        <v>8.7999999999999995E-2</v>
      </c>
      <c r="H22" s="21" t="s">
        <v>931</v>
      </c>
      <c r="I22" s="39" t="str">
        <f ca="1">IFERROR(__xludf.DUMMYFUNCTION("IF(SUM(COUNTIF(artists!A:A, SPLIT(D22, "",""))) &gt; 0, ""UA"", 0)"),"UA")</f>
        <v>UA</v>
      </c>
      <c r="J22" s="40">
        <f ca="1">IFERROR(__xludf.DUMMYFUNCTION("IF(SUM(COUNTIF(artists!C:C, SPLIT(D22, "",""))) &gt; 0, ""RU"", 0)"),0)</f>
        <v>0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B23" s="21">
        <v>21</v>
      </c>
      <c r="C23" s="21" t="s">
        <v>921</v>
      </c>
      <c r="D23" s="21" t="s">
        <v>922</v>
      </c>
      <c r="E23" s="21">
        <v>11</v>
      </c>
      <c r="F23" s="21">
        <v>373879</v>
      </c>
      <c r="G23" s="42">
        <v>-8.4000000000000005E-2</v>
      </c>
      <c r="H23" s="21" t="s">
        <v>923</v>
      </c>
      <c r="I23" s="39" t="str">
        <f ca="1">IFERROR(__xludf.DUMMYFUNCTION("IF(SUM(COUNTIF(artists!A:A, SPLIT(D23, "",""))) &gt; 0, ""UA"", 0)"),"UA")</f>
        <v>UA</v>
      </c>
      <c r="J23" s="40">
        <f ca="1">IFERROR(__xludf.DUMMYFUNCTION("IF(SUM(COUNTIF(artists!C:C, SPLIT(D23, "",""))) &gt; 0, ""RU"", 0)"),0)</f>
        <v>0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C24" s="21" t="s">
        <v>1029</v>
      </c>
      <c r="D24" s="21" t="s">
        <v>1030</v>
      </c>
      <c r="E24" s="21">
        <v>1</v>
      </c>
      <c r="F24" s="21">
        <v>372701</v>
      </c>
      <c r="H24" s="21" t="s">
        <v>1031</v>
      </c>
      <c r="I24" s="39" t="str">
        <f ca="1">IFERROR(__xludf.DUMMYFUNCTION("IF(SUM(COUNTIF(artists!A:A, SPLIT(D24, "",""))) &gt; 0, ""UA"", 0)"),"UA")</f>
        <v>UA</v>
      </c>
      <c r="J24" s="40">
        <f ca="1">IFERROR(__xludf.DUMMYFUNCTION("IF(SUM(COUNTIF(artists!C:C, SPLIT(D24, "",""))) &gt; 0, ""RU"", 0)"),0)</f>
        <v>0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B25" s="21">
        <v>16</v>
      </c>
      <c r="C25" s="21" t="s">
        <v>524</v>
      </c>
      <c r="D25" s="21" t="s">
        <v>525</v>
      </c>
      <c r="E25" s="21">
        <v>3</v>
      </c>
      <c r="F25" s="21">
        <v>371770</v>
      </c>
      <c r="G25" s="42">
        <v>-0.192</v>
      </c>
      <c r="H25" s="21" t="s">
        <v>526</v>
      </c>
      <c r="I25" s="39" t="str">
        <f ca="1">IFERROR(__xludf.DUMMYFUNCTION("IF(SUM(COUNTIF(artists!A:A, SPLIT(D25, "",""))) &gt; 0, ""UA"", 0)"),"UA")</f>
        <v>UA</v>
      </c>
      <c r="J25" s="40">
        <f ca="1">IFERROR(__xludf.DUMMYFUNCTION("IF(SUM(COUNTIF(artists!C:C, SPLIT(D25, "",""))) &gt; 0, ""RU"", 0)"),0)</f>
        <v>0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B26" s="21">
        <v>24</v>
      </c>
      <c r="C26" s="21" t="s">
        <v>799</v>
      </c>
      <c r="D26" s="21" t="s">
        <v>494</v>
      </c>
      <c r="E26" s="21">
        <v>28</v>
      </c>
      <c r="F26" s="21">
        <v>367559</v>
      </c>
      <c r="G26" s="42">
        <v>-1.4999999999999999E-2</v>
      </c>
      <c r="H26" s="21" t="s">
        <v>800</v>
      </c>
      <c r="I26" s="39" t="str">
        <f ca="1">IFERROR(__xludf.DUMMYFUNCTION("IF(SUM(COUNTIF(artists!A:A, SPLIT(D26, "",""))) &gt; 0, ""UA"", 0)"),"UA")</f>
        <v>UA</v>
      </c>
      <c r="J26" s="40">
        <f ca="1">IFERROR(__xludf.DUMMYFUNCTION("IF(SUM(COUNTIF(artists!C:C, SPLIT(D26, "",""))) &gt; 0, ""RU"", 0)"),0)</f>
        <v>0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B27" s="21">
        <v>29</v>
      </c>
      <c r="C27" s="21" t="s">
        <v>895</v>
      </c>
      <c r="D27" s="21" t="s">
        <v>896</v>
      </c>
      <c r="E27" s="21">
        <v>31</v>
      </c>
      <c r="F27" s="21">
        <v>358820</v>
      </c>
      <c r="G27" s="42">
        <v>2.1000000000000001E-2</v>
      </c>
      <c r="H27" s="21" t="s">
        <v>897</v>
      </c>
      <c r="I27" s="39" t="str">
        <f ca="1">IFERROR(__xludf.DUMMYFUNCTION("IF(SUM(COUNTIF(artists!A:A, SPLIT(D27, "",""))) &gt; 0, ""UA"", 0)"),"UA")</f>
        <v>UA</v>
      </c>
      <c r="J27" s="40">
        <f ca="1">IFERROR(__xludf.DUMMYFUNCTION("IF(SUM(COUNTIF(artists!C:C, SPLIT(D27, "",""))) &gt; 0, ""RU"", 0)"),0)</f>
        <v>0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B28" s="21">
        <v>32</v>
      </c>
      <c r="C28" s="21" t="s">
        <v>253</v>
      </c>
      <c r="D28" s="21" t="s">
        <v>89</v>
      </c>
      <c r="E28" s="21">
        <v>28</v>
      </c>
      <c r="F28" s="21">
        <v>355373</v>
      </c>
      <c r="G28" s="42">
        <v>4.5999999999999999E-2</v>
      </c>
      <c r="H28" s="21" t="s">
        <v>254</v>
      </c>
      <c r="I28" s="39" t="str">
        <f ca="1">IFERROR(__xludf.DUMMYFUNCTION("IF(SUM(COUNTIF(artists!A:A, SPLIT(D28, "",""))) &gt; 0, ""UA"", 0)"),"UA")</f>
        <v>UA</v>
      </c>
      <c r="J28" s="40">
        <f ca="1">IFERROR(__xludf.DUMMYFUNCTION("IF(SUM(COUNTIF(artists!C:C, SPLIT(D28, "",""))) &gt; 0, ""RU"", 0)"),0)</f>
        <v>0</v>
      </c>
      <c r="K28" s="39">
        <f ca="1">IFERROR(__xludf.DUMMYFUNCTION("IF(SUM(COUNTIF(artists!E:E, SPLIT(D28, "",""))) &gt; 0, ""OTHER"", 0)"),0)</f>
        <v>0</v>
      </c>
    </row>
    <row r="29" spans="1:11" ht="14.25" customHeight="1">
      <c r="A29" s="21">
        <v>28</v>
      </c>
      <c r="B29" s="21">
        <v>23</v>
      </c>
      <c r="C29" s="21" t="s">
        <v>168</v>
      </c>
      <c r="D29" s="21" t="s">
        <v>137</v>
      </c>
      <c r="E29" s="21">
        <v>10</v>
      </c>
      <c r="F29" s="21">
        <v>353021</v>
      </c>
      <c r="G29" s="42">
        <v>-5.8000000000000003E-2</v>
      </c>
      <c r="H29" s="21" t="s">
        <v>170</v>
      </c>
      <c r="I29" s="39" t="str">
        <f ca="1">IFERROR(__xludf.DUMMYFUNCTION("IF(SUM(COUNTIF(artists!A:A, SPLIT(D29, "",""))) &gt; 0, ""UA"", 0)"),"UA")</f>
        <v>UA</v>
      </c>
      <c r="J29" s="40">
        <f ca="1">IFERROR(__xludf.DUMMYFUNCTION("IF(SUM(COUNTIF(artists!C:C, SPLIT(D29, "",""))) &gt; 0, ""RU"", 0)"),0)</f>
        <v>0</v>
      </c>
      <c r="K29" s="39">
        <f ca="1">IFERROR(__xludf.DUMMYFUNCTION("IF(SUM(COUNTIF(artists!E:E, SPLIT(D29, "",""))) &gt; 0, ""OTHER"", 0)"),0)</f>
        <v>0</v>
      </c>
    </row>
    <row r="30" spans="1:11" ht="14.25" customHeight="1">
      <c r="A30" s="21">
        <v>29</v>
      </c>
      <c r="B30" s="21">
        <v>33</v>
      </c>
      <c r="C30" s="21" t="s">
        <v>182</v>
      </c>
      <c r="D30" s="21" t="s">
        <v>183</v>
      </c>
      <c r="E30" s="21">
        <v>15</v>
      </c>
      <c r="F30" s="21">
        <v>337603</v>
      </c>
      <c r="G30" s="42">
        <v>2.4E-2</v>
      </c>
      <c r="H30" s="21" t="s">
        <v>185</v>
      </c>
      <c r="I30" s="39" t="str">
        <f ca="1">IFERROR(__xludf.DUMMYFUNCTION("IF(SUM(COUNTIF(artists!A:A, SPLIT(D30, "",""))) &gt; 0, ""UA"", 0)"),"UA")</f>
        <v>UA</v>
      </c>
      <c r="J30" s="40">
        <f ca="1">IFERROR(__xludf.DUMMYFUNCTION("IF(SUM(COUNTIF(artists!C:C, SPLIT(D30, "",""))) &gt; 0, ""RU"", 0)"),0)</f>
        <v>0</v>
      </c>
      <c r="K30" s="39">
        <f ca="1">IFERROR(__xludf.DUMMYFUNCTION("IF(SUM(COUNTIF(artists!E:E, SPLIT(D30, "",""))) &gt; 0, ""OTHER"", 0)"),0)</f>
        <v>0</v>
      </c>
    </row>
    <row r="31" spans="1:11" ht="14.25" customHeight="1">
      <c r="A31" s="21">
        <v>30</v>
      </c>
      <c r="B31" s="21">
        <v>34</v>
      </c>
      <c r="C31" s="21" t="s">
        <v>594</v>
      </c>
      <c r="D31" s="21" t="s">
        <v>595</v>
      </c>
      <c r="E31" s="21">
        <v>7</v>
      </c>
      <c r="F31" s="21">
        <v>322071</v>
      </c>
      <c r="G31" s="42">
        <v>5.0000000000000001E-3</v>
      </c>
      <c r="H31" s="21" t="s">
        <v>596</v>
      </c>
      <c r="I31" s="39" t="str">
        <f ca="1">IFERROR(__xludf.DUMMYFUNCTION("IF(SUM(COUNTIF(artists!A:A, SPLIT(D31, "",""))) &gt; 0, ""UA"", 0)"),"UA")</f>
        <v>UA</v>
      </c>
      <c r="J31" s="40">
        <f ca="1">IFERROR(__xludf.DUMMYFUNCTION("IF(SUM(COUNTIF(artists!C:C, SPLIT(D31, "",""))) &gt; 0, ""RU"", 0)"),0)</f>
        <v>0</v>
      </c>
      <c r="K31" s="39">
        <f ca="1">IFERROR(__xludf.DUMMYFUNCTION("IF(SUM(COUNTIF(artists!E:E, SPLIT(D31, "",""))) &gt; 0, ""OTHER"", 0)"),0)</f>
        <v>0</v>
      </c>
    </row>
    <row r="32" spans="1:11" ht="14.25" customHeight="1">
      <c r="A32" s="21">
        <v>31</v>
      </c>
      <c r="B32" s="21">
        <v>30</v>
      </c>
      <c r="C32" s="21" t="s">
        <v>706</v>
      </c>
      <c r="D32" s="21" t="s">
        <v>199</v>
      </c>
      <c r="E32" s="21">
        <v>15</v>
      </c>
      <c r="F32" s="21">
        <v>303976</v>
      </c>
      <c r="G32" s="42">
        <v>-0.125</v>
      </c>
      <c r="H32" s="21" t="s">
        <v>1126</v>
      </c>
      <c r="I32" s="39" t="str">
        <f ca="1">IFERROR(__xludf.DUMMYFUNCTION("IF(SUM(COUNTIF(artists!A:A, SPLIT(D32, "",""))) &gt; 0, ""UA"", 0)"),"UA")</f>
        <v>UA</v>
      </c>
      <c r="J32" s="40">
        <f ca="1">IFERROR(__xludf.DUMMYFUNCTION("IF(SUM(COUNTIF(artists!C:C, SPLIT(D32, "",""))) &gt; 0, ""RU"", 0)"),0)</f>
        <v>0</v>
      </c>
      <c r="K32" s="39">
        <f ca="1">IFERROR(__xludf.DUMMYFUNCTION("IF(SUM(COUNTIF(artists!E:E, SPLIT(D32, "",""))) &gt; 0, ""OTHER"", 0)"),0)</f>
        <v>0</v>
      </c>
    </row>
    <row r="33" spans="1:11" ht="14.25" customHeight="1">
      <c r="A33" s="21">
        <v>32</v>
      </c>
      <c r="B33" s="21">
        <v>42</v>
      </c>
      <c r="C33" s="21" t="s">
        <v>1147</v>
      </c>
      <c r="D33" s="21" t="s">
        <v>776</v>
      </c>
      <c r="E33" s="21">
        <v>5</v>
      </c>
      <c r="F33" s="21">
        <v>292381</v>
      </c>
      <c r="G33" s="42">
        <v>8.3000000000000004E-2</v>
      </c>
      <c r="H33" s="21" t="s">
        <v>1148</v>
      </c>
      <c r="I33" s="39" t="str">
        <f ca="1">IFERROR(__xludf.DUMMYFUNCTION("IF(SUM(COUNTIF(artists!A:A, SPLIT(D33, "",""))) &gt; 0, ""UA"", 0)"),"UA")</f>
        <v>UA</v>
      </c>
      <c r="J33" s="40">
        <f ca="1">IFERROR(__xludf.DUMMYFUNCTION("IF(SUM(COUNTIF(artists!C:C, SPLIT(D33, "",""))) &gt; 0, ""RU"", 0)"),0)</f>
        <v>0</v>
      </c>
      <c r="K33" s="39">
        <f ca="1">IFERROR(__xludf.DUMMYFUNCTION("IF(SUM(COUNTIF(artists!E:E, SPLIT(D33, "",""))) &gt; 0, ""OTHER"", 0)"),0)</f>
        <v>0</v>
      </c>
    </row>
    <row r="34" spans="1:11" ht="14.25" customHeight="1">
      <c r="A34" s="21">
        <v>33</v>
      </c>
      <c r="B34" s="21">
        <v>37</v>
      </c>
      <c r="C34" s="21" t="s">
        <v>1089</v>
      </c>
      <c r="D34" s="21" t="s">
        <v>125</v>
      </c>
      <c r="E34" s="21">
        <v>9</v>
      </c>
      <c r="F34" s="21">
        <v>283996</v>
      </c>
      <c r="G34" s="42">
        <v>-8.3000000000000004E-2</v>
      </c>
      <c r="H34" s="21" t="s">
        <v>1090</v>
      </c>
      <c r="I34" s="39">
        <f ca="1">IFERROR(__xludf.DUMMYFUNCTION("IF(SUM(COUNTIF(artists!A:A, SPLIT(D34, "",""))) &gt; 0, ""UA"", 0)"),0)</f>
        <v>0</v>
      </c>
      <c r="J34" s="40" t="str">
        <f ca="1">IFERROR(__xludf.DUMMYFUNCTION("IF(SUM(COUNTIF(artists!C:C, SPLIT(D34, "",""))) &gt; 0, ""RU"", 0)"),"RU")</f>
        <v>RU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B35" s="21">
        <v>45</v>
      </c>
      <c r="C35" s="21" t="s">
        <v>909</v>
      </c>
      <c r="D35" s="21" t="s">
        <v>910</v>
      </c>
      <c r="E35" s="21">
        <v>29</v>
      </c>
      <c r="F35" s="21">
        <v>280759</v>
      </c>
      <c r="G35" s="42">
        <v>5.2999999999999999E-2</v>
      </c>
      <c r="H35" s="21" t="s">
        <v>911</v>
      </c>
      <c r="I35" s="39" t="str">
        <f ca="1">IFERROR(__xludf.DUMMYFUNCTION("IF(SUM(COUNTIF(artists!A:A, SPLIT(D35, "",""))) &gt; 0, ""UA"", 0)"),"UA")</f>
        <v>UA</v>
      </c>
      <c r="J35" s="40">
        <f ca="1">IFERROR(__xludf.DUMMYFUNCTION("IF(SUM(COUNTIF(artists!C:C, SPLIT(D35, "",""))) &gt; 0, ""RU"", 0)"),0)</f>
        <v>0</v>
      </c>
      <c r="K35" s="39">
        <f ca="1">IFERROR(__xludf.DUMMYFUNCTION("IF(SUM(COUNTIF(artists!E:E, SPLIT(D35, "",""))) &gt; 0, ""OTHER"", 0)"),0)</f>
        <v>0</v>
      </c>
    </row>
    <row r="36" spans="1:11" ht="14.25" customHeight="1">
      <c r="A36" s="21">
        <v>35</v>
      </c>
      <c r="B36" s="21">
        <v>36</v>
      </c>
      <c r="C36" s="21" t="s">
        <v>903</v>
      </c>
      <c r="D36" s="21" t="s">
        <v>904</v>
      </c>
      <c r="E36" s="21">
        <v>11</v>
      </c>
      <c r="F36" s="21">
        <v>276326</v>
      </c>
      <c r="G36" s="42">
        <v>-0.107</v>
      </c>
      <c r="H36" s="21" t="s">
        <v>905</v>
      </c>
      <c r="I36" s="39" t="str">
        <f ca="1">IFERROR(__xludf.DUMMYFUNCTION("IF(SUM(COUNTIF(artists!A:A, SPLIT(D36, "",""))) &gt; 0, ""UA"", 0)"),"UA")</f>
        <v>UA</v>
      </c>
      <c r="J36" s="40">
        <f ca="1">IFERROR(__xludf.DUMMYFUNCTION("IF(SUM(COUNTIF(artists!C:C, SPLIT(D36, "",""))) &gt; 0, ""RU"", 0)"),0)</f>
        <v>0</v>
      </c>
      <c r="K36" s="39">
        <f ca="1">IFERROR(__xludf.DUMMYFUNCTION("IF(SUM(COUNTIF(artists!E:E, SPLIT(D36, "",""))) &gt; 0, ""OTHER"", 0)"),0)</f>
        <v>0</v>
      </c>
    </row>
    <row r="37" spans="1:11" ht="14.25" customHeight="1">
      <c r="A37" s="21">
        <v>36</v>
      </c>
      <c r="B37" s="21">
        <v>41</v>
      </c>
      <c r="C37" s="21" t="s">
        <v>887</v>
      </c>
      <c r="D37" s="21" t="s">
        <v>89</v>
      </c>
      <c r="E37" s="21">
        <v>26</v>
      </c>
      <c r="F37" s="21">
        <v>275204</v>
      </c>
      <c r="G37" s="42">
        <v>-2.8000000000000001E-2</v>
      </c>
      <c r="H37" s="21" t="s">
        <v>888</v>
      </c>
      <c r="I37" s="39" t="str">
        <f ca="1">IFERROR(__xludf.DUMMYFUNCTION("IF(SUM(COUNTIF(artists!A:A, SPLIT(D37, "",""))) &gt; 0, ""UA"", 0)"),"UA")</f>
        <v>UA</v>
      </c>
      <c r="J37" s="40">
        <f ca="1">IFERROR(__xludf.DUMMYFUNCTION("IF(SUM(COUNTIF(artists!C:C, SPLIT(D37, "",""))) &gt; 0, ""RU"", 0)"),0)</f>
        <v>0</v>
      </c>
      <c r="K37" s="39">
        <f ca="1">IFERROR(__xludf.DUMMYFUNCTION("IF(SUM(COUNTIF(artists!E:E, SPLIT(D37, "",""))) &gt; 0, ""OTHER"", 0)"),0)</f>
        <v>0</v>
      </c>
    </row>
    <row r="38" spans="1:11" ht="14.25" customHeight="1">
      <c r="A38" s="21">
        <v>37</v>
      </c>
      <c r="B38" s="21">
        <v>35</v>
      </c>
      <c r="C38" s="21" t="s">
        <v>1178</v>
      </c>
      <c r="D38" s="21" t="s">
        <v>1117</v>
      </c>
      <c r="E38" s="21">
        <v>15</v>
      </c>
      <c r="F38" s="21">
        <v>273894</v>
      </c>
      <c r="G38" s="42">
        <v>-0.11600000000000001</v>
      </c>
      <c r="H38" s="21" t="s">
        <v>1179</v>
      </c>
      <c r="I38" s="39">
        <f ca="1">IFERROR(__xludf.DUMMYFUNCTION("IF(SUM(COUNTIF(artists!A:A, SPLIT(D38, "",""))) &gt; 0, ""UA"", 0)"),0)</f>
        <v>0</v>
      </c>
      <c r="J38" s="40" t="str">
        <f ca="1">IFERROR(__xludf.DUMMYFUNCTION("IF(SUM(COUNTIF(artists!C:C, SPLIT(D38, "",""))) &gt; 0, ""RU"", 0)"),"RU")</f>
        <v>RU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B39" s="21">
        <v>48</v>
      </c>
      <c r="C39" s="21" t="s">
        <v>118</v>
      </c>
      <c r="D39" s="21" t="s">
        <v>586</v>
      </c>
      <c r="E39" s="21">
        <v>22</v>
      </c>
      <c r="F39" s="21">
        <v>272819</v>
      </c>
      <c r="G39" s="43">
        <v>7.0000000000000007E-2</v>
      </c>
      <c r="H39" s="21" t="s">
        <v>587</v>
      </c>
      <c r="I39" s="39" t="str">
        <f ca="1">IFERROR(__xludf.DUMMYFUNCTION("IF(SUM(COUNTIF(artists!A:A, SPLIT(D39, "",""))) &gt; 0, ""UA"", 0)"),"UA")</f>
        <v>UA</v>
      </c>
      <c r="J39" s="40">
        <f ca="1">IFERROR(__xludf.DUMMYFUNCTION("IF(SUM(COUNTIF(artists!C:C, SPLIT(D39, "",""))) &gt; 0, ""RU"", 0)"),0)</f>
        <v>0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B40" s="21">
        <v>43</v>
      </c>
      <c r="C40" s="21" t="s">
        <v>1263</v>
      </c>
      <c r="D40" s="21" t="s">
        <v>1264</v>
      </c>
      <c r="E40" s="21">
        <v>45</v>
      </c>
      <c r="F40" s="21">
        <v>269854</v>
      </c>
      <c r="G40" s="42">
        <v>2E-3</v>
      </c>
      <c r="H40" s="21" t="s">
        <v>1265</v>
      </c>
      <c r="I40" s="39">
        <f ca="1">IFERROR(__xludf.DUMMYFUNCTION("IF(SUM(COUNTIF(artists!A:A, SPLIT(D40, "",""))) &gt; 0, ""UA"", 0)"),0)</f>
        <v>0</v>
      </c>
      <c r="J40" s="40" t="str">
        <f ca="1">IFERROR(__xludf.DUMMYFUNCTION("IF(SUM(COUNTIF(artists!C:C, SPLIT(D40, "",""))) &gt; 0, ""RU"", 0)"),"RU")</f>
        <v>RU</v>
      </c>
      <c r="K40" s="39">
        <f ca="1">IFERROR(__xludf.DUMMYFUNCTION("IF(SUM(COUNTIF(artists!E:E, SPLIT(D40, "",""))) &gt; 0, ""OTHER"", 0)"),0)</f>
        <v>0</v>
      </c>
    </row>
    <row r="41" spans="1:11" ht="14.25" customHeight="1">
      <c r="A41" s="21">
        <v>40</v>
      </c>
      <c r="B41" s="21">
        <v>47</v>
      </c>
      <c r="C41" s="21" t="s">
        <v>616</v>
      </c>
      <c r="D41" s="21" t="s">
        <v>617</v>
      </c>
      <c r="E41" s="21">
        <v>9</v>
      </c>
      <c r="F41" s="21">
        <v>269297</v>
      </c>
      <c r="G41" s="42">
        <v>5.1999999999999998E-2</v>
      </c>
      <c r="H41" s="21" t="s">
        <v>618</v>
      </c>
      <c r="I41" s="39">
        <f ca="1">IFERROR(__xludf.DUMMYFUNCTION("IF(SUM(COUNTIF(artists!A:A, SPLIT(D41, "",""))) &gt; 0, ""UA"", 0)"),0)</f>
        <v>0</v>
      </c>
      <c r="J41" s="40">
        <f ca="1">IFERROR(__xludf.DUMMYFUNCTION("IF(SUM(COUNTIF(artists!C:C, SPLIT(D41, "",""))) &gt; 0, ""RU"", 0)"),0)</f>
        <v>0</v>
      </c>
      <c r="K41" s="39" t="str">
        <f ca="1">IFERROR(__xludf.DUMMYFUNCTION("IF(SUM(COUNTIF(artists!E:E, SPLIT(D41, "",""))) &gt; 0, ""OTHER"", 0)"),"OTHER")</f>
        <v>OTHER</v>
      </c>
    </row>
    <row r="42" spans="1:11" ht="14.25" customHeight="1">
      <c r="A42" s="21">
        <v>41</v>
      </c>
      <c r="B42" s="21">
        <v>40</v>
      </c>
      <c r="C42" s="21" t="s">
        <v>1261</v>
      </c>
      <c r="D42" s="21" t="s">
        <v>137</v>
      </c>
      <c r="E42" s="21">
        <v>36</v>
      </c>
      <c r="F42" s="21">
        <v>268372</v>
      </c>
      <c r="G42" s="42">
        <v>-7.1999999999999995E-2</v>
      </c>
      <c r="H42" s="21" t="s">
        <v>1262</v>
      </c>
      <c r="I42" s="39" t="str">
        <f ca="1">IFERROR(__xludf.DUMMYFUNCTION("IF(SUM(COUNTIF(artists!A:A, SPLIT(D42, "",""))) &gt; 0, ""UA"", 0)"),"UA")</f>
        <v>UA</v>
      </c>
      <c r="J42" s="40">
        <f ca="1">IFERROR(__xludf.DUMMYFUNCTION("IF(SUM(COUNTIF(artists!C:C, SPLIT(D42, "",""))) &gt; 0, ""RU"", 0)"),0)</f>
        <v>0</v>
      </c>
      <c r="K42" s="39">
        <f ca="1">IFERROR(__xludf.DUMMYFUNCTION("IF(SUM(COUNTIF(artists!E:E, SPLIT(D42, "",""))) &gt; 0, ""OTHER"", 0)"),0)</f>
        <v>0</v>
      </c>
    </row>
    <row r="43" spans="1:11" ht="14.25" customHeight="1">
      <c r="A43" s="21">
        <v>42</v>
      </c>
      <c r="B43" s="21">
        <v>44</v>
      </c>
      <c r="C43" s="21" t="s">
        <v>284</v>
      </c>
      <c r="D43" s="21" t="s">
        <v>15</v>
      </c>
      <c r="E43" s="21">
        <v>6</v>
      </c>
      <c r="F43" s="21">
        <v>265541</v>
      </c>
      <c r="G43" s="42">
        <v>-8.9999999999999993E-3</v>
      </c>
      <c r="H43" s="21" t="s">
        <v>285</v>
      </c>
      <c r="I43" s="39">
        <f ca="1">IFERROR(__xludf.DUMMYFUNCTION("IF(SUM(COUNTIF(artists!A:A, SPLIT(D43, "",""))) &gt; 0, ""UA"", 0)"),0)</f>
        <v>0</v>
      </c>
      <c r="J43" s="40">
        <f ca="1">IFERROR(__xludf.DUMMYFUNCTION("IF(SUM(COUNTIF(artists!C:C, SPLIT(D43, "",""))) &gt; 0, ""RU"", 0)"),0)</f>
        <v>0</v>
      </c>
      <c r="K43" s="39" t="str">
        <f ca="1">IFERROR(__xludf.DUMMYFUNCTION("IF(SUM(COUNTIF(artists!E:E, SPLIT(D43, "",""))) &gt; 0, ""OTHER"", 0)"),"OTHER")</f>
        <v>OTHER</v>
      </c>
    </row>
    <row r="44" spans="1:11" ht="14.25" customHeight="1">
      <c r="A44" s="21">
        <v>43</v>
      </c>
      <c r="B44" s="21">
        <v>49</v>
      </c>
      <c r="C44" s="21" t="s">
        <v>1242</v>
      </c>
      <c r="D44" s="21" t="s">
        <v>969</v>
      </c>
      <c r="E44" s="21">
        <v>18</v>
      </c>
      <c r="F44" s="21">
        <v>251337</v>
      </c>
      <c r="G44" s="42">
        <v>-1.2999999999999999E-2</v>
      </c>
      <c r="H44" s="21" t="s">
        <v>1243</v>
      </c>
      <c r="I44" s="39" t="str">
        <f ca="1">IFERROR(__xludf.DUMMYFUNCTION("IF(SUM(COUNTIF(artists!A:A, SPLIT(D44, "",""))) &gt; 0, ""UA"", 0)"),"UA")</f>
        <v>UA</v>
      </c>
      <c r="J44" s="40">
        <f ca="1">IFERROR(__xludf.DUMMYFUNCTION("IF(SUM(COUNTIF(artists!C:C, SPLIT(D44, "",""))) &gt; 0, ""RU"", 0)"),0)</f>
        <v>0</v>
      </c>
      <c r="K44" s="39">
        <f ca="1">IFERROR(__xludf.DUMMYFUNCTION("IF(SUM(COUNTIF(artists!E:E, SPLIT(D44, "",""))) &gt; 0, ""OTHER"", 0)"),0)</f>
        <v>0</v>
      </c>
    </row>
    <row r="45" spans="1:11" ht="14.25" customHeight="1">
      <c r="A45" s="21">
        <v>44</v>
      </c>
      <c r="B45" s="21">
        <v>39</v>
      </c>
      <c r="C45" s="21" t="s">
        <v>1062</v>
      </c>
      <c r="D45" s="21" t="s">
        <v>1063</v>
      </c>
      <c r="E45" s="21">
        <v>4</v>
      </c>
      <c r="F45" s="21">
        <v>250102</v>
      </c>
      <c r="G45" s="43">
        <v>-0.16</v>
      </c>
      <c r="H45" s="21" t="s">
        <v>1064</v>
      </c>
      <c r="I45" s="39" t="str">
        <f ca="1">IFERROR(__xludf.DUMMYFUNCTION("IF(SUM(COUNTIF(artists!A:A, SPLIT(D45, "",""))) &gt; 0, ""UA"", 0)"),"UA")</f>
        <v>UA</v>
      </c>
      <c r="J45" s="40">
        <f ca="1">IFERROR(__xludf.DUMMYFUNCTION("IF(SUM(COUNTIF(artists!C:C, SPLIT(D45, "",""))) &gt; 0, ""RU"", 0)"),0)</f>
        <v>0</v>
      </c>
      <c r="K45" s="39">
        <f ca="1">IFERROR(__xludf.DUMMYFUNCTION("IF(SUM(COUNTIF(artists!E:E, SPLIT(D45, "",""))) &gt; 0, ""OTHER"", 0)"),0)</f>
        <v>0</v>
      </c>
    </row>
    <row r="46" spans="1:11" ht="14.25" customHeight="1">
      <c r="A46" s="21">
        <v>45</v>
      </c>
      <c r="B46" s="21">
        <v>52</v>
      </c>
      <c r="C46" s="21" t="s">
        <v>516</v>
      </c>
      <c r="D46" s="21" t="s">
        <v>517</v>
      </c>
      <c r="E46" s="21">
        <v>17</v>
      </c>
      <c r="F46" s="21">
        <v>242474</v>
      </c>
      <c r="G46" s="42">
        <v>4.2999999999999997E-2</v>
      </c>
      <c r="H46" s="21" t="s">
        <v>518</v>
      </c>
      <c r="I46" s="39">
        <f ca="1">IFERROR(__xludf.DUMMYFUNCTION("IF(SUM(COUNTIF(artists!A:A, SPLIT(D46, "",""))) &gt; 0, ""UA"", 0)"),0)</f>
        <v>0</v>
      </c>
      <c r="J46" s="40">
        <f ca="1">IFERROR(__xludf.DUMMYFUNCTION("IF(SUM(COUNTIF(artists!C:C, SPLIT(D46, "",""))) &gt; 0, ""RU"", 0)"),0)</f>
        <v>0</v>
      </c>
      <c r="K46" s="39" t="str">
        <f ca="1">IFERROR(__xludf.DUMMYFUNCTION("IF(SUM(COUNTIF(artists!E:E, SPLIT(D46, "",""))) &gt; 0, ""OTHER"", 0)"),"OTHER")</f>
        <v>OTHER</v>
      </c>
    </row>
    <row r="47" spans="1:11" ht="14.25" customHeight="1">
      <c r="A47" s="21">
        <v>46</v>
      </c>
      <c r="B47" s="21">
        <v>46</v>
      </c>
      <c r="C47" s="21" t="s">
        <v>1055</v>
      </c>
      <c r="D47" s="21" t="s">
        <v>776</v>
      </c>
      <c r="E47" s="21">
        <v>16</v>
      </c>
      <c r="F47" s="21">
        <v>242219</v>
      </c>
      <c r="G47" s="42">
        <v>-6.6000000000000003E-2</v>
      </c>
      <c r="H47" s="21" t="s">
        <v>1056</v>
      </c>
      <c r="I47" s="39" t="str">
        <f ca="1">IFERROR(__xludf.DUMMYFUNCTION("IF(SUM(COUNTIF(artists!A:A, SPLIT(D47, "",""))) &gt; 0, ""UA"", 0)"),"UA")</f>
        <v>UA</v>
      </c>
      <c r="J47" s="40">
        <f ca="1">IFERROR(__xludf.DUMMYFUNCTION("IF(SUM(COUNTIF(artists!C:C, SPLIT(D47, "",""))) &gt; 0, ""RU"", 0)"),0)</f>
        <v>0</v>
      </c>
      <c r="K47" s="39">
        <f ca="1">IFERROR(__xludf.DUMMYFUNCTION("IF(SUM(COUNTIF(artists!E:E, SPLIT(D47, "",""))) &gt; 0, ""OTHER"", 0)"),0)</f>
        <v>0</v>
      </c>
    </row>
    <row r="48" spans="1:11" ht="14.25" customHeight="1">
      <c r="A48" s="21">
        <v>47</v>
      </c>
      <c r="C48" s="21" t="s">
        <v>1282</v>
      </c>
      <c r="D48" s="21" t="s">
        <v>108</v>
      </c>
      <c r="E48" s="21">
        <v>44</v>
      </c>
      <c r="F48" s="21">
        <v>241600</v>
      </c>
      <c r="H48" s="21" t="s">
        <v>1283</v>
      </c>
      <c r="I48" s="39" t="str">
        <f ca="1">IFERROR(__xludf.DUMMYFUNCTION("IF(SUM(COUNTIF(artists!A:A, SPLIT(D48, "",""))) &gt; 0, ""UA"", 0)"),"UA")</f>
        <v>UA</v>
      </c>
      <c r="J48" s="40">
        <f ca="1">IFERROR(__xludf.DUMMYFUNCTION("IF(SUM(COUNTIF(artists!C:C, SPLIT(D48, "",""))) &gt; 0, ""RU"", 0)"),0)</f>
        <v>0</v>
      </c>
      <c r="K48" s="39">
        <f ca="1">IFERROR(__xludf.DUMMYFUNCTION("IF(SUM(COUNTIF(artists!E:E, SPLIT(D48, "",""))) &gt; 0, ""OTHER"", 0)"),0)</f>
        <v>0</v>
      </c>
    </row>
    <row r="49" spans="1:11" ht="14.25" customHeight="1">
      <c r="A49" s="21">
        <v>48</v>
      </c>
      <c r="B49" s="21">
        <v>51</v>
      </c>
      <c r="C49" s="21" t="s">
        <v>1010</v>
      </c>
      <c r="D49" s="21" t="s">
        <v>1011</v>
      </c>
      <c r="E49" s="21">
        <v>20</v>
      </c>
      <c r="F49" s="21">
        <v>239880</v>
      </c>
      <c r="G49" s="42">
        <v>2.4E-2</v>
      </c>
      <c r="H49" s="21" t="s">
        <v>1012</v>
      </c>
      <c r="I49" s="39" t="str">
        <f ca="1">IFERROR(__xludf.DUMMYFUNCTION("IF(SUM(COUNTIF(artists!A:A, SPLIT(D49, "",""))) &gt; 0, ""UA"", 0)"),"UA")</f>
        <v>UA</v>
      </c>
      <c r="J49" s="40">
        <f ca="1">IFERROR(__xludf.DUMMYFUNCTION("IF(SUM(COUNTIF(artists!C:C, SPLIT(D49, "",""))) &gt; 0, ""RU"", 0)"),0)</f>
        <v>0</v>
      </c>
      <c r="K49" s="39">
        <f ca="1">IFERROR(__xludf.DUMMYFUNCTION("IF(SUM(COUNTIF(artists!E:E, SPLIT(D49, "",""))) &gt; 0, ""OTHER"", 0)"),0)</f>
        <v>0</v>
      </c>
    </row>
    <row r="50" spans="1:11" ht="14.25" customHeight="1">
      <c r="A50" s="21">
        <v>49</v>
      </c>
      <c r="C50" s="21" t="s">
        <v>935</v>
      </c>
      <c r="D50" s="21" t="s">
        <v>936</v>
      </c>
      <c r="E50" s="21">
        <v>40</v>
      </c>
      <c r="F50" s="21">
        <v>237587</v>
      </c>
      <c r="H50" s="21" t="s">
        <v>937</v>
      </c>
      <c r="I50" s="39">
        <f ca="1">IFERROR(__xludf.DUMMYFUNCTION("IF(SUM(COUNTIF(artists!A:A, SPLIT(D50, "",""))) &gt; 0, ""UA"", 0)"),0)</f>
        <v>0</v>
      </c>
      <c r="J50" s="40" t="str">
        <f ca="1">IFERROR(__xludf.DUMMYFUNCTION("IF(SUM(COUNTIF(artists!C:C, SPLIT(D50, "",""))) &gt; 0, ""RU"", 0)"),"RU")</f>
        <v>RU</v>
      </c>
      <c r="K50" s="39">
        <f ca="1">IFERROR(__xludf.DUMMYFUNCTION("IF(SUM(COUNTIF(artists!E:E, SPLIT(D50, "",""))) &gt; 0, ""OTHER"", 0)"),0)</f>
        <v>0</v>
      </c>
    </row>
    <row r="51" spans="1:11" ht="14.25" customHeight="1">
      <c r="A51" s="21">
        <v>50</v>
      </c>
      <c r="C51" s="21" t="s">
        <v>632</v>
      </c>
      <c r="D51" s="21" t="s">
        <v>633</v>
      </c>
      <c r="E51" s="21">
        <v>21</v>
      </c>
      <c r="F51" s="21">
        <v>236546</v>
      </c>
      <c r="H51" s="21" t="s">
        <v>634</v>
      </c>
      <c r="I51" s="39" t="str">
        <f ca="1">IFERROR(__xludf.DUMMYFUNCTION("IF(SUM(COUNTIF(artists!A:A, SPLIT(D51, "",""))) &gt; 0, ""UA"", 0)"),"UA")</f>
        <v>UA</v>
      </c>
      <c r="J51" s="40">
        <f ca="1">IFERROR(__xludf.DUMMYFUNCTION("IF(SUM(COUNTIF(artists!C:C, SPLIT(D51, "",""))) &gt; 0, ""RU"", 0)"),0)</f>
        <v>0</v>
      </c>
      <c r="K51" s="39">
        <f ca="1">IFERROR(__xludf.DUMMYFUNCTION("IF(SUM(COUNTIF(artists!E:E, SPLIT(D51, "",""))) &gt; 0, ""OTHER"", 0)"),0)</f>
        <v>0</v>
      </c>
    </row>
    <row r="52" spans="1:11" ht="14.25" customHeight="1">
      <c r="A52" s="21">
        <v>51</v>
      </c>
      <c r="B52" s="21">
        <v>70</v>
      </c>
      <c r="C52" s="21" t="s">
        <v>1269</v>
      </c>
      <c r="D52" s="21" t="s">
        <v>1270</v>
      </c>
      <c r="E52" s="21">
        <v>14</v>
      </c>
      <c r="F52" s="21">
        <v>236503</v>
      </c>
      <c r="G52" s="42">
        <v>0.35199999999999998</v>
      </c>
      <c r="H52" s="21" t="s">
        <v>1271</v>
      </c>
      <c r="I52" s="39">
        <f ca="1">IFERROR(__xludf.DUMMYFUNCTION("IF(SUM(COUNTIF(artists!A:A, SPLIT(D52, "",""))) &gt; 0, ""UA"", 0)"),0)</f>
        <v>0</v>
      </c>
      <c r="J52" s="40" t="str">
        <f ca="1">IFERROR(__xludf.DUMMYFUNCTION("IF(SUM(COUNTIF(artists!C:C, SPLIT(D52, "",""))) &gt; 0, ""RU"", 0)"),"RU")</f>
        <v>RU</v>
      </c>
      <c r="K52" s="39">
        <f ca="1">IFERROR(__xludf.DUMMYFUNCTION("IF(SUM(COUNTIF(artists!E:E, SPLIT(D52, "",""))) &gt; 0, ""OTHER"", 0)"),0)</f>
        <v>0</v>
      </c>
    </row>
    <row r="53" spans="1:11" ht="14.25" customHeight="1">
      <c r="A53" s="21">
        <v>52</v>
      </c>
      <c r="B53" s="21">
        <v>60</v>
      </c>
      <c r="C53" s="21" t="s">
        <v>1073</v>
      </c>
      <c r="D53" s="21" t="s">
        <v>1074</v>
      </c>
      <c r="E53" s="21">
        <v>5</v>
      </c>
      <c r="F53" s="21">
        <v>221529</v>
      </c>
      <c r="G53" s="43">
        <v>0.1</v>
      </c>
      <c r="H53" s="21" t="s">
        <v>1075</v>
      </c>
      <c r="I53" s="39" t="str">
        <f ca="1">IFERROR(__xludf.DUMMYFUNCTION("IF(SUM(COUNTIF(artists!A:A, SPLIT(D53, "",""))) &gt; 0, ""UA"", 0)"),"UA")</f>
        <v>UA</v>
      </c>
      <c r="J53" s="40">
        <f ca="1">IFERROR(__xludf.DUMMYFUNCTION("IF(SUM(COUNTIF(artists!C:C, SPLIT(D53, "",""))) &gt; 0, ""RU"", 0)"),0)</f>
        <v>0</v>
      </c>
      <c r="K53" s="39">
        <f ca="1">IFERROR(__xludf.DUMMYFUNCTION("IF(SUM(COUNTIF(artists!E:E, SPLIT(D53, "",""))) &gt; 0, ""OTHER"", 0)"),0)</f>
        <v>0</v>
      </c>
    </row>
    <row r="54" spans="1:11" ht="14.25" customHeight="1">
      <c r="A54" s="21">
        <v>53</v>
      </c>
      <c r="B54" s="21">
        <v>58</v>
      </c>
      <c r="C54" s="21" t="s">
        <v>589</v>
      </c>
      <c r="D54" s="21" t="s">
        <v>590</v>
      </c>
      <c r="E54" s="21">
        <v>7</v>
      </c>
      <c r="F54" s="21">
        <v>213436</v>
      </c>
      <c r="G54" s="42">
        <v>2.3E-2</v>
      </c>
      <c r="H54" s="21" t="s">
        <v>591</v>
      </c>
      <c r="I54" s="39" t="str">
        <f ca="1">IFERROR(__xludf.DUMMYFUNCTION("IF(SUM(COUNTIF(artists!A:A, SPLIT(D54, "",""))) &gt; 0, ""UA"", 0)"),"UA")</f>
        <v>UA</v>
      </c>
      <c r="J54" s="40">
        <f ca="1">IFERROR(__xludf.DUMMYFUNCTION("IF(SUM(COUNTIF(artists!C:C, SPLIT(D54, "",""))) &gt; 0, ""RU"", 0)"),0)</f>
        <v>0</v>
      </c>
      <c r="K54" s="39">
        <f ca="1">IFERROR(__xludf.DUMMYFUNCTION("IF(SUM(COUNTIF(artists!E:E, SPLIT(D54, "",""))) &gt; 0, ""OTHER"", 0)"),0)</f>
        <v>0</v>
      </c>
    </row>
    <row r="55" spans="1:11" ht="14.25" customHeight="1">
      <c r="A55" s="21">
        <v>54</v>
      </c>
      <c r="B55" s="21">
        <v>55</v>
      </c>
      <c r="C55" s="21" t="s">
        <v>1284</v>
      </c>
      <c r="D55" s="21" t="s">
        <v>1285</v>
      </c>
      <c r="E55" s="21">
        <v>20</v>
      </c>
      <c r="F55" s="21">
        <v>213185</v>
      </c>
      <c r="G55" s="42">
        <v>-2.7E-2</v>
      </c>
      <c r="H55" s="21" t="s">
        <v>1286</v>
      </c>
      <c r="I55" s="39">
        <f ca="1">IFERROR(__xludf.DUMMYFUNCTION("IF(SUM(COUNTIF(artists!A:A, SPLIT(D55, "",""))) &gt; 0, ""UA"", 0)"),0)</f>
        <v>0</v>
      </c>
      <c r="J55" s="40" t="str">
        <f ca="1">IFERROR(__xludf.DUMMYFUNCTION("IF(SUM(COUNTIF(artists!C:C, SPLIT(D55, "",""))) &gt; 0, ""RU"", 0)"),"RU")</f>
        <v>RU</v>
      </c>
      <c r="K55" s="39">
        <f ca="1">IFERROR(__xludf.DUMMYFUNCTION("IF(SUM(COUNTIF(artists!E:E, SPLIT(D55, "",""))) &gt; 0, ""OTHER"", 0)"),0)</f>
        <v>0</v>
      </c>
    </row>
    <row r="56" spans="1:11" ht="14.25" customHeight="1">
      <c r="A56" s="21">
        <v>55</v>
      </c>
      <c r="B56" s="21">
        <v>64</v>
      </c>
      <c r="C56" s="21" t="s">
        <v>678</v>
      </c>
      <c r="D56" s="21" t="s">
        <v>89</v>
      </c>
      <c r="E56" s="21">
        <v>17</v>
      </c>
      <c r="F56" s="21">
        <v>211985</v>
      </c>
      <c r="G56" s="42">
        <v>8.8999999999999996E-2</v>
      </c>
      <c r="H56" s="21" t="s">
        <v>679</v>
      </c>
      <c r="I56" s="39" t="str">
        <f ca="1">IFERROR(__xludf.DUMMYFUNCTION("IF(SUM(COUNTIF(artists!A:A, SPLIT(D56, "",""))) &gt; 0, ""UA"", 0)"),"UA")</f>
        <v>UA</v>
      </c>
      <c r="J56" s="40">
        <f ca="1">IFERROR(__xludf.DUMMYFUNCTION("IF(SUM(COUNTIF(artists!C:C, SPLIT(D56, "",""))) &gt; 0, ""RU"", 0)"),0)</f>
        <v>0</v>
      </c>
      <c r="K56" s="39">
        <f ca="1">IFERROR(__xludf.DUMMYFUNCTION("IF(SUM(COUNTIF(artists!E:E, SPLIT(D56, "",""))) &gt; 0, ""OTHER"", 0)"),0)</f>
        <v>0</v>
      </c>
    </row>
    <row r="57" spans="1:11" ht="14.25" customHeight="1">
      <c r="A57" s="21">
        <v>56</v>
      </c>
      <c r="B57" s="21">
        <v>54</v>
      </c>
      <c r="C57" s="21" t="s">
        <v>1287</v>
      </c>
      <c r="D57" s="21" t="s">
        <v>1288</v>
      </c>
      <c r="E57" s="21">
        <v>20</v>
      </c>
      <c r="F57" s="21">
        <v>211541</v>
      </c>
      <c r="G57" s="42">
        <v>-4.7E-2</v>
      </c>
      <c r="H57" s="21" t="s">
        <v>1289</v>
      </c>
      <c r="I57" s="39">
        <f ca="1">IFERROR(__xludf.DUMMYFUNCTION("IF(SUM(COUNTIF(artists!A:A, SPLIT(D57, "",""))) &gt; 0, ""UA"", 0)"),0)</f>
        <v>0</v>
      </c>
      <c r="J57" s="40">
        <f ca="1">IFERROR(__xludf.DUMMYFUNCTION("IF(SUM(COUNTIF(artists!C:C, SPLIT(D57, "",""))) &gt; 0, ""RU"", 0)"),0)</f>
        <v>0</v>
      </c>
      <c r="K57" s="39" t="str">
        <f ca="1">IFERROR(__xludf.DUMMYFUNCTION("IF(SUM(COUNTIF(artists!E:E, SPLIT(D57, "",""))) &gt; 0, ""OTHER"", 0)"),"OTHER")</f>
        <v>OTHER</v>
      </c>
    </row>
    <row r="58" spans="1:11" ht="14.25" customHeight="1">
      <c r="A58" s="21">
        <v>57</v>
      </c>
      <c r="C58" s="21" t="s">
        <v>1101</v>
      </c>
      <c r="D58" s="21" t="s">
        <v>498</v>
      </c>
      <c r="E58" s="21">
        <v>1</v>
      </c>
      <c r="F58" s="21">
        <v>203451</v>
      </c>
      <c r="H58" s="21" t="s">
        <v>1102</v>
      </c>
      <c r="I58" s="39" t="str">
        <f ca="1">IFERROR(__xludf.DUMMYFUNCTION("IF(SUM(COUNTIF(artists!A:A, SPLIT(D58, "",""))) &gt; 0, ""UA"", 0)"),"UA")</f>
        <v>UA</v>
      </c>
      <c r="J58" s="40">
        <f ca="1">IFERROR(__xludf.DUMMYFUNCTION("IF(SUM(COUNTIF(artists!C:C, SPLIT(D58, "",""))) &gt; 0, ""RU"", 0)"),0)</f>
        <v>0</v>
      </c>
      <c r="K58" s="39">
        <f ca="1">IFERROR(__xludf.DUMMYFUNCTION("IF(SUM(COUNTIF(artists!E:E, SPLIT(D58, "",""))) &gt; 0, ""OTHER"", 0)"),0)</f>
        <v>0</v>
      </c>
    </row>
    <row r="59" spans="1:11" ht="14.25" customHeight="1">
      <c r="A59" s="21">
        <v>58</v>
      </c>
      <c r="B59" s="21">
        <v>56</v>
      </c>
      <c r="C59" s="21" t="s">
        <v>1187</v>
      </c>
      <c r="D59" s="21" t="s">
        <v>1188</v>
      </c>
      <c r="E59" s="21">
        <v>10</v>
      </c>
      <c r="F59" s="21">
        <v>201956</v>
      </c>
      <c r="G59" s="42">
        <v>-6.9000000000000006E-2</v>
      </c>
      <c r="H59" s="21" t="s">
        <v>1189</v>
      </c>
      <c r="I59" s="39" t="str">
        <f ca="1">IFERROR(__xludf.DUMMYFUNCTION("IF(SUM(COUNTIF(artists!A:A, SPLIT(D59, "",""))) &gt; 0, ""UA"", 0)"),"UA")</f>
        <v>UA</v>
      </c>
      <c r="J59" s="40">
        <f ca="1">IFERROR(__xludf.DUMMYFUNCTION("IF(SUM(COUNTIF(artists!C:C, SPLIT(D59, "",""))) &gt; 0, ""RU"", 0)"),0)</f>
        <v>0</v>
      </c>
      <c r="K59" s="39">
        <f ca="1">IFERROR(__xludf.DUMMYFUNCTION("IF(SUM(COUNTIF(artists!E:E, SPLIT(D59, "",""))) &gt; 0, ""OTHER"", 0)"),0)</f>
        <v>0</v>
      </c>
    </row>
    <row r="60" spans="1:11" ht="14.25" customHeight="1">
      <c r="A60" s="21">
        <v>59</v>
      </c>
      <c r="B60" s="21">
        <v>53</v>
      </c>
      <c r="C60" s="21" t="s">
        <v>520</v>
      </c>
      <c r="D60" s="21" t="s">
        <v>521</v>
      </c>
      <c r="E60" s="21">
        <v>10</v>
      </c>
      <c r="F60" s="21">
        <v>200852</v>
      </c>
      <c r="G60" s="42">
        <v>-0.13300000000000001</v>
      </c>
      <c r="H60" s="21" t="s">
        <v>522</v>
      </c>
      <c r="I60" s="39" t="str">
        <f ca="1">IFERROR(__xludf.DUMMYFUNCTION("IF(SUM(COUNTIF(artists!A:A, SPLIT(D60, "",""))) &gt; 0, ""UA"", 0)"),"UA")</f>
        <v>UA</v>
      </c>
      <c r="J60" s="40">
        <f ca="1">IFERROR(__xludf.DUMMYFUNCTION("IF(SUM(COUNTIF(artists!C:C, SPLIT(D60, "",""))) &gt; 0, ""RU"", 0)"),0)</f>
        <v>0</v>
      </c>
      <c r="K60" s="39">
        <f ca="1">IFERROR(__xludf.DUMMYFUNCTION("IF(SUM(COUNTIF(artists!E:E, SPLIT(D60, "",""))) &gt; 0, ""OTHER"", 0)"),0)</f>
        <v>0</v>
      </c>
    </row>
    <row r="61" spans="1:11" ht="14.25" customHeight="1">
      <c r="A61" s="21">
        <v>60</v>
      </c>
      <c r="C61" s="21" t="s">
        <v>1253</v>
      </c>
      <c r="D61" s="21" t="s">
        <v>997</v>
      </c>
      <c r="E61" s="21">
        <v>1</v>
      </c>
      <c r="F61" s="21">
        <v>196895</v>
      </c>
      <c r="H61" s="21" t="s">
        <v>1254</v>
      </c>
      <c r="I61" s="39" t="str">
        <f ca="1">IFERROR(__xludf.DUMMYFUNCTION("IF(SUM(COUNTIF(artists!A:A, SPLIT(D61, "",""))) &gt; 0, ""UA"", 0)"),"UA")</f>
        <v>UA</v>
      </c>
      <c r="J61" s="40">
        <f ca="1">IFERROR(__xludf.DUMMYFUNCTION("IF(SUM(COUNTIF(artists!C:C, SPLIT(D61, "",""))) &gt; 0, ""RU"", 0)"),0)</f>
        <v>0</v>
      </c>
      <c r="K61" s="39">
        <f ca="1">IFERROR(__xludf.DUMMYFUNCTION("IF(SUM(COUNTIF(artists!E:E, SPLIT(D61, "",""))) &gt; 0, ""OTHER"", 0)"),0)</f>
        <v>0</v>
      </c>
    </row>
    <row r="62" spans="1:11" ht="14.25" customHeight="1">
      <c r="A62" s="21">
        <v>61</v>
      </c>
      <c r="B62" s="21">
        <v>59</v>
      </c>
      <c r="C62" s="21" t="s">
        <v>971</v>
      </c>
      <c r="D62" s="21" t="s">
        <v>972</v>
      </c>
      <c r="E62" s="21">
        <v>7</v>
      </c>
      <c r="F62" s="21">
        <v>195222</v>
      </c>
      <c r="G62" s="42">
        <v>-5.3999999999999999E-2</v>
      </c>
      <c r="H62" s="21" t="s">
        <v>973</v>
      </c>
      <c r="I62" s="39">
        <f ca="1">IFERROR(__xludf.DUMMYFUNCTION("IF(SUM(COUNTIF(artists!A:A, SPLIT(D62, "",""))) &gt; 0, ""UA"", 0)"),0)</f>
        <v>0</v>
      </c>
      <c r="J62" s="40">
        <f ca="1">IFERROR(__xludf.DUMMYFUNCTION("IF(SUM(COUNTIF(artists!C:C, SPLIT(D62, "",""))) &gt; 0, ""RU"", 0)"),0)</f>
        <v>0</v>
      </c>
      <c r="K62" s="39" t="str">
        <f ca="1">IFERROR(__xludf.DUMMYFUNCTION("IF(SUM(COUNTIF(artists!E:E, SPLIT(D62, "",""))) &gt; 0, ""OTHER"", 0)"),"OTHER")</f>
        <v>OTHER</v>
      </c>
    </row>
    <row r="63" spans="1:11" ht="14.25" customHeight="1">
      <c r="A63" s="21">
        <v>62</v>
      </c>
      <c r="C63" s="21" t="s">
        <v>1290</v>
      </c>
      <c r="D63" s="21" t="s">
        <v>942</v>
      </c>
      <c r="E63" s="21">
        <v>21</v>
      </c>
      <c r="F63" s="21">
        <v>191861</v>
      </c>
      <c r="H63" s="21" t="s">
        <v>1291</v>
      </c>
      <c r="I63" s="39" t="str">
        <f ca="1">IFERROR(__xludf.DUMMYFUNCTION("IF(SUM(COUNTIF(artists!A:A, SPLIT(D63, "",""))) &gt; 0, ""UA"", 0)"),"UA")</f>
        <v>UA</v>
      </c>
      <c r="J63" s="40">
        <f ca="1">IFERROR(__xludf.DUMMYFUNCTION("IF(SUM(COUNTIF(artists!C:C, SPLIT(D63, "",""))) &gt; 0, ""RU"", 0)"),0)</f>
        <v>0</v>
      </c>
      <c r="K63" s="39">
        <f ca="1">IFERROR(__xludf.DUMMYFUNCTION("IF(SUM(COUNTIF(artists!E:E, SPLIT(D63, "",""))) &gt; 0, ""OTHER"", 0)"),0)</f>
        <v>0</v>
      </c>
    </row>
    <row r="64" spans="1:11" ht="14.25" customHeight="1">
      <c r="A64" s="21">
        <v>63</v>
      </c>
      <c r="C64" s="21" t="s">
        <v>1292</v>
      </c>
      <c r="D64" s="21" t="s">
        <v>1293</v>
      </c>
      <c r="E64" s="21">
        <v>1</v>
      </c>
      <c r="F64" s="21">
        <v>189447</v>
      </c>
      <c r="H64" s="21" t="s">
        <v>1294</v>
      </c>
      <c r="I64" s="39">
        <f ca="1">IFERROR(__xludf.DUMMYFUNCTION("IF(SUM(COUNTIF(artists!A:A, SPLIT(D64, "",""))) &gt; 0, ""UA"", 0)"),0)</f>
        <v>0</v>
      </c>
      <c r="J64" s="40">
        <f ca="1">IFERROR(__xludf.DUMMYFUNCTION("IF(SUM(COUNTIF(artists!C:C, SPLIT(D64, "",""))) &gt; 0, ""RU"", 0)"),0)</f>
        <v>0</v>
      </c>
      <c r="K64" s="39" t="str">
        <f ca="1">IFERROR(__xludf.DUMMYFUNCTION("IF(SUM(COUNTIF(artists!E:E, SPLIT(D64, "",""))) &gt; 0, ""OTHER"", 0)"),"OTHER")</f>
        <v>OTHER</v>
      </c>
    </row>
    <row r="65" spans="1:11" ht="14.25" customHeight="1">
      <c r="A65" s="21">
        <v>64</v>
      </c>
      <c r="B65" s="21">
        <v>57</v>
      </c>
      <c r="C65" s="21" t="s">
        <v>1214</v>
      </c>
      <c r="D65" s="21" t="s">
        <v>1117</v>
      </c>
      <c r="E65" s="21">
        <v>8</v>
      </c>
      <c r="F65" s="21">
        <v>189194</v>
      </c>
      <c r="G65" s="42">
        <v>-0.124</v>
      </c>
      <c r="H65" s="21" t="s">
        <v>1215</v>
      </c>
      <c r="I65" s="39">
        <f ca="1">IFERROR(__xludf.DUMMYFUNCTION("IF(SUM(COUNTIF(artists!A:A, SPLIT(D65, "",""))) &gt; 0, ""UA"", 0)"),0)</f>
        <v>0</v>
      </c>
      <c r="J65" s="40" t="str">
        <f ca="1">IFERROR(__xludf.DUMMYFUNCTION("IF(SUM(COUNTIF(artists!C:C, SPLIT(D65, "",""))) &gt; 0, ""RU"", 0)"),"RU")</f>
        <v>RU</v>
      </c>
      <c r="K65" s="39">
        <f ca="1">IFERROR(__xludf.DUMMYFUNCTION("IF(SUM(COUNTIF(artists!E:E, SPLIT(D65, "",""))) &gt; 0, ""OTHER"", 0)"),0)</f>
        <v>0</v>
      </c>
    </row>
    <row r="66" spans="1:11" ht="14.25" customHeight="1">
      <c r="A66" s="21">
        <v>65</v>
      </c>
      <c r="B66" s="21">
        <v>62</v>
      </c>
      <c r="C66" s="21" t="s">
        <v>874</v>
      </c>
      <c r="D66" s="21" t="s">
        <v>108</v>
      </c>
      <c r="E66" s="21">
        <v>9</v>
      </c>
      <c r="F66" s="21">
        <v>188738</v>
      </c>
      <c r="G66" s="42">
        <v>-4.4999999999999998E-2</v>
      </c>
      <c r="H66" s="21" t="s">
        <v>875</v>
      </c>
      <c r="I66" s="39" t="str">
        <f ca="1">IFERROR(__xludf.DUMMYFUNCTION("IF(SUM(COUNTIF(artists!A:A, SPLIT(D66, "",""))) &gt; 0, ""UA"", 0)"),"UA")</f>
        <v>UA</v>
      </c>
      <c r="J66" s="40">
        <f ca="1">IFERROR(__xludf.DUMMYFUNCTION("IF(SUM(COUNTIF(artists!C:C, SPLIT(D66, "",""))) &gt; 0, ""RU"", 0)"),0)</f>
        <v>0</v>
      </c>
      <c r="K66" s="39">
        <f ca="1">IFERROR(__xludf.DUMMYFUNCTION("IF(SUM(COUNTIF(artists!E:E, SPLIT(D66, "",""))) &gt; 0, ""OTHER"", 0)"),0)</f>
        <v>0</v>
      </c>
    </row>
    <row r="67" spans="1:11" ht="14.25" customHeight="1">
      <c r="A67" s="21">
        <v>66</v>
      </c>
      <c r="B67" s="21">
        <v>83</v>
      </c>
      <c r="C67" s="21" t="s">
        <v>868</v>
      </c>
      <c r="D67" s="21" t="s">
        <v>869</v>
      </c>
      <c r="E67" s="21">
        <v>3</v>
      </c>
      <c r="F67" s="21">
        <v>186878</v>
      </c>
      <c r="G67" s="42">
        <v>0.23300000000000001</v>
      </c>
      <c r="H67" s="21" t="s">
        <v>870</v>
      </c>
      <c r="I67" s="39">
        <f ca="1">IFERROR(__xludf.DUMMYFUNCTION("IF(SUM(COUNTIF(artists!A:A, SPLIT(D67, "",""))) &gt; 0, ""UA"", 0)"),0)</f>
        <v>0</v>
      </c>
      <c r="J67" s="40" t="str">
        <f ca="1">IFERROR(__xludf.DUMMYFUNCTION("IF(SUM(COUNTIF(artists!C:C, SPLIT(D67, "",""))) &gt; 0, ""RU"", 0)"),"RU")</f>
        <v>RU</v>
      </c>
      <c r="K67" s="39">
        <f ca="1">IFERROR(__xludf.DUMMYFUNCTION("IF(SUM(COUNTIF(artists!E:E, SPLIT(D67, "",""))) &gt; 0, ""OTHER"", 0)"),0)</f>
        <v>0</v>
      </c>
    </row>
    <row r="68" spans="1:11" ht="14.25" customHeight="1">
      <c r="A68" s="21">
        <v>67</v>
      </c>
      <c r="B68" s="21">
        <v>61</v>
      </c>
      <c r="C68" s="21" t="s">
        <v>1137</v>
      </c>
      <c r="D68" s="21" t="s">
        <v>1117</v>
      </c>
      <c r="E68" s="21">
        <v>3</v>
      </c>
      <c r="F68" s="21">
        <v>185809</v>
      </c>
      <c r="G68" s="42">
        <v>-7.5999999999999998E-2</v>
      </c>
      <c r="H68" s="21" t="s">
        <v>1138</v>
      </c>
      <c r="I68" s="39">
        <f ca="1">IFERROR(__xludf.DUMMYFUNCTION("IF(SUM(COUNTIF(artists!A:A, SPLIT(D68, "",""))) &gt; 0, ""UA"", 0)"),0)</f>
        <v>0</v>
      </c>
      <c r="J68" s="40" t="str">
        <f ca="1">IFERROR(__xludf.DUMMYFUNCTION("IF(SUM(COUNTIF(artists!C:C, SPLIT(D68, "",""))) &gt; 0, ""RU"", 0)"),"RU")</f>
        <v>RU</v>
      </c>
      <c r="K68" s="39">
        <f ca="1">IFERROR(__xludf.DUMMYFUNCTION("IF(SUM(COUNTIF(artists!E:E, SPLIT(D68, "",""))) &gt; 0, ""OTHER"", 0)"),0)</f>
        <v>0</v>
      </c>
    </row>
    <row r="69" spans="1:11" ht="14.25" customHeight="1">
      <c r="A69" s="21">
        <v>68</v>
      </c>
      <c r="B69" s="21">
        <v>50</v>
      </c>
      <c r="C69" s="21" t="s">
        <v>1251</v>
      </c>
      <c r="D69" s="21" t="s">
        <v>1230</v>
      </c>
      <c r="E69" s="21">
        <v>4</v>
      </c>
      <c r="F69" s="21">
        <v>183721</v>
      </c>
      <c r="G69" s="42">
        <v>-0.253</v>
      </c>
      <c r="H69" s="21" t="s">
        <v>1252</v>
      </c>
      <c r="I69" s="39">
        <f ca="1">IFERROR(__xludf.DUMMYFUNCTION("IF(SUM(COUNTIF(artists!A:A, SPLIT(D69, "",""))) &gt; 0, ""UA"", 0)"),0)</f>
        <v>0</v>
      </c>
      <c r="J69" s="40">
        <f ca="1">IFERROR(__xludf.DUMMYFUNCTION("IF(SUM(COUNTIF(artists!C:C, SPLIT(D69, "",""))) &gt; 0, ""RU"", 0)"),0)</f>
        <v>0</v>
      </c>
      <c r="K69" s="39" t="str">
        <f ca="1">IFERROR(__xludf.DUMMYFUNCTION("IF(SUM(COUNTIF(artists!E:E, SPLIT(D69, "",""))) &gt; 0, ""OTHER"", 0)"),"OTHER")</f>
        <v>OTHER</v>
      </c>
    </row>
    <row r="70" spans="1:11" ht="14.25" customHeight="1">
      <c r="A70" s="21">
        <v>69</v>
      </c>
      <c r="C70" s="21" t="s">
        <v>742</v>
      </c>
      <c r="D70" s="21" t="s">
        <v>743</v>
      </c>
      <c r="E70" s="21">
        <v>1</v>
      </c>
      <c r="F70" s="21">
        <v>180501</v>
      </c>
      <c r="H70" s="21" t="s">
        <v>744</v>
      </c>
      <c r="I70" s="39">
        <f ca="1">IFERROR(__xludf.DUMMYFUNCTION("IF(SUM(COUNTIF(artists!A:A, SPLIT(D70, "",""))) &gt; 0, ""UA"", 0)"),0)</f>
        <v>0</v>
      </c>
      <c r="J70" s="40" t="str">
        <f ca="1">IFERROR(__xludf.DUMMYFUNCTION("IF(SUM(COUNTIF(artists!C:C, SPLIT(D70, "",""))) &gt; 0, ""RU"", 0)"),"RU")</f>
        <v>RU</v>
      </c>
      <c r="K70" s="39">
        <f ca="1">IFERROR(__xludf.DUMMYFUNCTION("IF(SUM(COUNTIF(artists!E:E, SPLIT(D70, "",""))) &gt; 0, ""OTHER"", 0)"),0)</f>
        <v>0</v>
      </c>
    </row>
    <row r="71" spans="1:11" ht="14.25" customHeight="1">
      <c r="A71" s="21">
        <v>70</v>
      </c>
      <c r="C71" s="21" t="s">
        <v>1007</v>
      </c>
      <c r="D71" s="21" t="s">
        <v>1008</v>
      </c>
      <c r="E71" s="21">
        <v>22</v>
      </c>
      <c r="F71" s="21">
        <v>175937</v>
      </c>
      <c r="H71" s="21" t="s">
        <v>1009</v>
      </c>
      <c r="I71" s="39">
        <f ca="1">IFERROR(__xludf.DUMMYFUNCTION("IF(SUM(COUNTIF(artists!A:A, SPLIT(D71, "",""))) &gt; 0, ""UA"", 0)"),0)</f>
        <v>0</v>
      </c>
      <c r="J71" s="40" t="str">
        <f ca="1">IFERROR(__xludf.DUMMYFUNCTION("IF(SUM(COUNTIF(artists!C:C, SPLIT(D71, "",""))) &gt; 0, ""RU"", 0)"),"RU")</f>
        <v>RU</v>
      </c>
      <c r="K71" s="39">
        <f ca="1">IFERROR(__xludf.DUMMYFUNCTION("IF(SUM(COUNTIF(artists!E:E, SPLIT(D71, "",""))) &gt; 0, ""OTHER"", 0)"),0)</f>
        <v>0</v>
      </c>
    </row>
    <row r="72" spans="1:11" ht="14.25" customHeight="1">
      <c r="A72" s="21">
        <v>71</v>
      </c>
      <c r="B72" s="21">
        <v>77</v>
      </c>
      <c r="C72" s="21" t="s">
        <v>1076</v>
      </c>
      <c r="D72" s="21" t="s">
        <v>1077</v>
      </c>
      <c r="E72" s="21">
        <v>10</v>
      </c>
      <c r="F72" s="21">
        <v>173364</v>
      </c>
      <c r="G72" s="42">
        <v>6.9000000000000006E-2</v>
      </c>
      <c r="H72" s="21" t="s">
        <v>1078</v>
      </c>
      <c r="I72" s="39" t="str">
        <f ca="1">IFERROR(__xludf.DUMMYFUNCTION("IF(SUM(COUNTIF(artists!A:A, SPLIT(D72, "",""))) &gt; 0, ""UA"", 0)"),"UA")</f>
        <v>UA</v>
      </c>
      <c r="J72" s="40">
        <f ca="1">IFERROR(__xludf.DUMMYFUNCTION("IF(SUM(COUNTIF(artists!C:C, SPLIT(D72, "",""))) &gt; 0, ""RU"", 0)"),0)</f>
        <v>0</v>
      </c>
      <c r="K72" s="39">
        <f ca="1">IFERROR(__xludf.DUMMYFUNCTION("IF(SUM(COUNTIF(artists!E:E, SPLIT(D72, "",""))) &gt; 0, ""OTHER"", 0)"),0)</f>
        <v>0</v>
      </c>
    </row>
    <row r="73" spans="1:11" ht="14.25" customHeight="1">
      <c r="A73" s="21">
        <v>72</v>
      </c>
      <c r="B73" s="21">
        <v>71</v>
      </c>
      <c r="C73" s="21" t="s">
        <v>1175</v>
      </c>
      <c r="D73" s="21" t="s">
        <v>1176</v>
      </c>
      <c r="E73" s="21">
        <v>10</v>
      </c>
      <c r="F73" s="21">
        <v>167831</v>
      </c>
      <c r="G73" s="42">
        <v>-3.2000000000000001E-2</v>
      </c>
      <c r="H73" s="21" t="s">
        <v>1177</v>
      </c>
      <c r="I73" s="39">
        <f ca="1">IFERROR(__xludf.DUMMYFUNCTION("IF(SUM(COUNTIF(artists!A:A, SPLIT(D73, "",""))) &gt; 0, ""UA"", 0)"),0)</f>
        <v>0</v>
      </c>
      <c r="J73" s="40" t="str">
        <f ca="1">IFERROR(__xludf.DUMMYFUNCTION("IF(SUM(COUNTIF(artists!C:C, SPLIT(D73, "",""))) &gt; 0, ""RU"", 0)"),"RU")</f>
        <v>RU</v>
      </c>
      <c r="K73" s="39">
        <f ca="1">IFERROR(__xludf.DUMMYFUNCTION("IF(SUM(COUNTIF(artists!E:E, SPLIT(D73, "",""))) &gt; 0, ""OTHER"", 0)"),0)</f>
        <v>0</v>
      </c>
    </row>
    <row r="74" spans="1:11" ht="14.25" customHeight="1">
      <c r="A74" s="21">
        <v>73</v>
      </c>
      <c r="C74" s="21" t="s">
        <v>636</v>
      </c>
      <c r="D74" s="21" t="s">
        <v>637</v>
      </c>
      <c r="E74" s="21">
        <v>8</v>
      </c>
      <c r="F74" s="21">
        <v>166075</v>
      </c>
      <c r="H74" s="21" t="s">
        <v>638</v>
      </c>
      <c r="I74" s="39">
        <f ca="1">IFERROR(__xludf.DUMMYFUNCTION("IF(SUM(COUNTIF(artists!A:A, SPLIT(D74, "",""))) &gt; 0, ""UA"", 0)"),0)</f>
        <v>0</v>
      </c>
      <c r="J74" s="40">
        <f ca="1">IFERROR(__xludf.DUMMYFUNCTION("IF(SUM(COUNTIF(artists!C:C, SPLIT(D74, "",""))) &gt; 0, ""RU"", 0)"),0)</f>
        <v>0</v>
      </c>
      <c r="K74" s="39" t="str">
        <f ca="1">IFERROR(__xludf.DUMMYFUNCTION("IF(SUM(COUNTIF(artists!E:E, SPLIT(D74, "",""))) &gt; 0, ""OTHER"", 0)"),"OTHER")</f>
        <v>OTHER</v>
      </c>
    </row>
    <row r="75" spans="1:11" ht="14.25" customHeight="1">
      <c r="A75" s="21">
        <v>74</v>
      </c>
      <c r="C75" s="21" t="s">
        <v>1172</v>
      </c>
      <c r="D75" s="21" t="s">
        <v>1173</v>
      </c>
      <c r="E75" s="21">
        <v>1</v>
      </c>
      <c r="F75" s="21">
        <v>164752</v>
      </c>
      <c r="H75" s="21" t="s">
        <v>1174</v>
      </c>
      <c r="I75" s="39">
        <f ca="1">IFERROR(__xludf.DUMMYFUNCTION("IF(SUM(COUNTIF(artists!A:A, SPLIT(D75, "",""))) &gt; 0, ""UA"", 0)"),0)</f>
        <v>0</v>
      </c>
      <c r="J75" s="40" t="str">
        <f ca="1">IFERROR(__xludf.DUMMYFUNCTION("IF(SUM(COUNTIF(artists!C:C, SPLIT(D75, "",""))) &gt; 0, ""RU"", 0)"),"RU")</f>
        <v>RU</v>
      </c>
      <c r="K75" s="39">
        <f ca="1">IFERROR(__xludf.DUMMYFUNCTION("IF(SUM(COUNTIF(artists!E:E, SPLIT(D75, "",""))) &gt; 0, ""OTHER"", 0)"),0)</f>
        <v>0</v>
      </c>
    </row>
    <row r="76" spans="1:11" ht="14.25" customHeight="1">
      <c r="A76" s="21">
        <v>75</v>
      </c>
      <c r="B76" s="21">
        <v>28</v>
      </c>
      <c r="C76" s="21" t="s">
        <v>1295</v>
      </c>
      <c r="D76" s="21" t="s">
        <v>1296</v>
      </c>
      <c r="E76" s="21">
        <v>2</v>
      </c>
      <c r="F76" s="21">
        <v>164293</v>
      </c>
      <c r="G76" s="42">
        <v>-0.53300000000000003</v>
      </c>
      <c r="H76" s="21" t="s">
        <v>1297</v>
      </c>
      <c r="I76" s="39">
        <f ca="1">IFERROR(__xludf.DUMMYFUNCTION("IF(SUM(COUNTIF(artists!A:A, SPLIT(D76, "",""))) &gt; 0, ""UA"", 0)"),0)</f>
        <v>0</v>
      </c>
      <c r="J76" s="40" t="str">
        <f ca="1">IFERROR(__xludf.DUMMYFUNCTION("IF(SUM(COUNTIF(artists!C:C, SPLIT(D76, "",""))) &gt; 0, ""RU"", 0)"),"RU")</f>
        <v>RU</v>
      </c>
      <c r="K76" s="39">
        <f ca="1">IFERROR(__xludf.DUMMYFUNCTION("IF(SUM(COUNTIF(artists!E:E, SPLIT(D76, "",""))) &gt; 0, ""OTHER"", 0)"),0)</f>
        <v>0</v>
      </c>
    </row>
    <row r="77" spans="1:11" ht="14.25" customHeight="1">
      <c r="A77" s="21">
        <v>76</v>
      </c>
      <c r="C77" s="21" t="s">
        <v>1298</v>
      </c>
      <c r="D77" s="21" t="s">
        <v>226</v>
      </c>
      <c r="E77" s="21">
        <v>21</v>
      </c>
      <c r="F77" s="21">
        <v>159537</v>
      </c>
      <c r="H77" s="21" t="s">
        <v>1299</v>
      </c>
      <c r="I77" s="39" t="str">
        <f ca="1">IFERROR(__xludf.DUMMYFUNCTION("IF(SUM(COUNTIF(artists!A:A, SPLIT(D77, "",""))) &gt; 0, ""UA"", 0)"),"UA")</f>
        <v>UA</v>
      </c>
      <c r="J77" s="40">
        <f ca="1">IFERROR(__xludf.DUMMYFUNCTION("IF(SUM(COUNTIF(artists!C:C, SPLIT(D77, "",""))) &gt; 0, ""RU"", 0)"),0)</f>
        <v>0</v>
      </c>
      <c r="K77" s="39">
        <f ca="1">IFERROR(__xludf.DUMMYFUNCTION("IF(SUM(COUNTIF(artists!E:E, SPLIT(D77, "",""))) &gt; 0, ""OTHER"", 0)"),0)</f>
        <v>0</v>
      </c>
    </row>
    <row r="78" spans="1:11" ht="14.25" customHeight="1">
      <c r="A78" s="21">
        <v>77</v>
      </c>
      <c r="B78" s="21">
        <v>78</v>
      </c>
      <c r="C78" s="21" t="s">
        <v>697</v>
      </c>
      <c r="D78" s="21" t="s">
        <v>698</v>
      </c>
      <c r="E78" s="21">
        <v>15</v>
      </c>
      <c r="F78" s="21">
        <v>159269</v>
      </c>
      <c r="G78" s="42">
        <v>1E-3</v>
      </c>
      <c r="H78" s="21" t="s">
        <v>699</v>
      </c>
      <c r="I78" s="39">
        <f ca="1">IFERROR(__xludf.DUMMYFUNCTION("IF(SUM(COUNTIF(artists!A:A, SPLIT(D78, "",""))) &gt; 0, ""UA"", 0)"),0)</f>
        <v>0</v>
      </c>
      <c r="J78" s="40" t="str">
        <f ca="1">IFERROR(__xludf.DUMMYFUNCTION("IF(SUM(COUNTIF(artists!C:C, SPLIT(D78, "",""))) &gt; 0, ""RU"", 0)"),"RU")</f>
        <v>RU</v>
      </c>
      <c r="K78" s="39">
        <f ca="1">IFERROR(__xludf.DUMMYFUNCTION("IF(SUM(COUNTIF(artists!E:E, SPLIT(D78, "",""))) &gt; 0, ""OTHER"", 0)"),0)</f>
        <v>0</v>
      </c>
    </row>
    <row r="79" spans="1:11" ht="14.25" customHeight="1">
      <c r="A79" s="21">
        <v>78</v>
      </c>
      <c r="B79" s="21">
        <v>87</v>
      </c>
      <c r="C79" s="21" t="s">
        <v>1300</v>
      </c>
      <c r="D79" s="21" t="s">
        <v>1074</v>
      </c>
      <c r="E79" s="21">
        <v>10</v>
      </c>
      <c r="F79" s="21">
        <v>158184</v>
      </c>
      <c r="G79" s="42">
        <v>6.6000000000000003E-2</v>
      </c>
      <c r="H79" s="21" t="s">
        <v>1301</v>
      </c>
      <c r="I79" s="39" t="str">
        <f ca="1">IFERROR(__xludf.DUMMYFUNCTION("IF(SUM(COUNTIF(artists!A:A, SPLIT(D79, "",""))) &gt; 0, ""UA"", 0)"),"UA")</f>
        <v>UA</v>
      </c>
      <c r="J79" s="40">
        <f ca="1">IFERROR(__xludf.DUMMYFUNCTION("IF(SUM(COUNTIF(artists!C:C, SPLIT(D79, "",""))) &gt; 0, ""RU"", 0)"),0)</f>
        <v>0</v>
      </c>
      <c r="K79" s="39">
        <f ca="1">IFERROR(__xludf.DUMMYFUNCTION("IF(SUM(COUNTIF(artists!E:E, SPLIT(D79, "",""))) &gt; 0, ""OTHER"", 0)"),0)</f>
        <v>0</v>
      </c>
    </row>
    <row r="80" spans="1:11" ht="14.25" customHeight="1">
      <c r="A80" s="21">
        <v>79</v>
      </c>
      <c r="B80" s="21">
        <v>68</v>
      </c>
      <c r="C80" s="21" t="s">
        <v>1211</v>
      </c>
      <c r="D80" s="21" t="s">
        <v>1212</v>
      </c>
      <c r="E80" s="21">
        <v>6</v>
      </c>
      <c r="F80" s="21">
        <v>157701</v>
      </c>
      <c r="G80" s="42">
        <v>-0.17199999999999999</v>
      </c>
      <c r="H80" s="21" t="s">
        <v>1213</v>
      </c>
      <c r="I80" s="39">
        <f ca="1">IFERROR(__xludf.DUMMYFUNCTION("IF(SUM(COUNTIF(artists!A:A, SPLIT(D80, "",""))) &gt; 0, ""UA"", 0)"),0)</f>
        <v>0</v>
      </c>
      <c r="J80" s="40" t="str">
        <f ca="1">IFERROR(__xludf.DUMMYFUNCTION("IF(SUM(COUNTIF(artists!C:C, SPLIT(D80, "",""))) &gt; 0, ""RU"", 0)"),"RU")</f>
        <v>RU</v>
      </c>
      <c r="K80" s="39">
        <f ca="1">IFERROR(__xludf.DUMMYFUNCTION("IF(SUM(COUNTIF(artists!E:E, SPLIT(D80, "",""))) &gt; 0, ""OTHER"", 0)"),0)</f>
        <v>0</v>
      </c>
    </row>
    <row r="81" spans="1:11" ht="14.25" customHeight="1">
      <c r="A81" s="21">
        <v>80</v>
      </c>
      <c r="B81" s="21">
        <v>75</v>
      </c>
      <c r="C81" s="21" t="s">
        <v>1277</v>
      </c>
      <c r="D81" s="21" t="s">
        <v>1278</v>
      </c>
      <c r="E81" s="21">
        <v>3</v>
      </c>
      <c r="F81" s="21">
        <v>157305</v>
      </c>
      <c r="G81" s="42">
        <v>-3.6999999999999998E-2</v>
      </c>
      <c r="H81" s="21" t="s">
        <v>1279</v>
      </c>
      <c r="I81" s="39">
        <f ca="1">IFERROR(__xludf.DUMMYFUNCTION("IF(SUM(COUNTIF(artists!A:A, SPLIT(D81, "",""))) &gt; 0, ""UA"", 0)"),0)</f>
        <v>0</v>
      </c>
      <c r="J81" s="40" t="str">
        <f ca="1">IFERROR(__xludf.DUMMYFUNCTION("IF(SUM(COUNTIF(artists!C:C, SPLIT(D81, "",""))) &gt; 0, ""RU"", 0)"),"RU")</f>
        <v>RU</v>
      </c>
      <c r="K81" s="39">
        <f ca="1">IFERROR(__xludf.DUMMYFUNCTION("IF(SUM(COUNTIF(artists!E:E, SPLIT(D81, "",""))) &gt; 0, ""OTHER"", 0)"),0)</f>
        <v>0</v>
      </c>
    </row>
    <row r="82" spans="1:11" ht="14.25" customHeight="1">
      <c r="A82" s="21">
        <v>81</v>
      </c>
      <c r="B82" s="21">
        <v>95</v>
      </c>
      <c r="C82" s="21" t="s">
        <v>1302</v>
      </c>
      <c r="D82" s="21" t="s">
        <v>1303</v>
      </c>
      <c r="E82" s="21">
        <v>2</v>
      </c>
      <c r="F82" s="21">
        <v>153921</v>
      </c>
      <c r="G82" s="42">
        <v>9.8000000000000004E-2</v>
      </c>
      <c r="H82" s="21" t="s">
        <v>1304</v>
      </c>
      <c r="I82" s="39">
        <f ca="1">IFERROR(__xludf.DUMMYFUNCTION("IF(SUM(COUNTIF(artists!A:A, SPLIT(D82, "",""))) &gt; 0, ""UA"", 0)"),0)</f>
        <v>0</v>
      </c>
      <c r="J82" s="40" t="str">
        <f ca="1">IFERROR(__xludf.DUMMYFUNCTION("IF(SUM(COUNTIF(artists!C:C, SPLIT(D82, "",""))) &gt; 0, ""RU"", 0)"),"RU")</f>
        <v>RU</v>
      </c>
      <c r="K82" s="39">
        <f ca="1">IFERROR(__xludf.DUMMYFUNCTION("IF(SUM(COUNTIF(artists!E:E, SPLIT(D82, "",""))) &gt; 0, ""OTHER"", 0)"),0)</f>
        <v>0</v>
      </c>
    </row>
    <row r="83" spans="1:11" ht="14.25" customHeight="1">
      <c r="A83" s="21">
        <v>82</v>
      </c>
      <c r="B83" s="21">
        <v>65</v>
      </c>
      <c r="C83" s="21" t="s">
        <v>1232</v>
      </c>
      <c r="D83" s="21" t="s">
        <v>104</v>
      </c>
      <c r="E83" s="21">
        <v>3</v>
      </c>
      <c r="F83" s="21">
        <v>153359</v>
      </c>
      <c r="G83" s="42">
        <v>-0.21099999999999999</v>
      </c>
      <c r="H83" s="21" t="s">
        <v>1233</v>
      </c>
      <c r="I83" s="39" t="str">
        <f ca="1">IFERROR(__xludf.DUMMYFUNCTION("IF(SUM(COUNTIF(artists!A:A, SPLIT(D83, "",""))) &gt; 0, ""UA"", 0)"),"UA")</f>
        <v>UA</v>
      </c>
      <c r="J83" s="40">
        <f ca="1">IFERROR(__xludf.DUMMYFUNCTION("IF(SUM(COUNTIF(artists!C:C, SPLIT(D83, "",""))) &gt; 0, ""RU"", 0)"),0)</f>
        <v>0</v>
      </c>
      <c r="K83" s="39">
        <f ca="1">IFERROR(__xludf.DUMMYFUNCTION("IF(SUM(COUNTIF(artists!E:E, SPLIT(D83, "",""))) &gt; 0, ""OTHER"", 0)"),0)</f>
        <v>0</v>
      </c>
    </row>
    <row r="84" spans="1:11" ht="14.25" customHeight="1">
      <c r="A84" s="21">
        <v>83</v>
      </c>
      <c r="C84" s="21" t="s">
        <v>1266</v>
      </c>
      <c r="D84" s="21" t="s">
        <v>1267</v>
      </c>
      <c r="E84" s="21">
        <v>1</v>
      </c>
      <c r="F84" s="21">
        <v>151115</v>
      </c>
      <c r="H84" s="21" t="s">
        <v>1268</v>
      </c>
      <c r="I84" s="39">
        <f ca="1">IFERROR(__xludf.DUMMYFUNCTION("IF(SUM(COUNTIF(artists!A:A, SPLIT(D84, "",""))) &gt; 0, ""UA"", 0)"),0)</f>
        <v>0</v>
      </c>
      <c r="J84" s="40">
        <f ca="1">IFERROR(__xludf.DUMMYFUNCTION("IF(SUM(COUNTIF(artists!C:C, SPLIT(D84, "",""))) &gt; 0, ""RU"", 0)"),0)</f>
        <v>0</v>
      </c>
      <c r="K84" s="39" t="str">
        <f ca="1">IFERROR(__xludf.DUMMYFUNCTION("IF(SUM(COUNTIF(artists!E:E, SPLIT(D84, "",""))) &gt; 0, ""OTHER"", 0)"),"OTHER")</f>
        <v>OTHER</v>
      </c>
    </row>
    <row r="85" spans="1:11" ht="14.25" customHeight="1">
      <c r="A85" s="21">
        <v>84</v>
      </c>
      <c r="B85" s="21">
        <v>92</v>
      </c>
      <c r="C85" s="21" t="s">
        <v>1236</v>
      </c>
      <c r="D85" s="21" t="s">
        <v>1237</v>
      </c>
      <c r="E85" s="21">
        <v>10</v>
      </c>
      <c r="F85" s="21">
        <v>150327</v>
      </c>
      <c r="G85" s="42">
        <v>5.3999999999999999E-2</v>
      </c>
      <c r="H85" s="21" t="s">
        <v>1238</v>
      </c>
      <c r="I85" s="39">
        <f ca="1">IFERROR(__xludf.DUMMYFUNCTION("IF(SUM(COUNTIF(artists!A:A, SPLIT(D85, "",""))) &gt; 0, ""UA"", 0)"),0)</f>
        <v>0</v>
      </c>
      <c r="J85" s="40" t="str">
        <f ca="1">IFERROR(__xludf.DUMMYFUNCTION("IF(SUM(COUNTIF(artists!C:C, SPLIT(D85, "",""))) &gt; 0, ""RU"", 0)"),"RU")</f>
        <v>RU</v>
      </c>
      <c r="K85" s="39">
        <f ca="1">IFERROR(__xludf.DUMMYFUNCTION("IF(SUM(COUNTIF(artists!E:E, SPLIT(D85, "",""))) &gt; 0, ""OTHER"", 0)"),0)</f>
        <v>0</v>
      </c>
    </row>
    <row r="86" spans="1:11" ht="14.25" customHeight="1">
      <c r="A86" s="21">
        <v>85</v>
      </c>
      <c r="B86" s="21">
        <v>66</v>
      </c>
      <c r="C86" s="21" t="s">
        <v>1305</v>
      </c>
      <c r="D86" s="21" t="s">
        <v>1306</v>
      </c>
      <c r="E86" s="21">
        <v>3</v>
      </c>
      <c r="F86" s="21">
        <v>149735</v>
      </c>
      <c r="G86" s="42">
        <v>-0.22800000000000001</v>
      </c>
      <c r="H86" s="21" t="s">
        <v>1307</v>
      </c>
      <c r="I86" s="39" t="str">
        <f ca="1">IFERROR(__xludf.DUMMYFUNCTION("IF(SUM(COUNTIF(artists!A:A, SPLIT(D86, "",""))) &gt; 0, ""UA"", 0)"),"UA")</f>
        <v>UA</v>
      </c>
      <c r="J86" s="40">
        <f ca="1">IFERROR(__xludf.DUMMYFUNCTION("IF(SUM(COUNTIF(artists!C:C, SPLIT(D86, "",""))) &gt; 0, ""RU"", 0)"),0)</f>
        <v>0</v>
      </c>
      <c r="K86" s="39">
        <f ca="1">IFERROR(__xludf.DUMMYFUNCTION("IF(SUM(COUNTIF(artists!E:E, SPLIT(D86, "",""))) &gt; 0, ""OTHER"", 0)"),0)</f>
        <v>0</v>
      </c>
    </row>
    <row r="87" spans="1:11" ht="14.25" customHeight="1">
      <c r="A87" s="21">
        <v>86</v>
      </c>
      <c r="B87" s="21">
        <v>76</v>
      </c>
      <c r="C87" s="21" t="s">
        <v>1249</v>
      </c>
      <c r="D87" s="21" t="s">
        <v>187</v>
      </c>
      <c r="E87" s="21">
        <v>11</v>
      </c>
      <c r="F87" s="21">
        <v>149240</v>
      </c>
      <c r="G87" s="42">
        <v>-8.2000000000000003E-2</v>
      </c>
      <c r="H87" s="21" t="s">
        <v>1250</v>
      </c>
      <c r="I87" s="39" t="str">
        <f ca="1">IFERROR(__xludf.DUMMYFUNCTION("IF(SUM(COUNTIF(artists!A:A, SPLIT(D87, "",""))) &gt; 0, ""UA"", 0)"),"UA")</f>
        <v>UA</v>
      </c>
      <c r="J87" s="40">
        <f ca="1">IFERROR(__xludf.DUMMYFUNCTION("IF(SUM(COUNTIF(artists!C:C, SPLIT(D87, "",""))) &gt; 0, ""RU"", 0)"),0)</f>
        <v>0</v>
      </c>
      <c r="K87" s="39">
        <f ca="1">IFERROR(__xludf.DUMMYFUNCTION("IF(SUM(COUNTIF(artists!E:E, SPLIT(D87, "",""))) &gt; 0, ""OTHER"", 0)"),0)</f>
        <v>0</v>
      </c>
    </row>
    <row r="88" spans="1:11" ht="14.25" customHeight="1">
      <c r="A88" s="21">
        <v>87</v>
      </c>
      <c r="B88" s="21">
        <v>96</v>
      </c>
      <c r="C88" s="21" t="s">
        <v>1308</v>
      </c>
      <c r="D88" s="21" t="s">
        <v>1309</v>
      </c>
      <c r="E88" s="21">
        <v>13</v>
      </c>
      <c r="F88" s="21">
        <v>147945</v>
      </c>
      <c r="G88" s="42">
        <v>6.0999999999999999E-2</v>
      </c>
      <c r="H88" s="21" t="s">
        <v>1310</v>
      </c>
      <c r="I88" s="39" t="str">
        <f ca="1">IFERROR(__xludf.DUMMYFUNCTION("IF(SUM(COUNTIF(artists!A:A, SPLIT(D88, "",""))) &gt; 0, ""UA"", 0)"),"UA")</f>
        <v>UA</v>
      </c>
      <c r="J88" s="40">
        <f ca="1">IFERROR(__xludf.DUMMYFUNCTION("IF(SUM(COUNTIF(artists!C:C, SPLIT(D88, "",""))) &gt; 0, ""RU"", 0)"),0)</f>
        <v>0</v>
      </c>
      <c r="K88" s="39">
        <f ca="1">IFERROR(__xludf.DUMMYFUNCTION("IF(SUM(COUNTIF(artists!E:E, SPLIT(D88, "",""))) &gt; 0, ""OTHER"", 0)"),0)</f>
        <v>0</v>
      </c>
    </row>
    <row r="89" spans="1:11" ht="14.25" customHeight="1">
      <c r="A89" s="21">
        <v>88</v>
      </c>
      <c r="B89" s="21">
        <v>74</v>
      </c>
      <c r="C89" s="21" t="s">
        <v>1311</v>
      </c>
      <c r="D89" s="21" t="s">
        <v>1312</v>
      </c>
      <c r="E89" s="21">
        <v>5</v>
      </c>
      <c r="F89" s="21">
        <v>147343</v>
      </c>
      <c r="G89" s="42">
        <v>-0.10100000000000001</v>
      </c>
      <c r="H89" s="21" t="s">
        <v>1313</v>
      </c>
      <c r="I89" s="39">
        <f ca="1">IFERROR(__xludf.DUMMYFUNCTION("IF(SUM(COUNTIF(artists!A:A, SPLIT(D89, "",""))) &gt; 0, ""UA"", 0)"),0)</f>
        <v>0</v>
      </c>
      <c r="J89" s="40" t="str">
        <f ca="1">IFERROR(__xludf.DUMMYFUNCTION("IF(SUM(COUNTIF(artists!C:C, SPLIT(D89, "",""))) &gt; 0, ""RU"", 0)"),"RU")</f>
        <v>RU</v>
      </c>
      <c r="K89" s="39">
        <f ca="1">IFERROR(__xludf.DUMMYFUNCTION("IF(SUM(COUNTIF(artists!E:E, SPLIT(D89, "",""))) &gt; 0, ""OTHER"", 0)"),0)</f>
        <v>0</v>
      </c>
    </row>
    <row r="90" spans="1:11" ht="14.25" customHeight="1">
      <c r="A90" s="21">
        <v>89</v>
      </c>
      <c r="B90" s="21">
        <v>84</v>
      </c>
      <c r="C90" s="21" t="s">
        <v>579</v>
      </c>
      <c r="D90" s="21" t="s">
        <v>183</v>
      </c>
      <c r="E90" s="21">
        <v>10</v>
      </c>
      <c r="F90" s="21">
        <v>146529</v>
      </c>
      <c r="G90" s="42">
        <v>-3.2000000000000001E-2</v>
      </c>
      <c r="H90" s="21" t="s">
        <v>580</v>
      </c>
      <c r="I90" s="39" t="str">
        <f ca="1">IFERROR(__xludf.DUMMYFUNCTION("IF(SUM(COUNTIF(artists!A:A, SPLIT(D90, "",""))) &gt; 0, ""UA"", 0)"),"UA")</f>
        <v>UA</v>
      </c>
      <c r="J90" s="40">
        <f ca="1">IFERROR(__xludf.DUMMYFUNCTION("IF(SUM(COUNTIF(artists!C:C, SPLIT(D90, "",""))) &gt; 0, ""RU"", 0)"),0)</f>
        <v>0</v>
      </c>
      <c r="K90" s="39">
        <f ca="1">IFERROR(__xludf.DUMMYFUNCTION("IF(SUM(COUNTIF(artists!E:E, SPLIT(D90, "",""))) &gt; 0, ""OTHER"", 0)"),0)</f>
        <v>0</v>
      </c>
    </row>
    <row r="91" spans="1:11" ht="14.25" customHeight="1">
      <c r="A91" s="21">
        <v>90</v>
      </c>
      <c r="B91" s="21">
        <v>82</v>
      </c>
      <c r="C91" s="21" t="s">
        <v>379</v>
      </c>
      <c r="D91" s="21" t="s">
        <v>380</v>
      </c>
      <c r="E91" s="21">
        <v>8</v>
      </c>
      <c r="F91" s="21">
        <v>145756</v>
      </c>
      <c r="G91" s="42">
        <v>-4.7E-2</v>
      </c>
      <c r="H91" s="21" t="s">
        <v>382</v>
      </c>
      <c r="I91" s="39" t="str">
        <f ca="1">IFERROR(__xludf.DUMMYFUNCTION("IF(SUM(COUNTIF(artists!A:A, SPLIT(D91, "",""))) &gt; 0, ""UA"", 0)"),"UA")</f>
        <v>UA</v>
      </c>
      <c r="J91" s="40">
        <f ca="1">IFERROR(__xludf.DUMMYFUNCTION("IF(SUM(COUNTIF(artists!C:C, SPLIT(D91, "",""))) &gt; 0, ""RU"", 0)"),0)</f>
        <v>0</v>
      </c>
      <c r="K91" s="39">
        <f ca="1">IFERROR(__xludf.DUMMYFUNCTION("IF(SUM(COUNTIF(artists!E:E, SPLIT(D91, "",""))) &gt; 0, ""OTHER"", 0)"),0)</f>
        <v>0</v>
      </c>
    </row>
    <row r="92" spans="1:11" ht="14.25" customHeight="1">
      <c r="A92" s="21">
        <v>91</v>
      </c>
      <c r="B92" s="21">
        <v>80</v>
      </c>
      <c r="C92" s="21" t="s">
        <v>1314</v>
      </c>
      <c r="D92" s="21" t="s">
        <v>1027</v>
      </c>
      <c r="E92" s="21">
        <v>6</v>
      </c>
      <c r="F92" s="21">
        <v>145482</v>
      </c>
      <c r="G92" s="42">
        <v>-6.5000000000000002E-2</v>
      </c>
      <c r="H92" s="21" t="s">
        <v>1315</v>
      </c>
      <c r="I92" s="39" t="str">
        <f ca="1">IFERROR(__xludf.DUMMYFUNCTION("IF(SUM(COUNTIF(artists!A:A, SPLIT(D92, "",""))) &gt; 0, ""UA"", 0)"),"UA")</f>
        <v>UA</v>
      </c>
      <c r="J92" s="40">
        <f ca="1">IFERROR(__xludf.DUMMYFUNCTION("IF(SUM(COUNTIF(artists!C:C, SPLIT(D92, "",""))) &gt; 0, ""RU"", 0)"),0)</f>
        <v>0</v>
      </c>
      <c r="K92" s="39">
        <f ca="1">IFERROR(__xludf.DUMMYFUNCTION("IF(SUM(COUNTIF(artists!E:E, SPLIT(D92, "",""))) &gt; 0, ""OTHER"", 0)"),0)</f>
        <v>0</v>
      </c>
    </row>
    <row r="93" spans="1:11" ht="14.25" customHeight="1">
      <c r="A93" s="21">
        <v>92</v>
      </c>
      <c r="B93" s="21">
        <v>89</v>
      </c>
      <c r="C93" s="21" t="s">
        <v>1157</v>
      </c>
      <c r="D93" s="21" t="s">
        <v>1158</v>
      </c>
      <c r="E93" s="21">
        <v>3</v>
      </c>
      <c r="F93" s="21">
        <v>144245</v>
      </c>
      <c r="G93" s="42">
        <v>-6.0000000000000001E-3</v>
      </c>
      <c r="H93" s="21" t="s">
        <v>1159</v>
      </c>
      <c r="I93" s="39">
        <f ca="1">IFERROR(__xludf.DUMMYFUNCTION("IF(SUM(COUNTIF(artists!A:A, SPLIT(D93, "",""))) &gt; 0, ""UA"", 0)"),0)</f>
        <v>0</v>
      </c>
      <c r="J93" s="40">
        <f ca="1">IFERROR(__xludf.DUMMYFUNCTION("IF(SUM(COUNTIF(artists!C:C, SPLIT(D93, "",""))) &gt; 0, ""RU"", 0)"),0)</f>
        <v>0</v>
      </c>
      <c r="K93" s="39" t="str">
        <f ca="1">IFERROR(__xludf.DUMMYFUNCTION("IF(SUM(COUNTIF(artists!E:E, SPLIT(D93, "",""))) &gt; 0, ""OTHER"", 0)"),"OTHER")</f>
        <v>OTHER</v>
      </c>
    </row>
    <row r="94" spans="1:11" ht="14.25" customHeight="1">
      <c r="A94" s="21">
        <v>93</v>
      </c>
      <c r="B94" s="21">
        <v>86</v>
      </c>
      <c r="C94" s="21" t="s">
        <v>1316</v>
      </c>
      <c r="D94" s="21" t="s">
        <v>494</v>
      </c>
      <c r="E94" s="21">
        <v>3</v>
      </c>
      <c r="F94" s="21">
        <v>141833</v>
      </c>
      <c r="G94" s="42">
        <v>-4.9000000000000002E-2</v>
      </c>
      <c r="H94" s="21" t="s">
        <v>1317</v>
      </c>
      <c r="I94" s="39" t="str">
        <f ca="1">IFERROR(__xludf.DUMMYFUNCTION("IF(SUM(COUNTIF(artists!A:A, SPLIT(D94, "",""))) &gt; 0, ""UA"", 0)"),"UA")</f>
        <v>UA</v>
      </c>
      <c r="J94" s="40">
        <f ca="1">IFERROR(__xludf.DUMMYFUNCTION("IF(SUM(COUNTIF(artists!C:C, SPLIT(D94, "",""))) &gt; 0, ""RU"", 0)"),0)</f>
        <v>0</v>
      </c>
      <c r="K94" s="39">
        <f ca="1">IFERROR(__xludf.DUMMYFUNCTION("IF(SUM(COUNTIF(artists!E:E, SPLIT(D94, "",""))) &gt; 0, ""OTHER"", 0)"),0)</f>
        <v>0</v>
      </c>
    </row>
    <row r="95" spans="1:11" ht="14.25" customHeight="1">
      <c r="A95" s="21">
        <v>94</v>
      </c>
      <c r="C95" s="21" t="s">
        <v>1247</v>
      </c>
      <c r="D95" s="21" t="s">
        <v>853</v>
      </c>
      <c r="E95" s="21">
        <v>25</v>
      </c>
      <c r="F95" s="21">
        <v>141478</v>
      </c>
      <c r="H95" s="21" t="s">
        <v>1248</v>
      </c>
      <c r="I95" s="39" t="str">
        <f ca="1">IFERROR(__xludf.DUMMYFUNCTION("IF(SUM(COUNTIF(artists!A:A, SPLIT(D95, "",""))) &gt; 0, ""UA"", 0)"),"UA")</f>
        <v>UA</v>
      </c>
      <c r="J95" s="40">
        <f ca="1">IFERROR(__xludf.DUMMYFUNCTION("IF(SUM(COUNTIF(artists!C:C, SPLIT(D95, "",""))) &gt; 0, ""RU"", 0)"),0)</f>
        <v>0</v>
      </c>
      <c r="K95" s="39">
        <f ca="1">IFERROR(__xludf.DUMMYFUNCTION("IF(SUM(COUNTIF(artists!E:E, SPLIT(D95, "",""))) &gt; 0, ""OTHER"", 0)"),0)</f>
        <v>0</v>
      </c>
    </row>
    <row r="96" spans="1:11" ht="14.25" customHeight="1">
      <c r="A96" s="21">
        <v>95</v>
      </c>
      <c r="C96" s="21" t="s">
        <v>1133</v>
      </c>
      <c r="D96" s="21" t="s">
        <v>89</v>
      </c>
      <c r="E96" s="21">
        <v>6</v>
      </c>
      <c r="F96" s="21">
        <v>141281</v>
      </c>
      <c r="H96" s="21" t="s">
        <v>1134</v>
      </c>
      <c r="I96" s="39" t="str">
        <f ca="1">IFERROR(__xludf.DUMMYFUNCTION("IF(SUM(COUNTIF(artists!A:A, SPLIT(D96, "",""))) &gt; 0, ""UA"", 0)"),"UA")</f>
        <v>UA</v>
      </c>
      <c r="J96" s="40">
        <f ca="1">IFERROR(__xludf.DUMMYFUNCTION("IF(SUM(COUNTIF(artists!C:C, SPLIT(D96, "",""))) &gt; 0, ""RU"", 0)"),0)</f>
        <v>0</v>
      </c>
      <c r="K96" s="39">
        <f ca="1">IFERROR(__xludf.DUMMYFUNCTION("IF(SUM(COUNTIF(artists!E:E, SPLIT(D96, "",""))) &gt; 0, ""OTHER"", 0)"),0)</f>
        <v>0</v>
      </c>
    </row>
    <row r="97" spans="1:11" ht="14.25" customHeight="1">
      <c r="A97" s="21">
        <v>96</v>
      </c>
      <c r="B97" s="21">
        <v>85</v>
      </c>
      <c r="C97" s="21" t="s">
        <v>1318</v>
      </c>
      <c r="D97" s="21" t="s">
        <v>1319</v>
      </c>
      <c r="E97" s="21">
        <v>16</v>
      </c>
      <c r="F97" s="21">
        <v>141020</v>
      </c>
      <c r="G97" s="42">
        <v>-5.8999999999999997E-2</v>
      </c>
      <c r="H97" s="21" t="s">
        <v>1320</v>
      </c>
      <c r="I97" s="39">
        <f ca="1">IFERROR(__xludf.DUMMYFUNCTION("IF(SUM(COUNTIF(artists!A:A, SPLIT(D97, "",""))) &gt; 0, ""UA"", 0)"),0)</f>
        <v>0</v>
      </c>
      <c r="J97" s="40" t="str">
        <f ca="1">IFERROR(__xludf.DUMMYFUNCTION("IF(SUM(COUNTIF(artists!C:C, SPLIT(D97, "",""))) &gt; 0, ""RU"", 0)"),"RU")</f>
        <v>RU</v>
      </c>
      <c r="K97" s="39">
        <f ca="1">IFERROR(__xludf.DUMMYFUNCTION("IF(SUM(COUNTIF(artists!E:E, SPLIT(D97, "",""))) &gt; 0, ""OTHER"", 0)"),0)</f>
        <v>0</v>
      </c>
    </row>
    <row r="98" spans="1:11" ht="14.25" customHeight="1">
      <c r="A98" s="21">
        <v>97</v>
      </c>
      <c r="C98" s="21" t="s">
        <v>1321</v>
      </c>
      <c r="D98" s="21" t="s">
        <v>598</v>
      </c>
      <c r="E98" s="21">
        <v>1</v>
      </c>
      <c r="F98" s="21">
        <v>139467</v>
      </c>
      <c r="H98" s="21" t="s">
        <v>1322</v>
      </c>
      <c r="I98" s="39" t="str">
        <f ca="1">IFERROR(__xludf.DUMMYFUNCTION("IF(SUM(COUNTIF(artists!A:A, SPLIT(D98, "",""))) &gt; 0, ""UA"", 0)"),"UA")</f>
        <v>UA</v>
      </c>
      <c r="J98" s="40">
        <f ca="1">IFERROR(__xludf.DUMMYFUNCTION("IF(SUM(COUNTIF(artists!C:C, SPLIT(D98, "",""))) &gt; 0, ""RU"", 0)"),0)</f>
        <v>0</v>
      </c>
      <c r="K98" s="39">
        <f ca="1">IFERROR(__xludf.DUMMYFUNCTION("IF(SUM(COUNTIF(artists!E:E, SPLIT(D98, "",""))) &gt; 0, ""OTHER"", 0)"),0)</f>
        <v>0</v>
      </c>
    </row>
    <row r="99" spans="1:11" ht="14.25" customHeight="1">
      <c r="A99" s="21">
        <v>98</v>
      </c>
      <c r="B99" s="21">
        <v>99</v>
      </c>
      <c r="C99" s="21" t="s">
        <v>1275</v>
      </c>
      <c r="D99" s="21" t="s">
        <v>89</v>
      </c>
      <c r="E99" s="21">
        <v>3</v>
      </c>
      <c r="F99" s="21">
        <v>139269</v>
      </c>
      <c r="G99" s="42">
        <v>2.7E-2</v>
      </c>
      <c r="H99" s="21" t="s">
        <v>1276</v>
      </c>
      <c r="I99" s="39" t="str">
        <f ca="1">IFERROR(__xludf.DUMMYFUNCTION("IF(SUM(COUNTIF(artists!A:A, SPLIT(D99, "",""))) &gt; 0, ""UA"", 0)"),"UA")</f>
        <v>UA</v>
      </c>
      <c r="J99" s="40">
        <f ca="1">IFERROR(__xludf.DUMMYFUNCTION("IF(SUM(COUNTIF(artists!C:C, SPLIT(D99, "",""))) &gt; 0, ""RU"", 0)"),0)</f>
        <v>0</v>
      </c>
      <c r="K99" s="39">
        <f ca="1">IFERROR(__xludf.DUMMYFUNCTION("IF(SUM(COUNTIF(artists!E:E, SPLIT(D99, "",""))) &gt; 0, ""OTHER"", 0)"),0)</f>
        <v>0</v>
      </c>
    </row>
    <row r="100" spans="1:11" ht="14.25" customHeight="1">
      <c r="A100" s="21">
        <v>99</v>
      </c>
      <c r="B100" s="21">
        <v>81</v>
      </c>
      <c r="C100" s="21" t="s">
        <v>1323</v>
      </c>
      <c r="D100" s="21" t="s">
        <v>230</v>
      </c>
      <c r="E100" s="21">
        <v>11</v>
      </c>
      <c r="F100" s="21">
        <v>138332</v>
      </c>
      <c r="G100" s="43">
        <v>-0.11</v>
      </c>
      <c r="H100" s="21" t="s">
        <v>1324</v>
      </c>
      <c r="I100" s="39" t="str">
        <f ca="1">IFERROR(__xludf.DUMMYFUNCTION("IF(SUM(COUNTIF(artists!A:A, SPLIT(D100, "",""))) &gt; 0, ""UA"", 0)"),"UA")</f>
        <v>UA</v>
      </c>
      <c r="J100" s="40">
        <f ca="1">IFERROR(__xludf.DUMMYFUNCTION("IF(SUM(COUNTIF(artists!C:C, SPLIT(D100, "",""))) &gt; 0, ""RU"", 0)"),0)</f>
        <v>0</v>
      </c>
      <c r="K100" s="39">
        <f ca="1">IFERROR(__xludf.DUMMYFUNCTION("IF(SUM(COUNTIF(artists!E:E, SPLIT(D100, "",""))) &gt; 0, ""OTHER"", 0)"),0)</f>
        <v>0</v>
      </c>
    </row>
    <row r="101" spans="1:11" ht="14.25" customHeight="1">
      <c r="A101" s="21">
        <v>100</v>
      </c>
      <c r="C101" s="21" t="s">
        <v>1038</v>
      </c>
      <c r="D101" s="21" t="s">
        <v>1039</v>
      </c>
      <c r="E101" s="21">
        <v>1</v>
      </c>
      <c r="F101" s="21">
        <v>137736</v>
      </c>
      <c r="H101" s="21" t="s">
        <v>1040</v>
      </c>
      <c r="I101" s="39">
        <f ca="1">IFERROR(__xludf.DUMMYFUNCTION("IF(SUM(COUNTIF(artists!A:A, SPLIT(D101, "",""))) &gt; 0, ""UA"", 0)"),0)</f>
        <v>0</v>
      </c>
      <c r="J101" s="40">
        <f ca="1">IFERROR(__xludf.DUMMYFUNCTION("IF(SUM(COUNTIF(artists!C:C, SPLIT(D101, "",""))) &gt; 0, ""RU"", 0)"),0)</f>
        <v>0</v>
      </c>
      <c r="K101" s="39" t="str">
        <f ca="1">IFERROR(__xludf.DUMMYFUNCTION("IF(SUM(COUNTIF(artists!E:E, SPLIT(D101, "",""))) &gt; 0, ""OTHER"", 0)"),"OTHER")</f>
        <v>OTHER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73" priority="1">
      <formula>AND($I2=0, $J2=0, $K2=0)</formula>
    </cfRule>
    <cfRule type="expression" dxfId="72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Аркуш27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4" width="8.6640625" customWidth="1"/>
    <col min="5" max="5" width="8.6640625" hidden="1" customWidth="1"/>
    <col min="6" max="6" width="8.6640625" customWidth="1"/>
    <col min="7" max="7" width="13.10937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B2" s="21">
        <v>1</v>
      </c>
      <c r="C2" s="21" t="s">
        <v>88</v>
      </c>
      <c r="D2" s="21" t="s">
        <v>89</v>
      </c>
      <c r="E2" s="21">
        <v>6</v>
      </c>
      <c r="F2" s="21">
        <v>1842904</v>
      </c>
      <c r="G2" s="42">
        <v>-0.128</v>
      </c>
      <c r="H2" s="21" t="s">
        <v>90</v>
      </c>
      <c r="I2" s="39" t="str">
        <f ca="1">IFERROR(__xludf.DUMMYFUNCTION("IF(SUM(COUNTIF(artists!A:A, SPLIT(D2, "",""))) &gt; 0, ""UA"", 0)"),"UA")</f>
        <v>UA</v>
      </c>
      <c r="J2" s="40">
        <f ca="1">IFERROR(__xludf.DUMMYFUNCTION("IF(SUM(COUNTIF(artists!C:C, SPLIT(D2, "",""))) &gt; 0, ""RU"", 0)"),0)</f>
        <v>0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B3" s="21">
        <v>3</v>
      </c>
      <c r="C3" s="21" t="s">
        <v>115</v>
      </c>
      <c r="D3" s="21" t="s">
        <v>116</v>
      </c>
      <c r="E3" s="21">
        <v>8</v>
      </c>
      <c r="F3" s="21">
        <v>1136579</v>
      </c>
      <c r="G3" s="42">
        <v>-6.5000000000000002E-2</v>
      </c>
      <c r="H3" s="21" t="s">
        <v>117</v>
      </c>
      <c r="I3" s="39" t="str">
        <f ca="1">IFERROR(__xludf.DUMMYFUNCTION("IF(SUM(COUNTIF(artists!A:A, SPLIT(D3, "",""))) &gt; 0, ""UA"", 0)"),"UA")</f>
        <v>UA</v>
      </c>
      <c r="J3" s="40">
        <f ca="1">IFERROR(__xludf.DUMMYFUNCTION("IF(SUM(COUNTIF(artists!C:C, SPLIT(D3, "",""))) &gt; 0, ""RU"", 0)"),0)</f>
        <v>0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B4" s="21">
        <v>2</v>
      </c>
      <c r="C4" s="21" t="s">
        <v>145</v>
      </c>
      <c r="D4" s="21" t="s">
        <v>146</v>
      </c>
      <c r="E4" s="21">
        <v>12</v>
      </c>
      <c r="F4" s="21">
        <v>1080472</v>
      </c>
      <c r="G4" s="42">
        <v>-0.11700000000000001</v>
      </c>
      <c r="H4" s="21" t="s">
        <v>148</v>
      </c>
      <c r="I4" s="39" t="str">
        <f ca="1">IFERROR(__xludf.DUMMYFUNCTION("IF(SUM(COUNTIF(artists!A:A, SPLIT(D4, "",""))) &gt; 0, ""UA"", 0)"),"UA")</f>
        <v>UA</v>
      </c>
      <c r="J4" s="40">
        <f ca="1">IFERROR(__xludf.DUMMYFUNCTION("IF(SUM(COUNTIF(artists!C:C, SPLIT(D4, "",""))) &gt; 0, ""RU"", 0)"),0)</f>
        <v>0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B5" s="21">
        <v>4</v>
      </c>
      <c r="C5" s="21" t="s">
        <v>128</v>
      </c>
      <c r="D5" s="21" t="s">
        <v>129</v>
      </c>
      <c r="E5" s="21">
        <v>14</v>
      </c>
      <c r="F5" s="21">
        <v>1030034</v>
      </c>
      <c r="G5" s="42">
        <v>-5.2999999999999999E-2</v>
      </c>
      <c r="H5" s="21" t="s">
        <v>131</v>
      </c>
      <c r="I5" s="39" t="str">
        <f ca="1">IFERROR(__xludf.DUMMYFUNCTION("IF(SUM(COUNTIF(artists!A:A, SPLIT(D5, "",""))) &gt; 0, ""UA"", 0)"),"UA")</f>
        <v>UA</v>
      </c>
      <c r="J5" s="40">
        <f ca="1">IFERROR(__xludf.DUMMYFUNCTION("IF(SUM(COUNTIF(artists!C:C, SPLIT(D5, "",""))) &gt; 0, ""RU"", 0)"),0)</f>
        <v>0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B6" s="21">
        <v>6</v>
      </c>
      <c r="C6" s="21" t="s">
        <v>645</v>
      </c>
      <c r="D6" s="21" t="s">
        <v>352</v>
      </c>
      <c r="E6" s="21">
        <v>31</v>
      </c>
      <c r="F6" s="21">
        <v>820538</v>
      </c>
      <c r="G6" s="42">
        <v>-0.107</v>
      </c>
      <c r="H6" s="21" t="s">
        <v>647</v>
      </c>
      <c r="I6" s="39" t="str">
        <f ca="1">IFERROR(__xludf.DUMMYFUNCTION("IF(SUM(COUNTIF(artists!A:A, SPLIT(D6, "",""))) &gt; 0, ""UA"", 0)"),"UA")</f>
        <v>UA</v>
      </c>
      <c r="J6" s="40">
        <f ca="1">IFERROR(__xludf.DUMMYFUNCTION("IF(SUM(COUNTIF(artists!C:C, SPLIT(D6, "",""))) &gt; 0, ""RU"", 0)"),0)</f>
        <v>0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B7" s="21">
        <v>5</v>
      </c>
      <c r="C7" s="21" t="s">
        <v>132</v>
      </c>
      <c r="D7" s="21" t="s">
        <v>133</v>
      </c>
      <c r="E7" s="21">
        <v>18</v>
      </c>
      <c r="F7" s="21">
        <v>812566</v>
      </c>
      <c r="G7" s="42">
        <v>-0.125</v>
      </c>
      <c r="H7" s="21" t="s">
        <v>135</v>
      </c>
      <c r="I7" s="39" t="str">
        <f ca="1">IFERROR(__xludf.DUMMYFUNCTION("IF(SUM(COUNTIF(artists!A:A, SPLIT(D7, "",""))) &gt; 0, ""UA"", 0)"),"UA")</f>
        <v>UA</v>
      </c>
      <c r="J7" s="40">
        <f ca="1">IFERROR(__xludf.DUMMYFUNCTION("IF(SUM(COUNTIF(artists!C:C, SPLIT(D7, "",""))) &gt; 0, ""RU"", 0)"),0)</f>
        <v>0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B8" s="21">
        <v>7</v>
      </c>
      <c r="C8" s="21" t="s">
        <v>202</v>
      </c>
      <c r="D8" s="21" t="s">
        <v>835</v>
      </c>
      <c r="E8" s="21">
        <v>8</v>
      </c>
      <c r="F8" s="21">
        <v>791112</v>
      </c>
      <c r="G8" s="42">
        <v>-8.7999999999999995E-2</v>
      </c>
      <c r="H8" s="21" t="s">
        <v>204</v>
      </c>
      <c r="I8" s="39" t="str">
        <f ca="1">IFERROR(__xludf.DUMMYFUNCTION("IF(SUM(COUNTIF(artists!A:A, SPLIT(D8, "",""))) &gt; 0, ""UA"", 0)"),"UA")</f>
        <v>UA</v>
      </c>
      <c r="J8" s="40">
        <f ca="1">IFERROR(__xludf.DUMMYFUNCTION("IF(SUM(COUNTIF(artists!C:C, SPLIT(D8, "",""))) &gt; 0, ""RU"", 0)"),0)</f>
        <v>0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B9" s="21">
        <v>10</v>
      </c>
      <c r="C9" s="21" t="s">
        <v>175</v>
      </c>
      <c r="D9" s="21" t="s">
        <v>89</v>
      </c>
      <c r="E9" s="21">
        <v>18</v>
      </c>
      <c r="F9" s="21">
        <v>790289</v>
      </c>
      <c r="G9" s="42">
        <v>0.13200000000000001</v>
      </c>
      <c r="H9" s="21" t="s">
        <v>177</v>
      </c>
      <c r="I9" s="39" t="str">
        <f ca="1">IFERROR(__xludf.DUMMYFUNCTION("IF(SUM(COUNTIF(artists!A:A, SPLIT(D9, "",""))) &gt; 0, ""UA"", 0)"),"UA")</f>
        <v>UA</v>
      </c>
      <c r="J9" s="40">
        <f ca="1">IFERROR(__xludf.DUMMYFUNCTION("IF(SUM(COUNTIF(artists!C:C, SPLIT(D9, "",""))) &gt; 0, ""RU"", 0)"),0)</f>
        <v>0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B10" s="21">
        <v>11</v>
      </c>
      <c r="C10" s="21" t="s">
        <v>171</v>
      </c>
      <c r="D10" s="21" t="s">
        <v>172</v>
      </c>
      <c r="E10" s="21">
        <v>13</v>
      </c>
      <c r="F10" s="21">
        <v>726945</v>
      </c>
      <c r="G10" s="42">
        <v>4.5999999999999999E-2</v>
      </c>
      <c r="H10" s="21" t="s">
        <v>174</v>
      </c>
      <c r="I10" s="39">
        <f ca="1">IFERROR(__xludf.DUMMYFUNCTION("IF(SUM(COUNTIF(artists!A:A, SPLIT(D10, "",""))) &gt; 0, ""UA"", 0)"),0)</f>
        <v>0</v>
      </c>
      <c r="J10" s="40" t="str">
        <f ca="1">IFERROR(__xludf.DUMMYFUNCTION("IF(SUM(COUNTIF(artists!C:C, SPLIT(D10, "",""))) &gt; 0, ""RU"", 0)"),"RU")</f>
        <v>RU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B11" s="21">
        <v>9</v>
      </c>
      <c r="C11" s="21" t="s">
        <v>251</v>
      </c>
      <c r="D11" s="21" t="s">
        <v>133</v>
      </c>
      <c r="E11" s="21">
        <v>3</v>
      </c>
      <c r="F11" s="21">
        <v>618513</v>
      </c>
      <c r="G11" s="43">
        <v>-0.21</v>
      </c>
      <c r="H11" s="21" t="s">
        <v>252</v>
      </c>
      <c r="I11" s="39" t="str">
        <f ca="1">IFERROR(__xludf.DUMMYFUNCTION("IF(SUM(COUNTIF(artists!A:A, SPLIT(D11, "",""))) &gt; 0, ""UA"", 0)"),"UA")</f>
        <v>UA</v>
      </c>
      <c r="J11" s="40">
        <f ca="1">IFERROR(__xludf.DUMMYFUNCTION("IF(SUM(COUNTIF(artists!C:C, SPLIT(D11, "",""))) &gt; 0, ""RU"", 0)"),0)</f>
        <v>0</v>
      </c>
      <c r="K11" s="39">
        <f ca="1">IFERROR(__xludf.DUMMYFUNCTION("IF(SUM(COUNTIF(artists!E:E, SPLIT(D11, "",""))) &gt; 0, ""OTHER"", 0)"),0)</f>
        <v>0</v>
      </c>
    </row>
    <row r="12" spans="1:11" ht="14.25" customHeight="1">
      <c r="A12" s="21">
        <v>11</v>
      </c>
      <c r="B12" s="21">
        <v>13</v>
      </c>
      <c r="C12" s="21" t="s">
        <v>186</v>
      </c>
      <c r="D12" s="21" t="s">
        <v>187</v>
      </c>
      <c r="E12" s="21">
        <v>22</v>
      </c>
      <c r="F12" s="21">
        <v>563190</v>
      </c>
      <c r="G12" s="42">
        <v>-5.6000000000000001E-2</v>
      </c>
      <c r="H12" s="21" t="s">
        <v>189</v>
      </c>
      <c r="I12" s="39" t="str">
        <f ca="1">IFERROR(__xludf.DUMMYFUNCTION("IF(SUM(COUNTIF(artists!A:A, SPLIT(D12, "",""))) &gt; 0, ""UA"", 0)"),"UA")</f>
        <v>UA</v>
      </c>
      <c r="J12" s="40">
        <f ca="1">IFERROR(__xludf.DUMMYFUNCTION("IF(SUM(COUNTIF(artists!C:C, SPLIT(D12, "",""))) &gt; 0, ""RU"", 0)"),0)</f>
        <v>0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B13" s="21">
        <v>12</v>
      </c>
      <c r="C13" s="21" t="s">
        <v>209</v>
      </c>
      <c r="D13" s="21" t="s">
        <v>210</v>
      </c>
      <c r="E13" s="21">
        <v>11</v>
      </c>
      <c r="F13" s="21">
        <v>560052</v>
      </c>
      <c r="G13" s="42">
        <v>-9.1999999999999998E-2</v>
      </c>
      <c r="H13" s="21" t="s">
        <v>212</v>
      </c>
      <c r="I13" s="39" t="str">
        <f ca="1">IFERROR(__xludf.DUMMYFUNCTION("IF(SUM(COUNTIF(artists!A:A, SPLIT(D13, "",""))) &gt; 0, ""UA"", 0)"),"UA")</f>
        <v>UA</v>
      </c>
      <c r="J13" s="40">
        <f ca="1">IFERROR(__xludf.DUMMYFUNCTION("IF(SUM(COUNTIF(artists!C:C, SPLIT(D13, "",""))) &gt; 0, ""RU"", 0)"),0)</f>
        <v>0</v>
      </c>
      <c r="K13" s="39">
        <f ca="1">IFERROR(__xludf.DUMMYFUNCTION("IF(SUM(COUNTIF(artists!E:E, SPLIT(D13, "",""))) &gt; 0, ""OTHER"", 0)"),0)</f>
        <v>0</v>
      </c>
    </row>
    <row r="14" spans="1:11" ht="14.25" customHeight="1">
      <c r="A14" s="21">
        <v>13</v>
      </c>
      <c r="B14" s="21">
        <v>15</v>
      </c>
      <c r="C14" s="21" t="s">
        <v>149</v>
      </c>
      <c r="D14" s="21" t="s">
        <v>150</v>
      </c>
      <c r="E14" s="21">
        <v>11</v>
      </c>
      <c r="F14" s="21">
        <v>553576</v>
      </c>
      <c r="G14" s="43">
        <v>-0.06</v>
      </c>
      <c r="H14" s="21" t="s">
        <v>152</v>
      </c>
      <c r="I14" s="39" t="str">
        <f ca="1">IFERROR(__xludf.DUMMYFUNCTION("IF(SUM(COUNTIF(artists!A:A, SPLIT(D14, "",""))) &gt; 0, ""UA"", 0)"),"UA")</f>
        <v>UA</v>
      </c>
      <c r="J14" s="40">
        <f ca="1">IFERROR(__xludf.DUMMYFUNCTION("IF(SUM(COUNTIF(artists!C:C, SPLIT(D14, "",""))) &gt; 0, ""RU"", 0)"),0)</f>
        <v>0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B15" s="21">
        <v>14</v>
      </c>
      <c r="C15" s="21" t="s">
        <v>194</v>
      </c>
      <c r="D15" s="21" t="s">
        <v>195</v>
      </c>
      <c r="E15" s="21">
        <v>21</v>
      </c>
      <c r="F15" s="21">
        <v>520870</v>
      </c>
      <c r="G15" s="42">
        <v>-0.123</v>
      </c>
      <c r="H15" s="21" t="s">
        <v>197</v>
      </c>
      <c r="I15" s="39" t="str">
        <f ca="1">IFERROR(__xludf.DUMMYFUNCTION("IF(SUM(COUNTIF(artists!A:A, SPLIT(D15, "",""))) &gt; 0, ""UA"", 0)"),"UA")</f>
        <v>UA</v>
      </c>
      <c r="J15" s="40">
        <f ca="1">IFERROR(__xludf.DUMMYFUNCTION("IF(SUM(COUNTIF(artists!C:C, SPLIT(D15, "",""))) &gt; 0, ""RU"", 0)"),0)</f>
        <v>0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B16" s="21">
        <v>17</v>
      </c>
      <c r="C16" s="21" t="s">
        <v>968</v>
      </c>
      <c r="D16" s="21" t="s">
        <v>969</v>
      </c>
      <c r="E16" s="21">
        <v>38</v>
      </c>
      <c r="F16" s="21">
        <v>476164</v>
      </c>
      <c r="G16" s="42">
        <v>1.4E-2</v>
      </c>
      <c r="H16" s="21" t="s">
        <v>970</v>
      </c>
      <c r="I16" s="39" t="str">
        <f ca="1">IFERROR(__xludf.DUMMYFUNCTION("IF(SUM(COUNTIF(artists!A:A, SPLIT(D16, "",""))) &gt; 0, ""UA"", 0)"),"UA")</f>
        <v>UA</v>
      </c>
      <c r="J16" s="40">
        <f ca="1">IFERROR(__xludf.DUMMYFUNCTION("IF(SUM(COUNTIF(artists!C:C, SPLIT(D16, "",""))) &gt; 0, ""RU"", 0)"),0)</f>
        <v>0</v>
      </c>
      <c r="K16" s="39">
        <f ca="1">IFERROR(__xludf.DUMMYFUNCTION("IF(SUM(COUNTIF(artists!E:E, SPLIT(D16, "",""))) &gt; 0, ""OTHER"", 0)"),0)</f>
        <v>0</v>
      </c>
    </row>
    <row r="17" spans="1:11" ht="14.25" customHeight="1">
      <c r="A17" s="21">
        <v>16</v>
      </c>
      <c r="B17" s="21">
        <v>8</v>
      </c>
      <c r="C17" s="21" t="s">
        <v>524</v>
      </c>
      <c r="D17" s="21" t="s">
        <v>525</v>
      </c>
      <c r="E17" s="21">
        <v>2</v>
      </c>
      <c r="F17" s="21">
        <v>460335</v>
      </c>
      <c r="G17" s="42">
        <v>-0.443</v>
      </c>
      <c r="H17" s="21" t="s">
        <v>526</v>
      </c>
      <c r="I17" s="39" t="str">
        <f ca="1">IFERROR(__xludf.DUMMYFUNCTION("IF(SUM(COUNTIF(artists!A:A, SPLIT(D17, "",""))) &gt; 0, ""UA"", 0)"),"UA")</f>
        <v>UA</v>
      </c>
      <c r="J17" s="40">
        <f ca="1">IFERROR(__xludf.DUMMYFUNCTION("IF(SUM(COUNTIF(artists!C:C, SPLIT(D17, "",""))) &gt; 0, ""RU"", 0)"),0)</f>
        <v>0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B18" s="21">
        <v>20</v>
      </c>
      <c r="C18" s="21" t="s">
        <v>160</v>
      </c>
      <c r="D18" s="21" t="s">
        <v>161</v>
      </c>
      <c r="E18" s="21">
        <v>12</v>
      </c>
      <c r="F18" s="21">
        <v>424007</v>
      </c>
      <c r="G18" s="42">
        <v>6.0000000000000001E-3</v>
      </c>
      <c r="H18" s="21" t="s">
        <v>163</v>
      </c>
      <c r="I18" s="39" t="str">
        <f ca="1">IFERROR(__xludf.DUMMYFUNCTION("IF(SUM(COUNTIF(artists!A:A, SPLIT(D18, "",""))) &gt; 0, ""UA"", 0)"),"UA")</f>
        <v>UA</v>
      </c>
      <c r="J18" s="40">
        <f ca="1">IFERROR(__xludf.DUMMYFUNCTION("IF(SUM(COUNTIF(artists!C:C, SPLIT(D18, "",""))) &gt; 0, ""RU"", 0)"),0)</f>
        <v>0</v>
      </c>
      <c r="K18" s="39">
        <f ca="1">IFERROR(__xludf.DUMMYFUNCTION("IF(SUM(COUNTIF(artists!E:E, SPLIT(D18, "",""))) &gt; 0, ""OTHER"", 0)"),0)</f>
        <v>0</v>
      </c>
    </row>
    <row r="19" spans="1:11" ht="14.25" customHeight="1">
      <c r="A19" s="21">
        <v>18</v>
      </c>
      <c r="B19" s="21">
        <v>16</v>
      </c>
      <c r="C19" s="21" t="s">
        <v>462</v>
      </c>
      <c r="D19" s="21" t="s">
        <v>463</v>
      </c>
      <c r="E19" s="21">
        <v>9</v>
      </c>
      <c r="F19" s="21">
        <v>421355</v>
      </c>
      <c r="G19" s="42">
        <v>-0.113</v>
      </c>
      <c r="H19" s="21" t="s">
        <v>465</v>
      </c>
      <c r="I19" s="39" t="str">
        <f ca="1">IFERROR(__xludf.DUMMYFUNCTION("IF(SUM(COUNTIF(artists!A:A, SPLIT(D19, "",""))) &gt; 0, ""UA"", 0)"),"UA")</f>
        <v>UA</v>
      </c>
      <c r="J19" s="40">
        <f ca="1">IFERROR(__xludf.DUMMYFUNCTION("IF(SUM(COUNTIF(artists!C:C, SPLIT(D19, "",""))) &gt; 0, ""RU"", 0)"),0)</f>
        <v>0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B20" s="21">
        <v>18</v>
      </c>
      <c r="C20" s="21" t="s">
        <v>229</v>
      </c>
      <c r="D20" s="21" t="s">
        <v>230</v>
      </c>
      <c r="E20" s="21">
        <v>25</v>
      </c>
      <c r="F20" s="21">
        <v>417049</v>
      </c>
      <c r="G20" s="43">
        <v>-0.1</v>
      </c>
      <c r="H20" s="21" t="s">
        <v>232</v>
      </c>
      <c r="I20" s="39" t="str">
        <f ca="1">IFERROR(__xludf.DUMMYFUNCTION("IF(SUM(COUNTIF(artists!A:A, SPLIT(D20, "",""))) &gt; 0, ""UA"", 0)"),"UA")</f>
        <v>UA</v>
      </c>
      <c r="J20" s="40">
        <f ca="1">IFERROR(__xludf.DUMMYFUNCTION("IF(SUM(COUNTIF(artists!C:C, SPLIT(D20, "",""))) &gt; 0, ""RU"", 0)"),0)</f>
        <v>0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B21" s="21">
        <v>27</v>
      </c>
      <c r="C21" s="21" t="s">
        <v>178</v>
      </c>
      <c r="D21" s="21" t="s">
        <v>179</v>
      </c>
      <c r="E21" s="21">
        <v>22</v>
      </c>
      <c r="F21" s="21">
        <v>408972</v>
      </c>
      <c r="G21" s="42">
        <v>6.0999999999999999E-2</v>
      </c>
      <c r="H21" s="21" t="s">
        <v>181</v>
      </c>
      <c r="I21" s="39" t="str">
        <f ca="1">IFERROR(__xludf.DUMMYFUNCTION("IF(SUM(COUNTIF(artists!A:A, SPLIT(D21, "",""))) &gt; 0, ""UA"", 0)"),"UA")</f>
        <v>UA</v>
      </c>
      <c r="J21" s="40">
        <f ca="1">IFERROR(__xludf.DUMMYFUNCTION("IF(SUM(COUNTIF(artists!C:C, SPLIT(D21, "",""))) &gt; 0, ""RU"", 0)"),0)</f>
        <v>0</v>
      </c>
      <c r="K21" s="39">
        <f ca="1">IFERROR(__xludf.DUMMYFUNCTION("IF(SUM(COUNTIF(artists!E:E, SPLIT(D21, "",""))) &gt; 0, ""OTHER"", 0)"),0)</f>
        <v>0</v>
      </c>
    </row>
    <row r="22" spans="1:11" ht="14.25" customHeight="1">
      <c r="A22" s="21">
        <v>21</v>
      </c>
      <c r="B22" s="21">
        <v>19</v>
      </c>
      <c r="C22" s="21" t="s">
        <v>921</v>
      </c>
      <c r="D22" s="21" t="s">
        <v>922</v>
      </c>
      <c r="E22" s="21">
        <v>10</v>
      </c>
      <c r="F22" s="21">
        <v>408113</v>
      </c>
      <c r="G22" s="42">
        <v>-6.3E-2</v>
      </c>
      <c r="H22" s="21" t="s">
        <v>923</v>
      </c>
      <c r="I22" s="39" t="str">
        <f ca="1">IFERROR(__xludf.DUMMYFUNCTION("IF(SUM(COUNTIF(artists!A:A, SPLIT(D22, "",""))) &gt; 0, ""UA"", 0)"),"UA")</f>
        <v>UA</v>
      </c>
      <c r="J22" s="40">
        <f ca="1">IFERROR(__xludf.DUMMYFUNCTION("IF(SUM(COUNTIF(artists!C:C, SPLIT(D22, "",""))) &gt; 0, ""RU"", 0)"),0)</f>
        <v>0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B23" s="21">
        <v>23</v>
      </c>
      <c r="C23" s="21" t="s">
        <v>255</v>
      </c>
      <c r="D23" s="21" t="s">
        <v>256</v>
      </c>
      <c r="E23" s="21">
        <v>8</v>
      </c>
      <c r="F23" s="21">
        <v>398730</v>
      </c>
      <c r="G23" s="42">
        <v>-1E-3</v>
      </c>
      <c r="H23" s="21" t="s">
        <v>257</v>
      </c>
      <c r="I23" s="39" t="str">
        <f ca="1">IFERROR(__xludf.DUMMYFUNCTION("IF(SUM(COUNTIF(artists!A:A, SPLIT(D23, "",""))) &gt; 0, ""UA"", 0)"),"UA")</f>
        <v>UA</v>
      </c>
      <c r="J23" s="40">
        <f ca="1">IFERROR(__xludf.DUMMYFUNCTION("IF(SUM(COUNTIF(artists!C:C, SPLIT(D23, "",""))) &gt; 0, ""RU"", 0)"),0)</f>
        <v>0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B24" s="21">
        <v>26</v>
      </c>
      <c r="C24" s="21" t="s">
        <v>168</v>
      </c>
      <c r="D24" s="21" t="s">
        <v>137</v>
      </c>
      <c r="E24" s="21">
        <v>9</v>
      </c>
      <c r="F24" s="21">
        <v>374618</v>
      </c>
      <c r="G24" s="42">
        <v>-3.5000000000000003E-2</v>
      </c>
      <c r="H24" s="21" t="s">
        <v>170</v>
      </c>
      <c r="I24" s="39" t="str">
        <f ca="1">IFERROR(__xludf.DUMMYFUNCTION("IF(SUM(COUNTIF(artists!A:A, SPLIT(D24, "",""))) &gt; 0, ""UA"", 0)"),"UA")</f>
        <v>UA</v>
      </c>
      <c r="J24" s="40">
        <f ca="1">IFERROR(__xludf.DUMMYFUNCTION("IF(SUM(COUNTIF(artists!C:C, SPLIT(D24, "",""))) &gt; 0, ""RU"", 0)"),0)</f>
        <v>0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B25" s="21">
        <v>21</v>
      </c>
      <c r="C25" s="21" t="s">
        <v>799</v>
      </c>
      <c r="D25" s="21" t="s">
        <v>494</v>
      </c>
      <c r="E25" s="21">
        <v>27</v>
      </c>
      <c r="F25" s="21">
        <v>373098</v>
      </c>
      <c r="G25" s="43">
        <v>-0.08</v>
      </c>
      <c r="H25" s="21" t="s">
        <v>800</v>
      </c>
      <c r="I25" s="39" t="str">
        <f ca="1">IFERROR(__xludf.DUMMYFUNCTION("IF(SUM(COUNTIF(artists!A:A, SPLIT(D25, "",""))) &gt; 0, ""UA"", 0)"),"UA")</f>
        <v>UA</v>
      </c>
      <c r="J25" s="40">
        <f ca="1">IFERROR(__xludf.DUMMYFUNCTION("IF(SUM(COUNTIF(artists!C:C, SPLIT(D25, "",""))) &gt; 0, ""RU"", 0)"),0)</f>
        <v>0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B26" s="21">
        <v>36</v>
      </c>
      <c r="C26" s="21" t="s">
        <v>841</v>
      </c>
      <c r="D26" s="21" t="s">
        <v>842</v>
      </c>
      <c r="E26" s="21">
        <v>24</v>
      </c>
      <c r="F26" s="21">
        <v>368063</v>
      </c>
      <c r="G26" s="42">
        <v>0.115</v>
      </c>
      <c r="H26" s="21" t="s">
        <v>843</v>
      </c>
      <c r="I26" s="39">
        <f ca="1">IFERROR(__xludf.DUMMYFUNCTION("IF(SUM(COUNTIF(artists!A:A, SPLIT(D26, "",""))) &gt; 0, ""UA"", 0)"),0)</f>
        <v>0</v>
      </c>
      <c r="J26" s="40">
        <f ca="1">IFERROR(__xludf.DUMMYFUNCTION("IF(SUM(COUNTIF(artists!C:C, SPLIT(D26, "",""))) &gt; 0, ""RU"", 0)"),0)</f>
        <v>0</v>
      </c>
      <c r="K26" s="39" t="str">
        <f ca="1">IFERROR(__xludf.DUMMYFUNCTION("IF(SUM(COUNTIF(artists!E:E, SPLIT(D26, "",""))) &gt; 0, ""OTHER"", 0)"),"OTHER")</f>
        <v>OTHER</v>
      </c>
    </row>
    <row r="27" spans="1:11" ht="14.25" customHeight="1">
      <c r="A27" s="21">
        <v>26</v>
      </c>
      <c r="C27" s="21" t="s">
        <v>1325</v>
      </c>
      <c r="D27" s="21" t="s">
        <v>1237</v>
      </c>
      <c r="E27" s="21">
        <v>52</v>
      </c>
      <c r="F27" s="21">
        <v>365796</v>
      </c>
      <c r="H27" s="21" t="s">
        <v>1326</v>
      </c>
      <c r="I27" s="39">
        <f ca="1">IFERROR(__xludf.DUMMYFUNCTION("IF(SUM(COUNTIF(artists!A:A, SPLIT(D27, "",""))) &gt; 0, ""UA"", 0)"),0)</f>
        <v>0</v>
      </c>
      <c r="J27" s="40" t="str">
        <f ca="1">IFERROR(__xludf.DUMMYFUNCTION("IF(SUM(COUNTIF(artists!C:C, SPLIT(D27, "",""))) &gt; 0, ""RU"", 0)"),"RU")</f>
        <v>RU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B28" s="21">
        <v>24</v>
      </c>
      <c r="C28" s="21" t="s">
        <v>929</v>
      </c>
      <c r="D28" s="21" t="s">
        <v>930</v>
      </c>
      <c r="E28" s="21">
        <v>11</v>
      </c>
      <c r="F28" s="21">
        <v>355375</v>
      </c>
      <c r="G28" s="42">
        <v>-9.5000000000000001E-2</v>
      </c>
      <c r="H28" s="21" t="s">
        <v>931</v>
      </c>
      <c r="I28" s="39" t="str">
        <f ca="1">IFERROR(__xludf.DUMMYFUNCTION("IF(SUM(COUNTIF(artists!A:A, SPLIT(D28, "",""))) &gt; 0, ""UA"", 0)"),"UA")</f>
        <v>UA</v>
      </c>
      <c r="J28" s="40">
        <f ca="1">IFERROR(__xludf.DUMMYFUNCTION("IF(SUM(COUNTIF(artists!C:C, SPLIT(D28, "",""))) &gt; 0, ""RU"", 0)"),0)</f>
        <v>0</v>
      </c>
      <c r="K28" s="39">
        <f ca="1">IFERROR(__xludf.DUMMYFUNCTION("IF(SUM(COUNTIF(artists!E:E, SPLIT(D28, "",""))) &gt; 0, ""OTHER"", 0)"),0)</f>
        <v>0</v>
      </c>
    </row>
    <row r="29" spans="1:11" ht="14.25" customHeight="1">
      <c r="A29" s="21">
        <v>28</v>
      </c>
      <c r="C29" s="21" t="s">
        <v>1295</v>
      </c>
      <c r="D29" s="21" t="s">
        <v>1296</v>
      </c>
      <c r="E29" s="21">
        <v>1</v>
      </c>
      <c r="F29" s="21">
        <v>352162</v>
      </c>
      <c r="H29" s="21" t="s">
        <v>1297</v>
      </c>
      <c r="I29" s="39">
        <f ca="1">IFERROR(__xludf.DUMMYFUNCTION("IF(SUM(COUNTIF(artists!A:A, SPLIT(D29, "",""))) &gt; 0, ""UA"", 0)"),0)</f>
        <v>0</v>
      </c>
      <c r="J29" s="40" t="str">
        <f ca="1">IFERROR(__xludf.DUMMYFUNCTION("IF(SUM(COUNTIF(artists!C:C, SPLIT(D29, "",""))) &gt; 0, ""RU"", 0)"),"RU")</f>
        <v>RU</v>
      </c>
      <c r="K29" s="39">
        <f ca="1">IFERROR(__xludf.DUMMYFUNCTION("IF(SUM(COUNTIF(artists!E:E, SPLIT(D29, "",""))) &gt; 0, ""OTHER"", 0)"),0)</f>
        <v>0</v>
      </c>
    </row>
    <row r="30" spans="1:11" ht="14.25" customHeight="1">
      <c r="A30" s="21">
        <v>29</v>
      </c>
      <c r="B30" s="21">
        <v>22</v>
      </c>
      <c r="C30" s="21" t="s">
        <v>895</v>
      </c>
      <c r="D30" s="21" t="s">
        <v>896</v>
      </c>
      <c r="E30" s="21">
        <v>30</v>
      </c>
      <c r="F30" s="21">
        <v>351584</v>
      </c>
      <c r="G30" s="42">
        <v>-0.129</v>
      </c>
      <c r="H30" s="21" t="s">
        <v>897</v>
      </c>
      <c r="I30" s="39" t="str">
        <f ca="1">IFERROR(__xludf.DUMMYFUNCTION("IF(SUM(COUNTIF(artists!A:A, SPLIT(D30, "",""))) &gt; 0, ""UA"", 0)"),"UA")</f>
        <v>UA</v>
      </c>
      <c r="J30" s="40">
        <f ca="1">IFERROR(__xludf.DUMMYFUNCTION("IF(SUM(COUNTIF(artists!C:C, SPLIT(D30, "",""))) &gt; 0, ""RU"", 0)"),0)</f>
        <v>0</v>
      </c>
      <c r="K30" s="39">
        <f ca="1">IFERROR(__xludf.DUMMYFUNCTION("IF(SUM(COUNTIF(artists!E:E, SPLIT(D30, "",""))) &gt; 0, ""OTHER"", 0)"),0)</f>
        <v>0</v>
      </c>
    </row>
    <row r="31" spans="1:11" ht="14.25" customHeight="1">
      <c r="A31" s="21">
        <v>30</v>
      </c>
      <c r="B31" s="21">
        <v>31</v>
      </c>
      <c r="C31" s="21" t="s">
        <v>706</v>
      </c>
      <c r="D31" s="21" t="s">
        <v>199</v>
      </c>
      <c r="E31" s="21">
        <v>14</v>
      </c>
      <c r="F31" s="21">
        <v>347541</v>
      </c>
      <c r="G31" s="42">
        <v>-3.6999999999999998E-2</v>
      </c>
      <c r="H31" s="21" t="s">
        <v>1126</v>
      </c>
      <c r="I31" s="39" t="str">
        <f ca="1">IFERROR(__xludf.DUMMYFUNCTION("IF(SUM(COUNTIF(artists!A:A, SPLIT(D31, "",""))) &gt; 0, ""UA"", 0)"),"UA")</f>
        <v>UA</v>
      </c>
      <c r="J31" s="40">
        <f ca="1">IFERROR(__xludf.DUMMYFUNCTION("IF(SUM(COUNTIF(artists!C:C, SPLIT(D31, "",""))) &gt; 0, ""RU"", 0)"),0)</f>
        <v>0</v>
      </c>
      <c r="K31" s="39">
        <f ca="1">IFERROR(__xludf.DUMMYFUNCTION("IF(SUM(COUNTIF(artists!E:E, SPLIT(D31, "",""))) &gt; 0, ""OTHER"", 0)"),0)</f>
        <v>0</v>
      </c>
    </row>
    <row r="32" spans="1:11" ht="14.25" customHeight="1">
      <c r="A32" s="21">
        <v>31</v>
      </c>
      <c r="B32" s="21">
        <v>34</v>
      </c>
      <c r="C32" s="21" t="s">
        <v>1327</v>
      </c>
      <c r="D32" s="21" t="s">
        <v>89</v>
      </c>
      <c r="E32" s="21">
        <v>47</v>
      </c>
      <c r="F32" s="21">
        <v>344358</v>
      </c>
      <c r="G32" s="42">
        <v>-2.1999999999999999E-2</v>
      </c>
      <c r="H32" s="21" t="s">
        <v>1328</v>
      </c>
      <c r="I32" s="39" t="str">
        <f ca="1">IFERROR(__xludf.DUMMYFUNCTION("IF(SUM(COUNTIF(artists!A:A, SPLIT(D32, "",""))) &gt; 0, ""UA"", 0)"),"UA")</f>
        <v>UA</v>
      </c>
      <c r="J32" s="40">
        <f ca="1">IFERROR(__xludf.DUMMYFUNCTION("IF(SUM(COUNTIF(artists!C:C, SPLIT(D32, "",""))) &gt; 0, ""RU"", 0)"),0)</f>
        <v>0</v>
      </c>
      <c r="K32" s="39">
        <f ca="1">IFERROR(__xludf.DUMMYFUNCTION("IF(SUM(COUNTIF(artists!E:E, SPLIT(D32, "",""))) &gt; 0, ""OTHER"", 0)"),0)</f>
        <v>0</v>
      </c>
    </row>
    <row r="33" spans="1:11" ht="14.25" customHeight="1">
      <c r="A33" s="21">
        <v>32</v>
      </c>
      <c r="B33" s="21">
        <v>43</v>
      </c>
      <c r="C33" s="21" t="s">
        <v>253</v>
      </c>
      <c r="D33" s="21" t="s">
        <v>89</v>
      </c>
      <c r="E33" s="21">
        <v>27</v>
      </c>
      <c r="F33" s="21">
        <v>339729</v>
      </c>
      <c r="G33" s="42">
        <v>0.16500000000000001</v>
      </c>
      <c r="H33" s="21" t="s">
        <v>254</v>
      </c>
      <c r="I33" s="39" t="str">
        <f ca="1">IFERROR(__xludf.DUMMYFUNCTION("IF(SUM(COUNTIF(artists!A:A, SPLIT(D33, "",""))) &gt; 0, ""UA"", 0)"),"UA")</f>
        <v>UA</v>
      </c>
      <c r="J33" s="40">
        <f ca="1">IFERROR(__xludf.DUMMYFUNCTION("IF(SUM(COUNTIF(artists!C:C, SPLIT(D33, "",""))) &gt; 0, ""RU"", 0)"),0)</f>
        <v>0</v>
      </c>
      <c r="K33" s="39">
        <f ca="1">IFERROR(__xludf.DUMMYFUNCTION("IF(SUM(COUNTIF(artists!E:E, SPLIT(D33, "",""))) &gt; 0, ""OTHER"", 0)"),0)</f>
        <v>0</v>
      </c>
    </row>
    <row r="34" spans="1:11" ht="14.25" customHeight="1">
      <c r="A34" s="21">
        <v>33</v>
      </c>
      <c r="B34" s="21">
        <v>29</v>
      </c>
      <c r="C34" s="21" t="s">
        <v>182</v>
      </c>
      <c r="D34" s="21" t="s">
        <v>183</v>
      </c>
      <c r="E34" s="21">
        <v>14</v>
      </c>
      <c r="F34" s="21">
        <v>329649</v>
      </c>
      <c r="G34" s="42">
        <v>-0.10199999999999999</v>
      </c>
      <c r="H34" s="21" t="s">
        <v>185</v>
      </c>
      <c r="I34" s="39" t="str">
        <f ca="1">IFERROR(__xludf.DUMMYFUNCTION("IF(SUM(COUNTIF(artists!A:A, SPLIT(D34, "",""))) &gt; 0, ""UA"", 0)"),"UA")</f>
        <v>UA</v>
      </c>
      <c r="J34" s="40">
        <f ca="1">IFERROR(__xludf.DUMMYFUNCTION("IF(SUM(COUNTIF(artists!C:C, SPLIT(D34, "",""))) &gt; 0, ""RU"", 0)"),0)</f>
        <v>0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B35" s="21">
        <v>33</v>
      </c>
      <c r="C35" s="21" t="s">
        <v>594</v>
      </c>
      <c r="D35" s="21" t="s">
        <v>595</v>
      </c>
      <c r="E35" s="21">
        <v>6</v>
      </c>
      <c r="F35" s="21">
        <v>320438</v>
      </c>
      <c r="G35" s="42">
        <v>-9.1999999999999998E-2</v>
      </c>
      <c r="H35" s="21" t="s">
        <v>596</v>
      </c>
      <c r="I35" s="39" t="str">
        <f ca="1">IFERROR(__xludf.DUMMYFUNCTION("IF(SUM(COUNTIF(artists!A:A, SPLIT(D35, "",""))) &gt; 0, ""UA"", 0)"),"UA")</f>
        <v>UA</v>
      </c>
      <c r="J35" s="40">
        <f ca="1">IFERROR(__xludf.DUMMYFUNCTION("IF(SUM(COUNTIF(artists!C:C, SPLIT(D35, "",""))) &gt; 0, ""RU"", 0)"),0)</f>
        <v>0</v>
      </c>
      <c r="K35" s="39">
        <f ca="1">IFERROR(__xludf.DUMMYFUNCTION("IF(SUM(COUNTIF(artists!E:E, SPLIT(D35, "",""))) &gt; 0, ""OTHER"", 0)"),0)</f>
        <v>0</v>
      </c>
    </row>
    <row r="36" spans="1:11" ht="14.25" customHeight="1">
      <c r="A36" s="21">
        <v>35</v>
      </c>
      <c r="B36" s="21">
        <v>46</v>
      </c>
      <c r="C36" s="21" t="s">
        <v>1178</v>
      </c>
      <c r="D36" s="21" t="s">
        <v>1117</v>
      </c>
      <c r="E36" s="21">
        <v>14</v>
      </c>
      <c r="F36" s="21">
        <v>309757</v>
      </c>
      <c r="G36" s="42">
        <v>9.0999999999999998E-2</v>
      </c>
      <c r="H36" s="21" t="s">
        <v>1179</v>
      </c>
      <c r="I36" s="39">
        <f ca="1">IFERROR(__xludf.DUMMYFUNCTION("IF(SUM(COUNTIF(artists!A:A, SPLIT(D36, "",""))) &gt; 0, ""UA"", 0)"),0)</f>
        <v>0</v>
      </c>
      <c r="J36" s="40" t="str">
        <f ca="1">IFERROR(__xludf.DUMMYFUNCTION("IF(SUM(COUNTIF(artists!C:C, SPLIT(D36, "",""))) &gt; 0, ""RU"", 0)"),"RU")</f>
        <v>RU</v>
      </c>
      <c r="K36" s="39">
        <f ca="1">IFERROR(__xludf.DUMMYFUNCTION("IF(SUM(COUNTIF(artists!E:E, SPLIT(D36, "",""))) &gt; 0, ""OTHER"", 0)"),0)</f>
        <v>0</v>
      </c>
    </row>
    <row r="37" spans="1:11" ht="14.25" customHeight="1">
      <c r="A37" s="21">
        <v>36</v>
      </c>
      <c r="B37" s="21">
        <v>35</v>
      </c>
      <c r="C37" s="21" t="s">
        <v>903</v>
      </c>
      <c r="D37" s="21" t="s">
        <v>904</v>
      </c>
      <c r="E37" s="21">
        <v>10</v>
      </c>
      <c r="F37" s="21">
        <v>309584</v>
      </c>
      <c r="G37" s="42">
        <v>-0.10100000000000001</v>
      </c>
      <c r="H37" s="21" t="s">
        <v>905</v>
      </c>
      <c r="I37" s="39" t="str">
        <f ca="1">IFERROR(__xludf.DUMMYFUNCTION("IF(SUM(COUNTIF(artists!A:A, SPLIT(D37, "",""))) &gt; 0, ""UA"", 0)"),"UA")</f>
        <v>UA</v>
      </c>
      <c r="J37" s="40">
        <f ca="1">IFERROR(__xludf.DUMMYFUNCTION("IF(SUM(COUNTIF(artists!C:C, SPLIT(D37, "",""))) &gt; 0, ""RU"", 0)"),0)</f>
        <v>0</v>
      </c>
      <c r="K37" s="39">
        <f ca="1">IFERROR(__xludf.DUMMYFUNCTION("IF(SUM(COUNTIF(artists!E:E, SPLIT(D37, "",""))) &gt; 0, ""OTHER"", 0)"),0)</f>
        <v>0</v>
      </c>
    </row>
    <row r="38" spans="1:11" ht="14.25" customHeight="1">
      <c r="A38" s="21">
        <v>37</v>
      </c>
      <c r="B38" s="21">
        <v>40</v>
      </c>
      <c r="C38" s="21" t="s">
        <v>1089</v>
      </c>
      <c r="D38" s="21" t="s">
        <v>125</v>
      </c>
      <c r="E38" s="21">
        <v>8</v>
      </c>
      <c r="F38" s="21">
        <v>309566</v>
      </c>
      <c r="G38" s="42">
        <v>1E-3</v>
      </c>
      <c r="H38" s="21" t="s">
        <v>1090</v>
      </c>
      <c r="I38" s="39">
        <f ca="1">IFERROR(__xludf.DUMMYFUNCTION("IF(SUM(COUNTIF(artists!A:A, SPLIT(D38, "",""))) &gt; 0, ""UA"", 0)"),0)</f>
        <v>0</v>
      </c>
      <c r="J38" s="40" t="str">
        <f ca="1">IFERROR(__xludf.DUMMYFUNCTION("IF(SUM(COUNTIF(artists!C:C, SPLIT(D38, "",""))) &gt; 0, ""RU"", 0)"),"RU")</f>
        <v>RU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C39" s="21" t="s">
        <v>1329</v>
      </c>
      <c r="D39" s="21" t="s">
        <v>1330</v>
      </c>
      <c r="E39" s="21">
        <v>10</v>
      </c>
      <c r="F39" s="21">
        <v>308291</v>
      </c>
      <c r="H39" s="21" t="s">
        <v>1331</v>
      </c>
      <c r="I39" s="39">
        <f ca="1">IFERROR(__xludf.DUMMYFUNCTION("IF(SUM(COUNTIF(artists!A:A, SPLIT(D39, "",""))) &gt; 0, ""UA"", 0)"),0)</f>
        <v>0</v>
      </c>
      <c r="J39" s="40" t="str">
        <f ca="1">IFERROR(__xludf.DUMMYFUNCTION("IF(SUM(COUNTIF(artists!C:C, SPLIT(D39, "",""))) &gt; 0, ""RU"", 0)"),"RU")</f>
        <v>RU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B40" s="21">
        <v>25</v>
      </c>
      <c r="C40" s="21" t="s">
        <v>1062</v>
      </c>
      <c r="D40" s="21" t="s">
        <v>1063</v>
      </c>
      <c r="E40" s="21">
        <v>3</v>
      </c>
      <c r="F40" s="21">
        <v>297873</v>
      </c>
      <c r="G40" s="42">
        <v>-0.23599999999999999</v>
      </c>
      <c r="H40" s="21" t="s">
        <v>1064</v>
      </c>
      <c r="I40" s="39" t="str">
        <f ca="1">IFERROR(__xludf.DUMMYFUNCTION("IF(SUM(COUNTIF(artists!A:A, SPLIT(D40, "",""))) &gt; 0, ""UA"", 0)"),"UA")</f>
        <v>UA</v>
      </c>
      <c r="J40" s="40">
        <f ca="1">IFERROR(__xludf.DUMMYFUNCTION("IF(SUM(COUNTIF(artists!C:C, SPLIT(D40, "",""))) &gt; 0, ""RU"", 0)"),0)</f>
        <v>0</v>
      </c>
      <c r="K40" s="39">
        <f ca="1">IFERROR(__xludf.DUMMYFUNCTION("IF(SUM(COUNTIF(artists!E:E, SPLIT(D40, "",""))) &gt; 0, ""OTHER"", 0)"),0)</f>
        <v>0</v>
      </c>
    </row>
    <row r="41" spans="1:11" ht="14.25" customHeight="1">
      <c r="A41" s="21">
        <v>40</v>
      </c>
      <c r="B41" s="21">
        <v>50</v>
      </c>
      <c r="C41" s="21" t="s">
        <v>1261</v>
      </c>
      <c r="D41" s="21" t="s">
        <v>137</v>
      </c>
      <c r="E41" s="21">
        <v>35</v>
      </c>
      <c r="F41" s="21">
        <v>289209</v>
      </c>
      <c r="G41" s="42">
        <v>6.7000000000000004E-2</v>
      </c>
      <c r="H41" s="21" t="s">
        <v>1262</v>
      </c>
      <c r="I41" s="39" t="str">
        <f ca="1">IFERROR(__xludf.DUMMYFUNCTION("IF(SUM(COUNTIF(artists!A:A, SPLIT(D41, "",""))) &gt; 0, ""UA"", 0)"),"UA")</f>
        <v>UA</v>
      </c>
      <c r="J41" s="40">
        <f ca="1">IFERROR(__xludf.DUMMYFUNCTION("IF(SUM(COUNTIF(artists!C:C, SPLIT(D41, "",""))) &gt; 0, ""RU"", 0)"),0)</f>
        <v>0</v>
      </c>
      <c r="K41" s="39">
        <f ca="1">IFERROR(__xludf.DUMMYFUNCTION("IF(SUM(COUNTIF(artists!E:E, SPLIT(D41, "",""))) &gt; 0, ""OTHER"", 0)"),0)</f>
        <v>0</v>
      </c>
    </row>
    <row r="42" spans="1:11" ht="14.25" customHeight="1">
      <c r="A42" s="21">
        <v>41</v>
      </c>
      <c r="B42" s="21">
        <v>39</v>
      </c>
      <c r="C42" s="21" t="s">
        <v>887</v>
      </c>
      <c r="D42" s="21" t="s">
        <v>89</v>
      </c>
      <c r="E42" s="21">
        <v>25</v>
      </c>
      <c r="F42" s="21">
        <v>283120</v>
      </c>
      <c r="G42" s="42">
        <v>-8.6999999999999994E-2</v>
      </c>
      <c r="H42" s="21" t="s">
        <v>888</v>
      </c>
      <c r="I42" s="39" t="str">
        <f ca="1">IFERROR(__xludf.DUMMYFUNCTION("IF(SUM(COUNTIF(artists!A:A, SPLIT(D42, "",""))) &gt; 0, ""UA"", 0)"),"UA")</f>
        <v>UA</v>
      </c>
      <c r="J42" s="40">
        <f ca="1">IFERROR(__xludf.DUMMYFUNCTION("IF(SUM(COUNTIF(artists!C:C, SPLIT(D42, "",""))) &gt; 0, ""RU"", 0)"),0)</f>
        <v>0</v>
      </c>
      <c r="K42" s="39">
        <f ca="1">IFERROR(__xludf.DUMMYFUNCTION("IF(SUM(COUNTIF(artists!E:E, SPLIT(D42, "",""))) &gt; 0, ""OTHER"", 0)"),0)</f>
        <v>0</v>
      </c>
    </row>
    <row r="43" spans="1:11" ht="14.25" customHeight="1">
      <c r="A43" s="21">
        <v>42</v>
      </c>
      <c r="B43" s="21">
        <v>28</v>
      </c>
      <c r="C43" s="21" t="s">
        <v>1147</v>
      </c>
      <c r="D43" s="21" t="s">
        <v>776</v>
      </c>
      <c r="E43" s="21">
        <v>4</v>
      </c>
      <c r="F43" s="21">
        <v>269878</v>
      </c>
      <c r="G43" s="42">
        <v>-0.27800000000000002</v>
      </c>
      <c r="H43" s="21" t="s">
        <v>1148</v>
      </c>
      <c r="I43" s="39" t="str">
        <f ca="1">IFERROR(__xludf.DUMMYFUNCTION("IF(SUM(COUNTIF(artists!A:A, SPLIT(D43, "",""))) &gt; 0, ""UA"", 0)"),"UA")</f>
        <v>UA</v>
      </c>
      <c r="J43" s="40">
        <f ca="1">IFERROR(__xludf.DUMMYFUNCTION("IF(SUM(COUNTIF(artists!C:C, SPLIT(D43, "",""))) &gt; 0, ""RU"", 0)"),0)</f>
        <v>0</v>
      </c>
      <c r="K43" s="39">
        <f ca="1">IFERROR(__xludf.DUMMYFUNCTION("IF(SUM(COUNTIF(artists!E:E, SPLIT(D43, "",""))) &gt; 0, ""OTHER"", 0)"),0)</f>
        <v>0</v>
      </c>
    </row>
    <row r="44" spans="1:11" ht="14.25" customHeight="1">
      <c r="A44" s="21">
        <v>43</v>
      </c>
      <c r="B44" s="21">
        <v>42</v>
      </c>
      <c r="C44" s="21" t="s">
        <v>1263</v>
      </c>
      <c r="D44" s="21" t="s">
        <v>1264</v>
      </c>
      <c r="E44" s="21">
        <v>44</v>
      </c>
      <c r="F44" s="21">
        <v>269440</v>
      </c>
      <c r="G44" s="42">
        <v>-8.4000000000000005E-2</v>
      </c>
      <c r="H44" s="21" t="s">
        <v>1265</v>
      </c>
      <c r="I44" s="39">
        <f ca="1">IFERROR(__xludf.DUMMYFUNCTION("IF(SUM(COUNTIF(artists!A:A, SPLIT(D44, "",""))) &gt; 0, ""UA"", 0)"),0)</f>
        <v>0</v>
      </c>
      <c r="J44" s="40" t="str">
        <f ca="1">IFERROR(__xludf.DUMMYFUNCTION("IF(SUM(COUNTIF(artists!C:C, SPLIT(D44, "",""))) &gt; 0, ""RU"", 0)"),"RU")</f>
        <v>RU</v>
      </c>
      <c r="K44" s="39">
        <f ca="1">IFERROR(__xludf.DUMMYFUNCTION("IF(SUM(COUNTIF(artists!E:E, SPLIT(D44, "",""))) &gt; 0, ""OTHER"", 0)"),0)</f>
        <v>0</v>
      </c>
    </row>
    <row r="45" spans="1:11" ht="14.25" customHeight="1">
      <c r="A45" s="21">
        <v>44</v>
      </c>
      <c r="B45" s="21">
        <v>41</v>
      </c>
      <c r="C45" s="21" t="s">
        <v>284</v>
      </c>
      <c r="D45" s="21" t="s">
        <v>15</v>
      </c>
      <c r="E45" s="21">
        <v>5</v>
      </c>
      <c r="F45" s="21">
        <v>267938</v>
      </c>
      <c r="G45" s="42">
        <v>-0.11899999999999999</v>
      </c>
      <c r="H45" s="21" t="s">
        <v>285</v>
      </c>
      <c r="I45" s="39">
        <f ca="1">IFERROR(__xludf.DUMMYFUNCTION("IF(SUM(COUNTIF(artists!A:A, SPLIT(D45, "",""))) &gt; 0, ""UA"", 0)"),0)</f>
        <v>0</v>
      </c>
      <c r="J45" s="40">
        <f ca="1">IFERROR(__xludf.DUMMYFUNCTION("IF(SUM(COUNTIF(artists!C:C, SPLIT(D45, "",""))) &gt; 0, ""RU"", 0)"),0)</f>
        <v>0</v>
      </c>
      <c r="K45" s="39" t="str">
        <f ca="1">IFERROR(__xludf.DUMMYFUNCTION("IF(SUM(COUNTIF(artists!E:E, SPLIT(D45, "",""))) &gt; 0, ""OTHER"", 0)"),"OTHER")</f>
        <v>OTHER</v>
      </c>
    </row>
    <row r="46" spans="1:11" ht="14.25" customHeight="1">
      <c r="A46" s="21">
        <v>45</v>
      </c>
      <c r="B46" s="21">
        <v>49</v>
      </c>
      <c r="C46" s="21" t="s">
        <v>909</v>
      </c>
      <c r="D46" s="21" t="s">
        <v>910</v>
      </c>
      <c r="E46" s="21">
        <v>28</v>
      </c>
      <c r="F46" s="21">
        <v>266698</v>
      </c>
      <c r="G46" s="42">
        <v>-3.1E-2</v>
      </c>
      <c r="H46" s="21" t="s">
        <v>911</v>
      </c>
      <c r="I46" s="39" t="str">
        <f ca="1">IFERROR(__xludf.DUMMYFUNCTION("IF(SUM(COUNTIF(artists!A:A, SPLIT(D46, "",""))) &gt; 0, ""UA"", 0)"),"UA")</f>
        <v>UA</v>
      </c>
      <c r="J46" s="40">
        <f ca="1">IFERROR(__xludf.DUMMYFUNCTION("IF(SUM(COUNTIF(artists!C:C, SPLIT(D46, "",""))) &gt; 0, ""RU"", 0)"),0)</f>
        <v>0</v>
      </c>
      <c r="K46" s="39">
        <f ca="1">IFERROR(__xludf.DUMMYFUNCTION("IF(SUM(COUNTIF(artists!E:E, SPLIT(D46, "",""))) &gt; 0, ""OTHER"", 0)"),0)</f>
        <v>0</v>
      </c>
    </row>
    <row r="47" spans="1:11" ht="14.25" customHeight="1">
      <c r="A47" s="21">
        <v>46</v>
      </c>
      <c r="B47" s="21">
        <v>45</v>
      </c>
      <c r="C47" s="21" t="s">
        <v>1055</v>
      </c>
      <c r="D47" s="21" t="s">
        <v>776</v>
      </c>
      <c r="E47" s="21">
        <v>15</v>
      </c>
      <c r="F47" s="21">
        <v>259352</v>
      </c>
      <c r="G47" s="42">
        <v>-8.6999999999999994E-2</v>
      </c>
      <c r="H47" s="21" t="s">
        <v>1056</v>
      </c>
      <c r="I47" s="39" t="str">
        <f ca="1">IFERROR(__xludf.DUMMYFUNCTION("IF(SUM(COUNTIF(artists!A:A, SPLIT(D47, "",""))) &gt; 0, ""UA"", 0)"),"UA")</f>
        <v>UA</v>
      </c>
      <c r="J47" s="40">
        <f ca="1">IFERROR(__xludf.DUMMYFUNCTION("IF(SUM(COUNTIF(artists!C:C, SPLIT(D47, "",""))) &gt; 0, ""RU"", 0)"),0)</f>
        <v>0</v>
      </c>
      <c r="K47" s="39">
        <f ca="1">IFERROR(__xludf.DUMMYFUNCTION("IF(SUM(COUNTIF(artists!E:E, SPLIT(D47, "",""))) &gt; 0, ""OTHER"", 0)"),0)</f>
        <v>0</v>
      </c>
    </row>
    <row r="48" spans="1:11" ht="14.25" customHeight="1">
      <c r="A48" s="21">
        <v>47</v>
      </c>
      <c r="B48" s="21">
        <v>52</v>
      </c>
      <c r="C48" s="21" t="s">
        <v>616</v>
      </c>
      <c r="D48" s="21" t="s">
        <v>617</v>
      </c>
      <c r="E48" s="21">
        <v>8</v>
      </c>
      <c r="F48" s="21">
        <v>255963</v>
      </c>
      <c r="G48" s="42">
        <v>1.2999999999999999E-2</v>
      </c>
      <c r="H48" s="21" t="s">
        <v>618</v>
      </c>
      <c r="I48" s="39">
        <f ca="1">IFERROR(__xludf.DUMMYFUNCTION("IF(SUM(COUNTIF(artists!A:A, SPLIT(D48, "",""))) &gt; 0, ""UA"", 0)"),0)</f>
        <v>0</v>
      </c>
      <c r="J48" s="40">
        <f ca="1">IFERROR(__xludf.DUMMYFUNCTION("IF(SUM(COUNTIF(artists!C:C, SPLIT(D48, "",""))) &gt; 0, ""RU"", 0)"),0)</f>
        <v>0</v>
      </c>
      <c r="K48" s="39" t="str">
        <f ca="1">IFERROR(__xludf.DUMMYFUNCTION("IF(SUM(COUNTIF(artists!E:E, SPLIT(D48, "",""))) &gt; 0, ""OTHER"", 0)"),"OTHER")</f>
        <v>OTHER</v>
      </c>
    </row>
    <row r="49" spans="1:11" ht="14.25" customHeight="1">
      <c r="A49" s="21">
        <v>48</v>
      </c>
      <c r="C49" s="21" t="s">
        <v>118</v>
      </c>
      <c r="D49" s="21" t="s">
        <v>586</v>
      </c>
      <c r="E49" s="21">
        <v>21</v>
      </c>
      <c r="F49" s="21">
        <v>254913</v>
      </c>
      <c r="H49" s="21" t="s">
        <v>587</v>
      </c>
      <c r="I49" s="39" t="str">
        <f ca="1">IFERROR(__xludf.DUMMYFUNCTION("IF(SUM(COUNTIF(artists!A:A, SPLIT(D49, "",""))) &gt; 0, ""UA"", 0)"),"UA")</f>
        <v>UA</v>
      </c>
      <c r="J49" s="40">
        <f ca="1">IFERROR(__xludf.DUMMYFUNCTION("IF(SUM(COUNTIF(artists!C:C, SPLIT(D49, "",""))) &gt; 0, ""RU"", 0)"),0)</f>
        <v>0</v>
      </c>
      <c r="K49" s="39">
        <f ca="1">IFERROR(__xludf.DUMMYFUNCTION("IF(SUM(COUNTIF(artists!E:E, SPLIT(D49, "",""))) &gt; 0, ""OTHER"", 0)"),0)</f>
        <v>0</v>
      </c>
    </row>
    <row r="50" spans="1:11" ht="14.25" customHeight="1">
      <c r="A50" s="21">
        <v>49</v>
      </c>
      <c r="B50" s="21">
        <v>51</v>
      </c>
      <c r="C50" s="21" t="s">
        <v>1242</v>
      </c>
      <c r="D50" s="21" t="s">
        <v>969</v>
      </c>
      <c r="E50" s="21">
        <v>17</v>
      </c>
      <c r="F50" s="21">
        <v>254694</v>
      </c>
      <c r="G50" s="42">
        <v>-8.0000000000000002E-3</v>
      </c>
      <c r="H50" s="21" t="s">
        <v>1243</v>
      </c>
      <c r="I50" s="39" t="str">
        <f ca="1">IFERROR(__xludf.DUMMYFUNCTION("IF(SUM(COUNTIF(artists!A:A, SPLIT(D50, "",""))) &gt; 0, ""UA"", 0)"),"UA")</f>
        <v>UA</v>
      </c>
      <c r="J50" s="40">
        <f ca="1">IFERROR(__xludf.DUMMYFUNCTION("IF(SUM(COUNTIF(artists!C:C, SPLIT(D50, "",""))) &gt; 0, ""RU"", 0)"),0)</f>
        <v>0</v>
      </c>
      <c r="K50" s="39">
        <f ca="1">IFERROR(__xludf.DUMMYFUNCTION("IF(SUM(COUNTIF(artists!E:E, SPLIT(D50, "",""))) &gt; 0, ""OTHER"", 0)"),0)</f>
        <v>0</v>
      </c>
    </row>
    <row r="51" spans="1:11" ht="14.25" customHeight="1">
      <c r="A51" s="21">
        <v>50</v>
      </c>
      <c r="B51" s="21">
        <v>30</v>
      </c>
      <c r="C51" s="21" t="s">
        <v>1251</v>
      </c>
      <c r="D51" s="21" t="s">
        <v>1230</v>
      </c>
      <c r="E51" s="21">
        <v>3</v>
      </c>
      <c r="F51" s="21">
        <v>245894</v>
      </c>
      <c r="G51" s="42">
        <v>-0.32100000000000001</v>
      </c>
      <c r="H51" s="21" t="s">
        <v>1252</v>
      </c>
      <c r="I51" s="39">
        <f ca="1">IFERROR(__xludf.DUMMYFUNCTION("IF(SUM(COUNTIF(artists!A:A, SPLIT(D51, "",""))) &gt; 0, ""UA"", 0)"),0)</f>
        <v>0</v>
      </c>
      <c r="J51" s="40">
        <f ca="1">IFERROR(__xludf.DUMMYFUNCTION("IF(SUM(COUNTIF(artists!C:C, SPLIT(D51, "",""))) &gt; 0, ""RU"", 0)"),0)</f>
        <v>0</v>
      </c>
      <c r="K51" s="39" t="str">
        <f ca="1">IFERROR(__xludf.DUMMYFUNCTION("IF(SUM(COUNTIF(artists!E:E, SPLIT(D51, "",""))) &gt; 0, ""OTHER"", 0)"),"OTHER")</f>
        <v>OTHER</v>
      </c>
    </row>
    <row r="52" spans="1:11" ht="14.25" customHeight="1">
      <c r="A52" s="21">
        <v>51</v>
      </c>
      <c r="B52" s="21">
        <v>44</v>
      </c>
      <c r="C52" s="21" t="s">
        <v>1010</v>
      </c>
      <c r="D52" s="21" t="s">
        <v>1011</v>
      </c>
      <c r="E52" s="21">
        <v>19</v>
      </c>
      <c r="F52" s="21">
        <v>234312</v>
      </c>
      <c r="G52" s="42">
        <v>-0.186</v>
      </c>
      <c r="H52" s="21" t="s">
        <v>1012</v>
      </c>
      <c r="I52" s="39" t="str">
        <f ca="1">IFERROR(__xludf.DUMMYFUNCTION("IF(SUM(COUNTIF(artists!A:A, SPLIT(D52, "",""))) &gt; 0, ""UA"", 0)"),"UA")</f>
        <v>UA</v>
      </c>
      <c r="J52" s="40">
        <f ca="1">IFERROR(__xludf.DUMMYFUNCTION("IF(SUM(COUNTIF(artists!C:C, SPLIT(D52, "",""))) &gt; 0, ""RU"", 0)"),0)</f>
        <v>0</v>
      </c>
      <c r="K52" s="39">
        <f ca="1">IFERROR(__xludf.DUMMYFUNCTION("IF(SUM(COUNTIF(artists!E:E, SPLIT(D52, "",""))) &gt; 0, ""OTHER"", 0)"),0)</f>
        <v>0</v>
      </c>
    </row>
    <row r="53" spans="1:11" ht="14.25" customHeight="1">
      <c r="A53" s="21">
        <v>52</v>
      </c>
      <c r="B53" s="21">
        <v>59</v>
      </c>
      <c r="C53" s="21" t="s">
        <v>516</v>
      </c>
      <c r="D53" s="21" t="s">
        <v>517</v>
      </c>
      <c r="E53" s="21">
        <v>16</v>
      </c>
      <c r="F53" s="21">
        <v>232553</v>
      </c>
      <c r="G53" s="43">
        <v>0.09</v>
      </c>
      <c r="H53" s="21" t="s">
        <v>518</v>
      </c>
      <c r="I53" s="39">
        <f ca="1">IFERROR(__xludf.DUMMYFUNCTION("IF(SUM(COUNTIF(artists!A:A, SPLIT(D53, "",""))) &gt; 0, ""UA"", 0)"),0)</f>
        <v>0</v>
      </c>
      <c r="J53" s="40">
        <f ca="1">IFERROR(__xludf.DUMMYFUNCTION("IF(SUM(COUNTIF(artists!C:C, SPLIT(D53, "",""))) &gt; 0, ""RU"", 0)"),0)</f>
        <v>0</v>
      </c>
      <c r="K53" s="39" t="str">
        <f ca="1">IFERROR(__xludf.DUMMYFUNCTION("IF(SUM(COUNTIF(artists!E:E, SPLIT(D53, "",""))) &gt; 0, ""OTHER"", 0)"),"OTHER")</f>
        <v>OTHER</v>
      </c>
    </row>
    <row r="54" spans="1:11" ht="14.25" customHeight="1">
      <c r="A54" s="21">
        <v>53</v>
      </c>
      <c r="B54" s="21">
        <v>85</v>
      </c>
      <c r="C54" s="21" t="s">
        <v>520</v>
      </c>
      <c r="D54" s="21" t="s">
        <v>521</v>
      </c>
      <c r="E54" s="21">
        <v>9</v>
      </c>
      <c r="F54" s="21">
        <v>231709</v>
      </c>
      <c r="G54" s="42">
        <v>0.51200000000000001</v>
      </c>
      <c r="H54" s="21" t="s">
        <v>522</v>
      </c>
      <c r="I54" s="39" t="str">
        <f ca="1">IFERROR(__xludf.DUMMYFUNCTION("IF(SUM(COUNTIF(artists!A:A, SPLIT(D54, "",""))) &gt; 0, ""UA"", 0)"),"UA")</f>
        <v>UA</v>
      </c>
      <c r="J54" s="40">
        <f ca="1">IFERROR(__xludf.DUMMYFUNCTION("IF(SUM(COUNTIF(artists!C:C, SPLIT(D54, "",""))) &gt; 0, ""RU"", 0)"),0)</f>
        <v>0</v>
      </c>
      <c r="K54" s="39">
        <f ca="1">IFERROR(__xludf.DUMMYFUNCTION("IF(SUM(COUNTIF(artists!E:E, SPLIT(D54, "",""))) &gt; 0, ""OTHER"", 0)"),0)</f>
        <v>0</v>
      </c>
    </row>
    <row r="55" spans="1:11" ht="14.25" customHeight="1">
      <c r="A55" s="21">
        <v>54</v>
      </c>
      <c r="B55" s="21">
        <v>53</v>
      </c>
      <c r="C55" s="21" t="s">
        <v>1287</v>
      </c>
      <c r="D55" s="21" t="s">
        <v>1288</v>
      </c>
      <c r="E55" s="21">
        <v>19</v>
      </c>
      <c r="F55" s="21">
        <v>222046</v>
      </c>
      <c r="G55" s="42">
        <v>-0.10299999999999999</v>
      </c>
      <c r="H55" s="21" t="s">
        <v>1289</v>
      </c>
      <c r="I55" s="39">
        <f ca="1">IFERROR(__xludf.DUMMYFUNCTION("IF(SUM(COUNTIF(artists!A:A, SPLIT(D55, "",""))) &gt; 0, ""UA"", 0)"),0)</f>
        <v>0</v>
      </c>
      <c r="J55" s="40">
        <f ca="1">IFERROR(__xludf.DUMMYFUNCTION("IF(SUM(COUNTIF(artists!C:C, SPLIT(D55, "",""))) &gt; 0, ""RU"", 0)"),0)</f>
        <v>0</v>
      </c>
      <c r="K55" s="39" t="str">
        <f ca="1">IFERROR(__xludf.DUMMYFUNCTION("IF(SUM(COUNTIF(artists!E:E, SPLIT(D55, "",""))) &gt; 0, ""OTHER"", 0)"),"OTHER")</f>
        <v>OTHER</v>
      </c>
    </row>
    <row r="56" spans="1:11" ht="14.25" customHeight="1">
      <c r="A56" s="21">
        <v>55</v>
      </c>
      <c r="B56" s="21">
        <v>62</v>
      </c>
      <c r="C56" s="21" t="s">
        <v>1284</v>
      </c>
      <c r="D56" s="21" t="s">
        <v>1285</v>
      </c>
      <c r="E56" s="21">
        <v>19</v>
      </c>
      <c r="F56" s="21">
        <v>219156</v>
      </c>
      <c r="G56" s="42">
        <v>4.9000000000000002E-2</v>
      </c>
      <c r="H56" s="21" t="s">
        <v>1286</v>
      </c>
      <c r="I56" s="39">
        <f ca="1">IFERROR(__xludf.DUMMYFUNCTION("IF(SUM(COUNTIF(artists!A:A, SPLIT(D56, "",""))) &gt; 0, ""UA"", 0)"),0)</f>
        <v>0</v>
      </c>
      <c r="J56" s="40" t="str">
        <f ca="1">IFERROR(__xludf.DUMMYFUNCTION("IF(SUM(COUNTIF(artists!C:C, SPLIT(D56, "",""))) &gt; 0, ""RU"", 0)"),"RU")</f>
        <v>RU</v>
      </c>
      <c r="K56" s="39">
        <f ca="1">IFERROR(__xludf.DUMMYFUNCTION("IF(SUM(COUNTIF(artists!E:E, SPLIT(D56, "",""))) &gt; 0, ""OTHER"", 0)"),0)</f>
        <v>0</v>
      </c>
    </row>
    <row r="57" spans="1:11" ht="14.25" customHeight="1">
      <c r="A57" s="21">
        <v>56</v>
      </c>
      <c r="B57" s="21">
        <v>57</v>
      </c>
      <c r="C57" s="21" t="s">
        <v>1187</v>
      </c>
      <c r="D57" s="21" t="s">
        <v>1188</v>
      </c>
      <c r="E57" s="21">
        <v>9</v>
      </c>
      <c r="F57" s="21">
        <v>216952</v>
      </c>
      <c r="G57" s="42">
        <v>8.9999999999999993E-3</v>
      </c>
      <c r="H57" s="21" t="s">
        <v>1189</v>
      </c>
      <c r="I57" s="39" t="str">
        <f ca="1">IFERROR(__xludf.DUMMYFUNCTION("IF(SUM(COUNTIF(artists!A:A, SPLIT(D57, "",""))) &gt; 0, ""UA"", 0)"),"UA")</f>
        <v>UA</v>
      </c>
      <c r="J57" s="40">
        <f ca="1">IFERROR(__xludf.DUMMYFUNCTION("IF(SUM(COUNTIF(artists!C:C, SPLIT(D57, "",""))) &gt; 0, ""RU"", 0)"),0)</f>
        <v>0</v>
      </c>
      <c r="K57" s="39">
        <f ca="1">IFERROR(__xludf.DUMMYFUNCTION("IF(SUM(COUNTIF(artists!E:E, SPLIT(D57, "",""))) &gt; 0, ""OTHER"", 0)"),0)</f>
        <v>0</v>
      </c>
    </row>
    <row r="58" spans="1:11" ht="14.25" customHeight="1">
      <c r="A58" s="21">
        <v>57</v>
      </c>
      <c r="B58" s="21">
        <v>58</v>
      </c>
      <c r="C58" s="21" t="s">
        <v>1214</v>
      </c>
      <c r="D58" s="21" t="s">
        <v>1117</v>
      </c>
      <c r="E58" s="21">
        <v>7</v>
      </c>
      <c r="F58" s="21">
        <v>215990</v>
      </c>
      <c r="G58" s="42">
        <v>1.0999999999999999E-2</v>
      </c>
      <c r="H58" s="21" t="s">
        <v>1215</v>
      </c>
      <c r="I58" s="39">
        <f ca="1">IFERROR(__xludf.DUMMYFUNCTION("IF(SUM(COUNTIF(artists!A:A, SPLIT(D58, "",""))) &gt; 0, ""UA"", 0)"),0)</f>
        <v>0</v>
      </c>
      <c r="J58" s="40" t="str">
        <f ca="1">IFERROR(__xludf.DUMMYFUNCTION("IF(SUM(COUNTIF(artists!C:C, SPLIT(D58, "",""))) &gt; 0, ""RU"", 0)"),"RU")</f>
        <v>RU</v>
      </c>
      <c r="K58" s="39">
        <f ca="1">IFERROR(__xludf.DUMMYFUNCTION("IF(SUM(COUNTIF(artists!E:E, SPLIT(D58, "",""))) &gt; 0, ""OTHER"", 0)"),0)</f>
        <v>0</v>
      </c>
    </row>
    <row r="59" spans="1:11" ht="14.25" customHeight="1">
      <c r="A59" s="21">
        <v>58</v>
      </c>
      <c r="B59" s="21">
        <v>61</v>
      </c>
      <c r="C59" s="21" t="s">
        <v>589</v>
      </c>
      <c r="D59" s="21" t="s">
        <v>590</v>
      </c>
      <c r="E59" s="21">
        <v>6</v>
      </c>
      <c r="F59" s="21">
        <v>208545</v>
      </c>
      <c r="G59" s="43">
        <v>-0.01</v>
      </c>
      <c r="H59" s="21" t="s">
        <v>591</v>
      </c>
      <c r="I59" s="39" t="str">
        <f ca="1">IFERROR(__xludf.DUMMYFUNCTION("IF(SUM(COUNTIF(artists!A:A, SPLIT(D59, "",""))) &gt; 0, ""UA"", 0)"),"UA")</f>
        <v>UA</v>
      </c>
      <c r="J59" s="40">
        <f ca="1">IFERROR(__xludf.DUMMYFUNCTION("IF(SUM(COUNTIF(artists!C:C, SPLIT(D59, "",""))) &gt; 0, ""RU"", 0)"),0)</f>
        <v>0</v>
      </c>
      <c r="K59" s="39">
        <f ca="1">IFERROR(__xludf.DUMMYFUNCTION("IF(SUM(COUNTIF(artists!E:E, SPLIT(D59, "",""))) &gt; 0, ""OTHER"", 0)"),0)</f>
        <v>0</v>
      </c>
    </row>
    <row r="60" spans="1:11" ht="14.25" customHeight="1">
      <c r="A60" s="21">
        <v>59</v>
      </c>
      <c r="B60" s="21">
        <v>67</v>
      </c>
      <c r="C60" s="21" t="s">
        <v>971</v>
      </c>
      <c r="D60" s="21" t="s">
        <v>972</v>
      </c>
      <c r="E60" s="21">
        <v>6</v>
      </c>
      <c r="F60" s="21">
        <v>206386</v>
      </c>
      <c r="G60" s="42">
        <v>7.6999999999999999E-2</v>
      </c>
      <c r="H60" s="21" t="s">
        <v>973</v>
      </c>
      <c r="I60" s="39">
        <f ca="1">IFERROR(__xludf.DUMMYFUNCTION("IF(SUM(COUNTIF(artists!A:A, SPLIT(D60, "",""))) &gt; 0, ""UA"", 0)"),0)</f>
        <v>0</v>
      </c>
      <c r="J60" s="40">
        <f ca="1">IFERROR(__xludf.DUMMYFUNCTION("IF(SUM(COUNTIF(artists!C:C, SPLIT(D60, "",""))) &gt; 0, ""RU"", 0)"),0)</f>
        <v>0</v>
      </c>
      <c r="K60" s="39" t="str">
        <f ca="1">IFERROR(__xludf.DUMMYFUNCTION("IF(SUM(COUNTIF(artists!E:E, SPLIT(D60, "",""))) &gt; 0, ""OTHER"", 0)"),"OTHER")</f>
        <v>OTHER</v>
      </c>
    </row>
    <row r="61" spans="1:11" ht="14.25" customHeight="1">
      <c r="A61" s="21">
        <v>60</v>
      </c>
      <c r="B61" s="21">
        <v>64</v>
      </c>
      <c r="C61" s="21" t="s">
        <v>1073</v>
      </c>
      <c r="D61" s="21" t="s">
        <v>1074</v>
      </c>
      <c r="E61" s="21">
        <v>4</v>
      </c>
      <c r="F61" s="21">
        <v>201422</v>
      </c>
      <c r="G61" s="42">
        <v>-2.1999999999999999E-2</v>
      </c>
      <c r="H61" s="21" t="s">
        <v>1075</v>
      </c>
      <c r="I61" s="39" t="str">
        <f ca="1">IFERROR(__xludf.DUMMYFUNCTION("IF(SUM(COUNTIF(artists!A:A, SPLIT(D61, "",""))) &gt; 0, ""UA"", 0)"),"UA")</f>
        <v>UA</v>
      </c>
      <c r="J61" s="40">
        <f ca="1">IFERROR(__xludf.DUMMYFUNCTION("IF(SUM(COUNTIF(artists!C:C, SPLIT(D61, "",""))) &gt; 0, ""RU"", 0)"),0)</f>
        <v>0</v>
      </c>
      <c r="K61" s="39">
        <f ca="1">IFERROR(__xludf.DUMMYFUNCTION("IF(SUM(COUNTIF(artists!E:E, SPLIT(D61, "",""))) &gt; 0, ""OTHER"", 0)"),0)</f>
        <v>0</v>
      </c>
    </row>
    <row r="62" spans="1:11" ht="14.25" customHeight="1">
      <c r="A62" s="21">
        <v>61</v>
      </c>
      <c r="B62" s="21">
        <v>54</v>
      </c>
      <c r="C62" s="21" t="s">
        <v>1137</v>
      </c>
      <c r="D62" s="21" t="s">
        <v>1117</v>
      </c>
      <c r="E62" s="21">
        <v>2</v>
      </c>
      <c r="F62" s="21">
        <v>200996</v>
      </c>
      <c r="G62" s="42">
        <v>-0.11799999999999999</v>
      </c>
      <c r="H62" s="21" t="s">
        <v>1138</v>
      </c>
      <c r="I62" s="39">
        <f ca="1">IFERROR(__xludf.DUMMYFUNCTION("IF(SUM(COUNTIF(artists!A:A, SPLIT(D62, "",""))) &gt; 0, ""UA"", 0)"),0)</f>
        <v>0</v>
      </c>
      <c r="J62" s="40" t="str">
        <f ca="1">IFERROR(__xludf.DUMMYFUNCTION("IF(SUM(COUNTIF(artists!C:C, SPLIT(D62, "",""))) &gt; 0, ""RU"", 0)"),"RU")</f>
        <v>RU</v>
      </c>
      <c r="K62" s="39">
        <f ca="1">IFERROR(__xludf.DUMMYFUNCTION("IF(SUM(COUNTIF(artists!E:E, SPLIT(D62, "",""))) &gt; 0, ""OTHER"", 0)"),0)</f>
        <v>0</v>
      </c>
    </row>
    <row r="63" spans="1:11" ht="14.25" customHeight="1">
      <c r="A63" s="21">
        <v>62</v>
      </c>
      <c r="B63" s="21">
        <v>55</v>
      </c>
      <c r="C63" s="21" t="s">
        <v>874</v>
      </c>
      <c r="D63" s="21" t="s">
        <v>108</v>
      </c>
      <c r="E63" s="21">
        <v>8</v>
      </c>
      <c r="F63" s="21">
        <v>197672</v>
      </c>
      <c r="G63" s="42">
        <v>-0.107</v>
      </c>
      <c r="H63" s="21" t="s">
        <v>875</v>
      </c>
      <c r="I63" s="39" t="str">
        <f ca="1">IFERROR(__xludf.DUMMYFUNCTION("IF(SUM(COUNTIF(artists!A:A, SPLIT(D63, "",""))) &gt; 0, ""UA"", 0)"),"UA")</f>
        <v>UA</v>
      </c>
      <c r="J63" s="40">
        <f ca="1">IFERROR(__xludf.DUMMYFUNCTION("IF(SUM(COUNTIF(artists!C:C, SPLIT(D63, "",""))) &gt; 0, ""RU"", 0)"),0)</f>
        <v>0</v>
      </c>
      <c r="K63" s="39">
        <f ca="1">IFERROR(__xludf.DUMMYFUNCTION("IF(SUM(COUNTIF(artists!E:E, SPLIT(D63, "",""))) &gt; 0, ""OTHER"", 0)"),0)</f>
        <v>0</v>
      </c>
    </row>
    <row r="64" spans="1:11" ht="14.25" customHeight="1">
      <c r="A64" s="21">
        <v>63</v>
      </c>
      <c r="B64" s="21">
        <v>56</v>
      </c>
      <c r="C64" s="21" t="s">
        <v>1332</v>
      </c>
      <c r="D64" s="21" t="s">
        <v>1333</v>
      </c>
      <c r="E64" s="21">
        <v>20</v>
      </c>
      <c r="F64" s="21">
        <v>195415</v>
      </c>
      <c r="G64" s="42">
        <v>-0.10199999999999999</v>
      </c>
      <c r="H64" s="21" t="s">
        <v>1334</v>
      </c>
      <c r="I64" s="39" t="str">
        <f ca="1">IFERROR(__xludf.DUMMYFUNCTION("IF(SUM(COUNTIF(artists!A:A, SPLIT(D64, "",""))) &gt; 0, ""UA"", 0)"),"UA")</f>
        <v>UA</v>
      </c>
      <c r="J64" s="40">
        <f ca="1">IFERROR(__xludf.DUMMYFUNCTION("IF(SUM(COUNTIF(artists!C:C, SPLIT(D64, "",""))) &gt; 0, ""RU"", 0)"),0)</f>
        <v>0</v>
      </c>
      <c r="K64" s="39">
        <f ca="1">IFERROR(__xludf.DUMMYFUNCTION("IF(SUM(COUNTIF(artists!E:E, SPLIT(D64, "",""))) &gt; 0, ""OTHER"", 0)"),0)</f>
        <v>0</v>
      </c>
    </row>
    <row r="65" spans="1:11" ht="14.25" customHeight="1">
      <c r="A65" s="21">
        <v>64</v>
      </c>
      <c r="B65" s="21">
        <v>65</v>
      </c>
      <c r="C65" s="21" t="s">
        <v>678</v>
      </c>
      <c r="D65" s="21" t="s">
        <v>89</v>
      </c>
      <c r="E65" s="21">
        <v>16</v>
      </c>
      <c r="F65" s="21">
        <v>194749</v>
      </c>
      <c r="G65" s="42">
        <v>-3.2000000000000001E-2</v>
      </c>
      <c r="H65" s="21" t="s">
        <v>679</v>
      </c>
      <c r="I65" s="39" t="str">
        <f ca="1">IFERROR(__xludf.DUMMYFUNCTION("IF(SUM(COUNTIF(artists!A:A, SPLIT(D65, "",""))) &gt; 0, ""UA"", 0)"),"UA")</f>
        <v>UA</v>
      </c>
      <c r="J65" s="40">
        <f ca="1">IFERROR(__xludf.DUMMYFUNCTION("IF(SUM(COUNTIF(artists!C:C, SPLIT(D65, "",""))) &gt; 0, ""RU"", 0)"),0)</f>
        <v>0</v>
      </c>
      <c r="K65" s="39">
        <f ca="1">IFERROR(__xludf.DUMMYFUNCTION("IF(SUM(COUNTIF(artists!E:E, SPLIT(D65, "",""))) &gt; 0, ""OTHER"", 0)"),0)</f>
        <v>0</v>
      </c>
    </row>
    <row r="66" spans="1:11" ht="14.25" customHeight="1">
      <c r="A66" s="21">
        <v>65</v>
      </c>
      <c r="B66" s="21">
        <v>38</v>
      </c>
      <c r="C66" s="21" t="s">
        <v>1232</v>
      </c>
      <c r="D66" s="21" t="s">
        <v>104</v>
      </c>
      <c r="E66" s="21">
        <v>2</v>
      </c>
      <c r="F66" s="21">
        <v>194313</v>
      </c>
      <c r="G66" s="43">
        <v>-0.38</v>
      </c>
      <c r="H66" s="21" t="s">
        <v>1233</v>
      </c>
      <c r="I66" s="39" t="str">
        <f ca="1">IFERROR(__xludf.DUMMYFUNCTION("IF(SUM(COUNTIF(artists!A:A, SPLIT(D66, "",""))) &gt; 0, ""UA"", 0)"),"UA")</f>
        <v>UA</v>
      </c>
      <c r="J66" s="40">
        <f ca="1">IFERROR(__xludf.DUMMYFUNCTION("IF(SUM(COUNTIF(artists!C:C, SPLIT(D66, "",""))) &gt; 0, ""RU"", 0)"),0)</f>
        <v>0</v>
      </c>
      <c r="K66" s="39">
        <f ca="1">IFERROR(__xludf.DUMMYFUNCTION("IF(SUM(COUNTIF(artists!E:E, SPLIT(D66, "",""))) &gt; 0, ""OTHER"", 0)"),0)</f>
        <v>0</v>
      </c>
    </row>
    <row r="67" spans="1:11" ht="14.25" customHeight="1">
      <c r="A67" s="21">
        <v>66</v>
      </c>
      <c r="B67" s="21">
        <v>37</v>
      </c>
      <c r="C67" s="21" t="s">
        <v>1305</v>
      </c>
      <c r="D67" s="21" t="s">
        <v>1306</v>
      </c>
      <c r="E67" s="21">
        <v>2</v>
      </c>
      <c r="F67" s="21">
        <v>193934</v>
      </c>
      <c r="G67" s="42">
        <v>-0.38700000000000001</v>
      </c>
      <c r="H67" s="21" t="s">
        <v>1307</v>
      </c>
      <c r="I67" s="39" t="str">
        <f ca="1">IFERROR(__xludf.DUMMYFUNCTION("IF(SUM(COUNTIF(artists!A:A, SPLIT(D67, "",""))) &gt; 0, ""UA"", 0)"),"UA")</f>
        <v>UA</v>
      </c>
      <c r="J67" s="40">
        <f ca="1">IFERROR(__xludf.DUMMYFUNCTION("IF(SUM(COUNTIF(artists!C:C, SPLIT(D67, "",""))) &gt; 0, ""RU"", 0)"),0)</f>
        <v>0</v>
      </c>
      <c r="K67" s="39">
        <f ca="1">IFERROR(__xludf.DUMMYFUNCTION("IF(SUM(COUNTIF(artists!E:E, SPLIT(D67, "",""))) &gt; 0, ""OTHER"", 0)"),0)</f>
        <v>0</v>
      </c>
    </row>
    <row r="68" spans="1:11" ht="14.25" customHeight="1">
      <c r="A68" s="21">
        <v>67</v>
      </c>
      <c r="B68" s="21">
        <v>76</v>
      </c>
      <c r="C68" s="21" t="s">
        <v>636</v>
      </c>
      <c r="D68" s="21" t="s">
        <v>637</v>
      </c>
      <c r="E68" s="21">
        <v>18</v>
      </c>
      <c r="F68" s="21">
        <v>190730</v>
      </c>
      <c r="G68" s="42">
        <v>0.10299999999999999</v>
      </c>
      <c r="H68" s="21" t="s">
        <v>638</v>
      </c>
      <c r="I68" s="39">
        <f ca="1">IFERROR(__xludf.DUMMYFUNCTION("IF(SUM(COUNTIF(artists!A:A, SPLIT(D68, "",""))) &gt; 0, ""UA"", 0)"),0)</f>
        <v>0</v>
      </c>
      <c r="J68" s="40">
        <f ca="1">IFERROR(__xludf.DUMMYFUNCTION("IF(SUM(COUNTIF(artists!C:C, SPLIT(D68, "",""))) &gt; 0, ""RU"", 0)"),0)</f>
        <v>0</v>
      </c>
      <c r="K68" s="39" t="str">
        <f ca="1">IFERROR(__xludf.DUMMYFUNCTION("IF(SUM(COUNTIF(artists!E:E, SPLIT(D68, "",""))) &gt; 0, ""OTHER"", 0)"),"OTHER")</f>
        <v>OTHER</v>
      </c>
    </row>
    <row r="69" spans="1:11" ht="14.25" customHeight="1">
      <c r="A69" s="21">
        <v>68</v>
      </c>
      <c r="B69" s="21">
        <v>63</v>
      </c>
      <c r="C69" s="21" t="s">
        <v>1211</v>
      </c>
      <c r="D69" s="21" t="s">
        <v>1212</v>
      </c>
      <c r="E69" s="21">
        <v>5</v>
      </c>
      <c r="F69" s="21">
        <v>190352</v>
      </c>
      <c r="G69" s="42">
        <v>-8.6999999999999994E-2</v>
      </c>
      <c r="H69" s="21" t="s">
        <v>1213</v>
      </c>
      <c r="I69" s="39">
        <f ca="1">IFERROR(__xludf.DUMMYFUNCTION("IF(SUM(COUNTIF(artists!A:A, SPLIT(D69, "",""))) &gt; 0, ""UA"", 0)"),0)</f>
        <v>0</v>
      </c>
      <c r="J69" s="40" t="str">
        <f ca="1">IFERROR(__xludf.DUMMYFUNCTION("IF(SUM(COUNTIF(artists!C:C, SPLIT(D69, "",""))) &gt; 0, ""RU"", 0)"),"RU")</f>
        <v>RU</v>
      </c>
      <c r="K69" s="39">
        <f ca="1">IFERROR(__xludf.DUMMYFUNCTION("IF(SUM(COUNTIF(artists!E:E, SPLIT(D69, "",""))) &gt; 0, ""OTHER"", 0)"),0)</f>
        <v>0</v>
      </c>
    </row>
    <row r="70" spans="1:11" ht="14.25" customHeight="1">
      <c r="A70" s="21">
        <v>69</v>
      </c>
      <c r="C70" s="21" t="s">
        <v>748</v>
      </c>
      <c r="D70" s="21" t="s">
        <v>586</v>
      </c>
      <c r="E70" s="21">
        <v>22</v>
      </c>
      <c r="F70" s="21">
        <v>180821</v>
      </c>
      <c r="H70" s="21" t="s">
        <v>749</v>
      </c>
      <c r="I70" s="39" t="str">
        <f ca="1">IFERROR(__xludf.DUMMYFUNCTION("IF(SUM(COUNTIF(artists!A:A, SPLIT(D70, "",""))) &gt; 0, ""UA"", 0)"),"UA")</f>
        <v>UA</v>
      </c>
      <c r="J70" s="40">
        <f ca="1">IFERROR(__xludf.DUMMYFUNCTION("IF(SUM(COUNTIF(artists!C:C, SPLIT(D70, "",""))) &gt; 0, ""RU"", 0)"),0)</f>
        <v>0</v>
      </c>
      <c r="K70" s="39">
        <f ca="1">IFERROR(__xludf.DUMMYFUNCTION("IF(SUM(COUNTIF(artists!E:E, SPLIT(D70, "",""))) &gt; 0, ""OTHER"", 0)"),0)</f>
        <v>0</v>
      </c>
    </row>
    <row r="71" spans="1:11" ht="14.25" customHeight="1">
      <c r="A71" s="21">
        <v>70</v>
      </c>
      <c r="C71" s="21" t="s">
        <v>1269</v>
      </c>
      <c r="D71" s="21" t="s">
        <v>1270</v>
      </c>
      <c r="E71" s="21">
        <v>13</v>
      </c>
      <c r="F71" s="21">
        <v>174981</v>
      </c>
      <c r="H71" s="21" t="s">
        <v>1271</v>
      </c>
      <c r="I71" s="39">
        <f ca="1">IFERROR(__xludf.DUMMYFUNCTION("IF(SUM(COUNTIF(artists!A:A, SPLIT(D71, "",""))) &gt; 0, ""UA"", 0)"),0)</f>
        <v>0</v>
      </c>
      <c r="J71" s="40" t="str">
        <f ca="1">IFERROR(__xludf.DUMMYFUNCTION("IF(SUM(COUNTIF(artists!C:C, SPLIT(D71, "",""))) &gt; 0, ""RU"", 0)"),"RU")</f>
        <v>RU</v>
      </c>
      <c r="K71" s="39">
        <f ca="1">IFERROR(__xludf.DUMMYFUNCTION("IF(SUM(COUNTIF(artists!E:E, SPLIT(D71, "",""))) &gt; 0, ""OTHER"", 0)"),0)</f>
        <v>0</v>
      </c>
    </row>
    <row r="72" spans="1:11" ht="14.25" customHeight="1">
      <c r="A72" s="21">
        <v>71</v>
      </c>
      <c r="B72" s="21">
        <v>68</v>
      </c>
      <c r="C72" s="21" t="s">
        <v>1175</v>
      </c>
      <c r="D72" s="21" t="s">
        <v>1176</v>
      </c>
      <c r="E72" s="21">
        <v>9</v>
      </c>
      <c r="F72" s="21">
        <v>173382</v>
      </c>
      <c r="G72" s="42">
        <v>-8.5999999999999993E-2</v>
      </c>
      <c r="H72" s="21" t="s">
        <v>1177</v>
      </c>
      <c r="I72" s="39">
        <f ca="1">IFERROR(__xludf.DUMMYFUNCTION("IF(SUM(COUNTIF(artists!A:A, SPLIT(D72, "",""))) &gt; 0, ""UA"", 0)"),0)</f>
        <v>0</v>
      </c>
      <c r="J72" s="40" t="str">
        <f ca="1">IFERROR(__xludf.DUMMYFUNCTION("IF(SUM(COUNTIF(artists!C:C, SPLIT(D72, "",""))) &gt; 0, ""RU"", 0)"),"RU")</f>
        <v>RU</v>
      </c>
      <c r="K72" s="39">
        <f ca="1">IFERROR(__xludf.DUMMYFUNCTION("IF(SUM(COUNTIF(artists!E:E, SPLIT(D72, "",""))) &gt; 0, ""OTHER"", 0)"),0)</f>
        <v>0</v>
      </c>
    </row>
    <row r="73" spans="1:11" ht="14.25" customHeight="1">
      <c r="A73" s="21">
        <v>72</v>
      </c>
      <c r="B73" s="21">
        <v>70</v>
      </c>
      <c r="C73" s="21" t="s">
        <v>1182</v>
      </c>
      <c r="D73" s="21" t="s">
        <v>466</v>
      </c>
      <c r="E73" s="21">
        <v>20</v>
      </c>
      <c r="F73" s="21">
        <v>171874</v>
      </c>
      <c r="G73" s="42">
        <v>-6.3E-2</v>
      </c>
      <c r="H73" s="21" t="s">
        <v>1183</v>
      </c>
      <c r="I73" s="39" t="str">
        <f ca="1">IFERROR(__xludf.DUMMYFUNCTION("IF(SUM(COUNTIF(artists!A:A, SPLIT(D73, "",""))) &gt; 0, ""UA"", 0)"),"UA")</f>
        <v>UA</v>
      </c>
      <c r="J73" s="40">
        <f ca="1">IFERROR(__xludf.DUMMYFUNCTION("IF(SUM(COUNTIF(artists!C:C, SPLIT(D73, "",""))) &gt; 0, ""RU"", 0)"),0)</f>
        <v>0</v>
      </c>
      <c r="K73" s="39">
        <f ca="1">IFERROR(__xludf.DUMMYFUNCTION("IF(SUM(COUNTIF(artists!E:E, SPLIT(D73, "",""))) &gt; 0, ""OTHER"", 0)"),0)</f>
        <v>0</v>
      </c>
    </row>
    <row r="74" spans="1:11" ht="14.25" customHeight="1">
      <c r="A74" s="21">
        <v>73</v>
      </c>
      <c r="C74" s="21" t="s">
        <v>1335</v>
      </c>
      <c r="D74" s="21" t="s">
        <v>1027</v>
      </c>
      <c r="E74" s="21">
        <v>1</v>
      </c>
      <c r="F74" s="21">
        <v>169099</v>
      </c>
      <c r="H74" s="21" t="s">
        <v>1336</v>
      </c>
      <c r="I74" s="39" t="str">
        <f ca="1">IFERROR(__xludf.DUMMYFUNCTION("IF(SUM(COUNTIF(artists!A:A, SPLIT(D74, "",""))) &gt; 0, ""UA"", 0)"),"UA")</f>
        <v>UA</v>
      </c>
      <c r="J74" s="40">
        <f ca="1">IFERROR(__xludf.DUMMYFUNCTION("IF(SUM(COUNTIF(artists!C:C, SPLIT(D74, "",""))) &gt; 0, ""RU"", 0)"),0)</f>
        <v>0</v>
      </c>
      <c r="K74" s="39">
        <f ca="1">IFERROR(__xludf.DUMMYFUNCTION("IF(SUM(COUNTIF(artists!E:E, SPLIT(D74, "",""))) &gt; 0, ""OTHER"", 0)"),0)</f>
        <v>0</v>
      </c>
    </row>
    <row r="75" spans="1:11" ht="14.25" customHeight="1">
      <c r="A75" s="21">
        <v>74</v>
      </c>
      <c r="B75" s="21">
        <v>99</v>
      </c>
      <c r="C75" s="21" t="s">
        <v>1311</v>
      </c>
      <c r="D75" s="21" t="s">
        <v>1312</v>
      </c>
      <c r="E75" s="21">
        <v>4</v>
      </c>
      <c r="F75" s="21">
        <v>163812</v>
      </c>
      <c r="G75" s="43">
        <v>0.18</v>
      </c>
      <c r="H75" s="21" t="s">
        <v>1313</v>
      </c>
      <c r="I75" s="39">
        <f ca="1">IFERROR(__xludf.DUMMYFUNCTION("IF(SUM(COUNTIF(artists!A:A, SPLIT(D75, "",""))) &gt; 0, ""UA"", 0)"),0)</f>
        <v>0</v>
      </c>
      <c r="J75" s="40" t="str">
        <f ca="1">IFERROR(__xludf.DUMMYFUNCTION("IF(SUM(COUNTIF(artists!C:C, SPLIT(D75, "",""))) &gt; 0, ""RU"", 0)"),"RU")</f>
        <v>RU</v>
      </c>
      <c r="K75" s="39">
        <f ca="1">IFERROR(__xludf.DUMMYFUNCTION("IF(SUM(COUNTIF(artists!E:E, SPLIT(D75, "",""))) &gt; 0, ""OTHER"", 0)"),0)</f>
        <v>0</v>
      </c>
    </row>
    <row r="76" spans="1:11" ht="14.25" customHeight="1">
      <c r="A76" s="21">
        <v>75</v>
      </c>
      <c r="B76" s="21">
        <v>84</v>
      </c>
      <c r="C76" s="21" t="s">
        <v>1277</v>
      </c>
      <c r="D76" s="21" t="s">
        <v>1278</v>
      </c>
      <c r="E76" s="21">
        <v>2</v>
      </c>
      <c r="F76" s="21">
        <v>163400</v>
      </c>
      <c r="G76" s="42">
        <v>5.0999999999999997E-2</v>
      </c>
      <c r="H76" s="21" t="s">
        <v>1279</v>
      </c>
      <c r="I76" s="39">
        <f ca="1">IFERROR(__xludf.DUMMYFUNCTION("IF(SUM(COUNTIF(artists!A:A, SPLIT(D76, "",""))) &gt; 0, ""UA"", 0)"),0)</f>
        <v>0</v>
      </c>
      <c r="J76" s="40" t="str">
        <f ca="1">IFERROR(__xludf.DUMMYFUNCTION("IF(SUM(COUNTIF(artists!C:C, SPLIT(D76, "",""))) &gt; 0, ""RU"", 0)"),"RU")</f>
        <v>RU</v>
      </c>
      <c r="K76" s="39">
        <f ca="1">IFERROR(__xludf.DUMMYFUNCTION("IF(SUM(COUNTIF(artists!E:E, SPLIT(D76, "",""))) &gt; 0, ""OTHER"", 0)"),0)</f>
        <v>0</v>
      </c>
    </row>
    <row r="77" spans="1:11" ht="14.25" customHeight="1">
      <c r="A77" s="21">
        <v>76</v>
      </c>
      <c r="B77" s="21">
        <v>71</v>
      </c>
      <c r="C77" s="21" t="s">
        <v>1249</v>
      </c>
      <c r="D77" s="21" t="s">
        <v>187</v>
      </c>
      <c r="E77" s="21">
        <v>10</v>
      </c>
      <c r="F77" s="21">
        <v>162505</v>
      </c>
      <c r="G77" s="42">
        <v>-0.104</v>
      </c>
      <c r="H77" s="21" t="s">
        <v>1250</v>
      </c>
      <c r="I77" s="39" t="str">
        <f ca="1">IFERROR(__xludf.DUMMYFUNCTION("IF(SUM(COUNTIF(artists!A:A, SPLIT(D77, "",""))) &gt; 0, ""UA"", 0)"),"UA")</f>
        <v>UA</v>
      </c>
      <c r="J77" s="40">
        <f ca="1">IFERROR(__xludf.DUMMYFUNCTION("IF(SUM(COUNTIF(artists!C:C, SPLIT(D77, "",""))) &gt; 0, ""RU"", 0)"),0)</f>
        <v>0</v>
      </c>
      <c r="K77" s="39">
        <f ca="1">IFERROR(__xludf.DUMMYFUNCTION("IF(SUM(COUNTIF(artists!E:E, SPLIT(D77, "",""))) &gt; 0, ""OTHER"", 0)"),0)</f>
        <v>0</v>
      </c>
    </row>
    <row r="78" spans="1:11" ht="14.25" customHeight="1">
      <c r="A78" s="21">
        <v>77</v>
      </c>
      <c r="B78" s="21">
        <v>77</v>
      </c>
      <c r="C78" s="21" t="s">
        <v>1076</v>
      </c>
      <c r="D78" s="21" t="s">
        <v>1077</v>
      </c>
      <c r="E78" s="21">
        <v>9</v>
      </c>
      <c r="F78" s="21">
        <v>162227</v>
      </c>
      <c r="G78" s="42">
        <v>-4.2999999999999997E-2</v>
      </c>
      <c r="H78" s="21" t="s">
        <v>1078</v>
      </c>
      <c r="I78" s="39" t="str">
        <f ca="1">IFERROR(__xludf.DUMMYFUNCTION("IF(SUM(COUNTIF(artists!A:A, SPLIT(D78, "",""))) &gt; 0, ""UA"", 0)"),"UA")</f>
        <v>UA</v>
      </c>
      <c r="J78" s="40">
        <f ca="1">IFERROR(__xludf.DUMMYFUNCTION("IF(SUM(COUNTIF(artists!C:C, SPLIT(D78, "",""))) &gt; 0, ""RU"", 0)"),0)</f>
        <v>0</v>
      </c>
      <c r="K78" s="39">
        <f ca="1">IFERROR(__xludf.DUMMYFUNCTION("IF(SUM(COUNTIF(artists!E:E, SPLIT(D78, "",""))) &gt; 0, ""OTHER"", 0)"),0)</f>
        <v>0</v>
      </c>
    </row>
    <row r="79" spans="1:11" ht="14.25" customHeight="1">
      <c r="A79" s="21">
        <v>78</v>
      </c>
      <c r="B79" s="21">
        <v>69</v>
      </c>
      <c r="C79" s="21" t="s">
        <v>697</v>
      </c>
      <c r="D79" s="21" t="s">
        <v>698</v>
      </c>
      <c r="E79" s="21">
        <v>14</v>
      </c>
      <c r="F79" s="21">
        <v>159066</v>
      </c>
      <c r="G79" s="42">
        <v>-0.154</v>
      </c>
      <c r="H79" s="21" t="s">
        <v>699</v>
      </c>
      <c r="I79" s="39">
        <f ca="1">IFERROR(__xludf.DUMMYFUNCTION("IF(SUM(COUNTIF(artists!A:A, SPLIT(D79, "",""))) &gt; 0, ""UA"", 0)"),0)</f>
        <v>0</v>
      </c>
      <c r="J79" s="40" t="str">
        <f ca="1">IFERROR(__xludf.DUMMYFUNCTION("IF(SUM(COUNTIF(artists!C:C, SPLIT(D79, "",""))) &gt; 0, ""RU"", 0)"),"RU")</f>
        <v>RU</v>
      </c>
      <c r="K79" s="39">
        <f ca="1">IFERROR(__xludf.DUMMYFUNCTION("IF(SUM(COUNTIF(artists!E:E, SPLIT(D79, "",""))) &gt; 0, ""OTHER"", 0)"),0)</f>
        <v>0</v>
      </c>
    </row>
    <row r="80" spans="1:11" ht="14.25" customHeight="1">
      <c r="A80" s="21">
        <v>79</v>
      </c>
      <c r="B80" s="21">
        <v>73</v>
      </c>
      <c r="C80" s="21" t="s">
        <v>1337</v>
      </c>
      <c r="D80" s="21" t="s">
        <v>1338</v>
      </c>
      <c r="E80" s="21">
        <v>19</v>
      </c>
      <c r="F80" s="21">
        <v>158079</v>
      </c>
      <c r="G80" s="43">
        <v>-0.12</v>
      </c>
      <c r="H80" s="21" t="s">
        <v>1339</v>
      </c>
      <c r="I80" s="39">
        <f ca="1">IFERROR(__xludf.DUMMYFUNCTION("IF(SUM(COUNTIF(artists!A:A, SPLIT(D80, "",""))) &gt; 0, ""UA"", 0)"),0)</f>
        <v>0</v>
      </c>
      <c r="J80" s="40">
        <f ca="1">IFERROR(__xludf.DUMMYFUNCTION("IF(SUM(COUNTIF(artists!C:C, SPLIT(D80, "",""))) &gt; 0, ""RU"", 0)"),0)</f>
        <v>0</v>
      </c>
      <c r="K80" s="39" t="str">
        <f ca="1">IFERROR(__xludf.DUMMYFUNCTION("IF(SUM(COUNTIF(artists!E:E, SPLIT(D80, "",""))) &gt; 0, ""OTHER"", 0)"),"OTHER")</f>
        <v>OTHER</v>
      </c>
    </row>
    <row r="81" spans="1:11" ht="14.25" customHeight="1">
      <c r="A81" s="21">
        <v>80</v>
      </c>
      <c r="B81" s="21">
        <v>75</v>
      </c>
      <c r="C81" s="21" t="s">
        <v>1314</v>
      </c>
      <c r="D81" s="21" t="s">
        <v>1027</v>
      </c>
      <c r="E81" s="21">
        <v>5</v>
      </c>
      <c r="F81" s="21">
        <v>155530</v>
      </c>
      <c r="G81" s="42">
        <v>-0.10100000000000001</v>
      </c>
      <c r="H81" s="21" t="s">
        <v>1315</v>
      </c>
      <c r="I81" s="39" t="str">
        <f ca="1">IFERROR(__xludf.DUMMYFUNCTION("IF(SUM(COUNTIF(artists!A:A, SPLIT(D81, "",""))) &gt; 0, ""UA"", 0)"),"UA")</f>
        <v>UA</v>
      </c>
      <c r="J81" s="40">
        <f ca="1">IFERROR(__xludf.DUMMYFUNCTION("IF(SUM(COUNTIF(artists!C:C, SPLIT(D81, "",""))) &gt; 0, ""RU"", 0)"),0)</f>
        <v>0</v>
      </c>
      <c r="K81" s="39">
        <f ca="1">IFERROR(__xludf.DUMMYFUNCTION("IF(SUM(COUNTIF(artists!E:E, SPLIT(D81, "",""))) &gt; 0, ""OTHER"", 0)"),0)</f>
        <v>0</v>
      </c>
    </row>
    <row r="82" spans="1:11" ht="14.25" customHeight="1">
      <c r="A82" s="21">
        <v>81</v>
      </c>
      <c r="B82" s="21">
        <v>74</v>
      </c>
      <c r="C82" s="21" t="s">
        <v>1323</v>
      </c>
      <c r="D82" s="21" t="s">
        <v>230</v>
      </c>
      <c r="E82" s="21">
        <v>10</v>
      </c>
      <c r="F82" s="21">
        <v>155418</v>
      </c>
      <c r="G82" s="42">
        <v>-0.13300000000000001</v>
      </c>
      <c r="H82" s="21" t="s">
        <v>1324</v>
      </c>
      <c r="I82" s="39" t="str">
        <f ca="1">IFERROR(__xludf.DUMMYFUNCTION("IF(SUM(COUNTIF(artists!A:A, SPLIT(D82, "",""))) &gt; 0, ""UA"", 0)"),"UA")</f>
        <v>UA</v>
      </c>
      <c r="J82" s="40">
        <f ca="1">IFERROR(__xludf.DUMMYFUNCTION("IF(SUM(COUNTIF(artists!C:C, SPLIT(D82, "",""))) &gt; 0, ""RU"", 0)"),0)</f>
        <v>0</v>
      </c>
      <c r="K82" s="39">
        <f ca="1">IFERROR(__xludf.DUMMYFUNCTION("IF(SUM(COUNTIF(artists!E:E, SPLIT(D82, "",""))) &gt; 0, ""OTHER"", 0)"),0)</f>
        <v>0</v>
      </c>
    </row>
    <row r="83" spans="1:11" ht="14.25" customHeight="1">
      <c r="A83" s="21">
        <v>82</v>
      </c>
      <c r="B83" s="21">
        <v>82</v>
      </c>
      <c r="C83" s="21" t="s">
        <v>379</v>
      </c>
      <c r="D83" s="21" t="s">
        <v>380</v>
      </c>
      <c r="E83" s="21">
        <v>7</v>
      </c>
      <c r="F83" s="21">
        <v>152891</v>
      </c>
      <c r="G83" s="43">
        <v>-0.03</v>
      </c>
      <c r="H83" s="21" t="s">
        <v>382</v>
      </c>
      <c r="I83" s="39" t="str">
        <f ca="1">IFERROR(__xludf.DUMMYFUNCTION("IF(SUM(COUNTIF(artists!A:A, SPLIT(D83, "",""))) &gt; 0, ""UA"", 0)"),"UA")</f>
        <v>UA</v>
      </c>
      <c r="J83" s="40">
        <f ca="1">IFERROR(__xludf.DUMMYFUNCTION("IF(SUM(COUNTIF(artists!C:C, SPLIT(D83, "",""))) &gt; 0, ""RU"", 0)"),0)</f>
        <v>0</v>
      </c>
      <c r="K83" s="39">
        <f ca="1">IFERROR(__xludf.DUMMYFUNCTION("IF(SUM(COUNTIF(artists!E:E, SPLIT(D83, "",""))) &gt; 0, ""OTHER"", 0)"),0)</f>
        <v>0</v>
      </c>
    </row>
    <row r="84" spans="1:11" ht="14.25" customHeight="1">
      <c r="A84" s="21">
        <v>83</v>
      </c>
      <c r="B84" s="21">
        <v>95</v>
      </c>
      <c r="C84" s="21" t="s">
        <v>868</v>
      </c>
      <c r="D84" s="21" t="s">
        <v>869</v>
      </c>
      <c r="E84" s="21">
        <v>2</v>
      </c>
      <c r="F84" s="21">
        <v>151547</v>
      </c>
      <c r="G84" s="43">
        <v>0.08</v>
      </c>
      <c r="H84" s="21" t="s">
        <v>870</v>
      </c>
      <c r="I84" s="39">
        <f ca="1">IFERROR(__xludf.DUMMYFUNCTION("IF(SUM(COUNTIF(artists!A:A, SPLIT(D84, "",""))) &gt; 0, ""UA"", 0)"),0)</f>
        <v>0</v>
      </c>
      <c r="J84" s="40" t="str">
        <f ca="1">IFERROR(__xludf.DUMMYFUNCTION("IF(SUM(COUNTIF(artists!C:C, SPLIT(D84, "",""))) &gt; 0, ""RU"", 0)"),"RU")</f>
        <v>RU</v>
      </c>
      <c r="K84" s="39">
        <f ca="1">IFERROR(__xludf.DUMMYFUNCTION("IF(SUM(COUNTIF(artists!E:E, SPLIT(D84, "",""))) &gt; 0, ""OTHER"", 0)"),0)</f>
        <v>0</v>
      </c>
    </row>
    <row r="85" spans="1:11" ht="14.25" customHeight="1">
      <c r="A85" s="21">
        <v>84</v>
      </c>
      <c r="B85" s="21">
        <v>79</v>
      </c>
      <c r="C85" s="21" t="s">
        <v>579</v>
      </c>
      <c r="D85" s="21" t="s">
        <v>183</v>
      </c>
      <c r="E85" s="21">
        <v>9</v>
      </c>
      <c r="F85" s="21">
        <v>151413</v>
      </c>
      <c r="G85" s="42">
        <v>-4.9000000000000002E-2</v>
      </c>
      <c r="H85" s="21" t="s">
        <v>580</v>
      </c>
      <c r="I85" s="39" t="str">
        <f ca="1">IFERROR(__xludf.DUMMYFUNCTION("IF(SUM(COUNTIF(artists!A:A, SPLIT(D85, "",""))) &gt; 0, ""UA"", 0)"),"UA")</f>
        <v>UA</v>
      </c>
      <c r="J85" s="40">
        <f ca="1">IFERROR(__xludf.DUMMYFUNCTION("IF(SUM(COUNTIF(artists!C:C, SPLIT(D85, "",""))) &gt; 0, ""RU"", 0)"),0)</f>
        <v>0</v>
      </c>
      <c r="K85" s="39">
        <f ca="1">IFERROR(__xludf.DUMMYFUNCTION("IF(SUM(COUNTIF(artists!E:E, SPLIT(D85, "",""))) &gt; 0, ""OTHER"", 0)"),0)</f>
        <v>0</v>
      </c>
    </row>
    <row r="86" spans="1:11" ht="14.25" customHeight="1">
      <c r="A86" s="21">
        <v>85</v>
      </c>
      <c r="B86" s="21">
        <v>89</v>
      </c>
      <c r="C86" s="21" t="s">
        <v>1318</v>
      </c>
      <c r="D86" s="21" t="s">
        <v>1319</v>
      </c>
      <c r="E86" s="21">
        <v>15</v>
      </c>
      <c r="F86" s="21">
        <v>149835</v>
      </c>
      <c r="G86" s="42">
        <v>3.1E-2</v>
      </c>
      <c r="H86" s="21" t="s">
        <v>1320</v>
      </c>
      <c r="I86" s="39">
        <f ca="1">IFERROR(__xludf.DUMMYFUNCTION("IF(SUM(COUNTIF(artists!A:A, SPLIT(D86, "",""))) &gt; 0, ""UA"", 0)"),0)</f>
        <v>0</v>
      </c>
      <c r="J86" s="40" t="str">
        <f ca="1">IFERROR(__xludf.DUMMYFUNCTION("IF(SUM(COUNTIF(artists!C:C, SPLIT(D86, "",""))) &gt; 0, ""RU"", 0)"),"RU")</f>
        <v>RU</v>
      </c>
      <c r="K86" s="39">
        <f ca="1">IFERROR(__xludf.DUMMYFUNCTION("IF(SUM(COUNTIF(artists!E:E, SPLIT(D86, "",""))) &gt; 0, ""OTHER"", 0)"),0)</f>
        <v>0</v>
      </c>
    </row>
    <row r="87" spans="1:11" ht="14.25" customHeight="1">
      <c r="A87" s="21">
        <v>86</v>
      </c>
      <c r="C87" s="21" t="s">
        <v>1316</v>
      </c>
      <c r="D87" s="21" t="s">
        <v>494</v>
      </c>
      <c r="E87" s="21">
        <v>2</v>
      </c>
      <c r="F87" s="21">
        <v>149159</v>
      </c>
      <c r="H87" s="21" t="s">
        <v>1317</v>
      </c>
      <c r="I87" s="39" t="str">
        <f ca="1">IFERROR(__xludf.DUMMYFUNCTION("IF(SUM(COUNTIF(artists!A:A, SPLIT(D87, "",""))) &gt; 0, ""UA"", 0)"),"UA")</f>
        <v>UA</v>
      </c>
      <c r="J87" s="40">
        <f ca="1">IFERROR(__xludf.DUMMYFUNCTION("IF(SUM(COUNTIF(artists!C:C, SPLIT(D87, "",""))) &gt; 0, ""RU"", 0)"),0)</f>
        <v>0</v>
      </c>
      <c r="K87" s="39">
        <f ca="1">IFERROR(__xludf.DUMMYFUNCTION("IF(SUM(COUNTIF(artists!E:E, SPLIT(D87, "",""))) &gt; 0, ""OTHER"", 0)"),0)</f>
        <v>0</v>
      </c>
    </row>
    <row r="88" spans="1:11" ht="14.25" customHeight="1">
      <c r="A88" s="21">
        <v>87</v>
      </c>
      <c r="B88" s="21">
        <v>78</v>
      </c>
      <c r="C88" s="21" t="s">
        <v>1300</v>
      </c>
      <c r="D88" s="21" t="s">
        <v>1074</v>
      </c>
      <c r="E88" s="21">
        <v>9</v>
      </c>
      <c r="F88" s="21">
        <v>148339</v>
      </c>
      <c r="G88" s="42">
        <v>-0.11700000000000001</v>
      </c>
      <c r="H88" s="21" t="s">
        <v>1301</v>
      </c>
      <c r="I88" s="39" t="str">
        <f ca="1">IFERROR(__xludf.DUMMYFUNCTION("IF(SUM(COUNTIF(artists!A:A, SPLIT(D88, "",""))) &gt; 0, ""UA"", 0)"),"UA")</f>
        <v>UA</v>
      </c>
      <c r="J88" s="40">
        <f ca="1">IFERROR(__xludf.DUMMYFUNCTION("IF(SUM(COUNTIF(artists!C:C, SPLIT(D88, "",""))) &gt; 0, ""RU"", 0)"),0)</f>
        <v>0</v>
      </c>
      <c r="K88" s="39">
        <f ca="1">IFERROR(__xludf.DUMMYFUNCTION("IF(SUM(COUNTIF(artists!E:E, SPLIT(D88, "",""))) &gt; 0, ""OTHER"", 0)"),0)</f>
        <v>0</v>
      </c>
    </row>
    <row r="89" spans="1:11" ht="14.25" customHeight="1">
      <c r="A89" s="21">
        <v>88</v>
      </c>
      <c r="C89" s="21" t="s">
        <v>1340</v>
      </c>
      <c r="D89" s="21" t="s">
        <v>1341</v>
      </c>
      <c r="E89" s="21">
        <v>1</v>
      </c>
      <c r="F89" s="21">
        <v>147139</v>
      </c>
      <c r="H89" s="21" t="s">
        <v>1342</v>
      </c>
      <c r="I89" s="39" t="str">
        <f ca="1">IFERROR(__xludf.DUMMYFUNCTION("IF(SUM(COUNTIF(artists!A:A, SPLIT(D89, "",""))) &gt; 0, ""UA"", 0)"),"UA")</f>
        <v>UA</v>
      </c>
      <c r="J89" s="40">
        <f ca="1">IFERROR(__xludf.DUMMYFUNCTION("IF(SUM(COUNTIF(artists!C:C, SPLIT(D89, "",""))) &gt; 0, ""RU"", 0)"),0)</f>
        <v>0</v>
      </c>
      <c r="K89" s="39">
        <f ca="1">IFERROR(__xludf.DUMMYFUNCTION("IF(SUM(COUNTIF(artists!E:E, SPLIT(D89, "",""))) &gt; 0, ""OTHER"", 0)"),0)</f>
        <v>0</v>
      </c>
    </row>
    <row r="90" spans="1:11" ht="14.25" customHeight="1">
      <c r="A90" s="21">
        <v>89</v>
      </c>
      <c r="B90" s="21">
        <v>80</v>
      </c>
      <c r="C90" s="21" t="s">
        <v>1157</v>
      </c>
      <c r="D90" s="21" t="s">
        <v>1158</v>
      </c>
      <c r="E90" s="21">
        <v>2</v>
      </c>
      <c r="F90" s="21">
        <v>145055</v>
      </c>
      <c r="G90" s="42">
        <v>-8.6999999999999994E-2</v>
      </c>
      <c r="H90" s="21" t="s">
        <v>1159</v>
      </c>
      <c r="I90" s="39">
        <f ca="1">IFERROR(__xludf.DUMMYFUNCTION("IF(SUM(COUNTIF(artists!A:A, SPLIT(D90, "",""))) &gt; 0, ""UA"", 0)"),0)</f>
        <v>0</v>
      </c>
      <c r="J90" s="40">
        <f ca="1">IFERROR(__xludf.DUMMYFUNCTION("IF(SUM(COUNTIF(artists!C:C, SPLIT(D90, "",""))) &gt; 0, ""RU"", 0)"),0)</f>
        <v>0</v>
      </c>
      <c r="K90" s="39" t="str">
        <f ca="1">IFERROR(__xludf.DUMMYFUNCTION("IF(SUM(COUNTIF(artists!E:E, SPLIT(D90, "",""))) &gt; 0, ""OTHER"", 0)"),"OTHER")</f>
        <v>OTHER</v>
      </c>
    </row>
    <row r="91" spans="1:11" ht="14.25" customHeight="1">
      <c r="A91" s="21">
        <v>90</v>
      </c>
      <c r="B91" s="21">
        <v>91</v>
      </c>
      <c r="C91" s="21" t="s">
        <v>1280</v>
      </c>
      <c r="D91" s="21" t="s">
        <v>1193</v>
      </c>
      <c r="E91" s="21">
        <v>7</v>
      </c>
      <c r="F91" s="21">
        <v>144592</v>
      </c>
      <c r="G91" s="42">
        <v>1.0999999999999999E-2</v>
      </c>
      <c r="H91" s="21" t="s">
        <v>1281</v>
      </c>
      <c r="I91" s="39" t="str">
        <f ca="1">IFERROR(__xludf.DUMMYFUNCTION("IF(SUM(COUNTIF(artists!A:A, SPLIT(D91, "",""))) &gt; 0, ""UA"", 0)"),"UA")</f>
        <v>UA</v>
      </c>
      <c r="J91" s="40">
        <f ca="1">IFERROR(__xludf.DUMMYFUNCTION("IF(SUM(COUNTIF(artists!C:C, SPLIT(D91, "",""))) &gt; 0, ""RU"", 0)"),0)</f>
        <v>0</v>
      </c>
      <c r="K91" s="39">
        <f ca="1">IFERROR(__xludf.DUMMYFUNCTION("IF(SUM(COUNTIF(artists!E:E, SPLIT(D91, "",""))) &gt; 0, ""OTHER"", 0)"),0)</f>
        <v>0</v>
      </c>
    </row>
    <row r="92" spans="1:11" ht="14.25" customHeight="1">
      <c r="A92" s="21">
        <v>91</v>
      </c>
      <c r="C92" s="21" t="s">
        <v>1103</v>
      </c>
      <c r="D92" s="21" t="s">
        <v>1104</v>
      </c>
      <c r="E92" s="21">
        <v>1</v>
      </c>
      <c r="F92" s="21">
        <v>143168</v>
      </c>
      <c r="H92" s="21" t="s">
        <v>1105</v>
      </c>
      <c r="I92" s="39" t="str">
        <f ca="1">IFERROR(__xludf.DUMMYFUNCTION("IF(SUM(COUNTIF(artists!A:A, SPLIT(D92, "",""))) &gt; 0, ""UA"", 0)"),"UA")</f>
        <v>UA</v>
      </c>
      <c r="J92" s="40">
        <f ca="1">IFERROR(__xludf.DUMMYFUNCTION("IF(SUM(COUNTIF(artists!C:C, SPLIT(D92, "",""))) &gt; 0, ""RU"", 0)"),0)</f>
        <v>0</v>
      </c>
      <c r="K92" s="39">
        <f ca="1">IFERROR(__xludf.DUMMYFUNCTION("IF(SUM(COUNTIF(artists!E:E, SPLIT(D92, "",""))) &gt; 0, ""OTHER"", 0)"),0)</f>
        <v>0</v>
      </c>
    </row>
    <row r="93" spans="1:11" ht="14.25" customHeight="1">
      <c r="A93" s="21">
        <v>92</v>
      </c>
      <c r="C93" s="21" t="s">
        <v>1236</v>
      </c>
      <c r="D93" s="21" t="s">
        <v>1237</v>
      </c>
      <c r="E93" s="21">
        <v>9</v>
      </c>
      <c r="F93" s="21">
        <v>142619</v>
      </c>
      <c r="H93" s="21" t="s">
        <v>1238</v>
      </c>
      <c r="I93" s="39">
        <f ca="1">IFERROR(__xludf.DUMMYFUNCTION("IF(SUM(COUNTIF(artists!A:A, SPLIT(D93, "",""))) &gt; 0, ""UA"", 0)"),0)</f>
        <v>0</v>
      </c>
      <c r="J93" s="40" t="str">
        <f ca="1">IFERROR(__xludf.DUMMYFUNCTION("IF(SUM(COUNTIF(artists!C:C, SPLIT(D93, "",""))) &gt; 0, ""RU"", 0)"),"RU")</f>
        <v>RU</v>
      </c>
      <c r="K93" s="39">
        <f ca="1">IFERROR(__xludf.DUMMYFUNCTION("IF(SUM(COUNTIF(artists!E:E, SPLIT(D93, "",""))) &gt; 0, ""OTHER"", 0)"),0)</f>
        <v>0</v>
      </c>
    </row>
    <row r="94" spans="1:11" ht="14.25" customHeight="1">
      <c r="A94" s="21">
        <v>93</v>
      </c>
      <c r="B94" s="21">
        <v>86</v>
      </c>
      <c r="C94" s="21" t="s">
        <v>1343</v>
      </c>
      <c r="D94" s="21" t="s">
        <v>1344</v>
      </c>
      <c r="E94" s="21">
        <v>13</v>
      </c>
      <c r="F94" s="21">
        <v>142514</v>
      </c>
      <c r="G94" s="42">
        <v>-3.4000000000000002E-2</v>
      </c>
      <c r="H94" s="21" t="s">
        <v>1345</v>
      </c>
      <c r="I94" s="39" t="str">
        <f ca="1">IFERROR(__xludf.DUMMYFUNCTION("IF(SUM(COUNTIF(artists!A:A, SPLIT(D94, "",""))) &gt; 0, ""UA"", 0)"),"UA")</f>
        <v>UA</v>
      </c>
      <c r="J94" s="40">
        <f ca="1">IFERROR(__xludf.DUMMYFUNCTION("IF(SUM(COUNTIF(artists!C:C, SPLIT(D94, "",""))) &gt; 0, ""RU"", 0)"),0)</f>
        <v>0</v>
      </c>
      <c r="K94" s="39">
        <f ca="1">IFERROR(__xludf.DUMMYFUNCTION("IF(SUM(COUNTIF(artists!E:E, SPLIT(D94, "",""))) &gt; 0, ""OTHER"", 0)"),0)</f>
        <v>0</v>
      </c>
    </row>
    <row r="95" spans="1:11" ht="14.25" customHeight="1">
      <c r="A95" s="21">
        <v>94</v>
      </c>
      <c r="C95" s="21" t="s">
        <v>1234</v>
      </c>
      <c r="D95" s="21" t="s">
        <v>1193</v>
      </c>
      <c r="E95" s="21">
        <v>9</v>
      </c>
      <c r="F95" s="21">
        <v>140810</v>
      </c>
      <c r="H95" s="21" t="s">
        <v>1235</v>
      </c>
      <c r="I95" s="39" t="str">
        <f ca="1">IFERROR(__xludf.DUMMYFUNCTION("IF(SUM(COUNTIF(artists!A:A, SPLIT(D95, "",""))) &gt; 0, ""UA"", 0)"),"UA")</f>
        <v>UA</v>
      </c>
      <c r="J95" s="40">
        <f ca="1">IFERROR(__xludf.DUMMYFUNCTION("IF(SUM(COUNTIF(artists!C:C, SPLIT(D95, "",""))) &gt; 0, ""RU"", 0)"),0)</f>
        <v>0</v>
      </c>
      <c r="K95" s="39">
        <f ca="1">IFERROR(__xludf.DUMMYFUNCTION("IF(SUM(COUNTIF(artists!E:E, SPLIT(D95, "",""))) &gt; 0, ""OTHER"", 0)"),0)</f>
        <v>0</v>
      </c>
    </row>
    <row r="96" spans="1:11" ht="14.25" customHeight="1">
      <c r="A96" s="21">
        <v>95</v>
      </c>
      <c r="C96" s="21" t="s">
        <v>1302</v>
      </c>
      <c r="D96" s="21" t="s">
        <v>1303</v>
      </c>
      <c r="E96" s="21">
        <v>1</v>
      </c>
      <c r="F96" s="21">
        <v>140212</v>
      </c>
      <c r="H96" s="21" t="s">
        <v>1304</v>
      </c>
      <c r="I96" s="39">
        <f ca="1">IFERROR(__xludf.DUMMYFUNCTION("IF(SUM(COUNTIF(artists!A:A, SPLIT(D96, "",""))) &gt; 0, ""UA"", 0)"),0)</f>
        <v>0</v>
      </c>
      <c r="J96" s="40" t="str">
        <f ca="1">IFERROR(__xludf.DUMMYFUNCTION("IF(SUM(COUNTIF(artists!C:C, SPLIT(D96, "",""))) &gt; 0, ""RU"", 0)"),"RU")</f>
        <v>RU</v>
      </c>
      <c r="K96" s="39">
        <f ca="1">IFERROR(__xludf.DUMMYFUNCTION("IF(SUM(COUNTIF(artists!E:E, SPLIT(D96, "",""))) &gt; 0, ""OTHER"", 0)"),0)</f>
        <v>0</v>
      </c>
    </row>
    <row r="97" spans="1:11" ht="14.25" customHeight="1">
      <c r="A97" s="21">
        <v>96</v>
      </c>
      <c r="B97" s="21">
        <v>98</v>
      </c>
      <c r="C97" s="21" t="s">
        <v>1308</v>
      </c>
      <c r="D97" s="21" t="s">
        <v>1309</v>
      </c>
      <c r="E97" s="21">
        <v>12</v>
      </c>
      <c r="F97" s="21">
        <v>139382</v>
      </c>
      <c r="G97" s="42">
        <v>-3.0000000000000001E-3</v>
      </c>
      <c r="H97" s="21" t="s">
        <v>1310</v>
      </c>
      <c r="I97" s="39" t="str">
        <f ca="1">IFERROR(__xludf.DUMMYFUNCTION("IF(SUM(COUNTIF(artists!A:A, SPLIT(D97, "",""))) &gt; 0, ""UA"", 0)"),"UA")</f>
        <v>UA</v>
      </c>
      <c r="J97" s="40">
        <f ca="1">IFERROR(__xludf.DUMMYFUNCTION("IF(SUM(COUNTIF(artists!C:C, SPLIT(D97, "",""))) &gt; 0, ""RU"", 0)"),0)</f>
        <v>0</v>
      </c>
      <c r="K97" s="39">
        <f ca="1">IFERROR(__xludf.DUMMYFUNCTION("IF(SUM(COUNTIF(artists!E:E, SPLIT(D97, "",""))) &gt; 0, ""OTHER"", 0)"),0)</f>
        <v>0</v>
      </c>
    </row>
    <row r="98" spans="1:11" ht="14.25" customHeight="1">
      <c r="A98" s="21">
        <v>97</v>
      </c>
      <c r="C98" s="21" t="s">
        <v>408</v>
      </c>
      <c r="D98" s="21" t="s">
        <v>409</v>
      </c>
      <c r="E98" s="21">
        <v>5</v>
      </c>
      <c r="F98" s="21">
        <v>136186</v>
      </c>
      <c r="H98" s="21" t="s">
        <v>410</v>
      </c>
      <c r="I98" s="39" t="str">
        <f ca="1">IFERROR(__xludf.DUMMYFUNCTION("IF(SUM(COUNTIF(artists!A:A, SPLIT(D98, "",""))) &gt; 0, ""UA"", 0)"),"UA")</f>
        <v>UA</v>
      </c>
      <c r="J98" s="40">
        <f ca="1">IFERROR(__xludf.DUMMYFUNCTION("IF(SUM(COUNTIF(artists!C:C, SPLIT(D98, "",""))) &gt; 0, ""RU"", 0)"),0)</f>
        <v>0</v>
      </c>
      <c r="K98" s="39">
        <f ca="1">IFERROR(__xludf.DUMMYFUNCTION("IF(SUM(COUNTIF(artists!E:E, SPLIT(D98, "",""))) &gt; 0, ""OTHER"", 0)"),0)</f>
        <v>0</v>
      </c>
    </row>
    <row r="99" spans="1:11" ht="14.25" customHeight="1">
      <c r="A99" s="21">
        <v>98</v>
      </c>
      <c r="B99" s="21">
        <v>72</v>
      </c>
      <c r="C99" s="21" t="s">
        <v>1346</v>
      </c>
      <c r="D99" s="21" t="s">
        <v>1347</v>
      </c>
      <c r="E99" s="21">
        <v>4</v>
      </c>
      <c r="F99" s="21">
        <v>136164</v>
      </c>
      <c r="G99" s="42">
        <v>-0.24299999999999999</v>
      </c>
      <c r="H99" s="21" t="s">
        <v>1348</v>
      </c>
      <c r="I99" s="39" t="str">
        <f ca="1">IFERROR(__xludf.DUMMYFUNCTION("IF(SUM(COUNTIF(artists!A:A, SPLIT(D99, "",""))) &gt; 0, ""UA"", 0)"),"UA")</f>
        <v>UA</v>
      </c>
      <c r="J99" s="40">
        <f ca="1">IFERROR(__xludf.DUMMYFUNCTION("IF(SUM(COUNTIF(artists!C:C, SPLIT(D99, "",""))) &gt; 0, ""RU"", 0)"),0)</f>
        <v>0</v>
      </c>
      <c r="K99" s="39">
        <f ca="1">IFERROR(__xludf.DUMMYFUNCTION("IF(SUM(COUNTIF(artists!E:E, SPLIT(D99, "",""))) &gt; 0, ""OTHER"", 0)"),0)</f>
        <v>0</v>
      </c>
    </row>
    <row r="100" spans="1:11" ht="14.25" customHeight="1">
      <c r="A100" s="21">
        <v>99</v>
      </c>
      <c r="B100" s="21">
        <v>96</v>
      </c>
      <c r="C100" s="21" t="s">
        <v>1275</v>
      </c>
      <c r="D100" s="21" t="s">
        <v>89</v>
      </c>
      <c r="E100" s="21">
        <v>2</v>
      </c>
      <c r="F100" s="21">
        <v>135629</v>
      </c>
      <c r="G100" s="42">
        <v>-3.1E-2</v>
      </c>
      <c r="H100" s="21" t="s">
        <v>1276</v>
      </c>
      <c r="I100" s="39" t="str">
        <f ca="1">IFERROR(__xludf.DUMMYFUNCTION("IF(SUM(COUNTIF(artists!A:A, SPLIT(D100, "",""))) &gt; 0, ""UA"", 0)"),"UA")</f>
        <v>UA</v>
      </c>
      <c r="J100" s="40">
        <f ca="1">IFERROR(__xludf.DUMMYFUNCTION("IF(SUM(COUNTIF(artists!C:C, SPLIT(D100, "",""))) &gt; 0, ""RU"", 0)"),0)</f>
        <v>0</v>
      </c>
      <c r="K100" s="39">
        <f ca="1">IFERROR(__xludf.DUMMYFUNCTION("IF(SUM(COUNTIF(artists!E:E, SPLIT(D100, "",""))) &gt; 0, ""OTHER"", 0)"),0)</f>
        <v>0</v>
      </c>
    </row>
    <row r="101" spans="1:11" ht="14.25" customHeight="1">
      <c r="A101" s="21">
        <v>100</v>
      </c>
      <c r="C101" s="21" t="s">
        <v>1349</v>
      </c>
      <c r="D101" s="21" t="s">
        <v>1350</v>
      </c>
      <c r="E101" s="21">
        <v>3</v>
      </c>
      <c r="F101" s="21">
        <v>134647</v>
      </c>
      <c r="H101" s="21" t="s">
        <v>1351</v>
      </c>
      <c r="I101" s="39">
        <f ca="1">IFERROR(__xludf.DUMMYFUNCTION("IF(SUM(COUNTIF(artists!A:A, SPLIT(D101, "",""))) &gt; 0, ""UA"", 0)"),0)</f>
        <v>0</v>
      </c>
      <c r="J101" s="40" t="str">
        <f ca="1">IFERROR(__xludf.DUMMYFUNCTION("IF(SUM(COUNTIF(artists!C:C, SPLIT(D101, "",""))) &gt; 0, ""RU"", 0)"),"RU")</f>
        <v>RU</v>
      </c>
      <c r="K101" s="39">
        <f ca="1">IFERROR(__xludf.DUMMYFUNCTION("IF(SUM(COUNTIF(artists!E:E, SPLIT(D101, "",""))) &gt; 0, ""OTHER"", 0)"),0)</f>
        <v>0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71" priority="1">
      <formula>AND($I2=0, $J2=0, $K2=0)</formula>
    </cfRule>
    <cfRule type="expression" dxfId="70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Аркуш28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4" width="8.6640625" customWidth="1"/>
    <col min="5" max="5" width="8.6640625" hidden="1" customWidth="1"/>
    <col min="6" max="6" width="8.6640625" customWidth="1"/>
    <col min="7" max="7" width="13.10937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B2" s="21">
        <v>1</v>
      </c>
      <c r="C2" s="21" t="s">
        <v>88</v>
      </c>
      <c r="D2" s="21" t="s">
        <v>89</v>
      </c>
      <c r="E2" s="21">
        <v>5</v>
      </c>
      <c r="F2" s="21">
        <v>2114294</v>
      </c>
      <c r="G2" s="42">
        <v>-1.4999999999999999E-2</v>
      </c>
      <c r="H2" s="21" t="s">
        <v>90</v>
      </c>
      <c r="I2" s="39" t="str">
        <f ca="1">IFERROR(__xludf.DUMMYFUNCTION("IF(SUM(COUNTIF(artists!A:A, SPLIT(D2, "",""))) &gt; 0, ""UA"", 0)"),"UA")</f>
        <v>UA</v>
      </c>
      <c r="J2" s="40">
        <f ca="1">IFERROR(__xludf.DUMMYFUNCTION("IF(SUM(COUNTIF(artists!C:C, SPLIT(D2, "",""))) &gt; 0, ""RU"", 0)"),0)</f>
        <v>0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B3" s="21">
        <v>2</v>
      </c>
      <c r="C3" s="21" t="s">
        <v>145</v>
      </c>
      <c r="D3" s="21" t="s">
        <v>146</v>
      </c>
      <c r="E3" s="21">
        <v>11</v>
      </c>
      <c r="F3" s="21">
        <v>1223328</v>
      </c>
      <c r="G3" s="42">
        <v>-0.217</v>
      </c>
      <c r="H3" s="21" t="s">
        <v>148</v>
      </c>
      <c r="I3" s="39" t="str">
        <f ca="1">IFERROR(__xludf.DUMMYFUNCTION("IF(SUM(COUNTIF(artists!A:A, SPLIT(D3, "",""))) &gt; 0, ""UA"", 0)"),"UA")</f>
        <v>UA</v>
      </c>
      <c r="J3" s="40">
        <f ca="1">IFERROR(__xludf.DUMMYFUNCTION("IF(SUM(COUNTIF(artists!C:C, SPLIT(D3, "",""))) &gt; 0, ""RU"", 0)"),0)</f>
        <v>0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B4" s="21">
        <v>3</v>
      </c>
      <c r="C4" s="21" t="s">
        <v>115</v>
      </c>
      <c r="D4" s="21" t="s">
        <v>116</v>
      </c>
      <c r="E4" s="21">
        <v>7</v>
      </c>
      <c r="F4" s="21">
        <v>1215443</v>
      </c>
      <c r="G4" s="42">
        <v>-7.1999999999999995E-2</v>
      </c>
      <c r="H4" s="21" t="s">
        <v>117</v>
      </c>
      <c r="I4" s="39" t="str">
        <f ca="1">IFERROR(__xludf.DUMMYFUNCTION("IF(SUM(COUNTIF(artists!A:A, SPLIT(D4, "",""))) &gt; 0, ""UA"", 0)"),"UA")</f>
        <v>UA</v>
      </c>
      <c r="J4" s="40">
        <f ca="1">IFERROR(__xludf.DUMMYFUNCTION("IF(SUM(COUNTIF(artists!C:C, SPLIT(D4, "",""))) &gt; 0, ""RU"", 0)"),0)</f>
        <v>0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B5" s="21">
        <v>5</v>
      </c>
      <c r="C5" s="21" t="s">
        <v>128</v>
      </c>
      <c r="D5" s="21" t="s">
        <v>129</v>
      </c>
      <c r="E5" s="21">
        <v>13</v>
      </c>
      <c r="F5" s="21">
        <v>1087683</v>
      </c>
      <c r="G5" s="43">
        <v>0</v>
      </c>
      <c r="H5" s="21" t="s">
        <v>131</v>
      </c>
      <c r="I5" s="39" t="str">
        <f ca="1">IFERROR(__xludf.DUMMYFUNCTION("IF(SUM(COUNTIF(artists!A:A, SPLIT(D5, "",""))) &gt; 0, ""UA"", 0)"),"UA")</f>
        <v>UA</v>
      </c>
      <c r="J5" s="40">
        <f ca="1">IFERROR(__xludf.DUMMYFUNCTION("IF(SUM(COUNTIF(artists!C:C, SPLIT(D5, "",""))) &gt; 0, ""RU"", 0)"),0)</f>
        <v>0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B6" s="21">
        <v>7</v>
      </c>
      <c r="C6" s="21" t="s">
        <v>132</v>
      </c>
      <c r="D6" s="21" t="s">
        <v>133</v>
      </c>
      <c r="E6" s="21">
        <v>17</v>
      </c>
      <c r="F6" s="21">
        <v>928655</v>
      </c>
      <c r="G6" s="42">
        <v>-3.6999999999999998E-2</v>
      </c>
      <c r="H6" s="21" t="s">
        <v>135</v>
      </c>
      <c r="I6" s="39" t="str">
        <f ca="1">IFERROR(__xludf.DUMMYFUNCTION("IF(SUM(COUNTIF(artists!A:A, SPLIT(D6, "",""))) &gt; 0, ""UA"", 0)"),"UA")</f>
        <v>UA</v>
      </c>
      <c r="J6" s="40">
        <f ca="1">IFERROR(__xludf.DUMMYFUNCTION("IF(SUM(COUNTIF(artists!C:C, SPLIT(D6, "",""))) &gt; 0, ""RU"", 0)"),0)</f>
        <v>0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B7" s="21">
        <v>8</v>
      </c>
      <c r="C7" s="21" t="s">
        <v>645</v>
      </c>
      <c r="D7" s="21" t="s">
        <v>352</v>
      </c>
      <c r="E7" s="21">
        <v>30</v>
      </c>
      <c r="F7" s="21">
        <v>918395</v>
      </c>
      <c r="G7" s="42">
        <v>-4.2000000000000003E-2</v>
      </c>
      <c r="H7" s="21" t="s">
        <v>647</v>
      </c>
      <c r="I7" s="39" t="str">
        <f ca="1">IFERROR(__xludf.DUMMYFUNCTION("IF(SUM(COUNTIF(artists!A:A, SPLIT(D7, "",""))) &gt; 0, ""UA"", 0)"),"UA")</f>
        <v>UA</v>
      </c>
      <c r="J7" s="40">
        <f ca="1">IFERROR(__xludf.DUMMYFUNCTION("IF(SUM(COUNTIF(artists!C:C, SPLIT(D7, "",""))) &gt; 0, ""RU"", 0)"),0)</f>
        <v>0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B8" s="21">
        <v>6</v>
      </c>
      <c r="C8" s="21" t="s">
        <v>202</v>
      </c>
      <c r="D8" s="21" t="s">
        <v>835</v>
      </c>
      <c r="E8" s="21">
        <v>7</v>
      </c>
      <c r="F8" s="21">
        <v>867170</v>
      </c>
      <c r="G8" s="42">
        <v>-0.152</v>
      </c>
      <c r="H8" s="21" t="s">
        <v>204</v>
      </c>
      <c r="I8" s="39" t="str">
        <f ca="1">IFERROR(__xludf.DUMMYFUNCTION("IF(SUM(COUNTIF(artists!A:A, SPLIT(D8, "",""))) &gt; 0, ""UA"", 0)"),"UA")</f>
        <v>UA</v>
      </c>
      <c r="J8" s="40">
        <f ca="1">IFERROR(__xludf.DUMMYFUNCTION("IF(SUM(COUNTIF(artists!C:C, SPLIT(D8, "",""))) &gt; 0, ""RU"", 0)"),0)</f>
        <v>0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C9" s="21" t="s">
        <v>524</v>
      </c>
      <c r="D9" s="21" t="s">
        <v>525</v>
      </c>
      <c r="E9" s="21">
        <v>1</v>
      </c>
      <c r="F9" s="21">
        <v>825743</v>
      </c>
      <c r="H9" s="21" t="s">
        <v>526</v>
      </c>
      <c r="I9" s="39" t="str">
        <f ca="1">IFERROR(__xludf.DUMMYFUNCTION("IF(SUM(COUNTIF(artists!A:A, SPLIT(D9, "",""))) &gt; 0, ""UA"", 0)"),"UA")</f>
        <v>UA</v>
      </c>
      <c r="J9" s="40">
        <f ca="1">IFERROR(__xludf.DUMMYFUNCTION("IF(SUM(COUNTIF(artists!C:C, SPLIT(D9, "",""))) &gt; 0, ""RU"", 0)"),0)</f>
        <v>0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B10" s="21">
        <v>71</v>
      </c>
      <c r="C10" s="21" t="s">
        <v>251</v>
      </c>
      <c r="D10" s="21" t="s">
        <v>133</v>
      </c>
      <c r="E10" s="21">
        <v>2</v>
      </c>
      <c r="F10" s="21">
        <v>783161</v>
      </c>
      <c r="G10" s="42">
        <v>2.9740000000000002</v>
      </c>
      <c r="H10" s="21" t="s">
        <v>252</v>
      </c>
      <c r="I10" s="39" t="str">
        <f ca="1">IFERROR(__xludf.DUMMYFUNCTION("IF(SUM(COUNTIF(artists!A:A, SPLIT(D10, "",""))) &gt; 0, ""UA"", 0)"),"UA")</f>
        <v>UA</v>
      </c>
      <c r="J10" s="40">
        <f ca="1">IFERROR(__xludf.DUMMYFUNCTION("IF(SUM(COUNTIF(artists!C:C, SPLIT(D10, "",""))) &gt; 0, ""RU"", 0)"),0)</f>
        <v>0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B11" s="21">
        <v>10</v>
      </c>
      <c r="C11" s="21" t="s">
        <v>175</v>
      </c>
      <c r="D11" s="21" t="s">
        <v>89</v>
      </c>
      <c r="E11" s="21">
        <v>17</v>
      </c>
      <c r="F11" s="21">
        <v>698052</v>
      </c>
      <c r="G11" s="42">
        <v>-1.4999999999999999E-2</v>
      </c>
      <c r="H11" s="21" t="s">
        <v>177</v>
      </c>
      <c r="I11" s="39" t="str">
        <f ca="1">IFERROR(__xludf.DUMMYFUNCTION("IF(SUM(COUNTIF(artists!A:A, SPLIT(D11, "",""))) &gt; 0, ""UA"", 0)"),"UA")</f>
        <v>UA</v>
      </c>
      <c r="J11" s="40">
        <f ca="1">IFERROR(__xludf.DUMMYFUNCTION("IF(SUM(COUNTIF(artists!C:C, SPLIT(D11, "",""))) &gt; 0, ""RU"", 0)"),0)</f>
        <v>0</v>
      </c>
      <c r="K11" s="39">
        <f ca="1">IFERROR(__xludf.DUMMYFUNCTION("IF(SUM(COUNTIF(artists!E:E, SPLIT(D11, "",""))) &gt; 0, ""OTHER"", 0)"),0)</f>
        <v>0</v>
      </c>
    </row>
    <row r="12" spans="1:11" ht="14.25" customHeight="1">
      <c r="A12" s="21">
        <v>11</v>
      </c>
      <c r="B12" s="21">
        <v>12</v>
      </c>
      <c r="C12" s="21" t="s">
        <v>171</v>
      </c>
      <c r="D12" s="21" t="s">
        <v>172</v>
      </c>
      <c r="E12" s="21">
        <v>12</v>
      </c>
      <c r="F12" s="21">
        <v>694699</v>
      </c>
      <c r="G12" s="42">
        <v>2.8000000000000001E-2</v>
      </c>
      <c r="H12" s="21" t="s">
        <v>174</v>
      </c>
      <c r="I12" s="39">
        <f ca="1">IFERROR(__xludf.DUMMYFUNCTION("IF(SUM(COUNTIF(artists!A:A, SPLIT(D12, "",""))) &gt; 0, ""UA"", 0)"),0)</f>
        <v>0</v>
      </c>
      <c r="J12" s="40" t="str">
        <f ca="1">IFERROR(__xludf.DUMMYFUNCTION("IF(SUM(COUNTIF(artists!C:C, SPLIT(D12, "",""))) &gt; 0, ""RU"", 0)"),"RU")</f>
        <v>RU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B13" s="21">
        <v>11</v>
      </c>
      <c r="C13" s="21" t="s">
        <v>209</v>
      </c>
      <c r="D13" s="21" t="s">
        <v>210</v>
      </c>
      <c r="E13" s="21">
        <v>10</v>
      </c>
      <c r="F13" s="21">
        <v>616678</v>
      </c>
      <c r="G13" s="42">
        <v>-9.4E-2</v>
      </c>
      <c r="H13" s="21" t="s">
        <v>212</v>
      </c>
      <c r="I13" s="39" t="str">
        <f ca="1">IFERROR(__xludf.DUMMYFUNCTION("IF(SUM(COUNTIF(artists!A:A, SPLIT(D13, "",""))) &gt; 0, ""UA"", 0)"),"UA")</f>
        <v>UA</v>
      </c>
      <c r="J13" s="40">
        <f ca="1">IFERROR(__xludf.DUMMYFUNCTION("IF(SUM(COUNTIF(artists!C:C, SPLIT(D13, "",""))) &gt; 0, ""RU"", 0)"),0)</f>
        <v>0</v>
      </c>
      <c r="K13" s="39">
        <f ca="1">IFERROR(__xludf.DUMMYFUNCTION("IF(SUM(COUNTIF(artists!E:E, SPLIT(D13, "",""))) &gt; 0, ""OTHER"", 0)"),0)</f>
        <v>0</v>
      </c>
    </row>
    <row r="14" spans="1:11" ht="14.25" customHeight="1">
      <c r="A14" s="21">
        <v>13</v>
      </c>
      <c r="B14" s="21">
        <v>16</v>
      </c>
      <c r="C14" s="21" t="s">
        <v>186</v>
      </c>
      <c r="D14" s="21" t="s">
        <v>187</v>
      </c>
      <c r="E14" s="21">
        <v>21</v>
      </c>
      <c r="F14" s="21">
        <v>596558</v>
      </c>
      <c r="G14" s="42">
        <v>-6.0000000000000001E-3</v>
      </c>
      <c r="H14" s="21" t="s">
        <v>189</v>
      </c>
      <c r="I14" s="39" t="str">
        <f ca="1">IFERROR(__xludf.DUMMYFUNCTION("IF(SUM(COUNTIF(artists!A:A, SPLIT(D14, "",""))) &gt; 0, ""UA"", 0)"),"UA")</f>
        <v>UA</v>
      </c>
      <c r="J14" s="40">
        <f ca="1">IFERROR(__xludf.DUMMYFUNCTION("IF(SUM(COUNTIF(artists!C:C, SPLIT(D14, "",""))) &gt; 0, ""RU"", 0)"),0)</f>
        <v>0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B15" s="21">
        <v>9</v>
      </c>
      <c r="C15" s="21" t="s">
        <v>194</v>
      </c>
      <c r="D15" s="21" t="s">
        <v>195</v>
      </c>
      <c r="E15" s="21">
        <v>20</v>
      </c>
      <c r="F15" s="21">
        <v>594241</v>
      </c>
      <c r="G15" s="42">
        <v>-0.184</v>
      </c>
      <c r="H15" s="21" t="s">
        <v>197</v>
      </c>
      <c r="I15" s="39" t="str">
        <f ca="1">IFERROR(__xludf.DUMMYFUNCTION("IF(SUM(COUNTIF(artists!A:A, SPLIT(D15, "",""))) &gt; 0, ""UA"", 0)"),"UA")</f>
        <v>UA</v>
      </c>
      <c r="J15" s="40">
        <f ca="1">IFERROR(__xludf.DUMMYFUNCTION("IF(SUM(COUNTIF(artists!C:C, SPLIT(D15, "",""))) &gt; 0, ""RU"", 0)"),0)</f>
        <v>0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B16" s="21">
        <v>13</v>
      </c>
      <c r="C16" s="21" t="s">
        <v>149</v>
      </c>
      <c r="D16" s="21" t="s">
        <v>150</v>
      </c>
      <c r="E16" s="21">
        <v>10</v>
      </c>
      <c r="F16" s="21">
        <v>589023</v>
      </c>
      <c r="G16" s="42">
        <v>-0.11700000000000001</v>
      </c>
      <c r="H16" s="21" t="s">
        <v>152</v>
      </c>
      <c r="I16" s="39" t="str">
        <f ca="1">IFERROR(__xludf.DUMMYFUNCTION("IF(SUM(COUNTIF(artists!A:A, SPLIT(D16, "",""))) &gt; 0, ""UA"", 0)"),"UA")</f>
        <v>UA</v>
      </c>
      <c r="J16" s="40">
        <f ca="1">IFERROR(__xludf.DUMMYFUNCTION("IF(SUM(COUNTIF(artists!C:C, SPLIT(D16, "",""))) &gt; 0, ""RU"", 0)"),0)</f>
        <v>0</v>
      </c>
      <c r="K16" s="39">
        <f ca="1">IFERROR(__xludf.DUMMYFUNCTION("IF(SUM(COUNTIF(artists!E:E, SPLIT(D16, "",""))) &gt; 0, ""OTHER"", 0)"),0)</f>
        <v>0</v>
      </c>
    </row>
    <row r="17" spans="1:11" ht="14.25" customHeight="1">
      <c r="A17" s="21">
        <v>16</v>
      </c>
      <c r="B17" s="21">
        <v>14</v>
      </c>
      <c r="C17" s="21" t="s">
        <v>462</v>
      </c>
      <c r="D17" s="21" t="s">
        <v>463</v>
      </c>
      <c r="E17" s="21">
        <v>8</v>
      </c>
      <c r="F17" s="21">
        <v>474907</v>
      </c>
      <c r="G17" s="42">
        <v>-0.27900000000000003</v>
      </c>
      <c r="H17" s="21" t="s">
        <v>465</v>
      </c>
      <c r="I17" s="39" t="str">
        <f ca="1">IFERROR(__xludf.DUMMYFUNCTION("IF(SUM(COUNTIF(artists!A:A, SPLIT(D17, "",""))) &gt; 0, ""UA"", 0)"),"UA")</f>
        <v>UA</v>
      </c>
      <c r="J17" s="40">
        <f ca="1">IFERROR(__xludf.DUMMYFUNCTION("IF(SUM(COUNTIF(artists!C:C, SPLIT(D17, "",""))) &gt; 0, ""RU"", 0)"),0)</f>
        <v>0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B18" s="21">
        <v>17</v>
      </c>
      <c r="C18" s="21" t="s">
        <v>968</v>
      </c>
      <c r="D18" s="21" t="s">
        <v>969</v>
      </c>
      <c r="E18" s="21">
        <v>37</v>
      </c>
      <c r="F18" s="21">
        <v>469487</v>
      </c>
      <c r="G18" s="42">
        <v>-5.0000000000000001E-3</v>
      </c>
      <c r="H18" s="21" t="s">
        <v>970</v>
      </c>
      <c r="I18" s="39" t="str">
        <f ca="1">IFERROR(__xludf.DUMMYFUNCTION("IF(SUM(COUNTIF(artists!A:A, SPLIT(D18, "",""))) &gt; 0, ""UA"", 0)"),"UA")</f>
        <v>UA</v>
      </c>
      <c r="J18" s="40">
        <f ca="1">IFERROR(__xludf.DUMMYFUNCTION("IF(SUM(COUNTIF(artists!C:C, SPLIT(D18, "",""))) &gt; 0, ""RU"", 0)"),0)</f>
        <v>0</v>
      </c>
      <c r="K18" s="39">
        <f ca="1">IFERROR(__xludf.DUMMYFUNCTION("IF(SUM(COUNTIF(artists!E:E, SPLIT(D18, "",""))) &gt; 0, ""OTHER"", 0)"),0)</f>
        <v>0</v>
      </c>
    </row>
    <row r="19" spans="1:11" ht="14.25" customHeight="1">
      <c r="A19" s="21">
        <v>18</v>
      </c>
      <c r="B19" s="21">
        <v>20</v>
      </c>
      <c r="C19" s="21" t="s">
        <v>229</v>
      </c>
      <c r="D19" s="21" t="s">
        <v>230</v>
      </c>
      <c r="E19" s="21">
        <v>24</v>
      </c>
      <c r="F19" s="21">
        <v>463264</v>
      </c>
      <c r="G19" s="42">
        <v>4.2999999999999997E-2</v>
      </c>
      <c r="H19" s="21" t="s">
        <v>232</v>
      </c>
      <c r="I19" s="39" t="str">
        <f ca="1">IFERROR(__xludf.DUMMYFUNCTION("IF(SUM(COUNTIF(artists!A:A, SPLIT(D19, "",""))) &gt; 0, ""UA"", 0)"),"UA")</f>
        <v>UA</v>
      </c>
      <c r="J19" s="40">
        <f ca="1">IFERROR(__xludf.DUMMYFUNCTION("IF(SUM(COUNTIF(artists!C:C, SPLIT(D19, "",""))) &gt; 0, ""RU"", 0)"),0)</f>
        <v>0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B20" s="21">
        <v>18</v>
      </c>
      <c r="C20" s="21" t="s">
        <v>921</v>
      </c>
      <c r="D20" s="21" t="s">
        <v>922</v>
      </c>
      <c r="E20" s="21">
        <v>9</v>
      </c>
      <c r="F20" s="21">
        <v>435593</v>
      </c>
      <c r="G20" s="42">
        <v>-2.9000000000000001E-2</v>
      </c>
      <c r="H20" s="21" t="s">
        <v>923</v>
      </c>
      <c r="I20" s="39" t="str">
        <f ca="1">IFERROR(__xludf.DUMMYFUNCTION("IF(SUM(COUNTIF(artists!A:A, SPLIT(D20, "",""))) &gt; 0, ""UA"", 0)"),"UA")</f>
        <v>UA</v>
      </c>
      <c r="J20" s="40">
        <f ca="1">IFERROR(__xludf.DUMMYFUNCTION("IF(SUM(COUNTIF(artists!C:C, SPLIT(D20, "",""))) &gt; 0, ""RU"", 0)"),0)</f>
        <v>0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B21" s="21">
        <v>26</v>
      </c>
      <c r="C21" s="21" t="s">
        <v>160</v>
      </c>
      <c r="D21" s="21" t="s">
        <v>161</v>
      </c>
      <c r="E21" s="21">
        <v>11</v>
      </c>
      <c r="F21" s="21">
        <v>421388</v>
      </c>
      <c r="G21" s="43">
        <v>0.04</v>
      </c>
      <c r="H21" s="21" t="s">
        <v>163</v>
      </c>
      <c r="I21" s="39" t="str">
        <f ca="1">IFERROR(__xludf.DUMMYFUNCTION("IF(SUM(COUNTIF(artists!A:A, SPLIT(D21, "",""))) &gt; 0, ""UA"", 0)"),"UA")</f>
        <v>UA</v>
      </c>
      <c r="J21" s="40">
        <f ca="1">IFERROR(__xludf.DUMMYFUNCTION("IF(SUM(COUNTIF(artists!C:C, SPLIT(D21, "",""))) &gt; 0, ""RU"", 0)"),0)</f>
        <v>0</v>
      </c>
      <c r="K21" s="39">
        <f ca="1">IFERROR(__xludf.DUMMYFUNCTION("IF(SUM(COUNTIF(artists!E:E, SPLIT(D21, "",""))) &gt; 0, ""OTHER"", 0)"),0)</f>
        <v>0</v>
      </c>
    </row>
    <row r="22" spans="1:11" ht="14.25" customHeight="1">
      <c r="A22" s="21">
        <v>21</v>
      </c>
      <c r="B22" s="21">
        <v>23</v>
      </c>
      <c r="C22" s="21" t="s">
        <v>799</v>
      </c>
      <c r="D22" s="21" t="s">
        <v>494</v>
      </c>
      <c r="E22" s="21">
        <v>26</v>
      </c>
      <c r="F22" s="21">
        <v>405525</v>
      </c>
      <c r="G22" s="42">
        <v>-7.1999999999999995E-2</v>
      </c>
      <c r="H22" s="21" t="s">
        <v>800</v>
      </c>
      <c r="I22" s="39" t="str">
        <f ca="1">IFERROR(__xludf.DUMMYFUNCTION("IF(SUM(COUNTIF(artists!A:A, SPLIT(D22, "",""))) &gt; 0, ""UA"", 0)"),"UA")</f>
        <v>UA</v>
      </c>
      <c r="J22" s="40">
        <f ca="1">IFERROR(__xludf.DUMMYFUNCTION("IF(SUM(COUNTIF(artists!C:C, SPLIT(D22, "",""))) &gt; 0, ""RU"", 0)"),0)</f>
        <v>0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B23" s="21">
        <v>24</v>
      </c>
      <c r="C23" s="21" t="s">
        <v>895</v>
      </c>
      <c r="D23" s="21" t="s">
        <v>896</v>
      </c>
      <c r="E23" s="21">
        <v>29</v>
      </c>
      <c r="F23" s="21">
        <v>403705</v>
      </c>
      <c r="G23" s="42">
        <v>-3.2000000000000001E-2</v>
      </c>
      <c r="H23" s="21" t="s">
        <v>897</v>
      </c>
      <c r="I23" s="39" t="str">
        <f ca="1">IFERROR(__xludf.DUMMYFUNCTION("IF(SUM(COUNTIF(artists!A:A, SPLIT(D23, "",""))) &gt; 0, ""UA"", 0)"),"UA")</f>
        <v>UA</v>
      </c>
      <c r="J23" s="40">
        <f ca="1">IFERROR(__xludf.DUMMYFUNCTION("IF(SUM(COUNTIF(artists!C:C, SPLIT(D23, "",""))) &gt; 0, ""RU"", 0)"),0)</f>
        <v>0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B24" s="21">
        <v>25</v>
      </c>
      <c r="C24" s="21" t="s">
        <v>255</v>
      </c>
      <c r="D24" s="21" t="s">
        <v>256</v>
      </c>
      <c r="E24" s="21">
        <v>7</v>
      </c>
      <c r="F24" s="21">
        <v>399265</v>
      </c>
      <c r="G24" s="43">
        <v>-0.03</v>
      </c>
      <c r="H24" s="21" t="s">
        <v>257</v>
      </c>
      <c r="I24" s="39" t="str">
        <f ca="1">IFERROR(__xludf.DUMMYFUNCTION("IF(SUM(COUNTIF(artists!A:A, SPLIT(D24, "",""))) &gt; 0, ""UA"", 0)"),"UA")</f>
        <v>UA</v>
      </c>
      <c r="J24" s="40">
        <f ca="1">IFERROR(__xludf.DUMMYFUNCTION("IF(SUM(COUNTIF(artists!C:C, SPLIT(D24, "",""))) &gt; 0, ""RU"", 0)"),0)</f>
        <v>0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B25" s="21">
        <v>21</v>
      </c>
      <c r="C25" s="21" t="s">
        <v>929</v>
      </c>
      <c r="D25" s="21" t="s">
        <v>930</v>
      </c>
      <c r="E25" s="21">
        <v>10</v>
      </c>
      <c r="F25" s="21">
        <v>392588</v>
      </c>
      <c r="G25" s="42">
        <v>-0.104</v>
      </c>
      <c r="H25" s="21" t="s">
        <v>931</v>
      </c>
      <c r="I25" s="39" t="str">
        <f ca="1">IFERROR(__xludf.DUMMYFUNCTION("IF(SUM(COUNTIF(artists!A:A, SPLIT(D25, "",""))) &gt; 0, ""UA"", 0)"),"UA")</f>
        <v>UA</v>
      </c>
      <c r="J25" s="40">
        <f ca="1">IFERROR(__xludf.DUMMYFUNCTION("IF(SUM(COUNTIF(artists!C:C, SPLIT(D25, "",""))) &gt; 0, ""RU"", 0)"),0)</f>
        <v>0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B26" s="21">
        <v>4</v>
      </c>
      <c r="C26" s="21" t="s">
        <v>1062</v>
      </c>
      <c r="D26" s="21" t="s">
        <v>1063</v>
      </c>
      <c r="E26" s="21">
        <v>2</v>
      </c>
      <c r="F26" s="21">
        <v>389739</v>
      </c>
      <c r="G26" s="42">
        <v>-0.69599999999999995</v>
      </c>
      <c r="H26" s="21" t="s">
        <v>1064</v>
      </c>
      <c r="I26" s="39" t="str">
        <f ca="1">IFERROR(__xludf.DUMMYFUNCTION("IF(SUM(COUNTIF(artists!A:A, SPLIT(D26, "",""))) &gt; 0, ""UA"", 0)"),"UA")</f>
        <v>UA</v>
      </c>
      <c r="J26" s="40">
        <f ca="1">IFERROR(__xludf.DUMMYFUNCTION("IF(SUM(COUNTIF(artists!C:C, SPLIT(D26, "",""))) &gt; 0, ""RU"", 0)"),0)</f>
        <v>0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B27" s="21">
        <v>28</v>
      </c>
      <c r="C27" s="21" t="s">
        <v>168</v>
      </c>
      <c r="D27" s="21" t="s">
        <v>137</v>
      </c>
      <c r="E27" s="21">
        <v>8</v>
      </c>
      <c r="F27" s="21">
        <v>388165</v>
      </c>
      <c r="G27" s="42">
        <v>1.2999999999999999E-2</v>
      </c>
      <c r="H27" s="21" t="s">
        <v>170</v>
      </c>
      <c r="I27" s="39" t="str">
        <f ca="1">IFERROR(__xludf.DUMMYFUNCTION("IF(SUM(COUNTIF(artists!A:A, SPLIT(D27, "",""))) &gt; 0, ""UA"", 0)"),"UA")</f>
        <v>UA</v>
      </c>
      <c r="J27" s="40">
        <f ca="1">IFERROR(__xludf.DUMMYFUNCTION("IF(SUM(COUNTIF(artists!C:C, SPLIT(D27, "",""))) &gt; 0, ""RU"", 0)"),0)</f>
        <v>0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B28" s="21">
        <v>29</v>
      </c>
      <c r="C28" s="21" t="s">
        <v>178</v>
      </c>
      <c r="D28" s="21" t="s">
        <v>179</v>
      </c>
      <c r="E28" s="21">
        <v>21</v>
      </c>
      <c r="F28" s="21">
        <v>385617</v>
      </c>
      <c r="G28" s="43">
        <v>0.02</v>
      </c>
      <c r="H28" s="21" t="s">
        <v>181</v>
      </c>
      <c r="I28" s="39" t="str">
        <f ca="1">IFERROR(__xludf.DUMMYFUNCTION("IF(SUM(COUNTIF(artists!A:A, SPLIT(D28, "",""))) &gt; 0, ""UA"", 0)"),"UA")</f>
        <v>UA</v>
      </c>
      <c r="J28" s="40">
        <f ca="1">IFERROR(__xludf.DUMMYFUNCTION("IF(SUM(COUNTIF(artists!C:C, SPLIT(D28, "",""))) &gt; 0, ""RU"", 0)"),0)</f>
        <v>0</v>
      </c>
      <c r="K28" s="39">
        <f ca="1">IFERROR(__xludf.DUMMYFUNCTION("IF(SUM(COUNTIF(artists!E:E, SPLIT(D28, "",""))) &gt; 0, ""OTHER"", 0)"),0)</f>
        <v>0</v>
      </c>
    </row>
    <row r="29" spans="1:11" ht="14.25" customHeight="1">
      <c r="A29" s="21">
        <v>28</v>
      </c>
      <c r="B29" s="21">
        <v>19</v>
      </c>
      <c r="C29" s="21" t="s">
        <v>1147</v>
      </c>
      <c r="D29" s="21" t="s">
        <v>776</v>
      </c>
      <c r="E29" s="21">
        <v>3</v>
      </c>
      <c r="F29" s="21">
        <v>373636</v>
      </c>
      <c r="G29" s="42">
        <v>-0.16200000000000001</v>
      </c>
      <c r="H29" s="21" t="s">
        <v>1148</v>
      </c>
      <c r="I29" s="39" t="str">
        <f ca="1">IFERROR(__xludf.DUMMYFUNCTION("IF(SUM(COUNTIF(artists!A:A, SPLIT(D29, "",""))) &gt; 0, ""UA"", 0)"),"UA")</f>
        <v>UA</v>
      </c>
      <c r="J29" s="40">
        <f ca="1">IFERROR(__xludf.DUMMYFUNCTION("IF(SUM(COUNTIF(artists!C:C, SPLIT(D29, "",""))) &gt; 0, ""RU"", 0)"),0)</f>
        <v>0</v>
      </c>
      <c r="K29" s="39">
        <f ca="1">IFERROR(__xludf.DUMMYFUNCTION("IF(SUM(COUNTIF(artists!E:E, SPLIT(D29, "",""))) &gt; 0, ""OTHER"", 0)"),0)</f>
        <v>0</v>
      </c>
    </row>
    <row r="30" spans="1:11" ht="14.25" customHeight="1">
      <c r="A30" s="21">
        <v>29</v>
      </c>
      <c r="B30" s="21">
        <v>22</v>
      </c>
      <c r="C30" s="21" t="s">
        <v>182</v>
      </c>
      <c r="D30" s="21" t="s">
        <v>183</v>
      </c>
      <c r="E30" s="21">
        <v>13</v>
      </c>
      <c r="F30" s="21">
        <v>367241</v>
      </c>
      <c r="G30" s="43">
        <v>-0.16</v>
      </c>
      <c r="H30" s="21" t="s">
        <v>185</v>
      </c>
      <c r="I30" s="39" t="str">
        <f ca="1">IFERROR(__xludf.DUMMYFUNCTION("IF(SUM(COUNTIF(artists!A:A, SPLIT(D30, "",""))) &gt; 0, ""UA"", 0)"),"UA")</f>
        <v>UA</v>
      </c>
      <c r="J30" s="40">
        <f ca="1">IFERROR(__xludf.DUMMYFUNCTION("IF(SUM(COUNTIF(artists!C:C, SPLIT(D30, "",""))) &gt; 0, ""RU"", 0)"),0)</f>
        <v>0</v>
      </c>
      <c r="K30" s="39">
        <f ca="1">IFERROR(__xludf.DUMMYFUNCTION("IF(SUM(COUNTIF(artists!E:E, SPLIT(D30, "",""))) &gt; 0, ""OTHER"", 0)"),0)</f>
        <v>0</v>
      </c>
    </row>
    <row r="31" spans="1:11" ht="14.25" customHeight="1">
      <c r="A31" s="21">
        <v>30</v>
      </c>
      <c r="B31" s="21">
        <v>15</v>
      </c>
      <c r="C31" s="21" t="s">
        <v>1251</v>
      </c>
      <c r="D31" s="21" t="s">
        <v>1230</v>
      </c>
      <c r="E31" s="21">
        <v>2</v>
      </c>
      <c r="F31" s="21">
        <v>362265</v>
      </c>
      <c r="G31" s="42">
        <v>-0.41599999999999998</v>
      </c>
      <c r="H31" s="21" t="s">
        <v>1252</v>
      </c>
      <c r="I31" s="39">
        <f ca="1">IFERROR(__xludf.DUMMYFUNCTION("IF(SUM(COUNTIF(artists!A:A, SPLIT(D31, "",""))) &gt; 0, ""UA"", 0)"),0)</f>
        <v>0</v>
      </c>
      <c r="J31" s="40">
        <f ca="1">IFERROR(__xludf.DUMMYFUNCTION("IF(SUM(COUNTIF(artists!C:C, SPLIT(D31, "",""))) &gt; 0, ""RU"", 0)"),0)</f>
        <v>0</v>
      </c>
      <c r="K31" s="39" t="str">
        <f ca="1">IFERROR(__xludf.DUMMYFUNCTION("IF(SUM(COUNTIF(artists!E:E, SPLIT(D31, "",""))) &gt; 0, ""OTHER"", 0)"),"OTHER")</f>
        <v>OTHER</v>
      </c>
    </row>
    <row r="32" spans="1:11" ht="14.25" customHeight="1">
      <c r="A32" s="21">
        <v>31</v>
      </c>
      <c r="B32" s="21">
        <v>30</v>
      </c>
      <c r="C32" s="21" t="s">
        <v>706</v>
      </c>
      <c r="D32" s="21" t="s">
        <v>199</v>
      </c>
      <c r="E32" s="21">
        <v>13</v>
      </c>
      <c r="F32" s="21">
        <v>360885</v>
      </c>
      <c r="G32" s="42">
        <v>-3.0000000000000001E-3</v>
      </c>
      <c r="H32" s="21" t="s">
        <v>1126</v>
      </c>
      <c r="I32" s="39" t="str">
        <f ca="1">IFERROR(__xludf.DUMMYFUNCTION("IF(SUM(COUNTIF(artists!A:A, SPLIT(D32, "",""))) &gt; 0, ""UA"", 0)"),"UA")</f>
        <v>UA</v>
      </c>
      <c r="J32" s="40">
        <f ca="1">IFERROR(__xludf.DUMMYFUNCTION("IF(SUM(COUNTIF(artists!C:C, SPLIT(D32, "",""))) &gt; 0, ""RU"", 0)"),0)</f>
        <v>0</v>
      </c>
      <c r="K32" s="39">
        <f ca="1">IFERROR(__xludf.DUMMYFUNCTION("IF(SUM(COUNTIF(artists!E:E, SPLIT(D32, "",""))) &gt; 0, ""OTHER"", 0)"),0)</f>
        <v>0</v>
      </c>
    </row>
    <row r="33" spans="1:11" ht="14.25" customHeight="1">
      <c r="A33" s="21">
        <v>32</v>
      </c>
      <c r="C33" s="21" t="s">
        <v>1352</v>
      </c>
      <c r="D33" s="21" t="s">
        <v>1025</v>
      </c>
      <c r="E33" s="21">
        <v>1</v>
      </c>
      <c r="F33" s="21">
        <v>358959</v>
      </c>
      <c r="H33" s="21" t="s">
        <v>1353</v>
      </c>
      <c r="I33" s="39" t="str">
        <f ca="1">IFERROR(__xludf.DUMMYFUNCTION("IF(SUM(COUNTIF(artists!A:A, SPLIT(D33, "",""))) &gt; 0, ""UA"", 0)"),"UA")</f>
        <v>UA</v>
      </c>
      <c r="J33" s="40">
        <f ca="1">IFERROR(__xludf.DUMMYFUNCTION("IF(SUM(COUNTIF(artists!C:C, SPLIT(D33, "",""))) &gt; 0, ""RU"", 0)"),0)</f>
        <v>0</v>
      </c>
      <c r="K33" s="39">
        <f ca="1">IFERROR(__xludf.DUMMYFUNCTION("IF(SUM(COUNTIF(artists!E:E, SPLIT(D33, "",""))) &gt; 0, ""OTHER"", 0)"),0)</f>
        <v>0</v>
      </c>
    </row>
    <row r="34" spans="1:11" ht="14.25" customHeight="1">
      <c r="A34" s="21">
        <v>33</v>
      </c>
      <c r="B34" s="21">
        <v>31</v>
      </c>
      <c r="C34" s="21" t="s">
        <v>594</v>
      </c>
      <c r="D34" s="21" t="s">
        <v>595</v>
      </c>
      <c r="E34" s="21">
        <v>5</v>
      </c>
      <c r="F34" s="21">
        <v>352991</v>
      </c>
      <c r="G34" s="42">
        <v>-1.0999999999999999E-2</v>
      </c>
      <c r="H34" s="21" t="s">
        <v>596</v>
      </c>
      <c r="I34" s="39" t="str">
        <f ca="1">IFERROR(__xludf.DUMMYFUNCTION("IF(SUM(COUNTIF(artists!A:A, SPLIT(D34, "",""))) &gt; 0, ""UA"", 0)"),"UA")</f>
        <v>UA</v>
      </c>
      <c r="J34" s="40">
        <f ca="1">IFERROR(__xludf.DUMMYFUNCTION("IF(SUM(COUNTIF(artists!C:C, SPLIT(D34, "",""))) &gt; 0, ""RU"", 0)"),0)</f>
        <v>0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B35" s="21">
        <v>32</v>
      </c>
      <c r="C35" s="21" t="s">
        <v>1327</v>
      </c>
      <c r="D35" s="21" t="s">
        <v>89</v>
      </c>
      <c r="E35" s="21">
        <v>46</v>
      </c>
      <c r="F35" s="21">
        <v>352113</v>
      </c>
      <c r="G35" s="42">
        <v>6.0000000000000001E-3</v>
      </c>
      <c r="H35" s="21" t="s">
        <v>1328</v>
      </c>
      <c r="I35" s="39" t="str">
        <f ca="1">IFERROR(__xludf.DUMMYFUNCTION("IF(SUM(COUNTIF(artists!A:A, SPLIT(D35, "",""))) &gt; 0, ""UA"", 0)"),"UA")</f>
        <v>UA</v>
      </c>
      <c r="J35" s="40">
        <f ca="1">IFERROR(__xludf.DUMMYFUNCTION("IF(SUM(COUNTIF(artists!C:C, SPLIT(D35, "",""))) &gt; 0, ""RU"", 0)"),0)</f>
        <v>0</v>
      </c>
      <c r="K35" s="39">
        <f ca="1">IFERROR(__xludf.DUMMYFUNCTION("IF(SUM(COUNTIF(artists!E:E, SPLIT(D35, "",""))) &gt; 0, ""OTHER"", 0)"),0)</f>
        <v>0</v>
      </c>
    </row>
    <row r="36" spans="1:11" ht="14.25" customHeight="1">
      <c r="A36" s="21">
        <v>35</v>
      </c>
      <c r="B36" s="21">
        <v>27</v>
      </c>
      <c r="C36" s="21" t="s">
        <v>903</v>
      </c>
      <c r="D36" s="21" t="s">
        <v>904</v>
      </c>
      <c r="E36" s="21">
        <v>9</v>
      </c>
      <c r="F36" s="21">
        <v>344411</v>
      </c>
      <c r="G36" s="42">
        <v>-0.10199999999999999</v>
      </c>
      <c r="H36" s="21" t="s">
        <v>905</v>
      </c>
      <c r="I36" s="39" t="str">
        <f ca="1">IFERROR(__xludf.DUMMYFUNCTION("IF(SUM(COUNTIF(artists!A:A, SPLIT(D36, "",""))) &gt; 0, ""UA"", 0)"),"UA")</f>
        <v>UA</v>
      </c>
      <c r="J36" s="40">
        <f ca="1">IFERROR(__xludf.DUMMYFUNCTION("IF(SUM(COUNTIF(artists!C:C, SPLIT(D36, "",""))) &gt; 0, ""RU"", 0)"),0)</f>
        <v>0</v>
      </c>
      <c r="K36" s="39">
        <f ca="1">IFERROR(__xludf.DUMMYFUNCTION("IF(SUM(COUNTIF(artists!E:E, SPLIT(D36, "",""))) &gt; 0, ""OTHER"", 0)"),0)</f>
        <v>0</v>
      </c>
    </row>
    <row r="37" spans="1:11" ht="14.25" customHeight="1">
      <c r="A37" s="21">
        <v>36</v>
      </c>
      <c r="B37" s="21">
        <v>51</v>
      </c>
      <c r="C37" s="21" t="s">
        <v>841</v>
      </c>
      <c r="D37" s="21" t="s">
        <v>842</v>
      </c>
      <c r="E37" s="21">
        <v>23</v>
      </c>
      <c r="F37" s="21">
        <v>330050</v>
      </c>
      <c r="G37" s="42">
        <v>0.29199999999999998</v>
      </c>
      <c r="H37" s="21" t="s">
        <v>843</v>
      </c>
      <c r="I37" s="39">
        <f ca="1">IFERROR(__xludf.DUMMYFUNCTION("IF(SUM(COUNTIF(artists!A:A, SPLIT(D37, "",""))) &gt; 0, ""UA"", 0)"),0)</f>
        <v>0</v>
      </c>
      <c r="J37" s="40">
        <f ca="1">IFERROR(__xludf.DUMMYFUNCTION("IF(SUM(COUNTIF(artists!C:C, SPLIT(D37, "",""))) &gt; 0, ""RU"", 0)"),0)</f>
        <v>0</v>
      </c>
      <c r="K37" s="39" t="str">
        <f ca="1">IFERROR(__xludf.DUMMYFUNCTION("IF(SUM(COUNTIF(artists!E:E, SPLIT(D37, "",""))) &gt; 0, ""OTHER"", 0)"),"OTHER")</f>
        <v>OTHER</v>
      </c>
    </row>
    <row r="38" spans="1:11" ht="14.25" customHeight="1">
      <c r="A38" s="21">
        <v>37</v>
      </c>
      <c r="C38" s="21" t="s">
        <v>1305</v>
      </c>
      <c r="D38" s="21" t="s">
        <v>1306</v>
      </c>
      <c r="E38" s="21">
        <v>1</v>
      </c>
      <c r="F38" s="21">
        <v>316136</v>
      </c>
      <c r="H38" s="21" t="s">
        <v>1307</v>
      </c>
      <c r="I38" s="39" t="str">
        <f ca="1">IFERROR(__xludf.DUMMYFUNCTION("IF(SUM(COUNTIF(artists!A:A, SPLIT(D38, "",""))) &gt; 0, ""UA"", 0)"),"UA")</f>
        <v>UA</v>
      </c>
      <c r="J38" s="40">
        <f ca="1">IFERROR(__xludf.DUMMYFUNCTION("IF(SUM(COUNTIF(artists!C:C, SPLIT(D38, "",""))) &gt; 0, ""RU"", 0)"),0)</f>
        <v>0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C39" s="21" t="s">
        <v>1232</v>
      </c>
      <c r="D39" s="21" t="s">
        <v>104</v>
      </c>
      <c r="E39" s="21">
        <v>1</v>
      </c>
      <c r="F39" s="21">
        <v>313266</v>
      </c>
      <c r="H39" s="21" t="s">
        <v>1233</v>
      </c>
      <c r="I39" s="39" t="str">
        <f ca="1">IFERROR(__xludf.DUMMYFUNCTION("IF(SUM(COUNTIF(artists!A:A, SPLIT(D39, "",""))) &gt; 0, ""UA"", 0)"),"UA")</f>
        <v>UA</v>
      </c>
      <c r="J39" s="40">
        <f ca="1">IFERROR(__xludf.DUMMYFUNCTION("IF(SUM(COUNTIF(artists!C:C, SPLIT(D39, "",""))) &gt; 0, ""RU"", 0)"),0)</f>
        <v>0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B40" s="21">
        <v>34</v>
      </c>
      <c r="C40" s="21" t="s">
        <v>887</v>
      </c>
      <c r="D40" s="21" t="s">
        <v>89</v>
      </c>
      <c r="E40" s="21">
        <v>24</v>
      </c>
      <c r="F40" s="21">
        <v>310098</v>
      </c>
      <c r="G40" s="42">
        <v>-7.8E-2</v>
      </c>
      <c r="H40" s="21" t="s">
        <v>888</v>
      </c>
      <c r="I40" s="39" t="str">
        <f ca="1">IFERROR(__xludf.DUMMYFUNCTION("IF(SUM(COUNTIF(artists!A:A, SPLIT(D40, "",""))) &gt; 0, ""UA"", 0)"),"UA")</f>
        <v>UA</v>
      </c>
      <c r="J40" s="40">
        <f ca="1">IFERROR(__xludf.DUMMYFUNCTION("IF(SUM(COUNTIF(artists!C:C, SPLIT(D40, "",""))) &gt; 0, ""RU"", 0)"),0)</f>
        <v>0</v>
      </c>
      <c r="K40" s="39">
        <f ca="1">IFERROR(__xludf.DUMMYFUNCTION("IF(SUM(COUNTIF(artists!E:E, SPLIT(D40, "",""))) &gt; 0, ""OTHER"", 0)"),0)</f>
        <v>0</v>
      </c>
    </row>
    <row r="41" spans="1:11" ht="14.25" customHeight="1">
      <c r="A41" s="21">
        <v>40</v>
      </c>
      <c r="B41" s="21">
        <v>33</v>
      </c>
      <c r="C41" s="21" t="s">
        <v>1089</v>
      </c>
      <c r="D41" s="21" t="s">
        <v>125</v>
      </c>
      <c r="E41" s="21">
        <v>7</v>
      </c>
      <c r="F41" s="21">
        <v>309184</v>
      </c>
      <c r="G41" s="42">
        <v>-8.4000000000000005E-2</v>
      </c>
      <c r="H41" s="21" t="s">
        <v>1090</v>
      </c>
      <c r="I41" s="39">
        <f ca="1">IFERROR(__xludf.DUMMYFUNCTION("IF(SUM(COUNTIF(artists!A:A, SPLIT(D41, "",""))) &gt; 0, ""UA"", 0)"),0)</f>
        <v>0</v>
      </c>
      <c r="J41" s="40" t="str">
        <f ca="1">IFERROR(__xludf.DUMMYFUNCTION("IF(SUM(COUNTIF(artists!C:C, SPLIT(D41, "",""))) &gt; 0, ""RU"", 0)"),"RU")</f>
        <v>RU</v>
      </c>
      <c r="K41" s="39">
        <f ca="1">IFERROR(__xludf.DUMMYFUNCTION("IF(SUM(COUNTIF(artists!E:E, SPLIT(D41, "",""))) &gt; 0, ""OTHER"", 0)"),0)</f>
        <v>0</v>
      </c>
    </row>
    <row r="42" spans="1:11" ht="14.25" customHeight="1">
      <c r="A42" s="21">
        <v>41</v>
      </c>
      <c r="B42" s="21">
        <v>36</v>
      </c>
      <c r="C42" s="21" t="s">
        <v>284</v>
      </c>
      <c r="D42" s="21" t="s">
        <v>15</v>
      </c>
      <c r="E42" s="21">
        <v>4</v>
      </c>
      <c r="F42" s="21">
        <v>304069</v>
      </c>
      <c r="G42" s="42">
        <v>-2.4E-2</v>
      </c>
      <c r="H42" s="21" t="s">
        <v>285</v>
      </c>
      <c r="I42" s="39">
        <f ca="1">IFERROR(__xludf.DUMMYFUNCTION("IF(SUM(COUNTIF(artists!A:A, SPLIT(D42, "",""))) &gt; 0, ""UA"", 0)"),0)</f>
        <v>0</v>
      </c>
      <c r="J42" s="40">
        <f ca="1">IFERROR(__xludf.DUMMYFUNCTION("IF(SUM(COUNTIF(artists!C:C, SPLIT(D42, "",""))) &gt; 0, ""RU"", 0)"),0)</f>
        <v>0</v>
      </c>
      <c r="K42" s="39" t="str">
        <f ca="1">IFERROR(__xludf.DUMMYFUNCTION("IF(SUM(COUNTIF(artists!E:E, SPLIT(D42, "",""))) &gt; 0, ""OTHER"", 0)"),"OTHER")</f>
        <v>OTHER</v>
      </c>
    </row>
    <row r="43" spans="1:11" ht="14.25" customHeight="1">
      <c r="A43" s="21">
        <v>42</v>
      </c>
      <c r="B43" s="21">
        <v>40</v>
      </c>
      <c r="C43" s="21" t="s">
        <v>1263</v>
      </c>
      <c r="D43" s="21" t="s">
        <v>1264</v>
      </c>
      <c r="E43" s="21">
        <v>43</v>
      </c>
      <c r="F43" s="21">
        <v>294275</v>
      </c>
      <c r="G43" s="42">
        <v>1.7999999999999999E-2</v>
      </c>
      <c r="H43" s="21" t="s">
        <v>1265</v>
      </c>
      <c r="I43" s="39">
        <f ca="1">IFERROR(__xludf.DUMMYFUNCTION("IF(SUM(COUNTIF(artists!A:A, SPLIT(D43, "",""))) &gt; 0, ""UA"", 0)"),0)</f>
        <v>0</v>
      </c>
      <c r="J43" s="40" t="str">
        <f ca="1">IFERROR(__xludf.DUMMYFUNCTION("IF(SUM(COUNTIF(artists!C:C, SPLIT(D43, "",""))) &gt; 0, ""RU"", 0)"),"RU")</f>
        <v>RU</v>
      </c>
      <c r="K43" s="39">
        <f ca="1">IFERROR(__xludf.DUMMYFUNCTION("IF(SUM(COUNTIF(artists!E:E, SPLIT(D43, "",""))) &gt; 0, ""OTHER"", 0)"),0)</f>
        <v>0</v>
      </c>
    </row>
    <row r="44" spans="1:11" ht="14.25" customHeight="1">
      <c r="A44" s="21">
        <v>43</v>
      </c>
      <c r="B44" s="21">
        <v>44</v>
      </c>
      <c r="C44" s="21" t="s">
        <v>253</v>
      </c>
      <c r="D44" s="21" t="s">
        <v>89</v>
      </c>
      <c r="E44" s="21">
        <v>26</v>
      </c>
      <c r="F44" s="21">
        <v>291610</v>
      </c>
      <c r="G44" s="42">
        <v>3.2000000000000001E-2</v>
      </c>
      <c r="H44" s="21" t="s">
        <v>254</v>
      </c>
      <c r="I44" s="39" t="str">
        <f ca="1">IFERROR(__xludf.DUMMYFUNCTION("IF(SUM(COUNTIF(artists!A:A, SPLIT(D44, "",""))) &gt; 0, ""UA"", 0)"),"UA")</f>
        <v>UA</v>
      </c>
      <c r="J44" s="40">
        <f ca="1">IFERROR(__xludf.DUMMYFUNCTION("IF(SUM(COUNTIF(artists!C:C, SPLIT(D44, "",""))) &gt; 0, ""RU"", 0)"),0)</f>
        <v>0</v>
      </c>
      <c r="K44" s="39">
        <f ca="1">IFERROR(__xludf.DUMMYFUNCTION("IF(SUM(COUNTIF(artists!E:E, SPLIT(D44, "",""))) &gt; 0, ""OTHER"", 0)"),0)</f>
        <v>0</v>
      </c>
    </row>
    <row r="45" spans="1:11" ht="14.25" customHeight="1">
      <c r="A45" s="21">
        <v>44</v>
      </c>
      <c r="B45" s="21">
        <v>35</v>
      </c>
      <c r="C45" s="21" t="s">
        <v>1010</v>
      </c>
      <c r="D45" s="21" t="s">
        <v>1011</v>
      </c>
      <c r="E45" s="21">
        <v>18</v>
      </c>
      <c r="F45" s="21">
        <v>288018</v>
      </c>
      <c r="G45" s="42">
        <v>-0.111</v>
      </c>
      <c r="H45" s="21" t="s">
        <v>1012</v>
      </c>
      <c r="I45" s="39" t="str">
        <f ca="1">IFERROR(__xludf.DUMMYFUNCTION("IF(SUM(COUNTIF(artists!A:A, SPLIT(D45, "",""))) &gt; 0, ""UA"", 0)"),"UA")</f>
        <v>UA</v>
      </c>
      <c r="J45" s="40">
        <f ca="1">IFERROR(__xludf.DUMMYFUNCTION("IF(SUM(COUNTIF(artists!C:C, SPLIT(D45, "",""))) &gt; 0, ""RU"", 0)"),0)</f>
        <v>0</v>
      </c>
      <c r="K45" s="39">
        <f ca="1">IFERROR(__xludf.DUMMYFUNCTION("IF(SUM(COUNTIF(artists!E:E, SPLIT(D45, "",""))) &gt; 0, ""OTHER"", 0)"),0)</f>
        <v>0</v>
      </c>
    </row>
    <row r="46" spans="1:11" ht="14.25" customHeight="1">
      <c r="A46" s="21">
        <v>45</v>
      </c>
      <c r="B46" s="21">
        <v>39</v>
      </c>
      <c r="C46" s="21" t="s">
        <v>1055</v>
      </c>
      <c r="D46" s="21" t="s">
        <v>776</v>
      </c>
      <c r="E46" s="21">
        <v>14</v>
      </c>
      <c r="F46" s="21">
        <v>284013</v>
      </c>
      <c r="G46" s="42">
        <v>-2.7E-2</v>
      </c>
      <c r="H46" s="21" t="s">
        <v>1056</v>
      </c>
      <c r="I46" s="39" t="str">
        <f ca="1">IFERROR(__xludf.DUMMYFUNCTION("IF(SUM(COUNTIF(artists!A:A, SPLIT(D46, "",""))) &gt; 0, ""UA"", 0)"),"UA")</f>
        <v>UA</v>
      </c>
      <c r="J46" s="40">
        <f ca="1">IFERROR(__xludf.DUMMYFUNCTION("IF(SUM(COUNTIF(artists!C:C, SPLIT(D46, "",""))) &gt; 0, ""RU"", 0)"),0)</f>
        <v>0</v>
      </c>
      <c r="K46" s="39">
        <f ca="1">IFERROR(__xludf.DUMMYFUNCTION("IF(SUM(COUNTIF(artists!E:E, SPLIT(D46, "",""))) &gt; 0, ""OTHER"", 0)"),0)</f>
        <v>0</v>
      </c>
    </row>
    <row r="47" spans="1:11" ht="14.25" customHeight="1">
      <c r="A47" s="21">
        <v>46</v>
      </c>
      <c r="B47" s="21">
        <v>41</v>
      </c>
      <c r="C47" s="21" t="s">
        <v>1178</v>
      </c>
      <c r="D47" s="21" t="s">
        <v>1117</v>
      </c>
      <c r="E47" s="21">
        <v>13</v>
      </c>
      <c r="F47" s="21">
        <v>283988</v>
      </c>
      <c r="G47" s="42">
        <v>-1.4999999999999999E-2</v>
      </c>
      <c r="H47" s="21" t="s">
        <v>1179</v>
      </c>
      <c r="I47" s="39">
        <f ca="1">IFERROR(__xludf.DUMMYFUNCTION("IF(SUM(COUNTIF(artists!A:A, SPLIT(D47, "",""))) &gt; 0, ""UA"", 0)"),0)</f>
        <v>0</v>
      </c>
      <c r="J47" s="40" t="str">
        <f ca="1">IFERROR(__xludf.DUMMYFUNCTION("IF(SUM(COUNTIF(artists!C:C, SPLIT(D47, "",""))) &gt; 0, ""RU"", 0)"),"RU")</f>
        <v>RU</v>
      </c>
      <c r="K47" s="39">
        <f ca="1">IFERROR(__xludf.DUMMYFUNCTION("IF(SUM(COUNTIF(artists!E:E, SPLIT(D47, "",""))) &gt; 0, ""OTHER"", 0)"),0)</f>
        <v>0</v>
      </c>
    </row>
    <row r="48" spans="1:11" ht="14.25" customHeight="1">
      <c r="A48" s="21">
        <v>47</v>
      </c>
      <c r="B48" s="21">
        <v>37</v>
      </c>
      <c r="C48" s="21" t="s">
        <v>1354</v>
      </c>
      <c r="D48" s="21" t="s">
        <v>1355</v>
      </c>
      <c r="E48" s="21">
        <v>47</v>
      </c>
      <c r="F48" s="21">
        <v>283005</v>
      </c>
      <c r="G48" s="42">
        <v>-6.8000000000000005E-2</v>
      </c>
      <c r="H48" s="21" t="s">
        <v>1356</v>
      </c>
      <c r="I48" s="39" t="str">
        <f ca="1">IFERROR(__xludf.DUMMYFUNCTION("IF(SUM(COUNTIF(artists!A:A, SPLIT(D48, "",""))) &gt; 0, ""UA"", 0)"),"UA")</f>
        <v>UA</v>
      </c>
      <c r="J48" s="40">
        <f ca="1">IFERROR(__xludf.DUMMYFUNCTION("IF(SUM(COUNTIF(artists!C:C, SPLIT(D48, "",""))) &gt; 0, ""RU"", 0)"),0)</f>
        <v>0</v>
      </c>
      <c r="K48" s="39">
        <f ca="1">IFERROR(__xludf.DUMMYFUNCTION("IF(SUM(COUNTIF(artists!E:E, SPLIT(D48, "",""))) &gt; 0, ""OTHER"", 0)"),0)</f>
        <v>0</v>
      </c>
    </row>
    <row r="49" spans="1:11" ht="14.25" customHeight="1">
      <c r="A49" s="21">
        <v>48</v>
      </c>
      <c r="C49" s="21" t="s">
        <v>1357</v>
      </c>
      <c r="D49" s="21" t="s">
        <v>1358</v>
      </c>
      <c r="E49" s="21">
        <v>1</v>
      </c>
      <c r="F49" s="21">
        <v>278086</v>
      </c>
      <c r="H49" s="21" t="s">
        <v>867</v>
      </c>
      <c r="I49" s="39" t="str">
        <f ca="1">IFERROR(__xludf.DUMMYFUNCTION("IF(SUM(COUNTIF(artists!A:A, SPLIT(D49, "",""))) &gt; 0, ""UA"", 0)"),"UA")</f>
        <v>UA</v>
      </c>
      <c r="J49" s="40">
        <f ca="1">IFERROR(__xludf.DUMMYFUNCTION("IF(SUM(COUNTIF(artists!C:C, SPLIT(D49, "",""))) &gt; 0, ""RU"", 0)"),0)</f>
        <v>0</v>
      </c>
      <c r="K49" s="39">
        <f ca="1">IFERROR(__xludf.DUMMYFUNCTION("IF(SUM(COUNTIF(artists!E:E, SPLIT(D49, "",""))) &gt; 0, ""OTHER"", 0)"),0)</f>
        <v>0</v>
      </c>
    </row>
    <row r="50" spans="1:11" ht="14.25" customHeight="1">
      <c r="A50" s="21">
        <v>49</v>
      </c>
      <c r="B50" s="21">
        <v>43</v>
      </c>
      <c r="C50" s="21" t="s">
        <v>909</v>
      </c>
      <c r="D50" s="21" t="s">
        <v>910</v>
      </c>
      <c r="E50" s="21">
        <v>27</v>
      </c>
      <c r="F50" s="21">
        <v>275215</v>
      </c>
      <c r="G50" s="43">
        <v>-0.04</v>
      </c>
      <c r="H50" s="21" t="s">
        <v>911</v>
      </c>
      <c r="I50" s="39" t="str">
        <f ca="1">IFERROR(__xludf.DUMMYFUNCTION("IF(SUM(COUNTIF(artists!A:A, SPLIT(D50, "",""))) &gt; 0, ""UA"", 0)"),"UA")</f>
        <v>UA</v>
      </c>
      <c r="J50" s="40">
        <f ca="1">IFERROR(__xludf.DUMMYFUNCTION("IF(SUM(COUNTIF(artists!C:C, SPLIT(D50, "",""))) &gt; 0, ""RU"", 0)"),0)</f>
        <v>0</v>
      </c>
      <c r="K50" s="39">
        <f ca="1">IFERROR(__xludf.DUMMYFUNCTION("IF(SUM(COUNTIF(artists!E:E, SPLIT(D50, "",""))) &gt; 0, ""OTHER"", 0)"),0)</f>
        <v>0</v>
      </c>
    </row>
    <row r="51" spans="1:11" ht="14.25" customHeight="1">
      <c r="A51" s="21">
        <v>50</v>
      </c>
      <c r="B51" s="21">
        <v>48</v>
      </c>
      <c r="C51" s="21" t="s">
        <v>1261</v>
      </c>
      <c r="D51" s="21" t="s">
        <v>137</v>
      </c>
      <c r="E51" s="21">
        <v>34</v>
      </c>
      <c r="F51" s="21">
        <v>270952</v>
      </c>
      <c r="G51" s="42">
        <v>1.7000000000000001E-2</v>
      </c>
      <c r="H51" s="21" t="s">
        <v>1262</v>
      </c>
      <c r="I51" s="39" t="str">
        <f ca="1">IFERROR(__xludf.DUMMYFUNCTION("IF(SUM(COUNTIF(artists!A:A, SPLIT(D51, "",""))) &gt; 0, ""UA"", 0)"),"UA")</f>
        <v>UA</v>
      </c>
      <c r="J51" s="40">
        <f ca="1">IFERROR(__xludf.DUMMYFUNCTION("IF(SUM(COUNTIF(artists!C:C, SPLIT(D51, "",""))) &gt; 0, ""RU"", 0)"),0)</f>
        <v>0</v>
      </c>
      <c r="K51" s="39">
        <f ca="1">IFERROR(__xludf.DUMMYFUNCTION("IF(SUM(COUNTIF(artists!E:E, SPLIT(D51, "",""))) &gt; 0, ""OTHER"", 0)"),0)</f>
        <v>0</v>
      </c>
    </row>
    <row r="52" spans="1:11" ht="14.25" customHeight="1">
      <c r="A52" s="21">
        <v>51</v>
      </c>
      <c r="B52" s="21">
        <v>42</v>
      </c>
      <c r="C52" s="21" t="s">
        <v>1242</v>
      </c>
      <c r="D52" s="21" t="s">
        <v>969</v>
      </c>
      <c r="E52" s="21">
        <v>16</v>
      </c>
      <c r="F52" s="21">
        <v>256649</v>
      </c>
      <c r="G52" s="42">
        <v>-0.107</v>
      </c>
      <c r="H52" s="21" t="s">
        <v>1243</v>
      </c>
      <c r="I52" s="39" t="str">
        <f ca="1">IFERROR(__xludf.DUMMYFUNCTION("IF(SUM(COUNTIF(artists!A:A, SPLIT(D52, "",""))) &gt; 0, ""UA"", 0)"),"UA")</f>
        <v>UA</v>
      </c>
      <c r="J52" s="40">
        <f ca="1">IFERROR(__xludf.DUMMYFUNCTION("IF(SUM(COUNTIF(artists!C:C, SPLIT(D52, "",""))) &gt; 0, ""RU"", 0)"),0)</f>
        <v>0</v>
      </c>
      <c r="K52" s="39">
        <f ca="1">IFERROR(__xludf.DUMMYFUNCTION("IF(SUM(COUNTIF(artists!E:E, SPLIT(D52, "",""))) &gt; 0, ""OTHER"", 0)"),0)</f>
        <v>0</v>
      </c>
    </row>
    <row r="53" spans="1:11" ht="14.25" customHeight="1">
      <c r="A53" s="21">
        <v>52</v>
      </c>
      <c r="B53" s="21">
        <v>56</v>
      </c>
      <c r="C53" s="21" t="s">
        <v>616</v>
      </c>
      <c r="D53" s="21" t="s">
        <v>617</v>
      </c>
      <c r="E53" s="21">
        <v>7</v>
      </c>
      <c r="F53" s="21">
        <v>252761</v>
      </c>
      <c r="G53" s="42">
        <v>7.2999999999999995E-2</v>
      </c>
      <c r="H53" s="21" t="s">
        <v>618</v>
      </c>
      <c r="I53" s="39">
        <f ca="1">IFERROR(__xludf.DUMMYFUNCTION("IF(SUM(COUNTIF(artists!A:A, SPLIT(D53, "",""))) &gt; 0, ""UA"", 0)"),0)</f>
        <v>0</v>
      </c>
      <c r="J53" s="40">
        <f ca="1">IFERROR(__xludf.DUMMYFUNCTION("IF(SUM(COUNTIF(artists!C:C, SPLIT(D53, "",""))) &gt; 0, ""RU"", 0)"),0)</f>
        <v>0</v>
      </c>
      <c r="K53" s="39" t="str">
        <f ca="1">IFERROR(__xludf.DUMMYFUNCTION("IF(SUM(COUNTIF(artists!E:E, SPLIT(D53, "",""))) &gt; 0, ""OTHER"", 0)"),"OTHER")</f>
        <v>OTHER</v>
      </c>
    </row>
    <row r="54" spans="1:11" ht="14.25" customHeight="1">
      <c r="A54" s="21">
        <v>53</v>
      </c>
      <c r="B54" s="21">
        <v>50</v>
      </c>
      <c r="C54" s="21" t="s">
        <v>1287</v>
      </c>
      <c r="D54" s="21" t="s">
        <v>1288</v>
      </c>
      <c r="E54" s="21">
        <v>18</v>
      </c>
      <c r="F54" s="21">
        <v>247673</v>
      </c>
      <c r="G54" s="42">
        <v>-4.2999999999999997E-2</v>
      </c>
      <c r="H54" s="21" t="s">
        <v>1289</v>
      </c>
      <c r="I54" s="39">
        <f ca="1">IFERROR(__xludf.DUMMYFUNCTION("IF(SUM(COUNTIF(artists!A:A, SPLIT(D54, "",""))) &gt; 0, ""UA"", 0)"),0)</f>
        <v>0</v>
      </c>
      <c r="J54" s="40">
        <f ca="1">IFERROR(__xludf.DUMMYFUNCTION("IF(SUM(COUNTIF(artists!C:C, SPLIT(D54, "",""))) &gt; 0, ""RU"", 0)"),0)</f>
        <v>0</v>
      </c>
      <c r="K54" s="39" t="str">
        <f ca="1">IFERROR(__xludf.DUMMYFUNCTION("IF(SUM(COUNTIF(artists!E:E, SPLIT(D54, "",""))) &gt; 0, ""OTHER"", 0)"),"OTHER")</f>
        <v>OTHER</v>
      </c>
    </row>
    <row r="55" spans="1:11" ht="14.25" customHeight="1">
      <c r="A55" s="21">
        <v>54</v>
      </c>
      <c r="C55" s="21" t="s">
        <v>1137</v>
      </c>
      <c r="D55" s="21" t="s">
        <v>1117</v>
      </c>
      <c r="E55" s="21">
        <v>1</v>
      </c>
      <c r="F55" s="21">
        <v>227933</v>
      </c>
      <c r="H55" s="21" t="s">
        <v>1138</v>
      </c>
      <c r="I55" s="39">
        <f ca="1">IFERROR(__xludf.DUMMYFUNCTION("IF(SUM(COUNTIF(artists!A:A, SPLIT(D55, "",""))) &gt; 0, ""UA"", 0)"),0)</f>
        <v>0</v>
      </c>
      <c r="J55" s="40" t="str">
        <f ca="1">IFERROR(__xludf.DUMMYFUNCTION("IF(SUM(COUNTIF(artists!C:C, SPLIT(D55, "",""))) &gt; 0, ""RU"", 0)"),"RU")</f>
        <v>RU</v>
      </c>
      <c r="K55" s="39">
        <f ca="1">IFERROR(__xludf.DUMMYFUNCTION("IF(SUM(COUNTIF(artists!E:E, SPLIT(D55, "",""))) &gt; 0, ""OTHER"", 0)"),0)</f>
        <v>0</v>
      </c>
    </row>
    <row r="56" spans="1:11" ht="14.25" customHeight="1">
      <c r="A56" s="21">
        <v>55</v>
      </c>
      <c r="B56" s="21">
        <v>52</v>
      </c>
      <c r="C56" s="21" t="s">
        <v>874</v>
      </c>
      <c r="D56" s="21" t="s">
        <v>108</v>
      </c>
      <c r="E56" s="21">
        <v>7</v>
      </c>
      <c r="F56" s="21">
        <v>221357</v>
      </c>
      <c r="G56" s="42">
        <v>-0.128</v>
      </c>
      <c r="H56" s="21" t="s">
        <v>875</v>
      </c>
      <c r="I56" s="39" t="str">
        <f ca="1">IFERROR(__xludf.DUMMYFUNCTION("IF(SUM(COUNTIF(artists!A:A, SPLIT(D56, "",""))) &gt; 0, ""UA"", 0)"),"UA")</f>
        <v>UA</v>
      </c>
      <c r="J56" s="40">
        <f ca="1">IFERROR(__xludf.DUMMYFUNCTION("IF(SUM(COUNTIF(artists!C:C, SPLIT(D56, "",""))) &gt; 0, ""RU"", 0)"),0)</f>
        <v>0</v>
      </c>
      <c r="K56" s="39">
        <f ca="1">IFERROR(__xludf.DUMMYFUNCTION("IF(SUM(COUNTIF(artists!E:E, SPLIT(D56, "",""))) &gt; 0, ""OTHER"", 0)"),0)</f>
        <v>0</v>
      </c>
    </row>
    <row r="57" spans="1:11" ht="14.25" customHeight="1">
      <c r="A57" s="21">
        <v>56</v>
      </c>
      <c r="B57" s="21">
        <v>55</v>
      </c>
      <c r="C57" s="21" t="s">
        <v>1332</v>
      </c>
      <c r="D57" s="21" t="s">
        <v>1333</v>
      </c>
      <c r="E57" s="21">
        <v>19</v>
      </c>
      <c r="F57" s="21">
        <v>217557</v>
      </c>
      <c r="G57" s="42">
        <v>-9.0999999999999998E-2</v>
      </c>
      <c r="H57" s="21" t="s">
        <v>1334</v>
      </c>
      <c r="I57" s="39" t="str">
        <f ca="1">IFERROR(__xludf.DUMMYFUNCTION("IF(SUM(COUNTIF(artists!A:A, SPLIT(D57, "",""))) &gt; 0, ""UA"", 0)"),"UA")</f>
        <v>UA</v>
      </c>
      <c r="J57" s="40">
        <f ca="1">IFERROR(__xludf.DUMMYFUNCTION("IF(SUM(COUNTIF(artists!C:C, SPLIT(D57, "",""))) &gt; 0, ""RU"", 0)"),0)</f>
        <v>0</v>
      </c>
      <c r="K57" s="39">
        <f ca="1">IFERROR(__xludf.DUMMYFUNCTION("IF(SUM(COUNTIF(artists!E:E, SPLIT(D57, "",""))) &gt; 0, ""OTHER"", 0)"),0)</f>
        <v>0</v>
      </c>
    </row>
    <row r="58" spans="1:11" ht="14.25" customHeight="1">
      <c r="A58" s="21">
        <v>57</v>
      </c>
      <c r="B58" s="21">
        <v>45</v>
      </c>
      <c r="C58" s="21" t="s">
        <v>1187</v>
      </c>
      <c r="D58" s="21" t="s">
        <v>1188</v>
      </c>
      <c r="E58" s="21">
        <v>8</v>
      </c>
      <c r="F58" s="21">
        <v>214943</v>
      </c>
      <c r="G58" s="42">
        <v>-0.23300000000000001</v>
      </c>
      <c r="H58" s="21" t="s">
        <v>1189</v>
      </c>
      <c r="I58" s="39" t="str">
        <f ca="1">IFERROR(__xludf.DUMMYFUNCTION("IF(SUM(COUNTIF(artists!A:A, SPLIT(D58, "",""))) &gt; 0, ""UA"", 0)"),"UA")</f>
        <v>UA</v>
      </c>
      <c r="J58" s="40">
        <f ca="1">IFERROR(__xludf.DUMMYFUNCTION("IF(SUM(COUNTIF(artists!C:C, SPLIT(D58, "",""))) &gt; 0, ""RU"", 0)"),0)</f>
        <v>0</v>
      </c>
      <c r="K58" s="39">
        <f ca="1">IFERROR(__xludf.DUMMYFUNCTION("IF(SUM(COUNTIF(artists!E:E, SPLIT(D58, "",""))) &gt; 0, ""OTHER"", 0)"),0)</f>
        <v>0</v>
      </c>
    </row>
    <row r="59" spans="1:11" ht="14.25" customHeight="1">
      <c r="A59" s="21">
        <v>58</v>
      </c>
      <c r="B59" s="21">
        <v>57</v>
      </c>
      <c r="C59" s="21" t="s">
        <v>1214</v>
      </c>
      <c r="D59" s="21" t="s">
        <v>1117</v>
      </c>
      <c r="E59" s="21">
        <v>6</v>
      </c>
      <c r="F59" s="21">
        <v>213571</v>
      </c>
      <c r="G59" s="42">
        <v>-7.4999999999999997E-2</v>
      </c>
      <c r="H59" s="21" t="s">
        <v>1215</v>
      </c>
      <c r="I59" s="39">
        <f ca="1">IFERROR(__xludf.DUMMYFUNCTION("IF(SUM(COUNTIF(artists!A:A, SPLIT(D59, "",""))) &gt; 0, ""UA"", 0)"),0)</f>
        <v>0</v>
      </c>
      <c r="J59" s="40" t="str">
        <f ca="1">IFERROR(__xludf.DUMMYFUNCTION("IF(SUM(COUNTIF(artists!C:C, SPLIT(D59, "",""))) &gt; 0, ""RU"", 0)"),"RU")</f>
        <v>RU</v>
      </c>
      <c r="K59" s="39">
        <f ca="1">IFERROR(__xludf.DUMMYFUNCTION("IF(SUM(COUNTIF(artists!E:E, SPLIT(D59, "",""))) &gt; 0, ""OTHER"", 0)"),0)</f>
        <v>0</v>
      </c>
    </row>
    <row r="60" spans="1:11" ht="14.25" customHeight="1">
      <c r="A60" s="21">
        <v>59</v>
      </c>
      <c r="B60" s="21">
        <v>70</v>
      </c>
      <c r="C60" s="21" t="s">
        <v>516</v>
      </c>
      <c r="D60" s="21" t="s">
        <v>517</v>
      </c>
      <c r="E60" s="21">
        <v>15</v>
      </c>
      <c r="F60" s="21">
        <v>213331</v>
      </c>
      <c r="G60" s="42">
        <v>7.1999999999999995E-2</v>
      </c>
      <c r="H60" s="21" t="s">
        <v>518</v>
      </c>
      <c r="I60" s="39">
        <f ca="1">IFERROR(__xludf.DUMMYFUNCTION("IF(SUM(COUNTIF(artists!A:A, SPLIT(D60, "",""))) &gt; 0, ""UA"", 0)"),0)</f>
        <v>0</v>
      </c>
      <c r="J60" s="40">
        <f ca="1">IFERROR(__xludf.DUMMYFUNCTION("IF(SUM(COUNTIF(artists!C:C, SPLIT(D60, "",""))) &gt; 0, ""RU"", 0)"),0)</f>
        <v>0</v>
      </c>
      <c r="K60" s="39" t="str">
        <f ca="1">IFERROR(__xludf.DUMMYFUNCTION("IF(SUM(COUNTIF(artists!E:E, SPLIT(D60, "",""))) &gt; 0, ""OTHER"", 0)"),"OTHER")</f>
        <v>OTHER</v>
      </c>
    </row>
    <row r="61" spans="1:11" ht="14.25" customHeight="1">
      <c r="A61" s="21">
        <v>60</v>
      </c>
      <c r="C61" s="21" t="s">
        <v>1359</v>
      </c>
      <c r="D61" s="21" t="s">
        <v>1360</v>
      </c>
      <c r="E61" s="21">
        <v>14</v>
      </c>
      <c r="F61" s="21">
        <v>212591</v>
      </c>
      <c r="H61" s="21" t="s">
        <v>1361</v>
      </c>
      <c r="I61" s="39" t="str">
        <f ca="1">IFERROR(__xludf.DUMMYFUNCTION("IF(SUM(COUNTIF(artists!A:A, SPLIT(D61, "",""))) &gt; 0, ""UA"", 0)"),"UA")</f>
        <v>UA</v>
      </c>
      <c r="J61" s="40">
        <f ca="1">IFERROR(__xludf.DUMMYFUNCTION("IF(SUM(COUNTIF(artists!C:C, SPLIT(D61, "",""))) &gt; 0, ""RU"", 0)"),0)</f>
        <v>0</v>
      </c>
      <c r="K61" s="39">
        <f ca="1">IFERROR(__xludf.DUMMYFUNCTION("IF(SUM(COUNTIF(artists!E:E, SPLIT(D61, "",""))) &gt; 0, ""OTHER"", 0)"),0)</f>
        <v>0</v>
      </c>
    </row>
    <row r="62" spans="1:11" ht="14.25" customHeight="1">
      <c r="A62" s="21">
        <v>61</v>
      </c>
      <c r="B62" s="21">
        <v>58</v>
      </c>
      <c r="C62" s="21" t="s">
        <v>589</v>
      </c>
      <c r="D62" s="21" t="s">
        <v>590</v>
      </c>
      <c r="E62" s="21">
        <v>5</v>
      </c>
      <c r="F62" s="21">
        <v>210753</v>
      </c>
      <c r="G62" s="42">
        <v>-7.5999999999999998E-2</v>
      </c>
      <c r="H62" s="21" t="s">
        <v>591</v>
      </c>
      <c r="I62" s="39" t="str">
        <f ca="1">IFERROR(__xludf.DUMMYFUNCTION("IF(SUM(COUNTIF(artists!A:A, SPLIT(D62, "",""))) &gt; 0, ""UA"", 0)"),"UA")</f>
        <v>UA</v>
      </c>
      <c r="J62" s="40">
        <f ca="1">IFERROR(__xludf.DUMMYFUNCTION("IF(SUM(COUNTIF(artists!C:C, SPLIT(D62, "",""))) &gt; 0, ""RU"", 0)"),0)</f>
        <v>0</v>
      </c>
      <c r="K62" s="39">
        <f ca="1">IFERROR(__xludf.DUMMYFUNCTION("IF(SUM(COUNTIF(artists!E:E, SPLIT(D62, "",""))) &gt; 0, ""OTHER"", 0)"),0)</f>
        <v>0</v>
      </c>
    </row>
    <row r="63" spans="1:11" ht="14.25" customHeight="1">
      <c r="A63" s="21">
        <v>62</v>
      </c>
      <c r="B63" s="21">
        <v>64</v>
      </c>
      <c r="C63" s="21" t="s">
        <v>1284</v>
      </c>
      <c r="D63" s="21" t="s">
        <v>1285</v>
      </c>
      <c r="E63" s="21">
        <v>18</v>
      </c>
      <c r="F63" s="21">
        <v>208844</v>
      </c>
      <c r="G63" s="42">
        <v>8.0000000000000002E-3</v>
      </c>
      <c r="H63" s="21" t="s">
        <v>1286</v>
      </c>
      <c r="I63" s="39">
        <f ca="1">IFERROR(__xludf.DUMMYFUNCTION("IF(SUM(COUNTIF(artists!A:A, SPLIT(D63, "",""))) &gt; 0, ""UA"", 0)"),0)</f>
        <v>0</v>
      </c>
      <c r="J63" s="40" t="str">
        <f ca="1">IFERROR(__xludf.DUMMYFUNCTION("IF(SUM(COUNTIF(artists!C:C, SPLIT(D63, "",""))) &gt; 0, ""RU"", 0)"),"RU")</f>
        <v>RU</v>
      </c>
      <c r="K63" s="39">
        <f ca="1">IFERROR(__xludf.DUMMYFUNCTION("IF(SUM(COUNTIF(artists!E:E, SPLIT(D63, "",""))) &gt; 0, ""OTHER"", 0)"),0)</f>
        <v>0</v>
      </c>
    </row>
    <row r="64" spans="1:11" ht="14.25" customHeight="1">
      <c r="A64" s="21">
        <v>63</v>
      </c>
      <c r="B64" s="21">
        <v>63</v>
      </c>
      <c r="C64" s="21" t="s">
        <v>1211</v>
      </c>
      <c r="D64" s="21" t="s">
        <v>1212</v>
      </c>
      <c r="E64" s="21">
        <v>4</v>
      </c>
      <c r="F64" s="21">
        <v>208396</v>
      </c>
      <c r="G64" s="42">
        <v>-2.4E-2</v>
      </c>
      <c r="H64" s="21" t="s">
        <v>1213</v>
      </c>
      <c r="I64" s="39">
        <f ca="1">IFERROR(__xludf.DUMMYFUNCTION("IF(SUM(COUNTIF(artists!A:A, SPLIT(D64, "",""))) &gt; 0, ""UA"", 0)"),0)</f>
        <v>0</v>
      </c>
      <c r="J64" s="40" t="str">
        <f ca="1">IFERROR(__xludf.DUMMYFUNCTION("IF(SUM(COUNTIF(artists!C:C, SPLIT(D64, "",""))) &gt; 0, ""RU"", 0)"),"RU")</f>
        <v>RU</v>
      </c>
      <c r="K64" s="39">
        <f ca="1">IFERROR(__xludf.DUMMYFUNCTION("IF(SUM(COUNTIF(artists!E:E, SPLIT(D64, "",""))) &gt; 0, ""OTHER"", 0)"),0)</f>
        <v>0</v>
      </c>
    </row>
    <row r="65" spans="1:11" ht="14.25" customHeight="1">
      <c r="A65" s="21">
        <v>64</v>
      </c>
      <c r="B65" s="21">
        <v>53</v>
      </c>
      <c r="C65" s="21" t="s">
        <v>1073</v>
      </c>
      <c r="D65" s="21" t="s">
        <v>1074</v>
      </c>
      <c r="E65" s="21">
        <v>3</v>
      </c>
      <c r="F65" s="21">
        <v>205930</v>
      </c>
      <c r="G65" s="42">
        <v>-0.16900000000000001</v>
      </c>
      <c r="H65" s="21" t="s">
        <v>1075</v>
      </c>
      <c r="I65" s="39" t="str">
        <f ca="1">IFERROR(__xludf.DUMMYFUNCTION("IF(SUM(COUNTIF(artists!A:A, SPLIT(D65, "",""))) &gt; 0, ""UA"", 0)"),"UA")</f>
        <v>UA</v>
      </c>
      <c r="J65" s="40">
        <f ca="1">IFERROR(__xludf.DUMMYFUNCTION("IF(SUM(COUNTIF(artists!C:C, SPLIT(D65, "",""))) &gt; 0, ""RU"", 0)"),0)</f>
        <v>0</v>
      </c>
      <c r="K65" s="39">
        <f ca="1">IFERROR(__xludf.DUMMYFUNCTION("IF(SUM(COUNTIF(artists!E:E, SPLIT(D65, "",""))) &gt; 0, ""OTHER"", 0)"),0)</f>
        <v>0</v>
      </c>
    </row>
    <row r="66" spans="1:11" ht="14.25" customHeight="1">
      <c r="A66" s="21">
        <v>65</v>
      </c>
      <c r="B66" s="21">
        <v>68</v>
      </c>
      <c r="C66" s="21" t="s">
        <v>678</v>
      </c>
      <c r="D66" s="21" t="s">
        <v>89</v>
      </c>
      <c r="E66" s="21">
        <v>15</v>
      </c>
      <c r="F66" s="21">
        <v>201115</v>
      </c>
      <c r="G66" s="42">
        <v>6.0000000000000001E-3</v>
      </c>
      <c r="H66" s="21" t="s">
        <v>679</v>
      </c>
      <c r="I66" s="39" t="str">
        <f ca="1">IFERROR(__xludf.DUMMYFUNCTION("IF(SUM(COUNTIF(artists!A:A, SPLIT(D66, "",""))) &gt; 0, ""UA"", 0)"),"UA")</f>
        <v>UA</v>
      </c>
      <c r="J66" s="40">
        <f ca="1">IFERROR(__xludf.DUMMYFUNCTION("IF(SUM(COUNTIF(artists!C:C, SPLIT(D66, "",""))) &gt; 0, ""RU"", 0)"),0)</f>
        <v>0</v>
      </c>
      <c r="K66" s="39">
        <f ca="1">IFERROR(__xludf.DUMMYFUNCTION("IF(SUM(COUNTIF(artists!E:E, SPLIT(D66, "",""))) &gt; 0, ""OTHER"", 0)"),0)</f>
        <v>0</v>
      </c>
    </row>
    <row r="67" spans="1:11" ht="14.25" customHeight="1">
      <c r="A67" s="21">
        <v>66</v>
      </c>
      <c r="C67" s="21" t="s">
        <v>470</v>
      </c>
      <c r="D67" s="21" t="s">
        <v>81</v>
      </c>
      <c r="E67" s="21">
        <v>21</v>
      </c>
      <c r="F67" s="21">
        <v>195894</v>
      </c>
      <c r="H67" s="21" t="s">
        <v>472</v>
      </c>
      <c r="I67" s="39" t="str">
        <f ca="1">IFERROR(__xludf.DUMMYFUNCTION("IF(SUM(COUNTIF(artists!A:A, SPLIT(D67, "",""))) &gt; 0, ""UA"", 0)"),"UA")</f>
        <v>UA</v>
      </c>
      <c r="J67" s="40">
        <f ca="1">IFERROR(__xludf.DUMMYFUNCTION("IF(SUM(COUNTIF(artists!C:C, SPLIT(D67, "",""))) &gt; 0, ""RU"", 0)"),0)</f>
        <v>0</v>
      </c>
      <c r="K67" s="39">
        <f ca="1">IFERROR(__xludf.DUMMYFUNCTION("IF(SUM(COUNTIF(artists!E:E, SPLIT(D67, "",""))) &gt; 0, ""OTHER"", 0)"),0)</f>
        <v>0</v>
      </c>
    </row>
    <row r="68" spans="1:11" ht="14.25" customHeight="1">
      <c r="A68" s="21">
        <v>67</v>
      </c>
      <c r="B68" s="21">
        <v>78</v>
      </c>
      <c r="C68" s="21" t="s">
        <v>971</v>
      </c>
      <c r="D68" s="21" t="s">
        <v>972</v>
      </c>
      <c r="E68" s="21">
        <v>5</v>
      </c>
      <c r="F68" s="21">
        <v>191698</v>
      </c>
      <c r="G68" s="42">
        <v>8.4000000000000005E-2</v>
      </c>
      <c r="H68" s="21" t="s">
        <v>973</v>
      </c>
      <c r="I68" s="39">
        <f ca="1">IFERROR(__xludf.DUMMYFUNCTION("IF(SUM(COUNTIF(artists!A:A, SPLIT(D68, "",""))) &gt; 0, ""UA"", 0)"),0)</f>
        <v>0</v>
      </c>
      <c r="J68" s="40">
        <f ca="1">IFERROR(__xludf.DUMMYFUNCTION("IF(SUM(COUNTIF(artists!C:C, SPLIT(D68, "",""))) &gt; 0, ""RU"", 0)"),0)</f>
        <v>0</v>
      </c>
      <c r="K68" s="39" t="str">
        <f ca="1">IFERROR(__xludf.DUMMYFUNCTION("IF(SUM(COUNTIF(artists!E:E, SPLIT(D68, "",""))) &gt; 0, ""OTHER"", 0)"),"OTHER")</f>
        <v>OTHER</v>
      </c>
    </row>
    <row r="69" spans="1:11" ht="14.25" customHeight="1">
      <c r="A69" s="21">
        <v>68</v>
      </c>
      <c r="B69" s="21">
        <v>60</v>
      </c>
      <c r="C69" s="21" t="s">
        <v>1175</v>
      </c>
      <c r="D69" s="21" t="s">
        <v>1176</v>
      </c>
      <c r="E69" s="21">
        <v>8</v>
      </c>
      <c r="F69" s="21">
        <v>189702</v>
      </c>
      <c r="G69" s="42">
        <v>-0.122</v>
      </c>
      <c r="H69" s="21" t="s">
        <v>1177</v>
      </c>
      <c r="I69" s="39">
        <f ca="1">IFERROR(__xludf.DUMMYFUNCTION("IF(SUM(COUNTIF(artists!A:A, SPLIT(D69, "",""))) &gt; 0, ""UA"", 0)"),0)</f>
        <v>0</v>
      </c>
      <c r="J69" s="40" t="str">
        <f ca="1">IFERROR(__xludf.DUMMYFUNCTION("IF(SUM(COUNTIF(artists!C:C, SPLIT(D69, "",""))) &gt; 0, ""RU"", 0)"),"RU")</f>
        <v>RU</v>
      </c>
      <c r="K69" s="39">
        <f ca="1">IFERROR(__xludf.DUMMYFUNCTION("IF(SUM(COUNTIF(artists!E:E, SPLIT(D69, "",""))) &gt; 0, ""OTHER"", 0)"),0)</f>
        <v>0</v>
      </c>
    </row>
    <row r="70" spans="1:11" ht="14.25" customHeight="1">
      <c r="A70" s="21">
        <v>69</v>
      </c>
      <c r="B70" s="21">
        <v>80</v>
      </c>
      <c r="C70" s="21" t="s">
        <v>697</v>
      </c>
      <c r="D70" s="21" t="s">
        <v>698</v>
      </c>
      <c r="E70" s="21">
        <v>13</v>
      </c>
      <c r="F70" s="21">
        <v>187911</v>
      </c>
      <c r="G70" s="42">
        <v>8.5999999999999993E-2</v>
      </c>
      <c r="H70" s="21" t="s">
        <v>699</v>
      </c>
      <c r="I70" s="39">
        <f ca="1">IFERROR(__xludf.DUMMYFUNCTION("IF(SUM(COUNTIF(artists!A:A, SPLIT(D70, "",""))) &gt; 0, ""UA"", 0)"),0)</f>
        <v>0</v>
      </c>
      <c r="J70" s="40" t="str">
        <f ca="1">IFERROR(__xludf.DUMMYFUNCTION("IF(SUM(COUNTIF(artists!C:C, SPLIT(D70, "",""))) &gt; 0, ""RU"", 0)"),"RU")</f>
        <v>RU</v>
      </c>
      <c r="K70" s="39">
        <f ca="1">IFERROR(__xludf.DUMMYFUNCTION("IF(SUM(COUNTIF(artists!E:E, SPLIT(D70, "",""))) &gt; 0, ""OTHER"", 0)"),0)</f>
        <v>0</v>
      </c>
    </row>
    <row r="71" spans="1:11" ht="14.25" customHeight="1">
      <c r="A71" s="21">
        <v>70</v>
      </c>
      <c r="B71" s="21">
        <v>62</v>
      </c>
      <c r="C71" s="21" t="s">
        <v>1182</v>
      </c>
      <c r="D71" s="21" t="s">
        <v>466</v>
      </c>
      <c r="E71" s="21">
        <v>19</v>
      </c>
      <c r="F71" s="21">
        <v>183344</v>
      </c>
      <c r="G71" s="42">
        <v>-0.14299999999999999</v>
      </c>
      <c r="H71" s="21" t="s">
        <v>1183</v>
      </c>
      <c r="I71" s="39" t="str">
        <f ca="1">IFERROR(__xludf.DUMMYFUNCTION("IF(SUM(COUNTIF(artists!A:A, SPLIT(D71, "",""))) &gt; 0, ""UA"", 0)"),"UA")</f>
        <v>UA</v>
      </c>
      <c r="J71" s="40">
        <f ca="1">IFERROR(__xludf.DUMMYFUNCTION("IF(SUM(COUNTIF(artists!C:C, SPLIT(D71, "",""))) &gt; 0, ""RU"", 0)"),0)</f>
        <v>0</v>
      </c>
      <c r="K71" s="39">
        <f ca="1">IFERROR(__xludf.DUMMYFUNCTION("IF(SUM(COUNTIF(artists!E:E, SPLIT(D71, "",""))) &gt; 0, ""OTHER"", 0)"),0)</f>
        <v>0</v>
      </c>
    </row>
    <row r="72" spans="1:11" ht="14.25" customHeight="1">
      <c r="A72" s="21">
        <v>71</v>
      </c>
      <c r="B72" s="21">
        <v>69</v>
      </c>
      <c r="C72" s="21" t="s">
        <v>1249</v>
      </c>
      <c r="D72" s="21" t="s">
        <v>187</v>
      </c>
      <c r="E72" s="21">
        <v>9</v>
      </c>
      <c r="F72" s="21">
        <v>181314</v>
      </c>
      <c r="G72" s="42">
        <v>-8.8999999999999996E-2</v>
      </c>
      <c r="H72" s="21" t="s">
        <v>1250</v>
      </c>
      <c r="I72" s="39" t="str">
        <f ca="1">IFERROR(__xludf.DUMMYFUNCTION("IF(SUM(COUNTIF(artists!A:A, SPLIT(D72, "",""))) &gt; 0, ""UA"", 0)"),"UA")</f>
        <v>UA</v>
      </c>
      <c r="J72" s="40">
        <f ca="1">IFERROR(__xludf.DUMMYFUNCTION("IF(SUM(COUNTIF(artists!C:C, SPLIT(D72, "",""))) &gt; 0, ""RU"", 0)"),0)</f>
        <v>0</v>
      </c>
      <c r="K72" s="39">
        <f ca="1">IFERROR(__xludf.DUMMYFUNCTION("IF(SUM(COUNTIF(artists!E:E, SPLIT(D72, "",""))) &gt; 0, ""OTHER"", 0)"),0)</f>
        <v>0</v>
      </c>
    </row>
    <row r="73" spans="1:11" ht="14.25" customHeight="1">
      <c r="A73" s="21">
        <v>72</v>
      </c>
      <c r="B73" s="21">
        <v>47</v>
      </c>
      <c r="C73" s="21" t="s">
        <v>1346</v>
      </c>
      <c r="D73" s="21" t="s">
        <v>1347</v>
      </c>
      <c r="E73" s="21">
        <v>3</v>
      </c>
      <c r="F73" s="21">
        <v>179842</v>
      </c>
      <c r="G73" s="42">
        <v>-0.32900000000000001</v>
      </c>
      <c r="H73" s="21" t="s">
        <v>1348</v>
      </c>
      <c r="I73" s="39" t="str">
        <f ca="1">IFERROR(__xludf.DUMMYFUNCTION("IF(SUM(COUNTIF(artists!A:A, SPLIT(D73, "",""))) &gt; 0, ""UA"", 0)"),"UA")</f>
        <v>UA</v>
      </c>
      <c r="J73" s="40">
        <f ca="1">IFERROR(__xludf.DUMMYFUNCTION("IF(SUM(COUNTIF(artists!C:C, SPLIT(D73, "",""))) &gt; 0, ""RU"", 0)"),0)</f>
        <v>0</v>
      </c>
      <c r="K73" s="39">
        <f ca="1">IFERROR(__xludf.DUMMYFUNCTION("IF(SUM(COUNTIF(artists!E:E, SPLIT(D73, "",""))) &gt; 0, ""OTHER"", 0)"),0)</f>
        <v>0</v>
      </c>
    </row>
    <row r="74" spans="1:11" ht="14.25" customHeight="1">
      <c r="A74" s="21">
        <v>73</v>
      </c>
      <c r="B74" s="21">
        <v>83</v>
      </c>
      <c r="C74" s="21" t="s">
        <v>1337</v>
      </c>
      <c r="D74" s="21" t="s">
        <v>1338</v>
      </c>
      <c r="E74" s="21">
        <v>18</v>
      </c>
      <c r="F74" s="21">
        <v>179536</v>
      </c>
      <c r="G74" s="42">
        <v>5.7000000000000002E-2</v>
      </c>
      <c r="H74" s="21" t="s">
        <v>1339</v>
      </c>
      <c r="I74" s="39">
        <f ca="1">IFERROR(__xludf.DUMMYFUNCTION("IF(SUM(COUNTIF(artists!A:A, SPLIT(D74, "",""))) &gt; 0, ""UA"", 0)"),0)</f>
        <v>0</v>
      </c>
      <c r="J74" s="40">
        <f ca="1">IFERROR(__xludf.DUMMYFUNCTION("IF(SUM(COUNTIF(artists!C:C, SPLIT(D74, "",""))) &gt; 0, ""RU"", 0)"),0)</f>
        <v>0</v>
      </c>
      <c r="K74" s="39" t="str">
        <f ca="1">IFERROR(__xludf.DUMMYFUNCTION("IF(SUM(COUNTIF(artists!E:E, SPLIT(D74, "",""))) &gt; 0, ""OTHER"", 0)"),"OTHER")</f>
        <v>OTHER</v>
      </c>
    </row>
    <row r="75" spans="1:11" ht="14.25" customHeight="1">
      <c r="A75" s="21">
        <v>74</v>
      </c>
      <c r="B75" s="21">
        <v>67</v>
      </c>
      <c r="C75" s="21" t="s">
        <v>1323</v>
      </c>
      <c r="D75" s="21" t="s">
        <v>230</v>
      </c>
      <c r="E75" s="21">
        <v>9</v>
      </c>
      <c r="F75" s="21">
        <v>179228</v>
      </c>
      <c r="G75" s="42">
        <v>-0.108</v>
      </c>
      <c r="H75" s="21" t="s">
        <v>1324</v>
      </c>
      <c r="I75" s="39" t="str">
        <f ca="1">IFERROR(__xludf.DUMMYFUNCTION("IF(SUM(COUNTIF(artists!A:A, SPLIT(D75, "",""))) &gt; 0, ""UA"", 0)"),"UA")</f>
        <v>UA</v>
      </c>
      <c r="J75" s="40">
        <f ca="1">IFERROR(__xludf.DUMMYFUNCTION("IF(SUM(COUNTIF(artists!C:C, SPLIT(D75, "",""))) &gt; 0, ""RU"", 0)"),0)</f>
        <v>0</v>
      </c>
      <c r="K75" s="39">
        <f ca="1">IFERROR(__xludf.DUMMYFUNCTION("IF(SUM(COUNTIF(artists!E:E, SPLIT(D75, "",""))) &gt; 0, ""OTHER"", 0)"),0)</f>
        <v>0</v>
      </c>
    </row>
    <row r="76" spans="1:11" ht="14.25" customHeight="1">
      <c r="A76" s="21">
        <v>75</v>
      </c>
      <c r="B76" s="21">
        <v>75</v>
      </c>
      <c r="C76" s="21" t="s">
        <v>1314</v>
      </c>
      <c r="D76" s="21" t="s">
        <v>1027</v>
      </c>
      <c r="E76" s="21">
        <v>4</v>
      </c>
      <c r="F76" s="21">
        <v>172980</v>
      </c>
      <c r="G76" s="42">
        <v>-7.0999999999999994E-2</v>
      </c>
      <c r="H76" s="21" t="s">
        <v>1315</v>
      </c>
      <c r="I76" s="39" t="str">
        <f ca="1">IFERROR(__xludf.DUMMYFUNCTION("IF(SUM(COUNTIF(artists!A:A, SPLIT(D76, "",""))) &gt; 0, ""UA"", 0)"),"UA")</f>
        <v>UA</v>
      </c>
      <c r="J76" s="40">
        <f ca="1">IFERROR(__xludf.DUMMYFUNCTION("IF(SUM(COUNTIF(artists!C:C, SPLIT(D76, "",""))) &gt; 0, ""RU"", 0)"),0)</f>
        <v>0</v>
      </c>
      <c r="K76" s="39">
        <f ca="1">IFERROR(__xludf.DUMMYFUNCTION("IF(SUM(COUNTIF(artists!E:E, SPLIT(D76, "",""))) &gt; 0, ""OTHER"", 0)"),0)</f>
        <v>0</v>
      </c>
    </row>
    <row r="77" spans="1:11" ht="14.25" customHeight="1">
      <c r="A77" s="21">
        <v>76</v>
      </c>
      <c r="B77" s="21">
        <v>61</v>
      </c>
      <c r="C77" s="21" t="s">
        <v>636</v>
      </c>
      <c r="D77" s="21" t="s">
        <v>637</v>
      </c>
      <c r="E77" s="21">
        <v>17</v>
      </c>
      <c r="F77" s="21">
        <v>172945</v>
      </c>
      <c r="G77" s="42">
        <v>-0.19900000000000001</v>
      </c>
      <c r="H77" s="21" t="s">
        <v>638</v>
      </c>
      <c r="I77" s="39">
        <f ca="1">IFERROR(__xludf.DUMMYFUNCTION("IF(SUM(COUNTIF(artists!A:A, SPLIT(D77, "",""))) &gt; 0, ""UA"", 0)"),0)</f>
        <v>0</v>
      </c>
      <c r="J77" s="40">
        <f ca="1">IFERROR(__xludf.DUMMYFUNCTION("IF(SUM(COUNTIF(artists!C:C, SPLIT(D77, "",""))) &gt; 0, ""RU"", 0)"),0)</f>
        <v>0</v>
      </c>
      <c r="K77" s="39" t="str">
        <f ca="1">IFERROR(__xludf.DUMMYFUNCTION("IF(SUM(COUNTIF(artists!E:E, SPLIT(D77, "",""))) &gt; 0, ""OTHER"", 0)"),"OTHER")</f>
        <v>OTHER</v>
      </c>
    </row>
    <row r="78" spans="1:11" ht="14.25" customHeight="1">
      <c r="A78" s="21">
        <v>77</v>
      </c>
      <c r="B78" s="21">
        <v>79</v>
      </c>
      <c r="C78" s="21" t="s">
        <v>1076</v>
      </c>
      <c r="D78" s="21" t="s">
        <v>1077</v>
      </c>
      <c r="E78" s="21">
        <v>8</v>
      </c>
      <c r="F78" s="21">
        <v>169573</v>
      </c>
      <c r="G78" s="42">
        <v>-2.5999999999999999E-2</v>
      </c>
      <c r="H78" s="21" t="s">
        <v>1078</v>
      </c>
      <c r="I78" s="39" t="str">
        <f ca="1">IFERROR(__xludf.DUMMYFUNCTION("IF(SUM(COUNTIF(artists!A:A, SPLIT(D78, "",""))) &gt; 0, ""UA"", 0)"),"UA")</f>
        <v>UA</v>
      </c>
      <c r="J78" s="40">
        <f ca="1">IFERROR(__xludf.DUMMYFUNCTION("IF(SUM(COUNTIF(artists!C:C, SPLIT(D78, "",""))) &gt; 0, ""RU"", 0)"),0)</f>
        <v>0</v>
      </c>
      <c r="K78" s="39">
        <f ca="1">IFERROR(__xludf.DUMMYFUNCTION("IF(SUM(COUNTIF(artists!E:E, SPLIT(D78, "",""))) &gt; 0, ""OTHER"", 0)"),0)</f>
        <v>0</v>
      </c>
    </row>
    <row r="79" spans="1:11" ht="14.25" customHeight="1">
      <c r="A79" s="21">
        <v>78</v>
      </c>
      <c r="B79" s="21">
        <v>72</v>
      </c>
      <c r="C79" s="21" t="s">
        <v>1300</v>
      </c>
      <c r="D79" s="21" t="s">
        <v>1074</v>
      </c>
      <c r="E79" s="21">
        <v>8</v>
      </c>
      <c r="F79" s="21">
        <v>168075</v>
      </c>
      <c r="G79" s="43">
        <v>-0.14000000000000001</v>
      </c>
      <c r="H79" s="21" t="s">
        <v>1301</v>
      </c>
      <c r="I79" s="39" t="str">
        <f ca="1">IFERROR(__xludf.DUMMYFUNCTION("IF(SUM(COUNTIF(artists!A:A, SPLIT(D79, "",""))) &gt; 0, ""UA"", 0)"),"UA")</f>
        <v>UA</v>
      </c>
      <c r="J79" s="40">
        <f ca="1">IFERROR(__xludf.DUMMYFUNCTION("IF(SUM(COUNTIF(artists!C:C, SPLIT(D79, "",""))) &gt; 0, ""RU"", 0)"),0)</f>
        <v>0</v>
      </c>
      <c r="K79" s="39">
        <f ca="1">IFERROR(__xludf.DUMMYFUNCTION("IF(SUM(COUNTIF(artists!E:E, SPLIT(D79, "",""))) &gt; 0, ""OTHER"", 0)"),0)</f>
        <v>0</v>
      </c>
    </row>
    <row r="80" spans="1:11" ht="14.25" customHeight="1">
      <c r="A80" s="21">
        <v>79</v>
      </c>
      <c r="B80" s="21">
        <v>87</v>
      </c>
      <c r="C80" s="21" t="s">
        <v>579</v>
      </c>
      <c r="D80" s="21" t="s">
        <v>183</v>
      </c>
      <c r="E80" s="21">
        <v>8</v>
      </c>
      <c r="F80" s="21">
        <v>159264</v>
      </c>
      <c r="G80" s="42">
        <v>7.0000000000000001E-3</v>
      </c>
      <c r="H80" s="21" t="s">
        <v>580</v>
      </c>
      <c r="I80" s="39" t="str">
        <f ca="1">IFERROR(__xludf.DUMMYFUNCTION("IF(SUM(COUNTIF(artists!A:A, SPLIT(D80, "",""))) &gt; 0, ""UA"", 0)"),"UA")</f>
        <v>UA</v>
      </c>
      <c r="J80" s="40">
        <f ca="1">IFERROR(__xludf.DUMMYFUNCTION("IF(SUM(COUNTIF(artists!C:C, SPLIT(D80, "",""))) &gt; 0, ""RU"", 0)"),0)</f>
        <v>0</v>
      </c>
      <c r="K80" s="39">
        <f ca="1">IFERROR(__xludf.DUMMYFUNCTION("IF(SUM(COUNTIF(artists!E:E, SPLIT(D80, "",""))) &gt; 0, ""OTHER"", 0)"),0)</f>
        <v>0</v>
      </c>
    </row>
    <row r="81" spans="1:11" ht="14.25" customHeight="1">
      <c r="A81" s="21">
        <v>80</v>
      </c>
      <c r="C81" s="21" t="s">
        <v>1157</v>
      </c>
      <c r="D81" s="21" t="s">
        <v>1158</v>
      </c>
      <c r="E81" s="21">
        <v>1</v>
      </c>
      <c r="F81" s="21">
        <v>158818</v>
      </c>
      <c r="H81" s="21" t="s">
        <v>1159</v>
      </c>
      <c r="I81" s="39">
        <f ca="1">IFERROR(__xludf.DUMMYFUNCTION("IF(SUM(COUNTIF(artists!A:A, SPLIT(D81, "",""))) &gt; 0, ""UA"", 0)"),0)</f>
        <v>0</v>
      </c>
      <c r="J81" s="40">
        <f ca="1">IFERROR(__xludf.DUMMYFUNCTION("IF(SUM(COUNTIF(artists!C:C, SPLIT(D81, "",""))) &gt; 0, ""RU"", 0)"),0)</f>
        <v>0</v>
      </c>
      <c r="K81" s="39" t="str">
        <f ca="1">IFERROR(__xludf.DUMMYFUNCTION("IF(SUM(COUNTIF(artists!E:E, SPLIT(D81, "",""))) &gt; 0, ""OTHER"", 0)"),"OTHER")</f>
        <v>OTHER</v>
      </c>
    </row>
    <row r="82" spans="1:11" ht="14.25" customHeight="1">
      <c r="A82" s="21">
        <v>81</v>
      </c>
      <c r="B82" s="21">
        <v>77</v>
      </c>
      <c r="C82" s="21" t="s">
        <v>1362</v>
      </c>
      <c r="D82" s="21" t="s">
        <v>625</v>
      </c>
      <c r="E82" s="21">
        <v>2</v>
      </c>
      <c r="F82" s="21">
        <v>157623</v>
      </c>
      <c r="G82" s="42">
        <v>-0.126</v>
      </c>
      <c r="H82" s="21" t="s">
        <v>1363</v>
      </c>
      <c r="I82" s="39" t="str">
        <f ca="1">IFERROR(__xludf.DUMMYFUNCTION("IF(SUM(COUNTIF(artists!A:A, SPLIT(D82, "",""))) &gt; 0, ""UA"", 0)"),"UA")</f>
        <v>UA</v>
      </c>
      <c r="J82" s="40">
        <f ca="1">IFERROR(__xludf.DUMMYFUNCTION("IF(SUM(COUNTIF(artists!C:C, SPLIT(D82, "",""))) &gt; 0, ""RU"", 0)"),0)</f>
        <v>0</v>
      </c>
      <c r="K82" s="39">
        <f ca="1">IFERROR(__xludf.DUMMYFUNCTION("IF(SUM(COUNTIF(artists!E:E, SPLIT(D82, "",""))) &gt; 0, ""OTHER"", 0)"),0)</f>
        <v>0</v>
      </c>
    </row>
    <row r="83" spans="1:11" ht="14.25" customHeight="1">
      <c r="A83" s="21">
        <v>82</v>
      </c>
      <c r="B83" s="21">
        <v>89</v>
      </c>
      <c r="C83" s="21" t="s">
        <v>379</v>
      </c>
      <c r="D83" s="21" t="s">
        <v>380</v>
      </c>
      <c r="E83" s="21">
        <v>6</v>
      </c>
      <c r="F83" s="21">
        <v>157576</v>
      </c>
      <c r="G83" s="42">
        <v>1.7999999999999999E-2</v>
      </c>
      <c r="H83" s="21" t="s">
        <v>382</v>
      </c>
      <c r="I83" s="39" t="str">
        <f ca="1">IFERROR(__xludf.DUMMYFUNCTION("IF(SUM(COUNTIF(artists!A:A, SPLIT(D83, "",""))) &gt; 0, ""UA"", 0)"),"UA")</f>
        <v>UA</v>
      </c>
      <c r="J83" s="40">
        <f ca="1">IFERROR(__xludf.DUMMYFUNCTION("IF(SUM(COUNTIF(artists!C:C, SPLIT(D83, "",""))) &gt; 0, ""RU"", 0)"),0)</f>
        <v>0</v>
      </c>
      <c r="K83" s="39">
        <f ca="1">IFERROR(__xludf.DUMMYFUNCTION("IF(SUM(COUNTIF(artists!E:E, SPLIT(D83, "",""))) &gt; 0, ""OTHER"", 0)"),0)</f>
        <v>0</v>
      </c>
    </row>
    <row r="84" spans="1:11" ht="14.25" customHeight="1">
      <c r="A84" s="21">
        <v>83</v>
      </c>
      <c r="B84" s="21">
        <v>74</v>
      </c>
      <c r="C84" s="21" t="s">
        <v>1364</v>
      </c>
      <c r="D84" s="21" t="s">
        <v>104</v>
      </c>
      <c r="E84" s="21">
        <v>7</v>
      </c>
      <c r="F84" s="21">
        <v>156297</v>
      </c>
      <c r="G84" s="42">
        <v>-0.16900000000000001</v>
      </c>
      <c r="H84" s="21" t="s">
        <v>1365</v>
      </c>
      <c r="I84" s="39" t="str">
        <f ca="1">IFERROR(__xludf.DUMMYFUNCTION("IF(SUM(COUNTIF(artists!A:A, SPLIT(D84, "",""))) &gt; 0, ""UA"", 0)"),"UA")</f>
        <v>UA</v>
      </c>
      <c r="J84" s="40">
        <f ca="1">IFERROR(__xludf.DUMMYFUNCTION("IF(SUM(COUNTIF(artists!C:C, SPLIT(D84, "",""))) &gt; 0, ""RU"", 0)"),0)</f>
        <v>0</v>
      </c>
      <c r="K84" s="39">
        <f ca="1">IFERROR(__xludf.DUMMYFUNCTION("IF(SUM(COUNTIF(artists!E:E, SPLIT(D84, "",""))) &gt; 0, ""OTHER"", 0)"),0)</f>
        <v>0</v>
      </c>
    </row>
    <row r="85" spans="1:11" ht="14.25" customHeight="1">
      <c r="A85" s="21">
        <v>84</v>
      </c>
      <c r="C85" s="21" t="s">
        <v>1277</v>
      </c>
      <c r="D85" s="21" t="s">
        <v>1278</v>
      </c>
      <c r="E85" s="21">
        <v>1</v>
      </c>
      <c r="F85" s="21">
        <v>155518</v>
      </c>
      <c r="H85" s="21" t="s">
        <v>1279</v>
      </c>
      <c r="I85" s="39">
        <f ca="1">IFERROR(__xludf.DUMMYFUNCTION("IF(SUM(COUNTIF(artists!A:A, SPLIT(D85, "",""))) &gt; 0, ""UA"", 0)"),0)</f>
        <v>0</v>
      </c>
      <c r="J85" s="40" t="str">
        <f ca="1">IFERROR(__xludf.DUMMYFUNCTION("IF(SUM(COUNTIF(artists!C:C, SPLIT(D85, "",""))) &gt; 0, ""RU"", 0)"),"RU")</f>
        <v>RU</v>
      </c>
      <c r="K85" s="39">
        <f ca="1">IFERROR(__xludf.DUMMYFUNCTION("IF(SUM(COUNTIF(artists!E:E, SPLIT(D85, "",""))) &gt; 0, ""OTHER"", 0)"),0)</f>
        <v>0</v>
      </c>
    </row>
    <row r="86" spans="1:11" ht="14.25" customHeight="1">
      <c r="A86" s="21">
        <v>85</v>
      </c>
      <c r="B86" s="21">
        <v>88</v>
      </c>
      <c r="C86" s="21" t="s">
        <v>520</v>
      </c>
      <c r="D86" s="21" t="s">
        <v>521</v>
      </c>
      <c r="E86" s="21">
        <v>8</v>
      </c>
      <c r="F86" s="21">
        <v>153246</v>
      </c>
      <c r="G86" s="42">
        <v>-1.2E-2</v>
      </c>
      <c r="H86" s="21" t="s">
        <v>522</v>
      </c>
      <c r="I86" s="39" t="str">
        <f ca="1">IFERROR(__xludf.DUMMYFUNCTION("IF(SUM(COUNTIF(artists!A:A, SPLIT(D86, "",""))) &gt; 0, ""UA"", 0)"),"UA")</f>
        <v>UA</v>
      </c>
      <c r="J86" s="40">
        <f ca="1">IFERROR(__xludf.DUMMYFUNCTION("IF(SUM(COUNTIF(artists!C:C, SPLIT(D86, "",""))) &gt; 0, ""RU"", 0)"),0)</f>
        <v>0</v>
      </c>
      <c r="K86" s="39">
        <f ca="1">IFERROR(__xludf.DUMMYFUNCTION("IF(SUM(COUNTIF(artists!E:E, SPLIT(D86, "",""))) &gt; 0, ""OTHER"", 0)"),0)</f>
        <v>0</v>
      </c>
    </row>
    <row r="87" spans="1:11" ht="14.25" customHeight="1">
      <c r="A87" s="21">
        <v>86</v>
      </c>
      <c r="B87" s="21">
        <v>73</v>
      </c>
      <c r="C87" s="21" t="s">
        <v>1343</v>
      </c>
      <c r="D87" s="21" t="s">
        <v>1344</v>
      </c>
      <c r="E87" s="21">
        <v>12</v>
      </c>
      <c r="F87" s="21">
        <v>147593</v>
      </c>
      <c r="G87" s="42">
        <v>-0.22500000000000001</v>
      </c>
      <c r="H87" s="21" t="s">
        <v>1345</v>
      </c>
      <c r="I87" s="39" t="str">
        <f ca="1">IFERROR(__xludf.DUMMYFUNCTION("IF(SUM(COUNTIF(artists!A:A, SPLIT(D87, "",""))) &gt; 0, ""UA"", 0)"),"UA")</f>
        <v>UA</v>
      </c>
      <c r="J87" s="40">
        <f ca="1">IFERROR(__xludf.DUMMYFUNCTION("IF(SUM(COUNTIF(artists!C:C, SPLIT(D87, "",""))) &gt; 0, ""RU"", 0)"),0)</f>
        <v>0</v>
      </c>
      <c r="K87" s="39">
        <f ca="1">IFERROR(__xludf.DUMMYFUNCTION("IF(SUM(COUNTIF(artists!E:E, SPLIT(D87, "",""))) &gt; 0, ""OTHER"", 0)"),0)</f>
        <v>0</v>
      </c>
    </row>
    <row r="88" spans="1:11" ht="14.25" customHeight="1">
      <c r="A88" s="21">
        <v>87</v>
      </c>
      <c r="B88" s="21">
        <v>66</v>
      </c>
      <c r="C88" s="21" t="s">
        <v>1366</v>
      </c>
      <c r="D88" s="21" t="s">
        <v>1367</v>
      </c>
      <c r="E88" s="21">
        <v>6</v>
      </c>
      <c r="F88" s="21">
        <v>147529</v>
      </c>
      <c r="G88" s="42">
        <v>-0.27100000000000002</v>
      </c>
      <c r="H88" s="21" t="s">
        <v>1368</v>
      </c>
      <c r="I88" s="39">
        <f ca="1">IFERROR(__xludf.DUMMYFUNCTION("IF(SUM(COUNTIF(artists!A:A, SPLIT(D88, "",""))) &gt; 0, ""UA"", 0)"),0)</f>
        <v>0</v>
      </c>
      <c r="J88" s="40" t="str">
        <f ca="1">IFERROR(__xludf.DUMMYFUNCTION("IF(SUM(COUNTIF(artists!C:C, SPLIT(D88, "",""))) &gt; 0, ""RU"", 0)"),"RU")</f>
        <v>RU</v>
      </c>
      <c r="K88" s="39">
        <f ca="1">IFERROR(__xludf.DUMMYFUNCTION("IF(SUM(COUNTIF(artists!E:E, SPLIT(D88, "",""))) &gt; 0, ""OTHER"", 0)"),0)</f>
        <v>0</v>
      </c>
    </row>
    <row r="89" spans="1:11" ht="14.25" customHeight="1">
      <c r="A89" s="21">
        <v>88</v>
      </c>
      <c r="C89" s="21" t="s">
        <v>1369</v>
      </c>
      <c r="D89" s="21" t="s">
        <v>1370</v>
      </c>
      <c r="E89" s="21">
        <v>19</v>
      </c>
      <c r="F89" s="21">
        <v>145384</v>
      </c>
      <c r="H89" s="21" t="s">
        <v>1371</v>
      </c>
      <c r="I89" s="39" t="str">
        <f ca="1">IFERROR(__xludf.DUMMYFUNCTION("IF(SUM(COUNTIF(artists!A:A, SPLIT(D89, "",""))) &gt; 0, ""UA"", 0)"),"UA")</f>
        <v>UA</v>
      </c>
      <c r="J89" s="40">
        <f ca="1">IFERROR(__xludf.DUMMYFUNCTION("IF(SUM(COUNTIF(artists!C:C, SPLIT(D89, "",""))) &gt; 0, ""RU"", 0)"),0)</f>
        <v>0</v>
      </c>
      <c r="K89" s="39">
        <f ca="1">IFERROR(__xludf.DUMMYFUNCTION("IF(SUM(COUNTIF(artists!E:E, SPLIT(D89, "",""))) &gt; 0, ""OTHER"", 0)"),0)</f>
        <v>0</v>
      </c>
    </row>
    <row r="90" spans="1:11" ht="14.25" customHeight="1">
      <c r="A90" s="21">
        <v>89</v>
      </c>
      <c r="B90" s="21">
        <v>85</v>
      </c>
      <c r="C90" s="21" t="s">
        <v>1318</v>
      </c>
      <c r="D90" s="21" t="s">
        <v>1319</v>
      </c>
      <c r="E90" s="21">
        <v>14</v>
      </c>
      <c r="F90" s="21">
        <v>145281</v>
      </c>
      <c r="G90" s="42">
        <v>-9.4E-2</v>
      </c>
      <c r="H90" s="21" t="s">
        <v>1320</v>
      </c>
      <c r="I90" s="39">
        <f ca="1">IFERROR(__xludf.DUMMYFUNCTION("IF(SUM(COUNTIF(artists!A:A, SPLIT(D90, "",""))) &gt; 0, ""UA"", 0)"),0)</f>
        <v>0</v>
      </c>
      <c r="J90" s="40" t="str">
        <f ca="1">IFERROR(__xludf.DUMMYFUNCTION("IF(SUM(COUNTIF(artists!C:C, SPLIT(D90, "",""))) &gt; 0, ""RU"", 0)"),"RU")</f>
        <v>RU</v>
      </c>
      <c r="K90" s="39">
        <f ca="1">IFERROR(__xludf.DUMMYFUNCTION("IF(SUM(COUNTIF(artists!E:E, SPLIT(D90, "",""))) &gt; 0, ""OTHER"", 0)"),0)</f>
        <v>0</v>
      </c>
    </row>
    <row r="91" spans="1:11" ht="14.25" customHeight="1">
      <c r="A91" s="21">
        <v>90</v>
      </c>
      <c r="C91" s="21" t="s">
        <v>1372</v>
      </c>
      <c r="D91" s="21" t="s">
        <v>1373</v>
      </c>
      <c r="E91" s="21">
        <v>21</v>
      </c>
      <c r="F91" s="21">
        <v>143153</v>
      </c>
      <c r="H91" s="21" t="s">
        <v>1374</v>
      </c>
      <c r="I91" s="39">
        <f ca="1">IFERROR(__xludf.DUMMYFUNCTION("IF(SUM(COUNTIF(artists!A:A, SPLIT(D91, "",""))) &gt; 0, ""UA"", 0)"),0)</f>
        <v>0</v>
      </c>
      <c r="J91" s="40">
        <f ca="1">IFERROR(__xludf.DUMMYFUNCTION("IF(SUM(COUNTIF(artists!C:C, SPLIT(D91, "",""))) &gt; 0, ""RU"", 0)"),0)</f>
        <v>0</v>
      </c>
      <c r="K91" s="39" t="str">
        <f ca="1">IFERROR(__xludf.DUMMYFUNCTION("IF(SUM(COUNTIF(artists!E:E, SPLIT(D91, "",""))) &gt; 0, ""OTHER"", 0)"),"OTHER")</f>
        <v>OTHER</v>
      </c>
    </row>
    <row r="92" spans="1:11" ht="14.25" customHeight="1">
      <c r="A92" s="21">
        <v>91</v>
      </c>
      <c r="B92" s="21">
        <v>84</v>
      </c>
      <c r="C92" s="21" t="s">
        <v>1280</v>
      </c>
      <c r="D92" s="21" t="s">
        <v>1193</v>
      </c>
      <c r="E92" s="21">
        <v>6</v>
      </c>
      <c r="F92" s="21">
        <v>143071</v>
      </c>
      <c r="G92" s="42">
        <v>-0.14599999999999999</v>
      </c>
      <c r="H92" s="21" t="s">
        <v>1281</v>
      </c>
      <c r="I92" s="39" t="str">
        <f ca="1">IFERROR(__xludf.DUMMYFUNCTION("IF(SUM(COUNTIF(artists!A:A, SPLIT(D92, "",""))) &gt; 0, ""UA"", 0)"),"UA")</f>
        <v>UA</v>
      </c>
      <c r="J92" s="40">
        <f ca="1">IFERROR(__xludf.DUMMYFUNCTION("IF(SUM(COUNTIF(artists!C:C, SPLIT(D92, "",""))) &gt; 0, ""RU"", 0)"),0)</f>
        <v>0</v>
      </c>
      <c r="K92" s="39">
        <f ca="1">IFERROR(__xludf.DUMMYFUNCTION("IF(SUM(COUNTIF(artists!E:E, SPLIT(D92, "",""))) &gt; 0, ""OTHER"", 0)"),0)</f>
        <v>0</v>
      </c>
    </row>
    <row r="93" spans="1:11" ht="14.25" customHeight="1">
      <c r="A93" s="21">
        <v>92</v>
      </c>
      <c r="B93" s="21">
        <v>99</v>
      </c>
      <c r="C93" s="21" t="s">
        <v>390</v>
      </c>
      <c r="D93" s="21" t="s">
        <v>391</v>
      </c>
      <c r="E93" s="21">
        <v>3</v>
      </c>
      <c r="F93" s="21">
        <v>141364</v>
      </c>
      <c r="G93" s="42">
        <v>4.0000000000000001E-3</v>
      </c>
      <c r="H93" s="21" t="s">
        <v>393</v>
      </c>
      <c r="I93" s="39">
        <f ca="1">IFERROR(__xludf.DUMMYFUNCTION("IF(SUM(COUNTIF(artists!A:A, SPLIT(D93, "",""))) &gt; 0, ""UA"", 0)"),0)</f>
        <v>0</v>
      </c>
      <c r="J93" s="40" t="str">
        <f ca="1">IFERROR(__xludf.DUMMYFUNCTION("IF(SUM(COUNTIF(artists!C:C, SPLIT(D93, "",""))) &gt; 0, ""RU"", 0)"),"RU")</f>
        <v>RU</v>
      </c>
      <c r="K93" s="39">
        <f ca="1">IFERROR(__xludf.DUMMYFUNCTION("IF(SUM(COUNTIF(artists!E:E, SPLIT(D93, "",""))) &gt; 0, ""OTHER"", 0)"),0)</f>
        <v>0</v>
      </c>
    </row>
    <row r="94" spans="1:11" ht="14.25" customHeight="1">
      <c r="A94" s="21">
        <v>93</v>
      </c>
      <c r="B94" s="21">
        <v>94</v>
      </c>
      <c r="C94" s="21" t="s">
        <v>1375</v>
      </c>
      <c r="D94" s="21" t="s">
        <v>907</v>
      </c>
      <c r="E94" s="21">
        <v>10</v>
      </c>
      <c r="F94" s="21">
        <v>141230</v>
      </c>
      <c r="G94" s="42">
        <v>-4.7E-2</v>
      </c>
      <c r="H94" s="21" t="s">
        <v>1376</v>
      </c>
      <c r="I94" s="39">
        <f ca="1">IFERROR(__xludf.DUMMYFUNCTION("IF(SUM(COUNTIF(artists!A:A, SPLIT(D94, "",""))) &gt; 0, ""UA"", 0)"),0)</f>
        <v>0</v>
      </c>
      <c r="J94" s="40" t="str">
        <f ca="1">IFERROR(__xludf.DUMMYFUNCTION("IF(SUM(COUNTIF(artists!C:C, SPLIT(D94, "",""))) &gt; 0, ""RU"", 0)"),"RU")</f>
        <v>RU</v>
      </c>
      <c r="K94" s="39">
        <f ca="1">IFERROR(__xludf.DUMMYFUNCTION("IF(SUM(COUNTIF(artists!E:E, SPLIT(D94, "",""))) &gt; 0, ""OTHER"", 0)"),0)</f>
        <v>0</v>
      </c>
    </row>
    <row r="95" spans="1:11" ht="14.25" customHeight="1">
      <c r="A95" s="21">
        <v>94</v>
      </c>
      <c r="B95" s="21">
        <v>100</v>
      </c>
      <c r="C95" s="21" t="s">
        <v>629</v>
      </c>
      <c r="D95" s="21" t="s">
        <v>630</v>
      </c>
      <c r="E95" s="21">
        <v>5</v>
      </c>
      <c r="F95" s="21">
        <v>140765</v>
      </c>
      <c r="G95" s="43">
        <v>0</v>
      </c>
      <c r="H95" s="21" t="s">
        <v>631</v>
      </c>
      <c r="I95" s="39" t="str">
        <f ca="1">IFERROR(__xludf.DUMMYFUNCTION("IF(SUM(COUNTIF(artists!A:A, SPLIT(D95, "",""))) &gt; 0, ""UA"", 0)"),"UA")</f>
        <v>UA</v>
      </c>
      <c r="J95" s="40">
        <f ca="1">IFERROR(__xludf.DUMMYFUNCTION("IF(SUM(COUNTIF(artists!C:C, SPLIT(D95, "",""))) &gt; 0, ""RU"", 0)"),0)</f>
        <v>0</v>
      </c>
      <c r="K95" s="39">
        <f ca="1">IFERROR(__xludf.DUMMYFUNCTION("IF(SUM(COUNTIF(artists!E:E, SPLIT(D95, "",""))) &gt; 0, ""OTHER"", 0)"),0)</f>
        <v>0</v>
      </c>
    </row>
    <row r="96" spans="1:11" ht="14.25" customHeight="1">
      <c r="A96" s="21">
        <v>95</v>
      </c>
      <c r="C96" s="21" t="s">
        <v>868</v>
      </c>
      <c r="D96" s="21" t="s">
        <v>869</v>
      </c>
      <c r="E96" s="21">
        <v>1</v>
      </c>
      <c r="F96" s="21">
        <v>140285</v>
      </c>
      <c r="H96" s="21" t="s">
        <v>870</v>
      </c>
      <c r="I96" s="39">
        <f ca="1">IFERROR(__xludf.DUMMYFUNCTION("IF(SUM(COUNTIF(artists!A:A, SPLIT(D96, "",""))) &gt; 0, ""UA"", 0)"),0)</f>
        <v>0</v>
      </c>
      <c r="J96" s="40" t="str">
        <f ca="1">IFERROR(__xludf.DUMMYFUNCTION("IF(SUM(COUNTIF(artists!C:C, SPLIT(D96, "",""))) &gt; 0, ""RU"", 0)"),"RU")</f>
        <v>RU</v>
      </c>
      <c r="K96" s="39">
        <f ca="1">IFERROR(__xludf.DUMMYFUNCTION("IF(SUM(COUNTIF(artists!E:E, SPLIT(D96, "",""))) &gt; 0, ""OTHER"", 0)"),0)</f>
        <v>0</v>
      </c>
    </row>
    <row r="97" spans="1:11" ht="14.25" customHeight="1">
      <c r="A97" s="21">
        <v>96</v>
      </c>
      <c r="C97" s="21" t="s">
        <v>1275</v>
      </c>
      <c r="D97" s="21" t="s">
        <v>89</v>
      </c>
      <c r="E97" s="21">
        <v>1</v>
      </c>
      <c r="F97" s="21">
        <v>139990</v>
      </c>
      <c r="H97" s="21" t="s">
        <v>1276</v>
      </c>
      <c r="I97" s="39" t="str">
        <f ca="1">IFERROR(__xludf.DUMMYFUNCTION("IF(SUM(COUNTIF(artists!A:A, SPLIT(D97, "",""))) &gt; 0, ""UA"", 0)"),"UA")</f>
        <v>UA</v>
      </c>
      <c r="J97" s="40">
        <f ca="1">IFERROR(__xludf.DUMMYFUNCTION("IF(SUM(COUNTIF(artists!C:C, SPLIT(D97, "",""))) &gt; 0, ""RU"", 0)"),0)</f>
        <v>0</v>
      </c>
      <c r="K97" s="39">
        <f ca="1">IFERROR(__xludf.DUMMYFUNCTION("IF(SUM(COUNTIF(artists!E:E, SPLIT(D97, "",""))) &gt; 0, ""OTHER"", 0)"),0)</f>
        <v>0</v>
      </c>
    </row>
    <row r="98" spans="1:11" ht="14.25" customHeight="1">
      <c r="A98" s="21">
        <v>97</v>
      </c>
      <c r="B98" s="21">
        <v>82</v>
      </c>
      <c r="C98" s="21" t="s">
        <v>1377</v>
      </c>
      <c r="D98" s="21" t="s">
        <v>463</v>
      </c>
      <c r="E98" s="21">
        <v>16</v>
      </c>
      <c r="F98" s="21">
        <v>139763</v>
      </c>
      <c r="G98" s="43">
        <v>-0.18</v>
      </c>
      <c r="H98" s="21" t="s">
        <v>1378</v>
      </c>
      <c r="I98" s="39" t="str">
        <f ca="1">IFERROR(__xludf.DUMMYFUNCTION("IF(SUM(COUNTIF(artists!A:A, SPLIT(D98, "",""))) &gt; 0, ""UA"", 0)"),"UA")</f>
        <v>UA</v>
      </c>
      <c r="J98" s="40">
        <f ca="1">IFERROR(__xludf.DUMMYFUNCTION("IF(SUM(COUNTIF(artists!C:C, SPLIT(D98, "",""))) &gt; 0, ""RU"", 0)"),0)</f>
        <v>0</v>
      </c>
      <c r="K98" s="39">
        <f ca="1">IFERROR(__xludf.DUMMYFUNCTION("IF(SUM(COUNTIF(artists!E:E, SPLIT(D98, "",""))) &gt; 0, ""OTHER"", 0)"),0)</f>
        <v>0</v>
      </c>
    </row>
    <row r="99" spans="1:11" ht="14.25" customHeight="1">
      <c r="A99" s="21">
        <v>98</v>
      </c>
      <c r="C99" s="21" t="s">
        <v>1308</v>
      </c>
      <c r="D99" s="21" t="s">
        <v>1309</v>
      </c>
      <c r="E99" s="21">
        <v>11</v>
      </c>
      <c r="F99" s="21">
        <v>139735</v>
      </c>
      <c r="H99" s="21" t="s">
        <v>1310</v>
      </c>
      <c r="I99" s="39" t="str">
        <f ca="1">IFERROR(__xludf.DUMMYFUNCTION("IF(SUM(COUNTIF(artists!A:A, SPLIT(D99, "",""))) &gt; 0, ""UA"", 0)"),"UA")</f>
        <v>UA</v>
      </c>
      <c r="J99" s="40">
        <f ca="1">IFERROR(__xludf.DUMMYFUNCTION("IF(SUM(COUNTIF(artists!C:C, SPLIT(D99, "",""))) &gt; 0, ""RU"", 0)"),0)</f>
        <v>0</v>
      </c>
      <c r="K99" s="39">
        <f ca="1">IFERROR(__xludf.DUMMYFUNCTION("IF(SUM(COUNTIF(artists!E:E, SPLIT(D99, "",""))) &gt; 0, ""OTHER"", 0)"),0)</f>
        <v>0</v>
      </c>
    </row>
    <row r="100" spans="1:11" ht="14.25" customHeight="1">
      <c r="A100" s="21">
        <v>99</v>
      </c>
      <c r="B100" s="21">
        <v>90</v>
      </c>
      <c r="C100" s="21" t="s">
        <v>1311</v>
      </c>
      <c r="D100" s="21" t="s">
        <v>1312</v>
      </c>
      <c r="E100" s="21">
        <v>3</v>
      </c>
      <c r="F100" s="21">
        <v>138802</v>
      </c>
      <c r="G100" s="42">
        <v>-9.4E-2</v>
      </c>
      <c r="H100" s="21" t="s">
        <v>1313</v>
      </c>
      <c r="I100" s="39">
        <f ca="1">IFERROR(__xludf.DUMMYFUNCTION("IF(SUM(COUNTIF(artists!A:A, SPLIT(D100, "",""))) &gt; 0, ""UA"", 0)"),0)</f>
        <v>0</v>
      </c>
      <c r="J100" s="40" t="str">
        <f ca="1">IFERROR(__xludf.DUMMYFUNCTION("IF(SUM(COUNTIF(artists!C:C, SPLIT(D100, "",""))) &gt; 0, ""RU"", 0)"),"RU")</f>
        <v>RU</v>
      </c>
      <c r="K100" s="39">
        <f ca="1">IFERROR(__xludf.DUMMYFUNCTION("IF(SUM(COUNTIF(artists!E:E, SPLIT(D100, "",""))) &gt; 0, ""OTHER"", 0)"),0)</f>
        <v>0</v>
      </c>
    </row>
    <row r="101" spans="1:11" ht="14.25" customHeight="1">
      <c r="A101" s="21">
        <v>100</v>
      </c>
      <c r="C101" s="21" t="s">
        <v>1379</v>
      </c>
      <c r="D101" s="21" t="s">
        <v>598</v>
      </c>
      <c r="E101" s="21">
        <v>11</v>
      </c>
      <c r="F101" s="21">
        <v>138464</v>
      </c>
      <c r="H101" s="21" t="s">
        <v>1380</v>
      </c>
      <c r="I101" s="39" t="str">
        <f ca="1">IFERROR(__xludf.DUMMYFUNCTION("IF(SUM(COUNTIF(artists!A:A, SPLIT(D101, "",""))) &gt; 0, ""UA"", 0)"),"UA")</f>
        <v>UA</v>
      </c>
      <c r="J101" s="40">
        <f ca="1">IFERROR(__xludf.DUMMYFUNCTION("IF(SUM(COUNTIF(artists!C:C, SPLIT(D101, "",""))) &gt; 0, ""RU"", 0)"),0)</f>
        <v>0</v>
      </c>
      <c r="K101" s="39">
        <f ca="1">IFERROR(__xludf.DUMMYFUNCTION("IF(SUM(COUNTIF(artists!E:E, SPLIT(D101, "",""))) &gt; 0, ""OTHER"", 0)"),0)</f>
        <v>0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69" priority="1">
      <formula>AND($I2=0, $J2=0, $K2=0)</formula>
    </cfRule>
    <cfRule type="expression" dxfId="68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Аркуш29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4" width="8.6640625" customWidth="1"/>
    <col min="5" max="5" width="8.6640625" hidden="1" customWidth="1"/>
    <col min="6" max="6" width="8.6640625" customWidth="1"/>
    <col min="7" max="7" width="13.10937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B2" s="21">
        <v>1</v>
      </c>
      <c r="C2" s="21" t="s">
        <v>88</v>
      </c>
      <c r="D2" s="21" t="s">
        <v>89</v>
      </c>
      <c r="E2" s="21">
        <v>4</v>
      </c>
      <c r="F2" s="21">
        <v>2146015</v>
      </c>
      <c r="G2" s="42">
        <v>-4.9000000000000002E-2</v>
      </c>
      <c r="H2" s="21" t="s">
        <v>90</v>
      </c>
      <c r="I2" s="39" t="str">
        <f ca="1">IFERROR(__xludf.DUMMYFUNCTION("IF(SUM(COUNTIF(artists!A:A, SPLIT(D2, "",""))) &gt; 0, ""UA"", 0)"),"UA")</f>
        <v>UA</v>
      </c>
      <c r="J2" s="40">
        <f ca="1">IFERROR(__xludf.DUMMYFUNCTION("IF(SUM(COUNTIF(artists!C:C, SPLIT(D2, "",""))) &gt; 0, ""RU"", 0)"),0)</f>
        <v>0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B3" s="21">
        <v>2</v>
      </c>
      <c r="C3" s="21" t="s">
        <v>145</v>
      </c>
      <c r="D3" s="21" t="s">
        <v>146</v>
      </c>
      <c r="E3" s="21">
        <v>10</v>
      </c>
      <c r="F3" s="21">
        <v>1561887</v>
      </c>
      <c r="G3" s="42">
        <v>8.0000000000000002E-3</v>
      </c>
      <c r="H3" s="21" t="s">
        <v>148</v>
      </c>
      <c r="I3" s="39" t="str">
        <f ca="1">IFERROR(__xludf.DUMMYFUNCTION("IF(SUM(COUNTIF(artists!A:A, SPLIT(D3, "",""))) &gt; 0, ""UA"", 0)"),"UA")</f>
        <v>UA</v>
      </c>
      <c r="J3" s="40">
        <f ca="1">IFERROR(__xludf.DUMMYFUNCTION("IF(SUM(COUNTIF(artists!C:C, SPLIT(D3, "",""))) &gt; 0, ""RU"", 0)"),0)</f>
        <v>0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B4" s="21">
        <v>3</v>
      </c>
      <c r="C4" s="21" t="s">
        <v>115</v>
      </c>
      <c r="D4" s="21" t="s">
        <v>116</v>
      </c>
      <c r="E4" s="21">
        <v>6</v>
      </c>
      <c r="F4" s="21">
        <v>1310244</v>
      </c>
      <c r="G4" s="42">
        <v>2.8000000000000001E-2</v>
      </c>
      <c r="H4" s="21" t="s">
        <v>117</v>
      </c>
      <c r="I4" s="39" t="str">
        <f ca="1">IFERROR(__xludf.DUMMYFUNCTION("IF(SUM(COUNTIF(artists!A:A, SPLIT(D4, "",""))) &gt; 0, ""UA"", 0)"),"UA")</f>
        <v>UA</v>
      </c>
      <c r="J4" s="40">
        <f ca="1">IFERROR(__xludf.DUMMYFUNCTION("IF(SUM(COUNTIF(artists!C:C, SPLIT(D4, "",""))) &gt; 0, ""RU"", 0)"),0)</f>
        <v>0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C5" s="21" t="s">
        <v>1062</v>
      </c>
      <c r="D5" s="21" t="s">
        <v>1063</v>
      </c>
      <c r="E5" s="21">
        <v>1</v>
      </c>
      <c r="F5" s="21">
        <v>1280903</v>
      </c>
      <c r="H5" s="21" t="s">
        <v>1064</v>
      </c>
      <c r="I5" s="39" t="str">
        <f ca="1">IFERROR(__xludf.DUMMYFUNCTION("IF(SUM(COUNTIF(artists!A:A, SPLIT(D5, "",""))) &gt; 0, ""UA"", 0)"),"UA")</f>
        <v>UA</v>
      </c>
      <c r="J5" s="40">
        <f ca="1">IFERROR(__xludf.DUMMYFUNCTION("IF(SUM(COUNTIF(artists!C:C, SPLIT(D5, "",""))) &gt; 0, ""RU"", 0)"),0)</f>
        <v>0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B6" s="21">
        <v>4</v>
      </c>
      <c r="C6" s="21" t="s">
        <v>128</v>
      </c>
      <c r="D6" s="21" t="s">
        <v>129</v>
      </c>
      <c r="E6" s="21">
        <v>12</v>
      </c>
      <c r="F6" s="21">
        <v>1088135</v>
      </c>
      <c r="G6" s="42">
        <v>-4.4999999999999998E-2</v>
      </c>
      <c r="H6" s="21" t="s">
        <v>131</v>
      </c>
      <c r="I6" s="39" t="str">
        <f ca="1">IFERROR(__xludf.DUMMYFUNCTION("IF(SUM(COUNTIF(artists!A:A, SPLIT(D6, "",""))) &gt; 0, ""UA"", 0)"),"UA")</f>
        <v>UA</v>
      </c>
      <c r="J6" s="40">
        <f ca="1">IFERROR(__xludf.DUMMYFUNCTION("IF(SUM(COUNTIF(artists!C:C, SPLIT(D6, "",""))) &gt; 0, ""RU"", 0)"),0)</f>
        <v>0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B7" s="21">
        <v>5</v>
      </c>
      <c r="C7" s="21" t="s">
        <v>202</v>
      </c>
      <c r="D7" s="21" t="s">
        <v>835</v>
      </c>
      <c r="E7" s="21">
        <v>6</v>
      </c>
      <c r="F7" s="21">
        <v>1022610</v>
      </c>
      <c r="G7" s="42">
        <v>-2.8000000000000001E-2</v>
      </c>
      <c r="H7" s="21" t="s">
        <v>204</v>
      </c>
      <c r="I7" s="39" t="str">
        <f ca="1">IFERROR(__xludf.DUMMYFUNCTION("IF(SUM(COUNTIF(artists!A:A, SPLIT(D7, "",""))) &gt; 0, ""UA"", 0)"),"UA")</f>
        <v>UA</v>
      </c>
      <c r="J7" s="40">
        <f ca="1">IFERROR(__xludf.DUMMYFUNCTION("IF(SUM(COUNTIF(artists!C:C, SPLIT(D7, "",""))) &gt; 0, ""RU"", 0)"),0)</f>
        <v>0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B8" s="21">
        <v>8</v>
      </c>
      <c r="C8" s="21" t="s">
        <v>132</v>
      </c>
      <c r="D8" s="21" t="s">
        <v>133</v>
      </c>
      <c r="E8" s="21">
        <v>16</v>
      </c>
      <c r="F8" s="21">
        <v>964599</v>
      </c>
      <c r="G8" s="42">
        <v>0.29399999999999998</v>
      </c>
      <c r="H8" s="21" t="s">
        <v>135</v>
      </c>
      <c r="I8" s="39" t="str">
        <f ca="1">IFERROR(__xludf.DUMMYFUNCTION("IF(SUM(COUNTIF(artists!A:A, SPLIT(D8, "",""))) &gt; 0, ""UA"", 0)"),"UA")</f>
        <v>UA</v>
      </c>
      <c r="J8" s="40">
        <f ca="1">IFERROR(__xludf.DUMMYFUNCTION("IF(SUM(COUNTIF(artists!C:C, SPLIT(D8, "",""))) &gt; 0, ""RU"", 0)"),0)</f>
        <v>0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B9" s="21">
        <v>6</v>
      </c>
      <c r="C9" s="21" t="s">
        <v>645</v>
      </c>
      <c r="D9" s="21" t="s">
        <v>352</v>
      </c>
      <c r="E9" s="21">
        <v>29</v>
      </c>
      <c r="F9" s="21">
        <v>959026</v>
      </c>
      <c r="G9" s="42">
        <v>-2.4E-2</v>
      </c>
      <c r="H9" s="21" t="s">
        <v>647</v>
      </c>
      <c r="I9" s="39" t="str">
        <f ca="1">IFERROR(__xludf.DUMMYFUNCTION("IF(SUM(COUNTIF(artists!A:A, SPLIT(D9, "",""))) &gt; 0, ""UA"", 0)"),"UA")</f>
        <v>UA</v>
      </c>
      <c r="J9" s="40">
        <f ca="1">IFERROR(__xludf.DUMMYFUNCTION("IF(SUM(COUNTIF(artists!C:C, SPLIT(D9, "",""))) &gt; 0, ""RU"", 0)"),0)</f>
        <v>0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B10" s="21">
        <v>14</v>
      </c>
      <c r="C10" s="21" t="s">
        <v>194</v>
      </c>
      <c r="D10" s="21" t="s">
        <v>195</v>
      </c>
      <c r="E10" s="21">
        <v>19</v>
      </c>
      <c r="F10" s="21">
        <v>728599</v>
      </c>
      <c r="G10" s="42">
        <v>0.17499999999999999</v>
      </c>
      <c r="H10" s="21" t="s">
        <v>197</v>
      </c>
      <c r="I10" s="39" t="str">
        <f ca="1">IFERROR(__xludf.DUMMYFUNCTION("IF(SUM(COUNTIF(artists!A:A, SPLIT(D10, "",""))) &gt; 0, ""UA"", 0)"),"UA")</f>
        <v>UA</v>
      </c>
      <c r="J10" s="40">
        <f ca="1">IFERROR(__xludf.DUMMYFUNCTION("IF(SUM(COUNTIF(artists!C:C, SPLIT(D10, "",""))) &gt; 0, ""RU"", 0)"),0)</f>
        <v>0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B11" s="21">
        <v>11</v>
      </c>
      <c r="C11" s="21" t="s">
        <v>175</v>
      </c>
      <c r="D11" s="21" t="s">
        <v>89</v>
      </c>
      <c r="E11" s="21">
        <v>16</v>
      </c>
      <c r="F11" s="21">
        <v>708529</v>
      </c>
      <c r="G11" s="42">
        <v>-1.7999999999999999E-2</v>
      </c>
      <c r="H11" s="21" t="s">
        <v>177</v>
      </c>
      <c r="I11" s="39" t="str">
        <f ca="1">IFERROR(__xludf.DUMMYFUNCTION("IF(SUM(COUNTIF(artists!A:A, SPLIT(D11, "",""))) &gt; 0, ""UA"", 0)"),"UA")</f>
        <v>UA</v>
      </c>
      <c r="J11" s="40">
        <f ca="1">IFERROR(__xludf.DUMMYFUNCTION("IF(SUM(COUNTIF(artists!C:C, SPLIT(D11, "",""))) &gt; 0, ""RU"", 0)"),0)</f>
        <v>0</v>
      </c>
      <c r="K11" s="39">
        <f ca="1">IFERROR(__xludf.DUMMYFUNCTION("IF(SUM(COUNTIF(artists!E:E, SPLIT(D11, "",""))) &gt; 0, ""OTHER"", 0)"),0)</f>
        <v>0</v>
      </c>
    </row>
    <row r="12" spans="1:11" ht="14.25" customHeight="1">
      <c r="A12" s="21">
        <v>11</v>
      </c>
      <c r="B12" s="21">
        <v>9</v>
      </c>
      <c r="C12" s="21" t="s">
        <v>209</v>
      </c>
      <c r="D12" s="21" t="s">
        <v>210</v>
      </c>
      <c r="E12" s="21">
        <v>9</v>
      </c>
      <c r="F12" s="21">
        <v>680567</v>
      </c>
      <c r="G12" s="42">
        <v>-8.2000000000000003E-2</v>
      </c>
      <c r="H12" s="21" t="s">
        <v>212</v>
      </c>
      <c r="I12" s="39" t="str">
        <f ca="1">IFERROR(__xludf.DUMMYFUNCTION("IF(SUM(COUNTIF(artists!A:A, SPLIT(D12, "",""))) &gt; 0, ""UA"", 0)"),"UA")</f>
        <v>UA</v>
      </c>
      <c r="J12" s="40">
        <f ca="1">IFERROR(__xludf.DUMMYFUNCTION("IF(SUM(COUNTIF(artists!C:C, SPLIT(D12, "",""))) &gt; 0, ""RU"", 0)"),0)</f>
        <v>0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B13" s="21">
        <v>10</v>
      </c>
      <c r="C13" s="21" t="s">
        <v>171</v>
      </c>
      <c r="D13" s="21" t="s">
        <v>172</v>
      </c>
      <c r="E13" s="21">
        <v>11</v>
      </c>
      <c r="F13" s="21">
        <v>675793</v>
      </c>
      <c r="G13" s="43">
        <v>-7.0000000000000007E-2</v>
      </c>
      <c r="H13" s="21" t="s">
        <v>174</v>
      </c>
      <c r="I13" s="39">
        <f ca="1">IFERROR(__xludf.DUMMYFUNCTION("IF(SUM(COUNTIF(artists!A:A, SPLIT(D13, "",""))) &gt; 0, ""UA"", 0)"),0)</f>
        <v>0</v>
      </c>
      <c r="J13" s="40" t="str">
        <f ca="1">IFERROR(__xludf.DUMMYFUNCTION("IF(SUM(COUNTIF(artists!C:C, SPLIT(D13, "",""))) &gt; 0, ""RU"", 0)"),"RU")</f>
        <v>RU</v>
      </c>
      <c r="K13" s="39">
        <f ca="1">IFERROR(__xludf.DUMMYFUNCTION("IF(SUM(COUNTIF(artists!E:E, SPLIT(D13, "",""))) &gt; 0, ""OTHER"", 0)"),0)</f>
        <v>0</v>
      </c>
    </row>
    <row r="14" spans="1:11" ht="14.25" customHeight="1">
      <c r="A14" s="21">
        <v>13</v>
      </c>
      <c r="B14" s="21">
        <v>12</v>
      </c>
      <c r="C14" s="21" t="s">
        <v>149</v>
      </c>
      <c r="D14" s="21" t="s">
        <v>150</v>
      </c>
      <c r="E14" s="21">
        <v>9</v>
      </c>
      <c r="F14" s="21">
        <v>667131</v>
      </c>
      <c r="G14" s="42">
        <v>4.0000000000000001E-3</v>
      </c>
      <c r="H14" s="21" t="s">
        <v>152</v>
      </c>
      <c r="I14" s="39" t="str">
        <f ca="1">IFERROR(__xludf.DUMMYFUNCTION("IF(SUM(COUNTIF(artists!A:A, SPLIT(D14, "",""))) &gt; 0, ""UA"", 0)"),"UA")</f>
        <v>UA</v>
      </c>
      <c r="J14" s="40">
        <f ca="1">IFERROR(__xludf.DUMMYFUNCTION("IF(SUM(COUNTIF(artists!C:C, SPLIT(D14, "",""))) &gt; 0, ""RU"", 0)"),0)</f>
        <v>0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B15" s="21">
        <v>13</v>
      </c>
      <c r="C15" s="21" t="s">
        <v>462</v>
      </c>
      <c r="D15" s="21" t="s">
        <v>463</v>
      </c>
      <c r="E15" s="21">
        <v>7</v>
      </c>
      <c r="F15" s="21">
        <v>658354</v>
      </c>
      <c r="G15" s="43">
        <v>0.01</v>
      </c>
      <c r="H15" s="21" t="s">
        <v>465</v>
      </c>
      <c r="I15" s="39" t="str">
        <f ca="1">IFERROR(__xludf.DUMMYFUNCTION("IF(SUM(COUNTIF(artists!A:A, SPLIT(D15, "",""))) &gt; 0, ""UA"", 0)"),"UA")</f>
        <v>UA</v>
      </c>
      <c r="J15" s="40">
        <f ca="1">IFERROR(__xludf.DUMMYFUNCTION("IF(SUM(COUNTIF(artists!C:C, SPLIT(D15, "",""))) &gt; 0, ""RU"", 0)"),0)</f>
        <v>0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C16" s="21" t="s">
        <v>1251</v>
      </c>
      <c r="D16" s="21" t="s">
        <v>1230</v>
      </c>
      <c r="E16" s="21">
        <v>1</v>
      </c>
      <c r="F16" s="21">
        <v>620230</v>
      </c>
      <c r="H16" s="21" t="s">
        <v>1252</v>
      </c>
      <c r="I16" s="39">
        <f ca="1">IFERROR(__xludf.DUMMYFUNCTION("IF(SUM(COUNTIF(artists!A:A, SPLIT(D16, "",""))) &gt; 0, ""UA"", 0)"),0)</f>
        <v>0</v>
      </c>
      <c r="J16" s="40">
        <f ca="1">IFERROR(__xludf.DUMMYFUNCTION("IF(SUM(COUNTIF(artists!C:C, SPLIT(D16, "",""))) &gt; 0, ""RU"", 0)"),0)</f>
        <v>0</v>
      </c>
      <c r="K16" s="39" t="str">
        <f ca="1">IFERROR(__xludf.DUMMYFUNCTION("IF(SUM(COUNTIF(artists!E:E, SPLIT(D16, "",""))) &gt; 0, ""OTHER"", 0)"),"OTHER")</f>
        <v>OTHER</v>
      </c>
    </row>
    <row r="17" spans="1:11" ht="14.25" customHeight="1">
      <c r="A17" s="21">
        <v>16</v>
      </c>
      <c r="B17" s="21">
        <v>15</v>
      </c>
      <c r="C17" s="21" t="s">
        <v>186</v>
      </c>
      <c r="D17" s="21" t="s">
        <v>187</v>
      </c>
      <c r="E17" s="21">
        <v>20</v>
      </c>
      <c r="F17" s="21">
        <v>599966</v>
      </c>
      <c r="G17" s="43">
        <v>0.03</v>
      </c>
      <c r="H17" s="21" t="s">
        <v>189</v>
      </c>
      <c r="I17" s="39" t="str">
        <f ca="1">IFERROR(__xludf.DUMMYFUNCTION("IF(SUM(COUNTIF(artists!A:A, SPLIT(D17, "",""))) &gt; 0, ""UA"", 0)"),"UA")</f>
        <v>UA</v>
      </c>
      <c r="J17" s="40">
        <f ca="1">IFERROR(__xludf.DUMMYFUNCTION("IF(SUM(COUNTIF(artists!C:C, SPLIT(D17, "",""))) &gt; 0, ""RU"", 0)"),0)</f>
        <v>0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B18" s="21">
        <v>16</v>
      </c>
      <c r="C18" s="21" t="s">
        <v>968</v>
      </c>
      <c r="D18" s="21" t="s">
        <v>969</v>
      </c>
      <c r="E18" s="21">
        <v>36</v>
      </c>
      <c r="F18" s="21">
        <v>471763</v>
      </c>
      <c r="G18" s="42">
        <v>-7.5999999999999998E-2</v>
      </c>
      <c r="H18" s="21" t="s">
        <v>970</v>
      </c>
      <c r="I18" s="39" t="str">
        <f ca="1">IFERROR(__xludf.DUMMYFUNCTION("IF(SUM(COUNTIF(artists!A:A, SPLIT(D18, "",""))) &gt; 0, ""UA"", 0)"),"UA")</f>
        <v>UA</v>
      </c>
      <c r="J18" s="40">
        <f ca="1">IFERROR(__xludf.DUMMYFUNCTION("IF(SUM(COUNTIF(artists!C:C, SPLIT(D18, "",""))) &gt; 0, ""RU"", 0)"),0)</f>
        <v>0</v>
      </c>
      <c r="K18" s="39">
        <f ca="1">IFERROR(__xludf.DUMMYFUNCTION("IF(SUM(COUNTIF(artists!E:E, SPLIT(D18, "",""))) &gt; 0, ""OTHER"", 0)"),0)</f>
        <v>0</v>
      </c>
    </row>
    <row r="19" spans="1:11" ht="14.25" customHeight="1">
      <c r="A19" s="21">
        <v>18</v>
      </c>
      <c r="B19" s="21">
        <v>18</v>
      </c>
      <c r="C19" s="21" t="s">
        <v>921</v>
      </c>
      <c r="D19" s="21" t="s">
        <v>922</v>
      </c>
      <c r="E19" s="21">
        <v>8</v>
      </c>
      <c r="F19" s="21">
        <v>448822</v>
      </c>
      <c r="G19" s="42">
        <v>-6.4000000000000001E-2</v>
      </c>
      <c r="H19" s="21" t="s">
        <v>923</v>
      </c>
      <c r="I19" s="39" t="str">
        <f ca="1">IFERROR(__xludf.DUMMYFUNCTION("IF(SUM(COUNTIF(artists!A:A, SPLIT(D19, "",""))) &gt; 0, ""UA"", 0)"),"UA")</f>
        <v>UA</v>
      </c>
      <c r="J19" s="40">
        <f ca="1">IFERROR(__xludf.DUMMYFUNCTION("IF(SUM(COUNTIF(artists!C:C, SPLIT(D19, "",""))) &gt; 0, ""RU"", 0)"),0)</f>
        <v>0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B20" s="21">
        <v>7</v>
      </c>
      <c r="C20" s="21" t="s">
        <v>1147</v>
      </c>
      <c r="D20" s="21" t="s">
        <v>776</v>
      </c>
      <c r="E20" s="21">
        <v>2</v>
      </c>
      <c r="F20" s="21">
        <v>445854</v>
      </c>
      <c r="G20" s="42">
        <v>-0.42499999999999999</v>
      </c>
      <c r="H20" s="21" t="s">
        <v>1148</v>
      </c>
      <c r="I20" s="39" t="str">
        <f ca="1">IFERROR(__xludf.DUMMYFUNCTION("IF(SUM(COUNTIF(artists!A:A, SPLIT(D20, "",""))) &gt; 0, ""UA"", 0)"),"UA")</f>
        <v>UA</v>
      </c>
      <c r="J20" s="40">
        <f ca="1">IFERROR(__xludf.DUMMYFUNCTION("IF(SUM(COUNTIF(artists!C:C, SPLIT(D20, "",""))) &gt; 0, ""RU"", 0)"),0)</f>
        <v>0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B21" s="21">
        <v>17</v>
      </c>
      <c r="C21" s="21" t="s">
        <v>229</v>
      </c>
      <c r="D21" s="21" t="s">
        <v>230</v>
      </c>
      <c r="E21" s="21">
        <v>23</v>
      </c>
      <c r="F21" s="21">
        <v>444363</v>
      </c>
      <c r="G21" s="42">
        <v>-9.5000000000000001E-2</v>
      </c>
      <c r="H21" s="21" t="s">
        <v>232</v>
      </c>
      <c r="I21" s="39" t="str">
        <f ca="1">IFERROR(__xludf.DUMMYFUNCTION("IF(SUM(COUNTIF(artists!A:A, SPLIT(D21, "",""))) &gt; 0, ""UA"", 0)"),"UA")</f>
        <v>UA</v>
      </c>
      <c r="J21" s="40">
        <f ca="1">IFERROR(__xludf.DUMMYFUNCTION("IF(SUM(COUNTIF(artists!C:C, SPLIT(D21, "",""))) &gt; 0, ""RU"", 0)"),0)</f>
        <v>0</v>
      </c>
      <c r="K21" s="39">
        <f ca="1">IFERROR(__xludf.DUMMYFUNCTION("IF(SUM(COUNTIF(artists!E:E, SPLIT(D21, "",""))) &gt; 0, ""OTHER"", 0)"),0)</f>
        <v>0</v>
      </c>
    </row>
    <row r="22" spans="1:11" ht="14.25" customHeight="1">
      <c r="A22" s="21">
        <v>21</v>
      </c>
      <c r="B22" s="21">
        <v>23</v>
      </c>
      <c r="C22" s="21" t="s">
        <v>929</v>
      </c>
      <c r="D22" s="21" t="s">
        <v>930</v>
      </c>
      <c r="E22" s="21">
        <v>9</v>
      </c>
      <c r="F22" s="21">
        <v>437962</v>
      </c>
      <c r="G22" s="42">
        <v>4.7E-2</v>
      </c>
      <c r="H22" s="21" t="s">
        <v>931</v>
      </c>
      <c r="I22" s="39" t="str">
        <f ca="1">IFERROR(__xludf.DUMMYFUNCTION("IF(SUM(COUNTIF(artists!A:A, SPLIT(D22, "",""))) &gt; 0, ""UA"", 0)"),"UA")</f>
        <v>UA</v>
      </c>
      <c r="J22" s="40">
        <f ca="1">IFERROR(__xludf.DUMMYFUNCTION("IF(SUM(COUNTIF(artists!C:C, SPLIT(D22, "",""))) &gt; 0, ""RU"", 0)"),0)</f>
        <v>0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B23" s="21">
        <v>20</v>
      </c>
      <c r="C23" s="21" t="s">
        <v>182</v>
      </c>
      <c r="D23" s="21" t="s">
        <v>183</v>
      </c>
      <c r="E23" s="21">
        <v>12</v>
      </c>
      <c r="F23" s="21">
        <v>437150</v>
      </c>
      <c r="G23" s="42">
        <v>-4.8000000000000001E-2</v>
      </c>
      <c r="H23" s="21" t="s">
        <v>185</v>
      </c>
      <c r="I23" s="39" t="str">
        <f ca="1">IFERROR(__xludf.DUMMYFUNCTION("IF(SUM(COUNTIF(artists!A:A, SPLIT(D23, "",""))) &gt; 0, ""UA"", 0)"),"UA")</f>
        <v>UA</v>
      </c>
      <c r="J23" s="40">
        <f ca="1">IFERROR(__xludf.DUMMYFUNCTION("IF(SUM(COUNTIF(artists!C:C, SPLIT(D23, "",""))) &gt; 0, ""RU"", 0)"),0)</f>
        <v>0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B24" s="21">
        <v>19</v>
      </c>
      <c r="C24" s="21" t="s">
        <v>799</v>
      </c>
      <c r="D24" s="21" t="s">
        <v>494</v>
      </c>
      <c r="E24" s="21">
        <v>25</v>
      </c>
      <c r="F24" s="21">
        <v>437141</v>
      </c>
      <c r="G24" s="42">
        <v>-6.0999999999999999E-2</v>
      </c>
      <c r="H24" s="21" t="s">
        <v>800</v>
      </c>
      <c r="I24" s="39" t="str">
        <f ca="1">IFERROR(__xludf.DUMMYFUNCTION("IF(SUM(COUNTIF(artists!A:A, SPLIT(D24, "",""))) &gt; 0, ""UA"", 0)"),"UA")</f>
        <v>UA</v>
      </c>
      <c r="J24" s="40">
        <f ca="1">IFERROR(__xludf.DUMMYFUNCTION("IF(SUM(COUNTIF(artists!C:C, SPLIT(D24, "",""))) &gt; 0, ""RU"", 0)"),0)</f>
        <v>0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B25" s="21">
        <v>25</v>
      </c>
      <c r="C25" s="21" t="s">
        <v>895</v>
      </c>
      <c r="D25" s="21" t="s">
        <v>896</v>
      </c>
      <c r="E25" s="21">
        <v>28</v>
      </c>
      <c r="F25" s="21">
        <v>416974</v>
      </c>
      <c r="G25" s="42">
        <v>3.5000000000000003E-2</v>
      </c>
      <c r="H25" s="21" t="s">
        <v>897</v>
      </c>
      <c r="I25" s="39" t="str">
        <f ca="1">IFERROR(__xludf.DUMMYFUNCTION("IF(SUM(COUNTIF(artists!A:A, SPLIT(D25, "",""))) &gt; 0, ""UA"", 0)"),"UA")</f>
        <v>UA</v>
      </c>
      <c r="J25" s="40">
        <f ca="1">IFERROR(__xludf.DUMMYFUNCTION("IF(SUM(COUNTIF(artists!C:C, SPLIT(D25, "",""))) &gt; 0, ""RU"", 0)"),0)</f>
        <v>0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B26" s="21">
        <v>21</v>
      </c>
      <c r="C26" s="21" t="s">
        <v>255</v>
      </c>
      <c r="D26" s="21" t="s">
        <v>256</v>
      </c>
      <c r="E26" s="21">
        <v>6</v>
      </c>
      <c r="F26" s="21">
        <v>411824</v>
      </c>
      <c r="G26" s="42">
        <v>-0.10299999999999999</v>
      </c>
      <c r="H26" s="21" t="s">
        <v>257</v>
      </c>
      <c r="I26" s="39" t="str">
        <f ca="1">IFERROR(__xludf.DUMMYFUNCTION("IF(SUM(COUNTIF(artists!A:A, SPLIT(D26, "",""))) &gt; 0, ""UA"", 0)"),"UA")</f>
        <v>UA</v>
      </c>
      <c r="J26" s="40">
        <f ca="1">IFERROR(__xludf.DUMMYFUNCTION("IF(SUM(COUNTIF(artists!C:C, SPLIT(D26, "",""))) &gt; 0, ""RU"", 0)"),0)</f>
        <v>0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B27" s="21">
        <v>22</v>
      </c>
      <c r="C27" s="21" t="s">
        <v>160</v>
      </c>
      <c r="D27" s="21" t="s">
        <v>161</v>
      </c>
      <c r="E27" s="21">
        <v>10</v>
      </c>
      <c r="F27" s="21">
        <v>405001</v>
      </c>
      <c r="G27" s="42">
        <v>-5.5E-2</v>
      </c>
      <c r="H27" s="21" t="s">
        <v>163</v>
      </c>
      <c r="I27" s="39" t="str">
        <f ca="1">IFERROR(__xludf.DUMMYFUNCTION("IF(SUM(COUNTIF(artists!A:A, SPLIT(D27, "",""))) &gt; 0, ""UA"", 0)"),"UA")</f>
        <v>UA</v>
      </c>
      <c r="J27" s="40">
        <f ca="1">IFERROR(__xludf.DUMMYFUNCTION("IF(SUM(COUNTIF(artists!C:C, SPLIT(D27, "",""))) &gt; 0, ""RU"", 0)"),0)</f>
        <v>0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B28" s="21">
        <v>26</v>
      </c>
      <c r="C28" s="21" t="s">
        <v>903</v>
      </c>
      <c r="D28" s="21" t="s">
        <v>904</v>
      </c>
      <c r="E28" s="21">
        <v>8</v>
      </c>
      <c r="F28" s="21">
        <v>383588</v>
      </c>
      <c r="G28" s="42">
        <v>-2.9000000000000001E-2</v>
      </c>
      <c r="H28" s="21" t="s">
        <v>905</v>
      </c>
      <c r="I28" s="39" t="str">
        <f ca="1">IFERROR(__xludf.DUMMYFUNCTION("IF(SUM(COUNTIF(artists!A:A, SPLIT(D28, "",""))) &gt; 0, ""UA"", 0)"),"UA")</f>
        <v>UA</v>
      </c>
      <c r="J28" s="40">
        <f ca="1">IFERROR(__xludf.DUMMYFUNCTION("IF(SUM(COUNTIF(artists!C:C, SPLIT(D28, "",""))) &gt; 0, ""RU"", 0)"),0)</f>
        <v>0</v>
      </c>
      <c r="K28" s="39">
        <f ca="1">IFERROR(__xludf.DUMMYFUNCTION("IF(SUM(COUNTIF(artists!E:E, SPLIT(D28, "",""))) &gt; 0, ""OTHER"", 0)"),0)</f>
        <v>0</v>
      </c>
    </row>
    <row r="29" spans="1:11" ht="14.25" customHeight="1">
      <c r="A29" s="21">
        <v>28</v>
      </c>
      <c r="B29" s="21">
        <v>29</v>
      </c>
      <c r="C29" s="21" t="s">
        <v>168</v>
      </c>
      <c r="D29" s="21" t="s">
        <v>137</v>
      </c>
      <c r="E29" s="21">
        <v>7</v>
      </c>
      <c r="F29" s="21">
        <v>383109</v>
      </c>
      <c r="G29" s="42">
        <v>2.9000000000000001E-2</v>
      </c>
      <c r="H29" s="21" t="s">
        <v>170</v>
      </c>
      <c r="I29" s="39" t="str">
        <f ca="1">IFERROR(__xludf.DUMMYFUNCTION("IF(SUM(COUNTIF(artists!A:A, SPLIT(D29, "",""))) &gt; 0, ""UA"", 0)"),"UA")</f>
        <v>UA</v>
      </c>
      <c r="J29" s="40">
        <f ca="1">IFERROR(__xludf.DUMMYFUNCTION("IF(SUM(COUNTIF(artists!C:C, SPLIT(D29, "",""))) &gt; 0, ""RU"", 0)"),0)</f>
        <v>0</v>
      </c>
      <c r="K29" s="39">
        <f ca="1">IFERROR(__xludf.DUMMYFUNCTION("IF(SUM(COUNTIF(artists!E:E, SPLIT(D29, "",""))) &gt; 0, ""OTHER"", 0)"),0)</f>
        <v>0</v>
      </c>
    </row>
    <row r="30" spans="1:11" ht="14.25" customHeight="1">
      <c r="A30" s="21">
        <v>29</v>
      </c>
      <c r="B30" s="21">
        <v>27</v>
      </c>
      <c r="C30" s="21" t="s">
        <v>178</v>
      </c>
      <c r="D30" s="21" t="s">
        <v>179</v>
      </c>
      <c r="E30" s="21">
        <v>20</v>
      </c>
      <c r="F30" s="21">
        <v>377945</v>
      </c>
      <c r="G30" s="42">
        <v>-4.2000000000000003E-2</v>
      </c>
      <c r="H30" s="21" t="s">
        <v>181</v>
      </c>
      <c r="I30" s="39" t="str">
        <f ca="1">IFERROR(__xludf.DUMMYFUNCTION("IF(SUM(COUNTIF(artists!A:A, SPLIT(D30, "",""))) &gt; 0, ""UA"", 0)"),"UA")</f>
        <v>UA</v>
      </c>
      <c r="J30" s="40">
        <f ca="1">IFERROR(__xludf.DUMMYFUNCTION("IF(SUM(COUNTIF(artists!C:C, SPLIT(D30, "",""))) &gt; 0, ""RU"", 0)"),0)</f>
        <v>0</v>
      </c>
      <c r="K30" s="39">
        <f ca="1">IFERROR(__xludf.DUMMYFUNCTION("IF(SUM(COUNTIF(artists!E:E, SPLIT(D30, "",""))) &gt; 0, ""OTHER"", 0)"),0)</f>
        <v>0</v>
      </c>
    </row>
    <row r="31" spans="1:11" ht="14.25" customHeight="1">
      <c r="A31" s="21">
        <v>30</v>
      </c>
      <c r="B31" s="21">
        <v>24</v>
      </c>
      <c r="C31" s="21" t="s">
        <v>706</v>
      </c>
      <c r="D31" s="21" t="s">
        <v>199</v>
      </c>
      <c r="E31" s="21">
        <v>12</v>
      </c>
      <c r="F31" s="21">
        <v>361986</v>
      </c>
      <c r="G31" s="42">
        <v>-0.121</v>
      </c>
      <c r="H31" s="21" t="s">
        <v>1126</v>
      </c>
      <c r="I31" s="39" t="str">
        <f ca="1">IFERROR(__xludf.DUMMYFUNCTION("IF(SUM(COUNTIF(artists!A:A, SPLIT(D31, "",""))) &gt; 0, ""UA"", 0)"),"UA")</f>
        <v>UA</v>
      </c>
      <c r="J31" s="40">
        <f ca="1">IFERROR(__xludf.DUMMYFUNCTION("IF(SUM(COUNTIF(artists!C:C, SPLIT(D31, "",""))) &gt; 0, ""RU"", 0)"),0)</f>
        <v>0</v>
      </c>
      <c r="K31" s="39">
        <f ca="1">IFERROR(__xludf.DUMMYFUNCTION("IF(SUM(COUNTIF(artists!E:E, SPLIT(D31, "",""))) &gt; 0, ""OTHER"", 0)"),0)</f>
        <v>0</v>
      </c>
    </row>
    <row r="32" spans="1:11" ht="14.25" customHeight="1">
      <c r="A32" s="21">
        <v>31</v>
      </c>
      <c r="B32" s="21">
        <v>28</v>
      </c>
      <c r="C32" s="21" t="s">
        <v>594</v>
      </c>
      <c r="D32" s="21" t="s">
        <v>595</v>
      </c>
      <c r="E32" s="21">
        <v>4</v>
      </c>
      <c r="F32" s="21">
        <v>356980</v>
      </c>
      <c r="G32" s="42">
        <v>-7.5999999999999998E-2</v>
      </c>
      <c r="H32" s="21" t="s">
        <v>596</v>
      </c>
      <c r="I32" s="39" t="str">
        <f ca="1">IFERROR(__xludf.DUMMYFUNCTION("IF(SUM(COUNTIF(artists!A:A, SPLIT(D32, "",""))) &gt; 0, ""UA"", 0)"),"UA")</f>
        <v>UA</v>
      </c>
      <c r="J32" s="40">
        <f ca="1">IFERROR(__xludf.DUMMYFUNCTION("IF(SUM(COUNTIF(artists!C:C, SPLIT(D32, "",""))) &gt; 0, ""RU"", 0)"),0)</f>
        <v>0</v>
      </c>
      <c r="K32" s="39">
        <f ca="1">IFERROR(__xludf.DUMMYFUNCTION("IF(SUM(COUNTIF(artists!E:E, SPLIT(D32, "",""))) &gt; 0, ""OTHER"", 0)"),0)</f>
        <v>0</v>
      </c>
    </row>
    <row r="33" spans="1:11" ht="14.25" customHeight="1">
      <c r="A33" s="21">
        <v>32</v>
      </c>
      <c r="B33" s="21">
        <v>30</v>
      </c>
      <c r="C33" s="21" t="s">
        <v>1327</v>
      </c>
      <c r="D33" s="21" t="s">
        <v>89</v>
      </c>
      <c r="E33" s="21">
        <v>45</v>
      </c>
      <c r="F33" s="21">
        <v>350001</v>
      </c>
      <c r="G33" s="42">
        <v>-3.3000000000000002E-2</v>
      </c>
      <c r="H33" s="21" t="s">
        <v>1328</v>
      </c>
      <c r="I33" s="39" t="str">
        <f ca="1">IFERROR(__xludf.DUMMYFUNCTION("IF(SUM(COUNTIF(artists!A:A, SPLIT(D33, "",""))) &gt; 0, ""UA"", 0)"),"UA")</f>
        <v>UA</v>
      </c>
      <c r="J33" s="40">
        <f ca="1">IFERROR(__xludf.DUMMYFUNCTION("IF(SUM(COUNTIF(artists!C:C, SPLIT(D33, "",""))) &gt; 0, ""RU"", 0)"),0)</f>
        <v>0</v>
      </c>
      <c r="K33" s="39">
        <f ca="1">IFERROR(__xludf.DUMMYFUNCTION("IF(SUM(COUNTIF(artists!E:E, SPLIT(D33, "",""))) &gt; 0, ""OTHER"", 0)"),0)</f>
        <v>0</v>
      </c>
    </row>
    <row r="34" spans="1:11" ht="14.25" customHeight="1">
      <c r="A34" s="21">
        <v>33</v>
      </c>
      <c r="B34" s="21">
        <v>31</v>
      </c>
      <c r="C34" s="21" t="s">
        <v>1089</v>
      </c>
      <c r="D34" s="21" t="s">
        <v>125</v>
      </c>
      <c r="E34" s="21">
        <v>6</v>
      </c>
      <c r="F34" s="21">
        <v>337540</v>
      </c>
      <c r="G34" s="42">
        <v>-4.2000000000000003E-2</v>
      </c>
      <c r="H34" s="21" t="s">
        <v>1090</v>
      </c>
      <c r="I34" s="39">
        <f ca="1">IFERROR(__xludf.DUMMYFUNCTION("IF(SUM(COUNTIF(artists!A:A, SPLIT(D34, "",""))) &gt; 0, ""UA"", 0)"),0)</f>
        <v>0</v>
      </c>
      <c r="J34" s="40" t="str">
        <f ca="1">IFERROR(__xludf.DUMMYFUNCTION("IF(SUM(COUNTIF(artists!C:C, SPLIT(D34, "",""))) &gt; 0, ""RU"", 0)"),"RU")</f>
        <v>RU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B35" s="21">
        <v>32</v>
      </c>
      <c r="C35" s="21" t="s">
        <v>887</v>
      </c>
      <c r="D35" s="21" t="s">
        <v>89</v>
      </c>
      <c r="E35" s="21">
        <v>23</v>
      </c>
      <c r="F35" s="21">
        <v>336403</v>
      </c>
      <c r="G35" s="42">
        <v>-2E-3</v>
      </c>
      <c r="H35" s="21" t="s">
        <v>888</v>
      </c>
      <c r="I35" s="39" t="str">
        <f ca="1">IFERROR(__xludf.DUMMYFUNCTION("IF(SUM(COUNTIF(artists!A:A, SPLIT(D35, "",""))) &gt; 0, ""UA"", 0)"),"UA")</f>
        <v>UA</v>
      </c>
      <c r="J35" s="40">
        <f ca="1">IFERROR(__xludf.DUMMYFUNCTION("IF(SUM(COUNTIF(artists!C:C, SPLIT(D35, "",""))) &gt; 0, ""RU"", 0)"),0)</f>
        <v>0</v>
      </c>
      <c r="K35" s="39">
        <f ca="1">IFERROR(__xludf.DUMMYFUNCTION("IF(SUM(COUNTIF(artists!E:E, SPLIT(D35, "",""))) &gt; 0, ""OTHER"", 0)"),0)</f>
        <v>0</v>
      </c>
    </row>
    <row r="36" spans="1:11" ht="14.25" customHeight="1">
      <c r="A36" s="21">
        <v>35</v>
      </c>
      <c r="B36" s="21">
        <v>33</v>
      </c>
      <c r="C36" s="21" t="s">
        <v>1010</v>
      </c>
      <c r="D36" s="21" t="s">
        <v>1011</v>
      </c>
      <c r="E36" s="21">
        <v>17</v>
      </c>
      <c r="F36" s="21">
        <v>323836</v>
      </c>
      <c r="G36" s="42">
        <v>-1.2999999999999999E-2</v>
      </c>
      <c r="H36" s="21" t="s">
        <v>1012</v>
      </c>
      <c r="I36" s="39" t="str">
        <f ca="1">IFERROR(__xludf.DUMMYFUNCTION("IF(SUM(COUNTIF(artists!A:A, SPLIT(D36, "",""))) &gt; 0, ""UA"", 0)"),"UA")</f>
        <v>UA</v>
      </c>
      <c r="J36" s="40">
        <f ca="1">IFERROR(__xludf.DUMMYFUNCTION("IF(SUM(COUNTIF(artists!C:C, SPLIT(D36, "",""))) &gt; 0, ""RU"", 0)"),0)</f>
        <v>0</v>
      </c>
      <c r="K36" s="39">
        <f ca="1">IFERROR(__xludf.DUMMYFUNCTION("IF(SUM(COUNTIF(artists!E:E, SPLIT(D36, "",""))) &gt; 0, ""OTHER"", 0)"),0)</f>
        <v>0</v>
      </c>
    </row>
    <row r="37" spans="1:11" ht="14.25" customHeight="1">
      <c r="A37" s="21">
        <v>36</v>
      </c>
      <c r="B37" s="21">
        <v>42</v>
      </c>
      <c r="C37" s="21" t="s">
        <v>284</v>
      </c>
      <c r="D37" s="21" t="s">
        <v>15</v>
      </c>
      <c r="E37" s="21">
        <v>3</v>
      </c>
      <c r="F37" s="21">
        <v>311519</v>
      </c>
      <c r="G37" s="42">
        <v>6.3E-2</v>
      </c>
      <c r="H37" s="21" t="s">
        <v>285</v>
      </c>
      <c r="I37" s="39">
        <f ca="1">IFERROR(__xludf.DUMMYFUNCTION("IF(SUM(COUNTIF(artists!A:A, SPLIT(D37, "",""))) &gt; 0, ""UA"", 0)"),0)</f>
        <v>0</v>
      </c>
      <c r="J37" s="40">
        <f ca="1">IFERROR(__xludf.DUMMYFUNCTION("IF(SUM(COUNTIF(artists!C:C, SPLIT(D37, "",""))) &gt; 0, ""RU"", 0)"),0)</f>
        <v>0</v>
      </c>
      <c r="K37" s="39" t="str">
        <f ca="1">IFERROR(__xludf.DUMMYFUNCTION("IF(SUM(COUNTIF(artists!E:E, SPLIT(D37, "",""))) &gt; 0, ""OTHER"", 0)"),"OTHER")</f>
        <v>OTHER</v>
      </c>
    </row>
    <row r="38" spans="1:11" ht="14.25" customHeight="1">
      <c r="A38" s="21">
        <v>37</v>
      </c>
      <c r="B38" s="21">
        <v>37</v>
      </c>
      <c r="C38" s="21" t="s">
        <v>1354</v>
      </c>
      <c r="D38" s="21" t="s">
        <v>1355</v>
      </c>
      <c r="E38" s="21">
        <v>46</v>
      </c>
      <c r="F38" s="21">
        <v>303652</v>
      </c>
      <c r="G38" s="42">
        <v>-1.4E-2</v>
      </c>
      <c r="H38" s="21" t="s">
        <v>1356</v>
      </c>
      <c r="I38" s="39" t="str">
        <f ca="1">IFERROR(__xludf.DUMMYFUNCTION("IF(SUM(COUNTIF(artists!A:A, SPLIT(D38, "",""))) &gt; 0, ""UA"", 0)"),"UA")</f>
        <v>UA</v>
      </c>
      <c r="J38" s="40">
        <f ca="1">IFERROR(__xludf.DUMMYFUNCTION("IF(SUM(COUNTIF(artists!C:C, SPLIT(D38, "",""))) &gt; 0, ""RU"", 0)"),0)</f>
        <v>0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B39" s="21">
        <v>40</v>
      </c>
      <c r="C39" s="21" t="s">
        <v>632</v>
      </c>
      <c r="D39" s="21" t="s">
        <v>633</v>
      </c>
      <c r="E39" s="21">
        <v>20</v>
      </c>
      <c r="F39" s="21">
        <v>292884</v>
      </c>
      <c r="G39" s="42">
        <v>-3.6999999999999998E-2</v>
      </c>
      <c r="H39" s="21" t="s">
        <v>634</v>
      </c>
      <c r="I39" s="39" t="str">
        <f ca="1">IFERROR(__xludf.DUMMYFUNCTION("IF(SUM(COUNTIF(artists!A:A, SPLIT(D39, "",""))) &gt; 0, ""UA"", 0)"),"UA")</f>
        <v>UA</v>
      </c>
      <c r="J39" s="40">
        <f ca="1">IFERROR(__xludf.DUMMYFUNCTION("IF(SUM(COUNTIF(artists!C:C, SPLIT(D39, "",""))) &gt; 0, ""RU"", 0)"),0)</f>
        <v>0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B40" s="21">
        <v>35</v>
      </c>
      <c r="C40" s="21" t="s">
        <v>1055</v>
      </c>
      <c r="D40" s="21" t="s">
        <v>776</v>
      </c>
      <c r="E40" s="21">
        <v>13</v>
      </c>
      <c r="F40" s="21">
        <v>291968</v>
      </c>
      <c r="G40" s="42">
        <v>-6.4000000000000001E-2</v>
      </c>
      <c r="H40" s="21" t="s">
        <v>1056</v>
      </c>
      <c r="I40" s="39" t="str">
        <f ca="1">IFERROR(__xludf.DUMMYFUNCTION("IF(SUM(COUNTIF(artists!A:A, SPLIT(D40, "",""))) &gt; 0, ""UA"", 0)"),"UA")</f>
        <v>UA</v>
      </c>
      <c r="J40" s="40">
        <f ca="1">IFERROR(__xludf.DUMMYFUNCTION("IF(SUM(COUNTIF(artists!C:C, SPLIT(D40, "",""))) &gt; 0, ""RU"", 0)"),0)</f>
        <v>0</v>
      </c>
      <c r="K40" s="39">
        <f ca="1">IFERROR(__xludf.DUMMYFUNCTION("IF(SUM(COUNTIF(artists!E:E, SPLIT(D40, "",""))) &gt; 0, ""OTHER"", 0)"),0)</f>
        <v>0</v>
      </c>
    </row>
    <row r="41" spans="1:11" ht="14.25" customHeight="1">
      <c r="A41" s="21">
        <v>40</v>
      </c>
      <c r="B41" s="21">
        <v>36</v>
      </c>
      <c r="C41" s="21" t="s">
        <v>1263</v>
      </c>
      <c r="D41" s="21" t="s">
        <v>1264</v>
      </c>
      <c r="E41" s="21">
        <v>42</v>
      </c>
      <c r="F41" s="21">
        <v>288982</v>
      </c>
      <c r="G41" s="43">
        <v>-7.0000000000000007E-2</v>
      </c>
      <c r="H41" s="21" t="s">
        <v>1265</v>
      </c>
      <c r="I41" s="39">
        <f ca="1">IFERROR(__xludf.DUMMYFUNCTION("IF(SUM(COUNTIF(artists!A:A, SPLIT(D41, "",""))) &gt; 0, ""UA"", 0)"),0)</f>
        <v>0</v>
      </c>
      <c r="J41" s="40" t="str">
        <f ca="1">IFERROR(__xludf.DUMMYFUNCTION("IF(SUM(COUNTIF(artists!C:C, SPLIT(D41, "",""))) &gt; 0, ""RU"", 0)"),"RU")</f>
        <v>RU</v>
      </c>
      <c r="K41" s="39">
        <f ca="1">IFERROR(__xludf.DUMMYFUNCTION("IF(SUM(COUNTIF(artists!E:E, SPLIT(D41, "",""))) &gt; 0, ""OTHER"", 0)"),0)</f>
        <v>0</v>
      </c>
    </row>
    <row r="42" spans="1:11" ht="14.25" customHeight="1">
      <c r="A42" s="21">
        <v>41</v>
      </c>
      <c r="B42" s="21">
        <v>34</v>
      </c>
      <c r="C42" s="21" t="s">
        <v>1178</v>
      </c>
      <c r="D42" s="21" t="s">
        <v>1117</v>
      </c>
      <c r="E42" s="21">
        <v>12</v>
      </c>
      <c r="F42" s="21">
        <v>288245</v>
      </c>
      <c r="G42" s="42">
        <v>-9.2999999999999999E-2</v>
      </c>
      <c r="H42" s="21" t="s">
        <v>1179</v>
      </c>
      <c r="I42" s="39">
        <f ca="1">IFERROR(__xludf.DUMMYFUNCTION("IF(SUM(COUNTIF(artists!A:A, SPLIT(D42, "",""))) &gt; 0, ""UA"", 0)"),0)</f>
        <v>0</v>
      </c>
      <c r="J42" s="40" t="str">
        <f ca="1">IFERROR(__xludf.DUMMYFUNCTION("IF(SUM(COUNTIF(artists!C:C, SPLIT(D42, "",""))) &gt; 0, ""RU"", 0)"),"RU")</f>
        <v>RU</v>
      </c>
      <c r="K42" s="39">
        <f ca="1">IFERROR(__xludf.DUMMYFUNCTION("IF(SUM(COUNTIF(artists!E:E, SPLIT(D42, "",""))) &gt; 0, ""OTHER"", 0)"),0)</f>
        <v>0</v>
      </c>
    </row>
    <row r="43" spans="1:11" ht="14.25" customHeight="1">
      <c r="A43" s="21">
        <v>42</v>
      </c>
      <c r="B43" s="21">
        <v>44</v>
      </c>
      <c r="C43" s="21" t="s">
        <v>1242</v>
      </c>
      <c r="D43" s="21" t="s">
        <v>969</v>
      </c>
      <c r="E43" s="21">
        <v>15</v>
      </c>
      <c r="F43" s="21">
        <v>287386</v>
      </c>
      <c r="G43" s="42">
        <v>1.6E-2</v>
      </c>
      <c r="H43" s="21" t="s">
        <v>1243</v>
      </c>
      <c r="I43" s="39" t="str">
        <f ca="1">IFERROR(__xludf.DUMMYFUNCTION("IF(SUM(COUNTIF(artists!A:A, SPLIT(D43, "",""))) &gt; 0, ""UA"", 0)"),"UA")</f>
        <v>UA</v>
      </c>
      <c r="J43" s="40">
        <f ca="1">IFERROR(__xludf.DUMMYFUNCTION("IF(SUM(COUNTIF(artists!C:C, SPLIT(D43, "",""))) &gt; 0, ""RU"", 0)"),0)</f>
        <v>0</v>
      </c>
      <c r="K43" s="39">
        <f ca="1">IFERROR(__xludf.DUMMYFUNCTION("IF(SUM(COUNTIF(artists!E:E, SPLIT(D43, "",""))) &gt; 0, ""OTHER"", 0)"),0)</f>
        <v>0</v>
      </c>
    </row>
    <row r="44" spans="1:11" ht="14.25" customHeight="1">
      <c r="A44" s="21">
        <v>43</v>
      </c>
      <c r="B44" s="21">
        <v>49</v>
      </c>
      <c r="C44" s="21" t="s">
        <v>909</v>
      </c>
      <c r="D44" s="21" t="s">
        <v>910</v>
      </c>
      <c r="E44" s="21">
        <v>26</v>
      </c>
      <c r="F44" s="21">
        <v>286767</v>
      </c>
      <c r="G44" s="42">
        <v>7.2999999999999995E-2</v>
      </c>
      <c r="H44" s="21" t="s">
        <v>911</v>
      </c>
      <c r="I44" s="39" t="str">
        <f ca="1">IFERROR(__xludf.DUMMYFUNCTION("IF(SUM(COUNTIF(artists!A:A, SPLIT(D44, "",""))) &gt; 0, ""UA"", 0)"),"UA")</f>
        <v>UA</v>
      </c>
      <c r="J44" s="40">
        <f ca="1">IFERROR(__xludf.DUMMYFUNCTION("IF(SUM(COUNTIF(artists!C:C, SPLIT(D44, "",""))) &gt; 0, ""RU"", 0)"),0)</f>
        <v>0</v>
      </c>
      <c r="K44" s="39">
        <f ca="1">IFERROR(__xludf.DUMMYFUNCTION("IF(SUM(COUNTIF(artists!E:E, SPLIT(D44, "",""))) &gt; 0, ""OTHER"", 0)"),0)</f>
        <v>0</v>
      </c>
    </row>
    <row r="45" spans="1:11" ht="14.25" customHeight="1">
      <c r="A45" s="21">
        <v>44</v>
      </c>
      <c r="B45" s="21">
        <v>39</v>
      </c>
      <c r="C45" s="21" t="s">
        <v>253</v>
      </c>
      <c r="D45" s="21" t="s">
        <v>89</v>
      </c>
      <c r="E45" s="21">
        <v>25</v>
      </c>
      <c r="F45" s="21">
        <v>282614</v>
      </c>
      <c r="G45" s="42">
        <v>-7.6999999999999999E-2</v>
      </c>
      <c r="H45" s="21" t="s">
        <v>254</v>
      </c>
      <c r="I45" s="39" t="str">
        <f ca="1">IFERROR(__xludf.DUMMYFUNCTION("IF(SUM(COUNTIF(artists!A:A, SPLIT(D45, "",""))) &gt; 0, ""UA"", 0)"),"UA")</f>
        <v>UA</v>
      </c>
      <c r="J45" s="40">
        <f ca="1">IFERROR(__xludf.DUMMYFUNCTION("IF(SUM(COUNTIF(artists!C:C, SPLIT(D45, "",""))) &gt; 0, ""RU"", 0)"),0)</f>
        <v>0</v>
      </c>
      <c r="K45" s="39">
        <f ca="1">IFERROR(__xludf.DUMMYFUNCTION("IF(SUM(COUNTIF(artists!E:E, SPLIT(D45, "",""))) &gt; 0, ""OTHER"", 0)"),0)</f>
        <v>0</v>
      </c>
    </row>
    <row r="46" spans="1:11" ht="14.25" customHeight="1">
      <c r="A46" s="21">
        <v>45</v>
      </c>
      <c r="B46" s="21">
        <v>38</v>
      </c>
      <c r="C46" s="21" t="s">
        <v>1187</v>
      </c>
      <c r="D46" s="21" t="s">
        <v>1188</v>
      </c>
      <c r="E46" s="21">
        <v>7</v>
      </c>
      <c r="F46" s="21">
        <v>280350</v>
      </c>
      <c r="G46" s="42">
        <v>-8.5999999999999993E-2</v>
      </c>
      <c r="H46" s="21" t="s">
        <v>1189</v>
      </c>
      <c r="I46" s="39" t="str">
        <f ca="1">IFERROR(__xludf.DUMMYFUNCTION("IF(SUM(COUNTIF(artists!A:A, SPLIT(D46, "",""))) &gt; 0, ""UA"", 0)"),"UA")</f>
        <v>UA</v>
      </c>
      <c r="J46" s="40">
        <f ca="1">IFERROR(__xludf.DUMMYFUNCTION("IF(SUM(COUNTIF(artists!C:C, SPLIT(D46, "",""))) &gt; 0, ""RU"", 0)"),0)</f>
        <v>0</v>
      </c>
      <c r="K46" s="39">
        <f ca="1">IFERROR(__xludf.DUMMYFUNCTION("IF(SUM(COUNTIF(artists!E:E, SPLIT(D46, "",""))) &gt; 0, ""OTHER"", 0)"),0)</f>
        <v>0</v>
      </c>
    </row>
    <row r="47" spans="1:11" ht="14.25" customHeight="1">
      <c r="A47" s="21">
        <v>46</v>
      </c>
      <c r="B47" s="21">
        <v>41</v>
      </c>
      <c r="C47" s="21" t="s">
        <v>1282</v>
      </c>
      <c r="D47" s="21" t="s">
        <v>108</v>
      </c>
      <c r="E47" s="21">
        <v>43</v>
      </c>
      <c r="F47" s="21">
        <v>271147</v>
      </c>
      <c r="G47" s="42">
        <v>-9.8000000000000004E-2</v>
      </c>
      <c r="H47" s="21" t="s">
        <v>1283</v>
      </c>
      <c r="I47" s="39" t="str">
        <f ca="1">IFERROR(__xludf.DUMMYFUNCTION("IF(SUM(COUNTIF(artists!A:A, SPLIT(D47, "",""))) &gt; 0, ""UA"", 0)"),"UA")</f>
        <v>UA</v>
      </c>
      <c r="J47" s="40">
        <f ca="1">IFERROR(__xludf.DUMMYFUNCTION("IF(SUM(COUNTIF(artists!C:C, SPLIT(D47, "",""))) &gt; 0, ""RU"", 0)"),0)</f>
        <v>0</v>
      </c>
      <c r="K47" s="39">
        <f ca="1">IFERROR(__xludf.DUMMYFUNCTION("IF(SUM(COUNTIF(artists!E:E, SPLIT(D47, "",""))) &gt; 0, ""OTHER"", 0)"),0)</f>
        <v>0</v>
      </c>
    </row>
    <row r="48" spans="1:11" ht="14.25" customHeight="1">
      <c r="A48" s="21">
        <v>47</v>
      </c>
      <c r="B48" s="21">
        <v>48</v>
      </c>
      <c r="C48" s="21" t="s">
        <v>1346</v>
      </c>
      <c r="D48" s="21" t="s">
        <v>1347</v>
      </c>
      <c r="E48" s="21">
        <v>2</v>
      </c>
      <c r="F48" s="21">
        <v>267944</v>
      </c>
      <c r="G48" s="42">
        <v>-4.0000000000000001E-3</v>
      </c>
      <c r="H48" s="21" t="s">
        <v>1348</v>
      </c>
      <c r="I48" s="39" t="str">
        <f ca="1">IFERROR(__xludf.DUMMYFUNCTION("IF(SUM(COUNTIF(artists!A:A, SPLIT(D48, "",""))) &gt; 0, ""UA"", 0)"),"UA")</f>
        <v>UA</v>
      </c>
      <c r="J48" s="40">
        <f ca="1">IFERROR(__xludf.DUMMYFUNCTION("IF(SUM(COUNTIF(artists!C:C, SPLIT(D48, "",""))) &gt; 0, ""RU"", 0)"),0)</f>
        <v>0</v>
      </c>
      <c r="K48" s="39">
        <f ca="1">IFERROR(__xludf.DUMMYFUNCTION("IF(SUM(COUNTIF(artists!E:E, SPLIT(D48, "",""))) &gt; 0, ""OTHER"", 0)"),0)</f>
        <v>0</v>
      </c>
    </row>
    <row r="49" spans="1:11" ht="14.25" customHeight="1">
      <c r="A49" s="21">
        <v>48</v>
      </c>
      <c r="B49" s="21">
        <v>46</v>
      </c>
      <c r="C49" s="21" t="s">
        <v>1261</v>
      </c>
      <c r="D49" s="21" t="s">
        <v>137</v>
      </c>
      <c r="E49" s="21">
        <v>33</v>
      </c>
      <c r="F49" s="21">
        <v>266491</v>
      </c>
      <c r="G49" s="42">
        <v>-3.5000000000000003E-2</v>
      </c>
      <c r="H49" s="21" t="s">
        <v>1262</v>
      </c>
      <c r="I49" s="39" t="str">
        <f ca="1">IFERROR(__xludf.DUMMYFUNCTION("IF(SUM(COUNTIF(artists!A:A, SPLIT(D49, "",""))) &gt; 0, ""UA"", 0)"),"UA")</f>
        <v>UA</v>
      </c>
      <c r="J49" s="40">
        <f ca="1">IFERROR(__xludf.DUMMYFUNCTION("IF(SUM(COUNTIF(artists!C:C, SPLIT(D49, "",""))) &gt; 0, ""RU"", 0)"),0)</f>
        <v>0</v>
      </c>
      <c r="K49" s="39">
        <f ca="1">IFERROR(__xludf.DUMMYFUNCTION("IF(SUM(COUNTIF(artists!E:E, SPLIT(D49, "",""))) &gt; 0, ""OTHER"", 0)"),0)</f>
        <v>0</v>
      </c>
    </row>
    <row r="50" spans="1:11" ht="14.25" customHeight="1">
      <c r="A50" s="21">
        <v>49</v>
      </c>
      <c r="C50" s="21" t="s">
        <v>1381</v>
      </c>
      <c r="D50" s="21" t="s">
        <v>969</v>
      </c>
      <c r="E50" s="21">
        <v>21</v>
      </c>
      <c r="F50" s="21">
        <v>263284</v>
      </c>
      <c r="H50" s="21" t="s">
        <v>1382</v>
      </c>
      <c r="I50" s="39" t="str">
        <f ca="1">IFERROR(__xludf.DUMMYFUNCTION("IF(SUM(COUNTIF(artists!A:A, SPLIT(D50, "",""))) &gt; 0, ""UA"", 0)"),"UA")</f>
        <v>UA</v>
      </c>
      <c r="J50" s="40">
        <f ca="1">IFERROR(__xludf.DUMMYFUNCTION("IF(SUM(COUNTIF(artists!C:C, SPLIT(D50, "",""))) &gt; 0, ""RU"", 0)"),0)</f>
        <v>0</v>
      </c>
      <c r="K50" s="39">
        <f ca="1">IFERROR(__xludf.DUMMYFUNCTION("IF(SUM(COUNTIF(artists!E:E, SPLIT(D50, "",""))) &gt; 0, ""OTHER"", 0)"),0)</f>
        <v>0</v>
      </c>
    </row>
    <row r="51" spans="1:11" ht="14.25" customHeight="1">
      <c r="A51" s="21">
        <v>50</v>
      </c>
      <c r="B51" s="21">
        <v>43</v>
      </c>
      <c r="C51" s="21" t="s">
        <v>1287</v>
      </c>
      <c r="D51" s="21" t="s">
        <v>1288</v>
      </c>
      <c r="E51" s="21">
        <v>17</v>
      </c>
      <c r="F51" s="21">
        <v>258826</v>
      </c>
      <c r="G51" s="42">
        <v>-0.106</v>
      </c>
      <c r="H51" s="21" t="s">
        <v>1289</v>
      </c>
      <c r="I51" s="39">
        <f ca="1">IFERROR(__xludf.DUMMYFUNCTION("IF(SUM(COUNTIF(artists!A:A, SPLIT(D51, "",""))) &gt; 0, ""UA"", 0)"),0)</f>
        <v>0</v>
      </c>
      <c r="J51" s="40">
        <f ca="1">IFERROR(__xludf.DUMMYFUNCTION("IF(SUM(COUNTIF(artists!C:C, SPLIT(D51, "",""))) &gt; 0, ""RU"", 0)"),0)</f>
        <v>0</v>
      </c>
      <c r="K51" s="39" t="str">
        <f ca="1">IFERROR(__xludf.DUMMYFUNCTION("IF(SUM(COUNTIF(artists!E:E, SPLIT(D51, "",""))) &gt; 0, ""OTHER"", 0)"),"OTHER")</f>
        <v>OTHER</v>
      </c>
    </row>
    <row r="52" spans="1:11" ht="14.25" customHeight="1">
      <c r="A52" s="21">
        <v>51</v>
      </c>
      <c r="C52" s="21" t="s">
        <v>841</v>
      </c>
      <c r="D52" s="21" t="s">
        <v>842</v>
      </c>
      <c r="E52" s="21">
        <v>22</v>
      </c>
      <c r="F52" s="21">
        <v>255381</v>
      </c>
      <c r="H52" s="21" t="s">
        <v>843</v>
      </c>
      <c r="I52" s="39">
        <f ca="1">IFERROR(__xludf.DUMMYFUNCTION("IF(SUM(COUNTIF(artists!A:A, SPLIT(D52, "",""))) &gt; 0, ""UA"", 0)"),0)</f>
        <v>0</v>
      </c>
      <c r="J52" s="40">
        <f ca="1">IFERROR(__xludf.DUMMYFUNCTION("IF(SUM(COUNTIF(artists!C:C, SPLIT(D52, "",""))) &gt; 0, ""RU"", 0)"),0)</f>
        <v>0</v>
      </c>
      <c r="K52" s="39" t="str">
        <f ca="1">IFERROR(__xludf.DUMMYFUNCTION("IF(SUM(COUNTIF(artists!E:E, SPLIT(D52, "",""))) &gt; 0, ""OTHER"", 0)"),"OTHER")</f>
        <v>OTHER</v>
      </c>
    </row>
    <row r="53" spans="1:11" ht="14.25" customHeight="1">
      <c r="A53" s="21">
        <v>52</v>
      </c>
      <c r="B53" s="21">
        <v>52</v>
      </c>
      <c r="C53" s="21" t="s">
        <v>874</v>
      </c>
      <c r="D53" s="21" t="s">
        <v>108</v>
      </c>
      <c r="E53" s="21">
        <v>6</v>
      </c>
      <c r="F53" s="21">
        <v>253932</v>
      </c>
      <c r="G53" s="42">
        <v>-1.2999999999999999E-2</v>
      </c>
      <c r="H53" s="21" t="s">
        <v>875</v>
      </c>
      <c r="I53" s="39" t="str">
        <f ca="1">IFERROR(__xludf.DUMMYFUNCTION("IF(SUM(COUNTIF(artists!A:A, SPLIT(D53, "",""))) &gt; 0, ""UA"", 0)"),"UA")</f>
        <v>UA</v>
      </c>
      <c r="J53" s="40">
        <f ca="1">IFERROR(__xludf.DUMMYFUNCTION("IF(SUM(COUNTIF(artists!C:C, SPLIT(D53, "",""))) &gt; 0, ""RU"", 0)"),0)</f>
        <v>0</v>
      </c>
      <c r="K53" s="39">
        <f ca="1">IFERROR(__xludf.DUMMYFUNCTION("IF(SUM(COUNTIF(artists!E:E, SPLIT(D53, "",""))) &gt; 0, ""OTHER"", 0)"),0)</f>
        <v>0</v>
      </c>
    </row>
    <row r="54" spans="1:11" ht="14.25" customHeight="1">
      <c r="A54" s="21">
        <v>53</v>
      </c>
      <c r="B54" s="21">
        <v>57</v>
      </c>
      <c r="C54" s="21" t="s">
        <v>1073</v>
      </c>
      <c r="D54" s="21" t="s">
        <v>1074</v>
      </c>
      <c r="E54" s="21">
        <v>2</v>
      </c>
      <c r="F54" s="21">
        <v>247804</v>
      </c>
      <c r="G54" s="43">
        <v>0.03</v>
      </c>
      <c r="H54" s="21" t="s">
        <v>1075</v>
      </c>
      <c r="I54" s="39" t="str">
        <f ca="1">IFERROR(__xludf.DUMMYFUNCTION("IF(SUM(COUNTIF(artists!A:A, SPLIT(D54, "",""))) &gt; 0, ""UA"", 0)"),"UA")</f>
        <v>UA</v>
      </c>
      <c r="J54" s="40">
        <f ca="1">IFERROR(__xludf.DUMMYFUNCTION("IF(SUM(COUNTIF(artists!C:C, SPLIT(D54, "",""))) &gt; 0, ""RU"", 0)"),0)</f>
        <v>0</v>
      </c>
      <c r="K54" s="39">
        <f ca="1">IFERROR(__xludf.DUMMYFUNCTION("IF(SUM(COUNTIF(artists!E:E, SPLIT(D54, "",""))) &gt; 0, ""OTHER"", 0)"),0)</f>
        <v>0</v>
      </c>
    </row>
    <row r="55" spans="1:11" ht="14.25" customHeight="1">
      <c r="A55" s="21">
        <v>54</v>
      </c>
      <c r="B55" s="21">
        <v>71</v>
      </c>
      <c r="C55" s="21" t="s">
        <v>1383</v>
      </c>
      <c r="D55" s="21" t="s">
        <v>463</v>
      </c>
      <c r="E55" s="21">
        <v>21</v>
      </c>
      <c r="F55" s="21">
        <v>242336</v>
      </c>
      <c r="G55" s="42">
        <v>0.29099999999999998</v>
      </c>
      <c r="H55" s="21" t="s">
        <v>1384</v>
      </c>
      <c r="I55" s="39" t="str">
        <f ca="1">IFERROR(__xludf.DUMMYFUNCTION("IF(SUM(COUNTIF(artists!A:A, SPLIT(D55, "",""))) &gt; 0, ""UA"", 0)"),"UA")</f>
        <v>UA</v>
      </c>
      <c r="J55" s="40">
        <f ca="1">IFERROR(__xludf.DUMMYFUNCTION("IF(SUM(COUNTIF(artists!C:C, SPLIT(D55, "",""))) &gt; 0, ""RU"", 0)"),0)</f>
        <v>0</v>
      </c>
      <c r="K55" s="39">
        <f ca="1">IFERROR(__xludf.DUMMYFUNCTION("IF(SUM(COUNTIF(artists!E:E, SPLIT(D55, "",""))) &gt; 0, ""OTHER"", 0)"),0)</f>
        <v>0</v>
      </c>
    </row>
    <row r="56" spans="1:11" ht="14.25" customHeight="1">
      <c r="A56" s="21">
        <v>55</v>
      </c>
      <c r="B56" s="21">
        <v>54</v>
      </c>
      <c r="C56" s="21" t="s">
        <v>1332</v>
      </c>
      <c r="D56" s="21" t="s">
        <v>1333</v>
      </c>
      <c r="E56" s="21">
        <v>18</v>
      </c>
      <c r="F56" s="21">
        <v>239322</v>
      </c>
      <c r="G56" s="42">
        <v>-4.1000000000000002E-2</v>
      </c>
      <c r="H56" s="21" t="s">
        <v>1334</v>
      </c>
      <c r="I56" s="39" t="str">
        <f ca="1">IFERROR(__xludf.DUMMYFUNCTION("IF(SUM(COUNTIF(artists!A:A, SPLIT(D56, "",""))) &gt; 0, ""UA"", 0)"),"UA")</f>
        <v>UA</v>
      </c>
      <c r="J56" s="40">
        <f ca="1">IFERROR(__xludf.DUMMYFUNCTION("IF(SUM(COUNTIF(artists!C:C, SPLIT(D56, "",""))) &gt; 0, ""RU"", 0)"),0)</f>
        <v>0</v>
      </c>
      <c r="K56" s="39">
        <f ca="1">IFERROR(__xludf.DUMMYFUNCTION("IF(SUM(COUNTIF(artists!E:E, SPLIT(D56, "",""))) &gt; 0, ""OTHER"", 0)"),0)</f>
        <v>0</v>
      </c>
    </row>
    <row r="57" spans="1:11" ht="14.25" customHeight="1">
      <c r="A57" s="21">
        <v>56</v>
      </c>
      <c r="B57" s="21">
        <v>55</v>
      </c>
      <c r="C57" s="21" t="s">
        <v>616</v>
      </c>
      <c r="D57" s="21" t="s">
        <v>617</v>
      </c>
      <c r="E57" s="21">
        <v>6</v>
      </c>
      <c r="F57" s="21">
        <v>235584</v>
      </c>
      <c r="G57" s="42">
        <v>-5.2999999999999999E-2</v>
      </c>
      <c r="H57" s="21" t="s">
        <v>618</v>
      </c>
      <c r="I57" s="39">
        <f ca="1">IFERROR(__xludf.DUMMYFUNCTION("IF(SUM(COUNTIF(artists!A:A, SPLIT(D57, "",""))) &gt; 0, ""UA"", 0)"),0)</f>
        <v>0</v>
      </c>
      <c r="J57" s="40">
        <f ca="1">IFERROR(__xludf.DUMMYFUNCTION("IF(SUM(COUNTIF(artists!C:C, SPLIT(D57, "",""))) &gt; 0, ""RU"", 0)"),0)</f>
        <v>0</v>
      </c>
      <c r="K57" s="39" t="str">
        <f ca="1">IFERROR(__xludf.DUMMYFUNCTION("IF(SUM(COUNTIF(artists!E:E, SPLIT(D57, "",""))) &gt; 0, ""OTHER"", 0)"),"OTHER")</f>
        <v>OTHER</v>
      </c>
    </row>
    <row r="58" spans="1:11" ht="14.25" customHeight="1">
      <c r="A58" s="21">
        <v>57</v>
      </c>
      <c r="B58" s="21">
        <v>50</v>
      </c>
      <c r="C58" s="21" t="s">
        <v>1214</v>
      </c>
      <c r="D58" s="21" t="s">
        <v>1117</v>
      </c>
      <c r="E58" s="21">
        <v>5</v>
      </c>
      <c r="F58" s="21">
        <v>230879</v>
      </c>
      <c r="G58" s="43">
        <v>-0.13</v>
      </c>
      <c r="H58" s="21" t="s">
        <v>1215</v>
      </c>
      <c r="I58" s="39">
        <f ca="1">IFERROR(__xludf.DUMMYFUNCTION("IF(SUM(COUNTIF(artists!A:A, SPLIT(D58, "",""))) &gt; 0, ""UA"", 0)"),0)</f>
        <v>0</v>
      </c>
      <c r="J58" s="40" t="str">
        <f ca="1">IFERROR(__xludf.DUMMYFUNCTION("IF(SUM(COUNTIF(artists!C:C, SPLIT(D58, "",""))) &gt; 0, ""RU"", 0)"),"RU")</f>
        <v>RU</v>
      </c>
      <c r="K58" s="39">
        <f ca="1">IFERROR(__xludf.DUMMYFUNCTION("IF(SUM(COUNTIF(artists!E:E, SPLIT(D58, "",""))) &gt; 0, ""OTHER"", 0)"),0)</f>
        <v>0</v>
      </c>
    </row>
    <row r="59" spans="1:11" ht="14.25" customHeight="1">
      <c r="A59" s="21">
        <v>58</v>
      </c>
      <c r="B59" s="21">
        <v>61</v>
      </c>
      <c r="C59" s="21" t="s">
        <v>589</v>
      </c>
      <c r="D59" s="21" t="s">
        <v>590</v>
      </c>
      <c r="E59" s="21">
        <v>4</v>
      </c>
      <c r="F59" s="21">
        <v>228197</v>
      </c>
      <c r="G59" s="42">
        <v>7.0000000000000001E-3</v>
      </c>
      <c r="H59" s="21" t="s">
        <v>591</v>
      </c>
      <c r="I59" s="39" t="str">
        <f ca="1">IFERROR(__xludf.DUMMYFUNCTION("IF(SUM(COUNTIF(artists!A:A, SPLIT(D59, "",""))) &gt; 0, ""UA"", 0)"),"UA")</f>
        <v>UA</v>
      </c>
      <c r="J59" s="40">
        <f ca="1">IFERROR(__xludf.DUMMYFUNCTION("IF(SUM(COUNTIF(artists!C:C, SPLIT(D59, "",""))) &gt; 0, ""RU"", 0)"),0)</f>
        <v>0</v>
      </c>
      <c r="K59" s="39">
        <f ca="1">IFERROR(__xludf.DUMMYFUNCTION("IF(SUM(COUNTIF(artists!E:E, SPLIT(D59, "",""))) &gt; 0, ""OTHER"", 0)"),0)</f>
        <v>0</v>
      </c>
    </row>
    <row r="60" spans="1:11" ht="14.25" customHeight="1">
      <c r="A60" s="21">
        <v>59</v>
      </c>
      <c r="B60" s="21">
        <v>75</v>
      </c>
      <c r="C60" s="21" t="s">
        <v>1222</v>
      </c>
      <c r="D60" s="21" t="s">
        <v>1223</v>
      </c>
      <c r="E60" s="21">
        <v>23</v>
      </c>
      <c r="F60" s="21">
        <v>226621</v>
      </c>
      <c r="G60" s="42">
        <v>0.24399999999999999</v>
      </c>
      <c r="H60" s="21" t="s">
        <v>1224</v>
      </c>
      <c r="I60" s="39">
        <f ca="1">IFERROR(__xludf.DUMMYFUNCTION("IF(SUM(COUNTIF(artists!A:A, SPLIT(D60, "",""))) &gt; 0, ""UA"", 0)"),0)</f>
        <v>0</v>
      </c>
      <c r="J60" s="40" t="str">
        <f ca="1">IFERROR(__xludf.DUMMYFUNCTION("IF(SUM(COUNTIF(artists!C:C, SPLIT(D60, "",""))) &gt; 0, ""RU"", 0)"),"RU")</f>
        <v>RU</v>
      </c>
      <c r="K60" s="39">
        <f ca="1">IFERROR(__xludf.DUMMYFUNCTION("IF(SUM(COUNTIF(artists!E:E, SPLIT(D60, "",""))) &gt; 0, ""OTHER"", 0)"),0)</f>
        <v>0</v>
      </c>
    </row>
    <row r="61" spans="1:11" ht="14.25" customHeight="1">
      <c r="A61" s="21">
        <v>60</v>
      </c>
      <c r="B61" s="21">
        <v>51</v>
      </c>
      <c r="C61" s="21" t="s">
        <v>1175</v>
      </c>
      <c r="D61" s="21" t="s">
        <v>1176</v>
      </c>
      <c r="E61" s="21">
        <v>7</v>
      </c>
      <c r="F61" s="21">
        <v>216001</v>
      </c>
      <c r="G61" s="42">
        <v>-0.17799999999999999</v>
      </c>
      <c r="H61" s="21" t="s">
        <v>1177</v>
      </c>
      <c r="I61" s="39">
        <f ca="1">IFERROR(__xludf.DUMMYFUNCTION("IF(SUM(COUNTIF(artists!A:A, SPLIT(D61, "",""))) &gt; 0, ""UA"", 0)"),0)</f>
        <v>0</v>
      </c>
      <c r="J61" s="40" t="str">
        <f ca="1">IFERROR(__xludf.DUMMYFUNCTION("IF(SUM(COUNTIF(artists!C:C, SPLIT(D61, "",""))) &gt; 0, ""RU"", 0)"),"RU")</f>
        <v>RU</v>
      </c>
      <c r="K61" s="39">
        <f ca="1">IFERROR(__xludf.DUMMYFUNCTION("IF(SUM(COUNTIF(artists!E:E, SPLIT(D61, "",""))) &gt; 0, ""OTHER"", 0)"),0)</f>
        <v>0</v>
      </c>
    </row>
    <row r="62" spans="1:11" ht="14.25" customHeight="1">
      <c r="A62" s="21">
        <v>61</v>
      </c>
      <c r="B62" s="21">
        <v>53</v>
      </c>
      <c r="C62" s="21" t="s">
        <v>636</v>
      </c>
      <c r="D62" s="21" t="s">
        <v>637</v>
      </c>
      <c r="E62" s="21">
        <v>16</v>
      </c>
      <c r="F62" s="21">
        <v>215917</v>
      </c>
      <c r="G62" s="42">
        <v>-0.154</v>
      </c>
      <c r="H62" s="21" t="s">
        <v>638</v>
      </c>
      <c r="I62" s="39">
        <f ca="1">IFERROR(__xludf.DUMMYFUNCTION("IF(SUM(COUNTIF(artists!A:A, SPLIT(D62, "",""))) &gt; 0, ""UA"", 0)"),0)</f>
        <v>0</v>
      </c>
      <c r="J62" s="40">
        <f ca="1">IFERROR(__xludf.DUMMYFUNCTION("IF(SUM(COUNTIF(artists!C:C, SPLIT(D62, "",""))) &gt; 0, ""RU"", 0)"),0)</f>
        <v>0</v>
      </c>
      <c r="K62" s="39" t="str">
        <f ca="1">IFERROR(__xludf.DUMMYFUNCTION("IF(SUM(COUNTIF(artists!E:E, SPLIT(D62, "",""))) &gt; 0, ""OTHER"", 0)"),"OTHER")</f>
        <v>OTHER</v>
      </c>
    </row>
    <row r="63" spans="1:11" ht="14.25" customHeight="1">
      <c r="A63" s="21">
        <v>62</v>
      </c>
      <c r="B63" s="21">
        <v>59</v>
      </c>
      <c r="C63" s="21" t="s">
        <v>1182</v>
      </c>
      <c r="D63" s="21" t="s">
        <v>466</v>
      </c>
      <c r="E63" s="21">
        <v>18</v>
      </c>
      <c r="F63" s="21">
        <v>213988</v>
      </c>
      <c r="G63" s="42">
        <v>-7.9000000000000001E-2</v>
      </c>
      <c r="H63" s="21" t="s">
        <v>1183</v>
      </c>
      <c r="I63" s="39" t="str">
        <f ca="1">IFERROR(__xludf.DUMMYFUNCTION("IF(SUM(COUNTIF(artists!A:A, SPLIT(D63, "",""))) &gt; 0, ""UA"", 0)"),"UA")</f>
        <v>UA</v>
      </c>
      <c r="J63" s="40">
        <f ca="1">IFERROR(__xludf.DUMMYFUNCTION("IF(SUM(COUNTIF(artists!C:C, SPLIT(D63, "",""))) &gt; 0, ""RU"", 0)"),0)</f>
        <v>0</v>
      </c>
      <c r="K63" s="39">
        <f ca="1">IFERROR(__xludf.DUMMYFUNCTION("IF(SUM(COUNTIF(artists!E:E, SPLIT(D63, "",""))) &gt; 0, ""OTHER"", 0)"),0)</f>
        <v>0</v>
      </c>
    </row>
    <row r="64" spans="1:11" ht="14.25" customHeight="1">
      <c r="A64" s="21">
        <v>63</v>
      </c>
      <c r="B64" s="21">
        <v>47</v>
      </c>
      <c r="C64" s="21" t="s">
        <v>1211</v>
      </c>
      <c r="D64" s="21" t="s">
        <v>1212</v>
      </c>
      <c r="E64" s="21">
        <v>3</v>
      </c>
      <c r="F64" s="21">
        <v>213415</v>
      </c>
      <c r="G64" s="42">
        <v>-0.216</v>
      </c>
      <c r="H64" s="21" t="s">
        <v>1213</v>
      </c>
      <c r="I64" s="39">
        <f ca="1">IFERROR(__xludf.DUMMYFUNCTION("IF(SUM(COUNTIF(artists!A:A, SPLIT(D64, "",""))) &gt; 0, ""UA"", 0)"),0)</f>
        <v>0</v>
      </c>
      <c r="J64" s="40" t="str">
        <f ca="1">IFERROR(__xludf.DUMMYFUNCTION("IF(SUM(COUNTIF(artists!C:C, SPLIT(D64, "",""))) &gt; 0, ""RU"", 0)"),"RU")</f>
        <v>RU</v>
      </c>
      <c r="K64" s="39">
        <f ca="1">IFERROR(__xludf.DUMMYFUNCTION("IF(SUM(COUNTIF(artists!E:E, SPLIT(D64, "",""))) &gt; 0, ""OTHER"", 0)"),0)</f>
        <v>0</v>
      </c>
    </row>
    <row r="65" spans="1:11" ht="14.25" customHeight="1">
      <c r="A65" s="21">
        <v>64</v>
      </c>
      <c r="B65" s="21">
        <v>58</v>
      </c>
      <c r="C65" s="21" t="s">
        <v>1284</v>
      </c>
      <c r="D65" s="21" t="s">
        <v>1285</v>
      </c>
      <c r="E65" s="21">
        <v>17</v>
      </c>
      <c r="F65" s="21">
        <v>207099</v>
      </c>
      <c r="G65" s="42">
        <v>-0.128</v>
      </c>
      <c r="H65" s="21" t="s">
        <v>1286</v>
      </c>
      <c r="I65" s="39">
        <f ca="1">IFERROR(__xludf.DUMMYFUNCTION("IF(SUM(COUNTIF(artists!A:A, SPLIT(D65, "",""))) &gt; 0, ""UA"", 0)"),0)</f>
        <v>0</v>
      </c>
      <c r="J65" s="40" t="str">
        <f ca="1">IFERROR(__xludf.DUMMYFUNCTION("IF(SUM(COUNTIF(artists!C:C, SPLIT(D65, "",""))) &gt; 0, ""RU"", 0)"),"RU")</f>
        <v>RU</v>
      </c>
      <c r="K65" s="39">
        <f ca="1">IFERROR(__xludf.DUMMYFUNCTION("IF(SUM(COUNTIF(artists!E:E, SPLIT(D65, "",""))) &gt; 0, ""OTHER"", 0)"),0)</f>
        <v>0</v>
      </c>
    </row>
    <row r="66" spans="1:11" ht="14.25" customHeight="1">
      <c r="A66" s="21">
        <v>65</v>
      </c>
      <c r="B66" s="21">
        <v>62</v>
      </c>
      <c r="C66" s="21" t="s">
        <v>1290</v>
      </c>
      <c r="D66" s="21" t="s">
        <v>942</v>
      </c>
      <c r="E66" s="21">
        <v>20</v>
      </c>
      <c r="F66" s="21">
        <v>204414</v>
      </c>
      <c r="G66" s="42">
        <v>-8.2000000000000003E-2</v>
      </c>
      <c r="H66" s="21" t="s">
        <v>1291</v>
      </c>
      <c r="I66" s="39" t="str">
        <f ca="1">IFERROR(__xludf.DUMMYFUNCTION("IF(SUM(COUNTIF(artists!A:A, SPLIT(D66, "",""))) &gt; 0, ""UA"", 0)"),"UA")</f>
        <v>UA</v>
      </c>
      <c r="J66" s="40">
        <f ca="1">IFERROR(__xludf.DUMMYFUNCTION("IF(SUM(COUNTIF(artists!C:C, SPLIT(D66, "",""))) &gt; 0, ""RU"", 0)"),0)</f>
        <v>0</v>
      </c>
      <c r="K66" s="39">
        <f ca="1">IFERROR(__xludf.DUMMYFUNCTION("IF(SUM(COUNTIF(artists!E:E, SPLIT(D66, "",""))) &gt; 0, ""OTHER"", 0)"),0)</f>
        <v>0</v>
      </c>
    </row>
    <row r="67" spans="1:11" ht="14.25" customHeight="1">
      <c r="A67" s="21">
        <v>66</v>
      </c>
      <c r="B67" s="21">
        <v>45</v>
      </c>
      <c r="C67" s="21" t="s">
        <v>1366</v>
      </c>
      <c r="D67" s="21" t="s">
        <v>1367</v>
      </c>
      <c r="E67" s="21">
        <v>5</v>
      </c>
      <c r="F67" s="21">
        <v>202314</v>
      </c>
      <c r="G67" s="42">
        <v>-0.28100000000000003</v>
      </c>
      <c r="H67" s="21" t="s">
        <v>1368</v>
      </c>
      <c r="I67" s="39">
        <f ca="1">IFERROR(__xludf.DUMMYFUNCTION("IF(SUM(COUNTIF(artists!A:A, SPLIT(D67, "",""))) &gt; 0, ""UA"", 0)"),0)</f>
        <v>0</v>
      </c>
      <c r="J67" s="40" t="str">
        <f ca="1">IFERROR(__xludf.DUMMYFUNCTION("IF(SUM(COUNTIF(artists!C:C, SPLIT(D67, "",""))) &gt; 0, ""RU"", 0)"),"RU")</f>
        <v>RU</v>
      </c>
      <c r="K67" s="39">
        <f ca="1">IFERROR(__xludf.DUMMYFUNCTION("IF(SUM(COUNTIF(artists!E:E, SPLIT(D67, "",""))) &gt; 0, ""OTHER"", 0)"),0)</f>
        <v>0</v>
      </c>
    </row>
    <row r="68" spans="1:11" ht="14.25" customHeight="1">
      <c r="A68" s="21">
        <v>67</v>
      </c>
      <c r="B68" s="21">
        <v>66</v>
      </c>
      <c r="C68" s="21" t="s">
        <v>1323</v>
      </c>
      <c r="D68" s="21" t="s">
        <v>230</v>
      </c>
      <c r="E68" s="21">
        <v>8</v>
      </c>
      <c r="F68" s="21">
        <v>200840</v>
      </c>
      <c r="G68" s="42">
        <v>-4.8000000000000001E-2</v>
      </c>
      <c r="H68" s="21" t="s">
        <v>1324</v>
      </c>
      <c r="I68" s="39" t="str">
        <f ca="1">IFERROR(__xludf.DUMMYFUNCTION("IF(SUM(COUNTIF(artists!A:A, SPLIT(D68, "",""))) &gt; 0, ""UA"", 0)"),"UA")</f>
        <v>UA</v>
      </c>
      <c r="J68" s="40">
        <f ca="1">IFERROR(__xludf.DUMMYFUNCTION("IF(SUM(COUNTIF(artists!C:C, SPLIT(D68, "",""))) &gt; 0, ""RU"", 0)"),0)</f>
        <v>0</v>
      </c>
      <c r="K68" s="39">
        <f ca="1">IFERROR(__xludf.DUMMYFUNCTION("IF(SUM(COUNTIF(artists!E:E, SPLIT(D68, "",""))) &gt; 0, ""OTHER"", 0)"),0)</f>
        <v>0</v>
      </c>
    </row>
    <row r="69" spans="1:11" ht="14.25" customHeight="1">
      <c r="A69" s="21">
        <v>68</v>
      </c>
      <c r="B69" s="21">
        <v>74</v>
      </c>
      <c r="C69" s="21" t="s">
        <v>678</v>
      </c>
      <c r="D69" s="21" t="s">
        <v>89</v>
      </c>
      <c r="E69" s="21">
        <v>14</v>
      </c>
      <c r="F69" s="21">
        <v>199845</v>
      </c>
      <c r="G69" s="42">
        <v>8.6999999999999994E-2</v>
      </c>
      <c r="H69" s="21" t="s">
        <v>679</v>
      </c>
      <c r="I69" s="39" t="str">
        <f ca="1">IFERROR(__xludf.DUMMYFUNCTION("IF(SUM(COUNTIF(artists!A:A, SPLIT(D69, "",""))) &gt; 0, ""UA"", 0)"),"UA")</f>
        <v>UA</v>
      </c>
      <c r="J69" s="40">
        <f ca="1">IFERROR(__xludf.DUMMYFUNCTION("IF(SUM(COUNTIF(artists!C:C, SPLIT(D69, "",""))) &gt; 0, ""RU"", 0)"),0)</f>
        <v>0</v>
      </c>
      <c r="K69" s="39">
        <f ca="1">IFERROR(__xludf.DUMMYFUNCTION("IF(SUM(COUNTIF(artists!E:E, SPLIT(D69, "",""))) &gt; 0, ""OTHER"", 0)"),0)</f>
        <v>0</v>
      </c>
    </row>
    <row r="70" spans="1:11" ht="14.25" customHeight="1">
      <c r="A70" s="21">
        <v>69</v>
      </c>
      <c r="B70" s="21">
        <v>67</v>
      </c>
      <c r="C70" s="21" t="s">
        <v>1249</v>
      </c>
      <c r="D70" s="21" t="s">
        <v>187</v>
      </c>
      <c r="E70" s="21">
        <v>8</v>
      </c>
      <c r="F70" s="21">
        <v>199069</v>
      </c>
      <c r="G70" s="42">
        <v>-4.2000000000000003E-2</v>
      </c>
      <c r="H70" s="21" t="s">
        <v>1250</v>
      </c>
      <c r="I70" s="39" t="str">
        <f ca="1">IFERROR(__xludf.DUMMYFUNCTION("IF(SUM(COUNTIF(artists!A:A, SPLIT(D70, "",""))) &gt; 0, ""UA"", 0)"),"UA")</f>
        <v>UA</v>
      </c>
      <c r="J70" s="40">
        <f ca="1">IFERROR(__xludf.DUMMYFUNCTION("IF(SUM(COUNTIF(artists!C:C, SPLIT(D70, "",""))) &gt; 0, ""RU"", 0)"),0)</f>
        <v>0</v>
      </c>
      <c r="K70" s="39">
        <f ca="1">IFERROR(__xludf.DUMMYFUNCTION("IF(SUM(COUNTIF(artists!E:E, SPLIT(D70, "",""))) &gt; 0, ""OTHER"", 0)"),0)</f>
        <v>0</v>
      </c>
    </row>
    <row r="71" spans="1:11" ht="14.25" customHeight="1">
      <c r="A71" s="21">
        <v>70</v>
      </c>
      <c r="B71" s="21">
        <v>64</v>
      </c>
      <c r="C71" s="21" t="s">
        <v>516</v>
      </c>
      <c r="D71" s="21" t="s">
        <v>517</v>
      </c>
      <c r="E71" s="21">
        <v>14</v>
      </c>
      <c r="F71" s="21">
        <v>198970</v>
      </c>
      <c r="G71" s="42">
        <v>-8.2000000000000003E-2</v>
      </c>
      <c r="H71" s="21" t="s">
        <v>518</v>
      </c>
      <c r="I71" s="39">
        <f ca="1">IFERROR(__xludf.DUMMYFUNCTION("IF(SUM(COUNTIF(artists!A:A, SPLIT(D71, "",""))) &gt; 0, ""UA"", 0)"),0)</f>
        <v>0</v>
      </c>
      <c r="J71" s="40">
        <f ca="1">IFERROR(__xludf.DUMMYFUNCTION("IF(SUM(COUNTIF(artists!C:C, SPLIT(D71, "",""))) &gt; 0, ""RU"", 0)"),0)</f>
        <v>0</v>
      </c>
      <c r="K71" s="39" t="str">
        <f ca="1">IFERROR(__xludf.DUMMYFUNCTION("IF(SUM(COUNTIF(artists!E:E, SPLIT(D71, "",""))) &gt; 0, ""OTHER"", 0)"),"OTHER")</f>
        <v>OTHER</v>
      </c>
    </row>
    <row r="72" spans="1:11" ht="14.25" customHeight="1">
      <c r="A72" s="21">
        <v>71</v>
      </c>
      <c r="C72" s="21" t="s">
        <v>251</v>
      </c>
      <c r="D72" s="21" t="s">
        <v>133</v>
      </c>
      <c r="E72" s="21">
        <v>1</v>
      </c>
      <c r="F72" s="21">
        <v>197088</v>
      </c>
      <c r="H72" s="21" t="s">
        <v>252</v>
      </c>
      <c r="I72" s="39" t="str">
        <f ca="1">IFERROR(__xludf.DUMMYFUNCTION("IF(SUM(COUNTIF(artists!A:A, SPLIT(D72, "",""))) &gt; 0, ""UA"", 0)"),"UA")</f>
        <v>UA</v>
      </c>
      <c r="J72" s="40">
        <f ca="1">IFERROR(__xludf.DUMMYFUNCTION("IF(SUM(COUNTIF(artists!C:C, SPLIT(D72, "",""))) &gt; 0, ""RU"", 0)"),0)</f>
        <v>0</v>
      </c>
      <c r="K72" s="39">
        <f ca="1">IFERROR(__xludf.DUMMYFUNCTION("IF(SUM(COUNTIF(artists!E:E, SPLIT(D72, "",""))) &gt; 0, ""OTHER"", 0)"),0)</f>
        <v>0</v>
      </c>
    </row>
    <row r="73" spans="1:11" ht="14.25" customHeight="1">
      <c r="A73" s="21">
        <v>72</v>
      </c>
      <c r="B73" s="21">
        <v>77</v>
      </c>
      <c r="C73" s="21" t="s">
        <v>1300</v>
      </c>
      <c r="D73" s="21" t="s">
        <v>1074</v>
      </c>
      <c r="E73" s="21">
        <v>7</v>
      </c>
      <c r="F73" s="21">
        <v>195493</v>
      </c>
      <c r="G73" s="42">
        <v>8.2000000000000003E-2</v>
      </c>
      <c r="H73" s="21" t="s">
        <v>1301</v>
      </c>
      <c r="I73" s="39" t="str">
        <f ca="1">IFERROR(__xludf.DUMMYFUNCTION("IF(SUM(COUNTIF(artists!A:A, SPLIT(D73, "",""))) &gt; 0, ""UA"", 0)"),"UA")</f>
        <v>UA</v>
      </c>
      <c r="J73" s="40">
        <f ca="1">IFERROR(__xludf.DUMMYFUNCTION("IF(SUM(COUNTIF(artists!C:C, SPLIT(D73, "",""))) &gt; 0, ""RU"", 0)"),0)</f>
        <v>0</v>
      </c>
      <c r="K73" s="39">
        <f ca="1">IFERROR(__xludf.DUMMYFUNCTION("IF(SUM(COUNTIF(artists!E:E, SPLIT(D73, "",""))) &gt; 0, ""OTHER"", 0)"),0)</f>
        <v>0</v>
      </c>
    </row>
    <row r="74" spans="1:11" ht="14.25" customHeight="1">
      <c r="A74" s="21">
        <v>73</v>
      </c>
      <c r="B74" s="21">
        <v>68</v>
      </c>
      <c r="C74" s="21" t="s">
        <v>1343</v>
      </c>
      <c r="D74" s="21" t="s">
        <v>1344</v>
      </c>
      <c r="E74" s="21">
        <v>11</v>
      </c>
      <c r="F74" s="21">
        <v>190561</v>
      </c>
      <c r="G74" s="43">
        <v>0</v>
      </c>
      <c r="H74" s="21" t="s">
        <v>1345</v>
      </c>
      <c r="I74" s="39" t="str">
        <f ca="1">IFERROR(__xludf.DUMMYFUNCTION("IF(SUM(COUNTIF(artists!A:A, SPLIT(D74, "",""))) &gt; 0, ""UA"", 0)"),"UA")</f>
        <v>UA</v>
      </c>
      <c r="J74" s="40">
        <f ca="1">IFERROR(__xludf.DUMMYFUNCTION("IF(SUM(COUNTIF(artists!C:C, SPLIT(D74, "",""))) &gt; 0, ""RU"", 0)"),0)</f>
        <v>0</v>
      </c>
      <c r="K74" s="39">
        <f ca="1">IFERROR(__xludf.DUMMYFUNCTION("IF(SUM(COUNTIF(artists!E:E, SPLIT(D74, "",""))) &gt; 0, ""OTHER"", 0)"),0)</f>
        <v>0</v>
      </c>
    </row>
    <row r="75" spans="1:11" ht="14.25" customHeight="1">
      <c r="A75" s="21">
        <v>74</v>
      </c>
      <c r="B75" s="21">
        <v>56</v>
      </c>
      <c r="C75" s="21" t="s">
        <v>1364</v>
      </c>
      <c r="D75" s="21" t="s">
        <v>104</v>
      </c>
      <c r="E75" s="21">
        <v>6</v>
      </c>
      <c r="F75" s="21">
        <v>188020</v>
      </c>
      <c r="G75" s="42">
        <v>-0.219</v>
      </c>
      <c r="H75" s="21" t="s">
        <v>1365</v>
      </c>
      <c r="I75" s="39" t="str">
        <f ca="1">IFERROR(__xludf.DUMMYFUNCTION("IF(SUM(COUNTIF(artists!A:A, SPLIT(D75, "",""))) &gt; 0, ""UA"", 0)"),"UA")</f>
        <v>UA</v>
      </c>
      <c r="J75" s="40">
        <f ca="1">IFERROR(__xludf.DUMMYFUNCTION("IF(SUM(COUNTIF(artists!C:C, SPLIT(D75, "",""))) &gt; 0, ""RU"", 0)"),0)</f>
        <v>0</v>
      </c>
      <c r="K75" s="39">
        <f ca="1">IFERROR(__xludf.DUMMYFUNCTION("IF(SUM(COUNTIF(artists!E:E, SPLIT(D75, "",""))) &gt; 0, ""OTHER"", 0)"),0)</f>
        <v>0</v>
      </c>
    </row>
    <row r="76" spans="1:11" ht="14.25" customHeight="1">
      <c r="A76" s="21">
        <v>75</v>
      </c>
      <c r="B76" s="21">
        <v>63</v>
      </c>
      <c r="C76" s="21" t="s">
        <v>1314</v>
      </c>
      <c r="D76" s="21" t="s">
        <v>1027</v>
      </c>
      <c r="E76" s="21">
        <v>3</v>
      </c>
      <c r="F76" s="21">
        <v>186249</v>
      </c>
      <c r="G76" s="43">
        <v>-0.16</v>
      </c>
      <c r="H76" s="21" t="s">
        <v>1315</v>
      </c>
      <c r="I76" s="39" t="str">
        <f ca="1">IFERROR(__xludf.DUMMYFUNCTION("IF(SUM(COUNTIF(artists!A:A, SPLIT(D76, "",""))) &gt; 0, ""UA"", 0)"),"UA")</f>
        <v>UA</v>
      </c>
      <c r="J76" s="40">
        <f ca="1">IFERROR(__xludf.DUMMYFUNCTION("IF(SUM(COUNTIF(artists!C:C, SPLIT(D76, "",""))) &gt; 0, ""RU"", 0)"),0)</f>
        <v>0</v>
      </c>
      <c r="K76" s="39">
        <f ca="1">IFERROR(__xludf.DUMMYFUNCTION("IF(SUM(COUNTIF(artists!E:E, SPLIT(D76, "",""))) &gt; 0, ""OTHER"", 0)"),0)</f>
        <v>0</v>
      </c>
    </row>
    <row r="77" spans="1:11" ht="14.25" customHeight="1">
      <c r="A77" s="21">
        <v>76</v>
      </c>
      <c r="B77" s="21">
        <v>76</v>
      </c>
      <c r="C77" s="21" t="s">
        <v>1385</v>
      </c>
      <c r="D77" s="21" t="s">
        <v>896</v>
      </c>
      <c r="E77" s="21">
        <v>13</v>
      </c>
      <c r="F77" s="21">
        <v>184314</v>
      </c>
      <c r="G77" s="42">
        <v>1.2999999999999999E-2</v>
      </c>
      <c r="H77" s="21" t="s">
        <v>1386</v>
      </c>
      <c r="I77" s="39" t="str">
        <f ca="1">IFERROR(__xludf.DUMMYFUNCTION("IF(SUM(COUNTIF(artists!A:A, SPLIT(D77, "",""))) &gt; 0, ""UA"", 0)"),"UA")</f>
        <v>UA</v>
      </c>
      <c r="J77" s="40">
        <f ca="1">IFERROR(__xludf.DUMMYFUNCTION("IF(SUM(COUNTIF(artists!C:C, SPLIT(D77, "",""))) &gt; 0, ""RU"", 0)"),0)</f>
        <v>0</v>
      </c>
      <c r="K77" s="39">
        <f ca="1">IFERROR(__xludf.DUMMYFUNCTION("IF(SUM(COUNTIF(artists!E:E, SPLIT(D77, "",""))) &gt; 0, ""OTHER"", 0)"),0)</f>
        <v>0</v>
      </c>
    </row>
    <row r="78" spans="1:11" ht="14.25" customHeight="1">
      <c r="A78" s="21">
        <v>77</v>
      </c>
      <c r="C78" s="21" t="s">
        <v>1362</v>
      </c>
      <c r="D78" s="21" t="s">
        <v>625</v>
      </c>
      <c r="E78" s="21">
        <v>1</v>
      </c>
      <c r="F78" s="21">
        <v>180405</v>
      </c>
      <c r="H78" s="21" t="s">
        <v>1363</v>
      </c>
      <c r="I78" s="39" t="str">
        <f ca="1">IFERROR(__xludf.DUMMYFUNCTION("IF(SUM(COUNTIF(artists!A:A, SPLIT(D78, "",""))) &gt; 0, ""UA"", 0)"),"UA")</f>
        <v>UA</v>
      </c>
      <c r="J78" s="40">
        <f ca="1">IFERROR(__xludf.DUMMYFUNCTION("IF(SUM(COUNTIF(artists!C:C, SPLIT(D78, "",""))) &gt; 0, ""RU"", 0)"),0)</f>
        <v>0</v>
      </c>
      <c r="K78" s="39">
        <f ca="1">IFERROR(__xludf.DUMMYFUNCTION("IF(SUM(COUNTIF(artists!E:E, SPLIT(D78, "",""))) &gt; 0, ""OTHER"", 0)"),0)</f>
        <v>0</v>
      </c>
    </row>
    <row r="79" spans="1:11" ht="14.25" customHeight="1">
      <c r="A79" s="21">
        <v>78</v>
      </c>
      <c r="B79" s="21">
        <v>80</v>
      </c>
      <c r="C79" s="21" t="s">
        <v>971</v>
      </c>
      <c r="D79" s="21" t="s">
        <v>972</v>
      </c>
      <c r="E79" s="21">
        <v>4</v>
      </c>
      <c r="F79" s="21">
        <v>176824</v>
      </c>
      <c r="G79" s="42">
        <v>4.7E-2</v>
      </c>
      <c r="H79" s="21" t="s">
        <v>973</v>
      </c>
      <c r="I79" s="39">
        <f ca="1">IFERROR(__xludf.DUMMYFUNCTION("IF(SUM(COUNTIF(artists!A:A, SPLIT(D79, "",""))) &gt; 0, ""UA"", 0)"),0)</f>
        <v>0</v>
      </c>
      <c r="J79" s="40">
        <f ca="1">IFERROR(__xludf.DUMMYFUNCTION("IF(SUM(COUNTIF(artists!C:C, SPLIT(D79, "",""))) &gt; 0, ""RU"", 0)"),0)</f>
        <v>0</v>
      </c>
      <c r="K79" s="39" t="str">
        <f ca="1">IFERROR(__xludf.DUMMYFUNCTION("IF(SUM(COUNTIF(artists!E:E, SPLIT(D79, "",""))) &gt; 0, ""OTHER"", 0)"),"OTHER")</f>
        <v>OTHER</v>
      </c>
    </row>
    <row r="80" spans="1:11" ht="14.25" customHeight="1">
      <c r="A80" s="21">
        <v>79</v>
      </c>
      <c r="B80" s="21">
        <v>79</v>
      </c>
      <c r="C80" s="21" t="s">
        <v>1076</v>
      </c>
      <c r="D80" s="21" t="s">
        <v>1077</v>
      </c>
      <c r="E80" s="21">
        <v>7</v>
      </c>
      <c r="F80" s="21">
        <v>174092</v>
      </c>
      <c r="G80" s="42">
        <v>1.7999999999999999E-2</v>
      </c>
      <c r="H80" s="21" t="s">
        <v>1078</v>
      </c>
      <c r="I80" s="39" t="str">
        <f ca="1">IFERROR(__xludf.DUMMYFUNCTION("IF(SUM(COUNTIF(artists!A:A, SPLIT(D80, "",""))) &gt; 0, ""UA"", 0)"),"UA")</f>
        <v>UA</v>
      </c>
      <c r="J80" s="40">
        <f ca="1">IFERROR(__xludf.DUMMYFUNCTION("IF(SUM(COUNTIF(artists!C:C, SPLIT(D80, "",""))) &gt; 0, ""RU"", 0)"),0)</f>
        <v>0</v>
      </c>
      <c r="K80" s="39">
        <f ca="1">IFERROR(__xludf.DUMMYFUNCTION("IF(SUM(COUNTIF(artists!E:E, SPLIT(D80, "",""))) &gt; 0, ""OTHER"", 0)"),0)</f>
        <v>0</v>
      </c>
    </row>
    <row r="81" spans="1:11" ht="14.25" customHeight="1">
      <c r="A81" s="21">
        <v>80</v>
      </c>
      <c r="B81" s="21">
        <v>69</v>
      </c>
      <c r="C81" s="21" t="s">
        <v>697</v>
      </c>
      <c r="D81" s="21" t="s">
        <v>698</v>
      </c>
      <c r="E81" s="21">
        <v>12</v>
      </c>
      <c r="F81" s="21">
        <v>173003</v>
      </c>
      <c r="G81" s="42">
        <v>-9.0999999999999998E-2</v>
      </c>
      <c r="H81" s="21" t="s">
        <v>699</v>
      </c>
      <c r="I81" s="39">
        <f ca="1">IFERROR(__xludf.DUMMYFUNCTION("IF(SUM(COUNTIF(artists!A:A, SPLIT(D81, "",""))) &gt; 0, ""UA"", 0)"),0)</f>
        <v>0</v>
      </c>
      <c r="J81" s="40" t="str">
        <f ca="1">IFERROR(__xludf.DUMMYFUNCTION("IF(SUM(COUNTIF(artists!C:C, SPLIT(D81, "",""))) &gt; 0, ""RU"", 0)"),"RU")</f>
        <v>RU</v>
      </c>
      <c r="K81" s="39">
        <f ca="1">IFERROR(__xludf.DUMMYFUNCTION("IF(SUM(COUNTIF(artists!E:E, SPLIT(D81, "",""))) &gt; 0, ""OTHER"", 0)"),0)</f>
        <v>0</v>
      </c>
    </row>
    <row r="82" spans="1:11" ht="14.25" customHeight="1">
      <c r="A82" s="21">
        <v>81</v>
      </c>
      <c r="B82" s="21">
        <v>81</v>
      </c>
      <c r="C82" s="21" t="s">
        <v>1387</v>
      </c>
      <c r="D82" s="21" t="s">
        <v>1388</v>
      </c>
      <c r="E82" s="21">
        <v>20</v>
      </c>
      <c r="F82" s="21">
        <v>172223</v>
      </c>
      <c r="G82" s="42">
        <v>2.5999999999999999E-2</v>
      </c>
      <c r="H82" s="21" t="s">
        <v>1389</v>
      </c>
      <c r="I82" s="39">
        <f ca="1">IFERROR(__xludf.DUMMYFUNCTION("IF(SUM(COUNTIF(artists!A:A, SPLIT(D82, "",""))) &gt; 0, ""UA"", 0)"),0)</f>
        <v>0</v>
      </c>
      <c r="J82" s="40">
        <f ca="1">IFERROR(__xludf.DUMMYFUNCTION("IF(SUM(COUNTIF(artists!C:C, SPLIT(D82, "",""))) &gt; 0, ""RU"", 0)"),0)</f>
        <v>0</v>
      </c>
      <c r="K82" s="39" t="str">
        <f ca="1">IFERROR(__xludf.DUMMYFUNCTION("IF(SUM(COUNTIF(artists!E:E, SPLIT(D82, "",""))) &gt; 0, ""OTHER"", 0)"),"OTHER")</f>
        <v>OTHER</v>
      </c>
    </row>
    <row r="83" spans="1:11" ht="14.25" customHeight="1">
      <c r="A83" s="21">
        <v>82</v>
      </c>
      <c r="B83" s="21">
        <v>88</v>
      </c>
      <c r="C83" s="21" t="s">
        <v>1377</v>
      </c>
      <c r="D83" s="21" t="s">
        <v>463</v>
      </c>
      <c r="E83" s="21">
        <v>15</v>
      </c>
      <c r="F83" s="21">
        <v>170400</v>
      </c>
      <c r="G83" s="42">
        <v>6.0999999999999999E-2</v>
      </c>
      <c r="H83" s="21" t="s">
        <v>1378</v>
      </c>
      <c r="I83" s="39" t="str">
        <f ca="1">IFERROR(__xludf.DUMMYFUNCTION("IF(SUM(COUNTIF(artists!A:A, SPLIT(D83, "",""))) &gt; 0, ""UA"", 0)"),"UA")</f>
        <v>UA</v>
      </c>
      <c r="J83" s="40">
        <f ca="1">IFERROR(__xludf.DUMMYFUNCTION("IF(SUM(COUNTIF(artists!C:C, SPLIT(D83, "",""))) &gt; 0, ""RU"", 0)"),0)</f>
        <v>0</v>
      </c>
      <c r="K83" s="39">
        <f ca="1">IFERROR(__xludf.DUMMYFUNCTION("IF(SUM(COUNTIF(artists!E:E, SPLIT(D83, "",""))) &gt; 0, ""OTHER"", 0)"),0)</f>
        <v>0</v>
      </c>
    </row>
    <row r="84" spans="1:11" ht="14.25" customHeight="1">
      <c r="A84" s="21">
        <v>83</v>
      </c>
      <c r="B84" s="21">
        <v>82</v>
      </c>
      <c r="C84" s="21" t="s">
        <v>1337</v>
      </c>
      <c r="D84" s="21" t="s">
        <v>1338</v>
      </c>
      <c r="E84" s="21">
        <v>17</v>
      </c>
      <c r="F84" s="21">
        <v>169934</v>
      </c>
      <c r="G84" s="42">
        <v>1.2999999999999999E-2</v>
      </c>
      <c r="H84" s="21" t="s">
        <v>1339</v>
      </c>
      <c r="I84" s="39">
        <f ca="1">IFERROR(__xludf.DUMMYFUNCTION("IF(SUM(COUNTIF(artists!A:A, SPLIT(D84, "",""))) &gt; 0, ""UA"", 0)"),0)</f>
        <v>0</v>
      </c>
      <c r="J84" s="40">
        <f ca="1">IFERROR(__xludf.DUMMYFUNCTION("IF(SUM(COUNTIF(artists!C:C, SPLIT(D84, "",""))) &gt; 0, ""RU"", 0)"),0)</f>
        <v>0</v>
      </c>
      <c r="K84" s="39" t="str">
        <f ca="1">IFERROR(__xludf.DUMMYFUNCTION("IF(SUM(COUNTIF(artists!E:E, SPLIT(D84, "",""))) &gt; 0, ""OTHER"", 0)"),"OTHER")</f>
        <v>OTHER</v>
      </c>
    </row>
    <row r="85" spans="1:11" ht="14.25" customHeight="1">
      <c r="A85" s="21">
        <v>84</v>
      </c>
      <c r="B85" s="21">
        <v>65</v>
      </c>
      <c r="C85" s="21" t="s">
        <v>1280</v>
      </c>
      <c r="D85" s="21" t="s">
        <v>1193</v>
      </c>
      <c r="E85" s="21">
        <v>5</v>
      </c>
      <c r="F85" s="21">
        <v>167585</v>
      </c>
      <c r="G85" s="42">
        <v>-0.214</v>
      </c>
      <c r="H85" s="21" t="s">
        <v>1281</v>
      </c>
      <c r="I85" s="39" t="str">
        <f ca="1">IFERROR(__xludf.DUMMYFUNCTION("IF(SUM(COUNTIF(artists!A:A, SPLIT(D85, "",""))) &gt; 0, ""UA"", 0)"),"UA")</f>
        <v>UA</v>
      </c>
      <c r="J85" s="40">
        <f ca="1">IFERROR(__xludf.DUMMYFUNCTION("IF(SUM(COUNTIF(artists!C:C, SPLIT(D85, "",""))) &gt; 0, ""RU"", 0)"),0)</f>
        <v>0</v>
      </c>
      <c r="K85" s="39">
        <f ca="1">IFERROR(__xludf.DUMMYFUNCTION("IF(SUM(COUNTIF(artists!E:E, SPLIT(D85, "",""))) &gt; 0, ""OTHER"", 0)"),0)</f>
        <v>0</v>
      </c>
    </row>
    <row r="86" spans="1:11" ht="14.25" customHeight="1">
      <c r="A86" s="21">
        <v>85</v>
      </c>
      <c r="B86" s="21">
        <v>84</v>
      </c>
      <c r="C86" s="21" t="s">
        <v>1318</v>
      </c>
      <c r="D86" s="21" t="s">
        <v>1319</v>
      </c>
      <c r="E86" s="21">
        <v>13</v>
      </c>
      <c r="F86" s="21">
        <v>160390</v>
      </c>
      <c r="G86" s="42">
        <v>-4.1000000000000002E-2</v>
      </c>
      <c r="H86" s="21" t="s">
        <v>1320</v>
      </c>
      <c r="I86" s="39">
        <f ca="1">IFERROR(__xludf.DUMMYFUNCTION("IF(SUM(COUNTIF(artists!A:A, SPLIT(D86, "",""))) &gt; 0, ""UA"", 0)"),0)</f>
        <v>0</v>
      </c>
      <c r="J86" s="40" t="str">
        <f ca="1">IFERROR(__xludf.DUMMYFUNCTION("IF(SUM(COUNTIF(artists!C:C, SPLIT(D86, "",""))) &gt; 0, ""RU"", 0)"),"RU")</f>
        <v>RU</v>
      </c>
      <c r="K86" s="39">
        <f ca="1">IFERROR(__xludf.DUMMYFUNCTION("IF(SUM(COUNTIF(artists!E:E, SPLIT(D86, "",""))) &gt; 0, ""OTHER"", 0)"),0)</f>
        <v>0</v>
      </c>
    </row>
    <row r="87" spans="1:11" ht="14.25" customHeight="1">
      <c r="A87" s="21">
        <v>86</v>
      </c>
      <c r="B87" s="21">
        <v>83</v>
      </c>
      <c r="C87" s="21" t="s">
        <v>1390</v>
      </c>
      <c r="D87" s="21" t="s">
        <v>259</v>
      </c>
      <c r="E87" s="21">
        <v>12</v>
      </c>
      <c r="F87" s="21">
        <v>158280</v>
      </c>
      <c r="G87" s="42">
        <v>-5.3999999999999999E-2</v>
      </c>
      <c r="H87" s="21" t="s">
        <v>1391</v>
      </c>
      <c r="I87" s="39" t="str">
        <f ca="1">IFERROR(__xludf.DUMMYFUNCTION("IF(SUM(COUNTIF(artists!A:A, SPLIT(D87, "",""))) &gt; 0, ""UA"", 0)"),"UA")</f>
        <v>UA</v>
      </c>
      <c r="J87" s="40">
        <f ca="1">IFERROR(__xludf.DUMMYFUNCTION("IF(SUM(COUNTIF(artists!C:C, SPLIT(D87, "",""))) &gt; 0, ""RU"", 0)"),0)</f>
        <v>0</v>
      </c>
      <c r="K87" s="39">
        <f ca="1">IFERROR(__xludf.DUMMYFUNCTION("IF(SUM(COUNTIF(artists!E:E, SPLIT(D87, "",""))) &gt; 0, ""OTHER"", 0)"),0)</f>
        <v>0</v>
      </c>
    </row>
    <row r="88" spans="1:11" ht="14.25" customHeight="1">
      <c r="A88" s="21">
        <v>87</v>
      </c>
      <c r="B88" s="21">
        <v>93</v>
      </c>
      <c r="C88" s="21" t="s">
        <v>579</v>
      </c>
      <c r="D88" s="21" t="s">
        <v>183</v>
      </c>
      <c r="E88" s="21">
        <v>7</v>
      </c>
      <c r="F88" s="21">
        <v>158106</v>
      </c>
      <c r="G88" s="42">
        <v>1.7000000000000001E-2</v>
      </c>
      <c r="H88" s="21" t="s">
        <v>580</v>
      </c>
      <c r="I88" s="39" t="str">
        <f ca="1">IFERROR(__xludf.DUMMYFUNCTION("IF(SUM(COUNTIF(artists!A:A, SPLIT(D88, "",""))) &gt; 0, ""UA"", 0)"),"UA")</f>
        <v>UA</v>
      </c>
      <c r="J88" s="40">
        <f ca="1">IFERROR(__xludf.DUMMYFUNCTION("IF(SUM(COUNTIF(artists!C:C, SPLIT(D88, "",""))) &gt; 0, ""RU"", 0)"),0)</f>
        <v>0</v>
      </c>
      <c r="K88" s="39">
        <f ca="1">IFERROR(__xludf.DUMMYFUNCTION("IF(SUM(COUNTIF(artists!E:E, SPLIT(D88, "",""))) &gt; 0, ""OTHER"", 0)"),0)</f>
        <v>0</v>
      </c>
    </row>
    <row r="89" spans="1:11" ht="14.25" customHeight="1">
      <c r="A89" s="21">
        <v>88</v>
      </c>
      <c r="B89" s="21">
        <v>85</v>
      </c>
      <c r="C89" s="21" t="s">
        <v>520</v>
      </c>
      <c r="D89" s="21" t="s">
        <v>521</v>
      </c>
      <c r="E89" s="21">
        <v>7</v>
      </c>
      <c r="F89" s="21">
        <v>155153</v>
      </c>
      <c r="G89" s="42">
        <v>-7.1999999999999995E-2</v>
      </c>
      <c r="H89" s="21" t="s">
        <v>522</v>
      </c>
      <c r="I89" s="39" t="str">
        <f ca="1">IFERROR(__xludf.DUMMYFUNCTION("IF(SUM(COUNTIF(artists!A:A, SPLIT(D89, "",""))) &gt; 0, ""UA"", 0)"),"UA")</f>
        <v>UA</v>
      </c>
      <c r="J89" s="40">
        <f ca="1">IFERROR(__xludf.DUMMYFUNCTION("IF(SUM(COUNTIF(artists!C:C, SPLIT(D89, "",""))) &gt; 0, ""RU"", 0)"),0)</f>
        <v>0</v>
      </c>
      <c r="K89" s="39">
        <f ca="1">IFERROR(__xludf.DUMMYFUNCTION("IF(SUM(COUNTIF(artists!E:E, SPLIT(D89, "",""))) &gt; 0, ""OTHER"", 0)"),0)</f>
        <v>0</v>
      </c>
    </row>
    <row r="90" spans="1:11" ht="14.25" customHeight="1">
      <c r="A90" s="21">
        <v>89</v>
      </c>
      <c r="B90" s="21">
        <v>90</v>
      </c>
      <c r="C90" s="21" t="s">
        <v>379</v>
      </c>
      <c r="D90" s="21" t="s">
        <v>380</v>
      </c>
      <c r="E90" s="21">
        <v>5</v>
      </c>
      <c r="F90" s="21">
        <v>154731</v>
      </c>
      <c r="G90" s="42">
        <v>-3.1E-2</v>
      </c>
      <c r="H90" s="21" t="s">
        <v>382</v>
      </c>
      <c r="I90" s="39" t="str">
        <f ca="1">IFERROR(__xludf.DUMMYFUNCTION("IF(SUM(COUNTIF(artists!A:A, SPLIT(D90, "",""))) &gt; 0, ""UA"", 0)"),"UA")</f>
        <v>UA</v>
      </c>
      <c r="J90" s="40">
        <f ca="1">IFERROR(__xludf.DUMMYFUNCTION("IF(SUM(COUNTIF(artists!C:C, SPLIT(D90, "",""))) &gt; 0, ""RU"", 0)"),0)</f>
        <v>0</v>
      </c>
      <c r="K90" s="39">
        <f ca="1">IFERROR(__xludf.DUMMYFUNCTION("IF(SUM(COUNTIF(artists!E:E, SPLIT(D90, "",""))) &gt; 0, ""OTHER"", 0)"),0)</f>
        <v>0</v>
      </c>
    </row>
    <row r="91" spans="1:11" ht="14.25" customHeight="1">
      <c r="A91" s="21">
        <v>90</v>
      </c>
      <c r="B91" s="21">
        <v>91</v>
      </c>
      <c r="C91" s="21" t="s">
        <v>1311</v>
      </c>
      <c r="D91" s="21" t="s">
        <v>1312</v>
      </c>
      <c r="E91" s="21">
        <v>2</v>
      </c>
      <c r="F91" s="21">
        <v>153178</v>
      </c>
      <c r="G91" s="42">
        <v>-3.7999999999999999E-2</v>
      </c>
      <c r="H91" s="21" t="s">
        <v>1313</v>
      </c>
      <c r="I91" s="39">
        <f ca="1">IFERROR(__xludf.DUMMYFUNCTION("IF(SUM(COUNTIF(artists!A:A, SPLIT(D91, "",""))) &gt; 0, ""UA"", 0)"),0)</f>
        <v>0</v>
      </c>
      <c r="J91" s="40" t="str">
        <f ca="1">IFERROR(__xludf.DUMMYFUNCTION("IF(SUM(COUNTIF(artists!C:C, SPLIT(D91, "",""))) &gt; 0, ""RU"", 0)"),"RU")</f>
        <v>RU</v>
      </c>
      <c r="K91" s="39">
        <f ca="1">IFERROR(__xludf.DUMMYFUNCTION("IF(SUM(COUNTIF(artists!E:E, SPLIT(D91, "",""))) &gt; 0, ""OTHER"", 0)"),0)</f>
        <v>0</v>
      </c>
    </row>
    <row r="92" spans="1:11" ht="14.25" customHeight="1">
      <c r="A92" s="21">
        <v>91</v>
      </c>
      <c r="B92" s="21">
        <v>89</v>
      </c>
      <c r="C92" s="21" t="s">
        <v>1236</v>
      </c>
      <c r="D92" s="21" t="s">
        <v>1237</v>
      </c>
      <c r="E92" s="21">
        <v>8</v>
      </c>
      <c r="F92" s="21">
        <v>150064</v>
      </c>
      <c r="G92" s="42">
        <v>-6.4000000000000001E-2</v>
      </c>
      <c r="H92" s="21" t="s">
        <v>1238</v>
      </c>
      <c r="I92" s="39">
        <f ca="1">IFERROR(__xludf.DUMMYFUNCTION("IF(SUM(COUNTIF(artists!A:A, SPLIT(D92, "",""))) &gt; 0, ""UA"", 0)"),0)</f>
        <v>0</v>
      </c>
      <c r="J92" s="40" t="str">
        <f ca="1">IFERROR(__xludf.DUMMYFUNCTION("IF(SUM(COUNTIF(artists!C:C, SPLIT(D92, "",""))) &gt; 0, ""RU"", 0)"),"RU")</f>
        <v>RU</v>
      </c>
      <c r="K92" s="39">
        <f ca="1">IFERROR(__xludf.DUMMYFUNCTION("IF(SUM(COUNTIF(artists!E:E, SPLIT(D92, "",""))) &gt; 0, ""OTHER"", 0)"),0)</f>
        <v>0</v>
      </c>
    </row>
    <row r="93" spans="1:11" ht="14.25" customHeight="1">
      <c r="A93" s="21">
        <v>92</v>
      </c>
      <c r="B93" s="21">
        <v>99</v>
      </c>
      <c r="C93" s="21" t="s">
        <v>343</v>
      </c>
      <c r="D93" s="21" t="s">
        <v>344</v>
      </c>
      <c r="E93" s="21">
        <v>2</v>
      </c>
      <c r="F93" s="21">
        <v>149834</v>
      </c>
      <c r="G93" s="42">
        <v>-1E-3</v>
      </c>
      <c r="H93" s="21" t="s">
        <v>346</v>
      </c>
      <c r="I93" s="39" t="str">
        <f ca="1">IFERROR(__xludf.DUMMYFUNCTION("IF(SUM(COUNTIF(artists!A:A, SPLIT(D93, "",""))) &gt; 0, ""UA"", 0)"),"UA")</f>
        <v>UA</v>
      </c>
      <c r="J93" s="40">
        <f ca="1">IFERROR(__xludf.DUMMYFUNCTION("IF(SUM(COUNTIF(artists!C:C, SPLIT(D93, "",""))) &gt; 0, ""RU"", 0)"),0)</f>
        <v>0</v>
      </c>
      <c r="K93" s="39">
        <f ca="1">IFERROR(__xludf.DUMMYFUNCTION("IF(SUM(COUNTIF(artists!E:E, SPLIT(D93, "",""))) &gt; 0, ""OTHER"", 0)"),0)</f>
        <v>0</v>
      </c>
    </row>
    <row r="94" spans="1:11" ht="14.25" customHeight="1">
      <c r="A94" s="21">
        <v>93</v>
      </c>
      <c r="B94" s="21">
        <v>94</v>
      </c>
      <c r="C94" s="21" t="s">
        <v>1392</v>
      </c>
      <c r="D94" s="21" t="s">
        <v>1393</v>
      </c>
      <c r="E94" s="21">
        <v>20</v>
      </c>
      <c r="F94" s="21">
        <v>148716</v>
      </c>
      <c r="G94" s="42">
        <v>-2.5999999999999999E-2</v>
      </c>
      <c r="H94" s="21" t="s">
        <v>1394</v>
      </c>
      <c r="I94" s="39">
        <f ca="1">IFERROR(__xludf.DUMMYFUNCTION("IF(SUM(COUNTIF(artists!A:A, SPLIT(D94, "",""))) &gt; 0, ""UA"", 0)"),0)</f>
        <v>0</v>
      </c>
      <c r="J94" s="40" t="str">
        <f ca="1">IFERROR(__xludf.DUMMYFUNCTION("IF(SUM(COUNTIF(artists!C:C, SPLIT(D94, "",""))) &gt; 0, ""RU"", 0)"),"RU")</f>
        <v>RU</v>
      </c>
      <c r="K94" s="39">
        <f ca="1">IFERROR(__xludf.DUMMYFUNCTION("IF(SUM(COUNTIF(artists!E:E, SPLIT(D94, "",""))) &gt; 0, ""OTHER"", 0)"),0)</f>
        <v>0</v>
      </c>
    </row>
    <row r="95" spans="1:11" ht="14.25" customHeight="1">
      <c r="A95" s="21">
        <v>94</v>
      </c>
      <c r="B95" s="21">
        <v>86</v>
      </c>
      <c r="C95" s="21" t="s">
        <v>1375</v>
      </c>
      <c r="D95" s="21" t="s">
        <v>907</v>
      </c>
      <c r="E95" s="21">
        <v>9</v>
      </c>
      <c r="F95" s="21">
        <v>148197</v>
      </c>
      <c r="G95" s="42">
        <v>-8.8999999999999996E-2</v>
      </c>
      <c r="H95" s="21" t="s">
        <v>1376</v>
      </c>
      <c r="I95" s="39">
        <f ca="1">IFERROR(__xludf.DUMMYFUNCTION("IF(SUM(COUNTIF(artists!A:A, SPLIT(D95, "",""))) &gt; 0, ""UA"", 0)"),0)</f>
        <v>0</v>
      </c>
      <c r="J95" s="40" t="str">
        <f ca="1">IFERROR(__xludf.DUMMYFUNCTION("IF(SUM(COUNTIF(artists!C:C, SPLIT(D95, "",""))) &gt; 0, ""RU"", 0)"),"RU")</f>
        <v>RU</v>
      </c>
      <c r="K95" s="39">
        <f ca="1">IFERROR(__xludf.DUMMYFUNCTION("IF(SUM(COUNTIF(artists!E:E, SPLIT(D95, "",""))) &gt; 0, ""OTHER"", 0)"),0)</f>
        <v>0</v>
      </c>
    </row>
    <row r="96" spans="1:11" ht="14.25" customHeight="1">
      <c r="A96" s="21">
        <v>95</v>
      </c>
      <c r="C96" s="21" t="s">
        <v>1395</v>
      </c>
      <c r="D96" s="21" t="s">
        <v>1396</v>
      </c>
      <c r="E96" s="21">
        <v>26</v>
      </c>
      <c r="F96" s="21">
        <v>146176</v>
      </c>
      <c r="H96" s="21" t="s">
        <v>1397</v>
      </c>
      <c r="I96" s="39" t="str">
        <f ca="1">IFERROR(__xludf.DUMMYFUNCTION("IF(SUM(COUNTIF(artists!A:A, SPLIT(D96, "",""))) &gt; 0, ""UA"", 0)"),"UA")</f>
        <v>UA</v>
      </c>
      <c r="J96" s="40">
        <f ca="1">IFERROR(__xludf.DUMMYFUNCTION("IF(SUM(COUNTIF(artists!C:C, SPLIT(D96, "",""))) &gt; 0, ""RU"", 0)"),0)</f>
        <v>0</v>
      </c>
      <c r="K96" s="39">
        <f ca="1">IFERROR(__xludf.DUMMYFUNCTION("IF(SUM(COUNTIF(artists!E:E, SPLIT(D96, "",""))) &gt; 0, ""OTHER"", 0)"),0)</f>
        <v>0</v>
      </c>
    </row>
    <row r="97" spans="1:11" ht="14.25" customHeight="1">
      <c r="A97" s="21">
        <v>96</v>
      </c>
      <c r="B97" s="21">
        <v>70</v>
      </c>
      <c r="C97" s="21" t="s">
        <v>1398</v>
      </c>
      <c r="D97" s="21" t="s">
        <v>409</v>
      </c>
      <c r="E97" s="21">
        <v>5</v>
      </c>
      <c r="F97" s="21">
        <v>145875</v>
      </c>
      <c r="G97" s="42">
        <v>-0.22600000000000001</v>
      </c>
      <c r="H97" s="21" t="s">
        <v>1399</v>
      </c>
      <c r="I97" s="39" t="str">
        <f ca="1">IFERROR(__xludf.DUMMYFUNCTION("IF(SUM(COUNTIF(artists!A:A, SPLIT(D97, "",""))) &gt; 0, ""UA"", 0)"),"UA")</f>
        <v>UA</v>
      </c>
      <c r="J97" s="40">
        <f ca="1">IFERROR(__xludf.DUMMYFUNCTION("IF(SUM(COUNTIF(artists!C:C, SPLIT(D97, "",""))) &gt; 0, ""RU"", 0)"),0)</f>
        <v>0</v>
      </c>
      <c r="K97" s="39">
        <f ca="1">IFERROR(__xludf.DUMMYFUNCTION("IF(SUM(COUNTIF(artists!E:E, SPLIT(D97, "",""))) &gt; 0, ""OTHER"", 0)"),0)</f>
        <v>0</v>
      </c>
    </row>
    <row r="98" spans="1:11" ht="14.25" customHeight="1">
      <c r="A98" s="21">
        <v>97</v>
      </c>
      <c r="C98" s="21" t="s">
        <v>1400</v>
      </c>
      <c r="D98" s="21" t="s">
        <v>1401</v>
      </c>
      <c r="E98" s="21">
        <v>1</v>
      </c>
      <c r="F98" s="21">
        <v>141968</v>
      </c>
      <c r="H98" s="21" t="s">
        <v>1402</v>
      </c>
      <c r="I98" s="39" t="str">
        <f ca="1">IFERROR(__xludf.DUMMYFUNCTION("IF(SUM(COUNTIF(artists!A:A, SPLIT(D98, "",""))) &gt; 0, ""UA"", 0)"),"UA")</f>
        <v>UA</v>
      </c>
      <c r="J98" s="40">
        <f ca="1">IFERROR(__xludf.DUMMYFUNCTION("IF(SUM(COUNTIF(artists!C:C, SPLIT(D98, "",""))) &gt; 0, ""RU"", 0)"),0)</f>
        <v>0</v>
      </c>
      <c r="K98" s="39">
        <f ca="1">IFERROR(__xludf.DUMMYFUNCTION("IF(SUM(COUNTIF(artists!E:E, SPLIT(D98, "",""))) &gt; 0, ""OTHER"", 0)"),0)</f>
        <v>0</v>
      </c>
    </row>
    <row r="99" spans="1:11" ht="14.25" customHeight="1">
      <c r="A99" s="21">
        <v>98</v>
      </c>
      <c r="B99" s="21">
        <v>96</v>
      </c>
      <c r="C99" s="21" t="s">
        <v>1403</v>
      </c>
      <c r="D99" s="21" t="s">
        <v>259</v>
      </c>
      <c r="E99" s="21">
        <v>7</v>
      </c>
      <c r="F99" s="21">
        <v>141920</v>
      </c>
      <c r="G99" s="42">
        <v>-6.5000000000000002E-2</v>
      </c>
      <c r="H99" s="21" t="s">
        <v>1404</v>
      </c>
      <c r="I99" s="39" t="str">
        <f ca="1">IFERROR(__xludf.DUMMYFUNCTION("IF(SUM(COUNTIF(artists!A:A, SPLIT(D99, "",""))) &gt; 0, ""UA"", 0)"),"UA")</f>
        <v>UA</v>
      </c>
      <c r="J99" s="40">
        <f ca="1">IFERROR(__xludf.DUMMYFUNCTION("IF(SUM(COUNTIF(artists!C:C, SPLIT(D99, "",""))) &gt; 0, ""RU"", 0)"),0)</f>
        <v>0</v>
      </c>
      <c r="K99" s="39">
        <f ca="1">IFERROR(__xludf.DUMMYFUNCTION("IF(SUM(COUNTIF(artists!E:E, SPLIT(D99, "",""))) &gt; 0, ""OTHER"", 0)"),0)</f>
        <v>0</v>
      </c>
    </row>
    <row r="100" spans="1:11" ht="14.25" customHeight="1">
      <c r="A100" s="21">
        <v>99</v>
      </c>
      <c r="C100" s="21" t="s">
        <v>390</v>
      </c>
      <c r="D100" s="21" t="s">
        <v>391</v>
      </c>
      <c r="E100" s="21">
        <v>2</v>
      </c>
      <c r="F100" s="21">
        <v>140751</v>
      </c>
      <c r="H100" s="21" t="s">
        <v>393</v>
      </c>
      <c r="I100" s="39">
        <f ca="1">IFERROR(__xludf.DUMMYFUNCTION("IF(SUM(COUNTIF(artists!A:A, SPLIT(D100, "",""))) &gt; 0, ""UA"", 0)"),0)</f>
        <v>0</v>
      </c>
      <c r="J100" s="40" t="str">
        <f ca="1">IFERROR(__xludf.DUMMYFUNCTION("IF(SUM(COUNTIF(artists!C:C, SPLIT(D100, "",""))) &gt; 0, ""RU"", 0)"),"RU")</f>
        <v>RU</v>
      </c>
      <c r="K100" s="39">
        <f ca="1">IFERROR(__xludf.DUMMYFUNCTION("IF(SUM(COUNTIF(artists!E:E, SPLIT(D100, "",""))) &gt; 0, ""OTHER"", 0)"),0)</f>
        <v>0</v>
      </c>
    </row>
    <row r="101" spans="1:11" ht="14.25" customHeight="1">
      <c r="A101" s="21">
        <v>100</v>
      </c>
      <c r="C101" s="21" t="s">
        <v>629</v>
      </c>
      <c r="D101" s="21" t="s">
        <v>630</v>
      </c>
      <c r="E101" s="21">
        <v>4</v>
      </c>
      <c r="F101" s="21">
        <v>140714</v>
      </c>
      <c r="H101" s="21" t="s">
        <v>631</v>
      </c>
      <c r="I101" s="39" t="str">
        <f ca="1">IFERROR(__xludf.DUMMYFUNCTION("IF(SUM(COUNTIF(artists!A:A, SPLIT(D101, "",""))) &gt; 0, ""UA"", 0)"),"UA")</f>
        <v>UA</v>
      </c>
      <c r="J101" s="40">
        <f ca="1">IFERROR(__xludf.DUMMYFUNCTION("IF(SUM(COUNTIF(artists!C:C, SPLIT(D101, "",""))) &gt; 0, ""RU"", 0)"),0)</f>
        <v>0</v>
      </c>
      <c r="K101" s="39">
        <f ca="1">IFERROR(__xludf.DUMMYFUNCTION("IF(SUM(COUNTIF(artists!E:E, SPLIT(D101, "",""))) &gt; 0, ""OTHER"", 0)"),0)</f>
        <v>0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67" priority="1">
      <formula>AND($I2=0, $J2=0, $K2=0)</formula>
    </cfRule>
    <cfRule type="expression" dxfId="66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Аркуш3">
    <tabColor rgb="FF38761D"/>
    <outlinePr summaryBelow="0" summaryRight="0"/>
  </sheetPr>
  <dimension ref="A1:K101"/>
  <sheetViews>
    <sheetView workbookViewId="0"/>
  </sheetViews>
  <sheetFormatPr defaultColWidth="14.44140625" defaultRowHeight="15.75" customHeight="1"/>
  <cols>
    <col min="1" max="1" width="5" customWidth="1"/>
    <col min="2" max="2" width="14.44140625" hidden="1"/>
    <col min="5" max="5" width="14.44140625" hidden="1"/>
    <col min="8" max="8" width="14.44140625" hidden="1"/>
  </cols>
  <sheetData>
    <row r="1" spans="1:1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>
      <c r="A2" s="21">
        <v>1</v>
      </c>
      <c r="B2" s="21">
        <v>1</v>
      </c>
      <c r="C2" s="21" t="s">
        <v>80</v>
      </c>
      <c r="D2" s="21" t="s">
        <v>81</v>
      </c>
      <c r="E2" s="21">
        <v>3</v>
      </c>
      <c r="F2" s="21">
        <v>1294824</v>
      </c>
      <c r="G2" s="21" t="s">
        <v>82</v>
      </c>
      <c r="H2" s="38" t="s">
        <v>83</v>
      </c>
      <c r="I2" s="39" t="str">
        <f ca="1">IFERROR(__xludf.DUMMYFUNCTION("IF(SUM(COUNTIF(artists!A:A, SPLIT(D2, "",""))) &gt; 0, ""UA"", 0)"),"UA")</f>
        <v>UA</v>
      </c>
      <c r="J2" s="40">
        <f ca="1">IFERROR(__xludf.DUMMYFUNCTION("IF(SUM(COUNTIF(artists!C:C, SPLIT(D2, "",""))) &gt; 0, ""RU"", 0)"),0)</f>
        <v>0</v>
      </c>
      <c r="K2" s="39">
        <f ca="1">IFERROR(__xludf.DUMMYFUNCTION("IF(SUM(COUNTIF(artists!E:E, SPLIT(D2, "",""))) &gt; 0, ""OTHER"", 0)"),0)</f>
        <v>0</v>
      </c>
    </row>
    <row r="3" spans="1:11">
      <c r="A3" s="21">
        <v>2</v>
      </c>
      <c r="B3" s="21">
        <v>3</v>
      </c>
      <c r="C3" s="21" t="s">
        <v>84</v>
      </c>
      <c r="D3" s="21" t="s">
        <v>85</v>
      </c>
      <c r="E3" s="21">
        <v>9</v>
      </c>
      <c r="F3" s="21">
        <v>972549</v>
      </c>
      <c r="G3" s="21" t="s">
        <v>86</v>
      </c>
      <c r="H3" s="38" t="s">
        <v>87</v>
      </c>
      <c r="I3" s="39" t="str">
        <f ca="1">IFERROR(__xludf.DUMMYFUNCTION("IF(SUM(COUNTIF(artists!A:A, SPLIT(D3, "",""))) &gt; 0, ""UA"", 0)"),"UA")</f>
        <v>UA</v>
      </c>
      <c r="J3" s="40">
        <f ca="1">IFERROR(__xludf.DUMMYFUNCTION("IF(SUM(COUNTIF(artists!C:C, SPLIT(D3, "",""))) &gt; 0, ""RU"", 0)"),0)</f>
        <v>0</v>
      </c>
      <c r="K3" s="39">
        <f ca="1">IFERROR(__xludf.DUMMYFUNCTION("IF(SUM(COUNTIF(artists!E:E, SPLIT(D3, "",""))) &gt; 0, ""OTHER"", 0)"),0)</f>
        <v>0</v>
      </c>
    </row>
    <row r="4" spans="1:11">
      <c r="A4" s="21">
        <v>3</v>
      </c>
      <c r="B4" s="21">
        <v>4</v>
      </c>
      <c r="C4" s="21" t="s">
        <v>88</v>
      </c>
      <c r="D4" s="21" t="s">
        <v>89</v>
      </c>
      <c r="E4" s="21">
        <v>30</v>
      </c>
      <c r="F4" s="21">
        <v>853308</v>
      </c>
      <c r="G4" s="41">
        <v>-0.03</v>
      </c>
      <c r="H4" s="38" t="s">
        <v>90</v>
      </c>
      <c r="I4" s="39" t="str">
        <f ca="1">IFERROR(__xludf.DUMMYFUNCTION("IF(SUM(COUNTIF(artists!A:A, SPLIT(D4, "",""))) &gt; 0, ""UA"", 0)"),"UA")</f>
        <v>UA</v>
      </c>
      <c r="J4" s="40">
        <f ca="1">IFERROR(__xludf.DUMMYFUNCTION("IF(SUM(COUNTIF(artists!C:C, SPLIT(D4, "",""))) &gt; 0, ""RU"", 0)"),0)</f>
        <v>0</v>
      </c>
      <c r="K4" s="39">
        <f ca="1">IFERROR(__xludf.DUMMYFUNCTION("IF(SUM(COUNTIF(artists!E:E, SPLIT(D4, "",""))) &gt; 0, ""OTHER"", 0)"),0)</f>
        <v>0</v>
      </c>
    </row>
    <row r="5" spans="1:11">
      <c r="A5" s="21">
        <v>4</v>
      </c>
      <c r="B5" s="21">
        <v>2</v>
      </c>
      <c r="C5" s="21" t="s">
        <v>91</v>
      </c>
      <c r="D5" s="21" t="s">
        <v>92</v>
      </c>
      <c r="E5" s="21">
        <v>6</v>
      </c>
      <c r="F5" s="21">
        <v>851384</v>
      </c>
      <c r="G5" s="21" t="s">
        <v>93</v>
      </c>
      <c r="H5" s="38" t="s">
        <v>94</v>
      </c>
      <c r="I5" s="39">
        <f ca="1">IFERROR(__xludf.DUMMYFUNCTION("IF(SUM(COUNTIF(artists!A:A, SPLIT(D5, "",""))) &gt; 0, ""UA"", 0)"),0)</f>
        <v>0</v>
      </c>
      <c r="J5" s="40">
        <f ca="1">IFERROR(__xludf.DUMMYFUNCTION("IF(SUM(COUNTIF(artists!C:C, SPLIT(D5, "",""))) &gt; 0, ""RU"", 0)"),0)</f>
        <v>0</v>
      </c>
      <c r="K5" s="39" t="str">
        <f ca="1">IFERROR(__xludf.DUMMYFUNCTION("IF(SUM(COUNTIF(artists!E:E, SPLIT(D5, "",""))) &gt; 0, ""OTHER"", 0)"),"OTHER")</f>
        <v>OTHER</v>
      </c>
    </row>
    <row r="6" spans="1:11">
      <c r="A6" s="21">
        <v>5</v>
      </c>
      <c r="B6" s="21">
        <v>5</v>
      </c>
      <c r="C6" s="21" t="s">
        <v>95</v>
      </c>
      <c r="D6" s="21" t="s">
        <v>96</v>
      </c>
      <c r="E6" s="21">
        <v>15</v>
      </c>
      <c r="F6" s="21">
        <v>785789</v>
      </c>
      <c r="G6" s="21" t="s">
        <v>97</v>
      </c>
      <c r="H6" s="38" t="s">
        <v>98</v>
      </c>
      <c r="I6" s="39" t="str">
        <f ca="1">IFERROR(__xludf.DUMMYFUNCTION("IF(SUM(COUNTIF(artists!A:A, SPLIT(D6, "",""))) &gt; 0, ""UA"", 0)"),"UA")</f>
        <v>UA</v>
      </c>
      <c r="J6" s="40">
        <f ca="1">IFERROR(__xludf.DUMMYFUNCTION("IF(SUM(COUNTIF(artists!C:C, SPLIT(D6, "",""))) &gt; 0, ""RU"", 0)"),0)</f>
        <v>0</v>
      </c>
      <c r="K6" s="39">
        <f ca="1">IFERROR(__xludf.DUMMYFUNCTION("IF(SUM(COUNTIF(artists!E:E, SPLIT(D6, "",""))) &gt; 0, ""OTHER"", 0)"),0)</f>
        <v>0</v>
      </c>
    </row>
    <row r="7" spans="1:11">
      <c r="A7" s="21">
        <v>6</v>
      </c>
      <c r="B7" s="21">
        <v>7</v>
      </c>
      <c r="C7" s="21" t="s">
        <v>99</v>
      </c>
      <c r="D7" s="21" t="s">
        <v>100</v>
      </c>
      <c r="E7" s="21">
        <v>12</v>
      </c>
      <c r="F7" s="21">
        <v>715670</v>
      </c>
      <c r="G7" s="21" t="s">
        <v>101</v>
      </c>
      <c r="H7" s="38" t="s">
        <v>102</v>
      </c>
      <c r="I7" s="39" t="str">
        <f ca="1">IFERROR(__xludf.DUMMYFUNCTION("IF(SUM(COUNTIF(artists!A:A, SPLIT(D7, "",""))) &gt; 0, ""UA"", 0)"),"UA")</f>
        <v>UA</v>
      </c>
      <c r="J7" s="40">
        <f ca="1">IFERROR(__xludf.DUMMYFUNCTION("IF(SUM(COUNTIF(artists!C:C, SPLIT(D7, "",""))) &gt; 0, ""RU"", 0)"),0)</f>
        <v>0</v>
      </c>
      <c r="K7" s="39">
        <f ca="1">IFERROR(__xludf.DUMMYFUNCTION("IF(SUM(COUNTIF(artists!E:E, SPLIT(D7, "",""))) &gt; 0, ""OTHER"", 0)"),0)</f>
        <v>0</v>
      </c>
    </row>
    <row r="8" spans="1:11">
      <c r="A8" s="21">
        <v>7</v>
      </c>
      <c r="B8" s="21">
        <v>9</v>
      </c>
      <c r="C8" s="21" t="s">
        <v>103</v>
      </c>
      <c r="D8" s="21" t="s">
        <v>104</v>
      </c>
      <c r="E8" s="21">
        <v>11</v>
      </c>
      <c r="F8" s="21">
        <v>679655</v>
      </c>
      <c r="G8" s="21" t="s">
        <v>105</v>
      </c>
      <c r="H8" s="38" t="s">
        <v>106</v>
      </c>
      <c r="I8" s="39" t="str">
        <f ca="1">IFERROR(__xludf.DUMMYFUNCTION("IF(SUM(COUNTIF(artists!A:A, SPLIT(D8, "",""))) &gt; 0, ""UA"", 0)"),"UA")</f>
        <v>UA</v>
      </c>
      <c r="J8" s="40">
        <f ca="1">IFERROR(__xludf.DUMMYFUNCTION("IF(SUM(COUNTIF(artists!C:C, SPLIT(D8, "",""))) &gt; 0, ""RU"", 0)"),0)</f>
        <v>0</v>
      </c>
      <c r="K8" s="39">
        <f ca="1">IFERROR(__xludf.DUMMYFUNCTION("IF(SUM(COUNTIF(artists!E:E, SPLIT(D8, "",""))) &gt; 0, ""OTHER"", 0)"),0)</f>
        <v>0</v>
      </c>
    </row>
    <row r="9" spans="1:11">
      <c r="A9" s="21">
        <v>8</v>
      </c>
      <c r="B9" s="21">
        <v>10</v>
      </c>
      <c r="C9" s="21" t="s">
        <v>107</v>
      </c>
      <c r="D9" s="21" t="s">
        <v>108</v>
      </c>
      <c r="E9" s="21">
        <v>10</v>
      </c>
      <c r="F9" s="21">
        <v>675095</v>
      </c>
      <c r="G9" s="21" t="s">
        <v>109</v>
      </c>
      <c r="H9" s="38" t="s">
        <v>110</v>
      </c>
      <c r="I9" s="39" t="str">
        <f ca="1">IFERROR(__xludf.DUMMYFUNCTION("IF(SUM(COUNTIF(artists!A:A, SPLIT(D9, "",""))) &gt; 0, ""UA"", 0)"),"UA")</f>
        <v>UA</v>
      </c>
      <c r="J9" s="40">
        <f ca="1">IFERROR(__xludf.DUMMYFUNCTION("IF(SUM(COUNTIF(artists!C:C, SPLIT(D9, "",""))) &gt; 0, ""RU"", 0)"),0)</f>
        <v>0</v>
      </c>
      <c r="K9" s="39">
        <f ca="1">IFERROR(__xludf.DUMMYFUNCTION("IF(SUM(COUNTIF(artists!E:E, SPLIT(D9, "",""))) &gt; 0, ""OTHER"", 0)"),0)</f>
        <v>0</v>
      </c>
    </row>
    <row r="10" spans="1:11">
      <c r="A10" s="21">
        <v>9</v>
      </c>
      <c r="B10" s="21">
        <v>8</v>
      </c>
      <c r="C10" s="21" t="s">
        <v>111</v>
      </c>
      <c r="D10" s="21" t="s">
        <v>112</v>
      </c>
      <c r="E10" s="21">
        <v>11</v>
      </c>
      <c r="F10" s="21">
        <v>674642</v>
      </c>
      <c r="G10" s="21" t="s">
        <v>113</v>
      </c>
      <c r="H10" s="38" t="s">
        <v>114</v>
      </c>
      <c r="I10" s="39" t="str">
        <f ca="1">IFERROR(__xludf.DUMMYFUNCTION("IF(SUM(COUNTIF(artists!A:A, SPLIT(D10, "",""))) &gt; 0, ""UA"", 0)"),"UA")</f>
        <v>UA</v>
      </c>
      <c r="J10" s="40">
        <f ca="1">IFERROR(__xludf.DUMMYFUNCTION("IF(SUM(COUNTIF(artists!C:C, SPLIT(D10, "",""))) &gt; 0, ""RU"", 0)"),0)</f>
        <v>0</v>
      </c>
      <c r="K10" s="39">
        <f ca="1">IFERROR(__xludf.DUMMYFUNCTION("IF(SUM(COUNTIF(artists!E:E, SPLIT(D10, "",""))) &gt; 0, ""OTHER"", 0)"),0)</f>
        <v>0</v>
      </c>
    </row>
    <row r="11" spans="1:11">
      <c r="A11" s="21">
        <v>10</v>
      </c>
      <c r="B11" s="21">
        <v>11</v>
      </c>
      <c r="C11" s="21" t="s">
        <v>115</v>
      </c>
      <c r="D11" s="21" t="s">
        <v>116</v>
      </c>
      <c r="E11" s="21">
        <v>32</v>
      </c>
      <c r="F11" s="21">
        <v>627755</v>
      </c>
      <c r="G11" s="21" t="s">
        <v>101</v>
      </c>
      <c r="H11" s="38" t="s">
        <v>117</v>
      </c>
      <c r="I11" s="39" t="str">
        <f ca="1">IFERROR(__xludf.DUMMYFUNCTION("IF(SUM(COUNTIF(artists!A:A, SPLIT(D11, "",""))) &gt; 0, ""UA"", 0)"),"UA")</f>
        <v>UA</v>
      </c>
      <c r="J11" s="40">
        <f ca="1">IFERROR(__xludf.DUMMYFUNCTION("IF(SUM(COUNTIF(artists!C:C, SPLIT(D11, "",""))) &gt; 0, ""RU"", 0)"),0)</f>
        <v>0</v>
      </c>
      <c r="K11" s="39">
        <f ca="1">IFERROR(__xludf.DUMMYFUNCTION("IF(SUM(COUNTIF(artists!E:E, SPLIT(D11, "",""))) &gt; 0, ""OTHER"", 0)"),0)</f>
        <v>0</v>
      </c>
    </row>
    <row r="12" spans="1:11">
      <c r="A12" s="21">
        <v>11</v>
      </c>
      <c r="C12" s="21" t="s">
        <v>118</v>
      </c>
      <c r="D12" s="21" t="s">
        <v>119</v>
      </c>
      <c r="E12" s="21">
        <v>1</v>
      </c>
      <c r="F12" s="21">
        <v>606422</v>
      </c>
      <c r="H12" s="38" t="s">
        <v>120</v>
      </c>
      <c r="I12" s="39" t="str">
        <f ca="1">IFERROR(__xludf.DUMMYFUNCTION("IF(SUM(COUNTIF(artists!A:A, SPLIT(D12, "",""))) &gt; 0, ""UA"", 0)"),"UA")</f>
        <v>UA</v>
      </c>
      <c r="J12" s="40">
        <f ca="1">IFERROR(__xludf.DUMMYFUNCTION("IF(SUM(COUNTIF(artists!C:C, SPLIT(D12, "",""))) &gt; 0, ""RU"", 0)"),0)</f>
        <v>0</v>
      </c>
      <c r="K12" s="39">
        <f ca="1">IFERROR(__xludf.DUMMYFUNCTION("IF(SUM(COUNTIF(artists!E:E, SPLIT(D12, "",""))) &gt; 0, ""OTHER"", 0)"),0)</f>
        <v>0</v>
      </c>
    </row>
    <row r="13" spans="1:11">
      <c r="A13" s="21">
        <v>12</v>
      </c>
      <c r="B13" s="21">
        <v>12</v>
      </c>
      <c r="C13" s="21" t="s">
        <v>121</v>
      </c>
      <c r="D13" s="21" t="s">
        <v>122</v>
      </c>
      <c r="E13" s="21">
        <v>10</v>
      </c>
      <c r="F13" s="21">
        <v>592308</v>
      </c>
      <c r="G13" s="41">
        <v>-0.06</v>
      </c>
      <c r="H13" s="38" t="s">
        <v>123</v>
      </c>
      <c r="I13" s="39" t="str">
        <f ca="1">IFERROR(__xludf.DUMMYFUNCTION("IF(SUM(COUNTIF(artists!A:A, SPLIT(D13, "",""))) &gt; 0, ""UA"", 0)"),"UA")</f>
        <v>UA</v>
      </c>
      <c r="J13" s="40">
        <f ca="1">IFERROR(__xludf.DUMMYFUNCTION("IF(SUM(COUNTIF(artists!C:C, SPLIT(D13, "",""))) &gt; 0, ""RU"", 0)"),0)</f>
        <v>0</v>
      </c>
      <c r="K13" s="39">
        <f ca="1">IFERROR(__xludf.DUMMYFUNCTION("IF(SUM(COUNTIF(artists!E:E, SPLIT(D13, "",""))) &gt; 0, ""OTHER"", 0)"),0)</f>
        <v>0</v>
      </c>
    </row>
    <row r="14" spans="1:11">
      <c r="A14" s="21">
        <v>13</v>
      </c>
      <c r="B14" s="21">
        <v>6</v>
      </c>
      <c r="C14" s="21" t="s">
        <v>124</v>
      </c>
      <c r="D14" s="21" t="s">
        <v>125</v>
      </c>
      <c r="E14" s="21">
        <v>13</v>
      </c>
      <c r="F14" s="21">
        <v>583649</v>
      </c>
      <c r="G14" s="21" t="s">
        <v>126</v>
      </c>
      <c r="H14" s="38" t="s">
        <v>127</v>
      </c>
      <c r="I14" s="39">
        <f ca="1">IFERROR(__xludf.DUMMYFUNCTION("IF(SUM(COUNTIF(artists!A:A, SPLIT(D14, "",""))) &gt; 0, ""UA"", 0)"),0)</f>
        <v>0</v>
      </c>
      <c r="J14" s="40" t="str">
        <f ca="1">IFERROR(__xludf.DUMMYFUNCTION("IF(SUM(COUNTIF(artists!C:C, SPLIT(D14, "",""))) &gt; 0, ""RU"", 0)"),"RU")</f>
        <v>RU</v>
      </c>
      <c r="K14" s="39">
        <f ca="1">IFERROR(__xludf.DUMMYFUNCTION("IF(SUM(COUNTIF(artists!E:E, SPLIT(D14, "",""))) &gt; 0, ""OTHER"", 0)"),0)</f>
        <v>0</v>
      </c>
    </row>
    <row r="15" spans="1:11">
      <c r="A15" s="21">
        <v>14</v>
      </c>
      <c r="B15" s="21">
        <v>13</v>
      </c>
      <c r="C15" s="21" t="s">
        <v>128</v>
      </c>
      <c r="D15" s="21" t="s">
        <v>129</v>
      </c>
      <c r="E15" s="21">
        <v>38</v>
      </c>
      <c r="F15" s="21">
        <v>583194</v>
      </c>
      <c r="G15" s="21" t="s">
        <v>130</v>
      </c>
      <c r="H15" s="38" t="s">
        <v>131</v>
      </c>
      <c r="I15" s="39" t="str">
        <f ca="1">IFERROR(__xludf.DUMMYFUNCTION("IF(SUM(COUNTIF(artists!A:A, SPLIT(D15, "",""))) &gt; 0, ""UA"", 0)"),"UA")</f>
        <v>UA</v>
      </c>
      <c r="J15" s="40">
        <f ca="1">IFERROR(__xludf.DUMMYFUNCTION("IF(SUM(COUNTIF(artists!C:C, SPLIT(D15, "",""))) &gt; 0, ""RU"", 0)"),0)</f>
        <v>0</v>
      </c>
      <c r="K15" s="39">
        <f ca="1">IFERROR(__xludf.DUMMYFUNCTION("IF(SUM(COUNTIF(artists!E:E, SPLIT(D15, "",""))) &gt; 0, ""OTHER"", 0)"),0)</f>
        <v>0</v>
      </c>
    </row>
    <row r="16" spans="1:11">
      <c r="A16" s="21">
        <v>15</v>
      </c>
      <c r="B16" s="21">
        <v>16</v>
      </c>
      <c r="C16" s="21" t="s">
        <v>132</v>
      </c>
      <c r="D16" s="21" t="s">
        <v>133</v>
      </c>
      <c r="E16" s="21">
        <v>42</v>
      </c>
      <c r="F16" s="21">
        <v>568067</v>
      </c>
      <c r="G16" s="21" t="s">
        <v>134</v>
      </c>
      <c r="H16" s="38" t="s">
        <v>135</v>
      </c>
      <c r="I16" s="39" t="str">
        <f ca="1">IFERROR(__xludf.DUMMYFUNCTION("IF(SUM(COUNTIF(artists!A:A, SPLIT(D16, "",""))) &gt; 0, ""UA"", 0)"),"UA")</f>
        <v>UA</v>
      </c>
      <c r="J16" s="40">
        <f ca="1">IFERROR(__xludf.DUMMYFUNCTION("IF(SUM(COUNTIF(artists!C:C, SPLIT(D16, "",""))) &gt; 0, ""RU"", 0)"),0)</f>
        <v>0</v>
      </c>
      <c r="K16" s="39">
        <f ca="1">IFERROR(__xludf.DUMMYFUNCTION("IF(SUM(COUNTIF(artists!E:E, SPLIT(D16, "",""))) &gt; 0, ""OTHER"", 0)"),0)</f>
        <v>0</v>
      </c>
    </row>
    <row r="17" spans="1:11">
      <c r="A17" s="21">
        <v>16</v>
      </c>
      <c r="B17" s="21">
        <v>17</v>
      </c>
      <c r="C17" s="21" t="s">
        <v>136</v>
      </c>
      <c r="D17" s="21" t="s">
        <v>137</v>
      </c>
      <c r="E17" s="21">
        <v>8</v>
      </c>
      <c r="F17" s="21">
        <v>556806</v>
      </c>
      <c r="G17" s="41">
        <v>7.0000000000000007E-2</v>
      </c>
      <c r="H17" s="38" t="s">
        <v>138</v>
      </c>
      <c r="I17" s="39" t="str">
        <f ca="1">IFERROR(__xludf.DUMMYFUNCTION("IF(SUM(COUNTIF(artists!A:A, SPLIT(D17, "",""))) &gt; 0, ""UA"", 0)"),"UA")</f>
        <v>UA</v>
      </c>
      <c r="J17" s="40">
        <f ca="1">IFERROR(__xludf.DUMMYFUNCTION("IF(SUM(COUNTIF(artists!C:C, SPLIT(D17, "",""))) &gt; 0, ""RU"", 0)"),0)</f>
        <v>0</v>
      </c>
      <c r="K17" s="39">
        <f ca="1">IFERROR(__xludf.DUMMYFUNCTION("IF(SUM(COUNTIF(artists!E:E, SPLIT(D17, "",""))) &gt; 0, ""OTHER"", 0)"),0)</f>
        <v>0</v>
      </c>
    </row>
    <row r="18" spans="1:11">
      <c r="A18" s="21">
        <v>17</v>
      </c>
      <c r="B18" s="21">
        <v>18</v>
      </c>
      <c r="C18" s="21" t="s">
        <v>139</v>
      </c>
      <c r="D18" s="21" t="s">
        <v>140</v>
      </c>
      <c r="E18" s="21">
        <v>3</v>
      </c>
      <c r="F18" s="21">
        <v>548597</v>
      </c>
      <c r="G18" s="41">
        <v>0.06</v>
      </c>
      <c r="H18" s="38" t="s">
        <v>141</v>
      </c>
      <c r="I18" s="39" t="str">
        <f ca="1">IFERROR(__xludf.DUMMYFUNCTION("IF(SUM(COUNTIF(artists!A:A, SPLIT(D18, "",""))) &gt; 0, ""UA"", 0)"),"UA")</f>
        <v>UA</v>
      </c>
      <c r="J18" s="40">
        <f ca="1">IFERROR(__xludf.DUMMYFUNCTION("IF(SUM(COUNTIF(artists!C:C, SPLIT(D18, "",""))) &gt; 0, ""RU"", 0)"),0)</f>
        <v>0</v>
      </c>
      <c r="K18" s="39">
        <f ca="1">IFERROR(__xludf.DUMMYFUNCTION("IF(SUM(COUNTIF(artists!E:E, SPLIT(D18, "",""))) &gt; 0, ""OTHER"", 0)"),0)</f>
        <v>0</v>
      </c>
    </row>
    <row r="19" spans="1:11">
      <c r="A19" s="21">
        <v>18</v>
      </c>
      <c r="B19" s="21">
        <v>14</v>
      </c>
      <c r="C19" s="21" t="s">
        <v>142</v>
      </c>
      <c r="D19" s="21" t="s">
        <v>104</v>
      </c>
      <c r="E19" s="21">
        <v>4</v>
      </c>
      <c r="F19" s="21">
        <v>543275</v>
      </c>
      <c r="G19" s="21" t="s">
        <v>143</v>
      </c>
      <c r="H19" s="38" t="s">
        <v>144</v>
      </c>
      <c r="I19" s="39" t="str">
        <f ca="1">IFERROR(__xludf.DUMMYFUNCTION("IF(SUM(COUNTIF(artists!A:A, SPLIT(D19, "",""))) &gt; 0, ""UA"", 0)"),"UA")</f>
        <v>UA</v>
      </c>
      <c r="J19" s="40">
        <f ca="1">IFERROR(__xludf.DUMMYFUNCTION("IF(SUM(COUNTIF(artists!C:C, SPLIT(D19, "",""))) &gt; 0, ""RU"", 0)"),0)</f>
        <v>0</v>
      </c>
      <c r="K19" s="39">
        <f ca="1">IFERROR(__xludf.DUMMYFUNCTION("IF(SUM(COUNTIF(artists!E:E, SPLIT(D19, "",""))) &gt; 0, ""OTHER"", 0)"),0)</f>
        <v>0</v>
      </c>
    </row>
    <row r="20" spans="1:11">
      <c r="A20" s="21">
        <v>19</v>
      </c>
      <c r="B20" s="21">
        <v>20</v>
      </c>
      <c r="C20" s="21" t="s">
        <v>145</v>
      </c>
      <c r="D20" s="21" t="s">
        <v>146</v>
      </c>
      <c r="E20" s="21">
        <v>36</v>
      </c>
      <c r="F20" s="21">
        <v>525600</v>
      </c>
      <c r="G20" s="21" t="s">
        <v>147</v>
      </c>
      <c r="H20" s="38" t="s">
        <v>148</v>
      </c>
      <c r="I20" s="39" t="str">
        <f ca="1">IFERROR(__xludf.DUMMYFUNCTION("IF(SUM(COUNTIF(artists!A:A, SPLIT(D20, "",""))) &gt; 0, ""UA"", 0)"),"UA")</f>
        <v>UA</v>
      </c>
      <c r="J20" s="40">
        <f ca="1">IFERROR(__xludf.DUMMYFUNCTION("IF(SUM(COUNTIF(artists!C:C, SPLIT(D20, "",""))) &gt; 0, ""RU"", 0)"),0)</f>
        <v>0</v>
      </c>
      <c r="K20" s="39">
        <f ca="1">IFERROR(__xludf.DUMMYFUNCTION("IF(SUM(COUNTIF(artists!E:E, SPLIT(D20, "",""))) &gt; 0, ""OTHER"", 0)"),0)</f>
        <v>0</v>
      </c>
    </row>
    <row r="21" spans="1:11">
      <c r="A21" s="21">
        <v>20</v>
      </c>
      <c r="B21" s="21">
        <v>19</v>
      </c>
      <c r="C21" s="21" t="s">
        <v>149</v>
      </c>
      <c r="D21" s="21" t="s">
        <v>150</v>
      </c>
      <c r="E21" s="21">
        <v>35</v>
      </c>
      <c r="F21" s="21">
        <v>525073</v>
      </c>
      <c r="G21" s="21" t="s">
        <v>151</v>
      </c>
      <c r="H21" s="38" t="s">
        <v>152</v>
      </c>
      <c r="I21" s="39" t="str">
        <f ca="1">IFERROR(__xludf.DUMMYFUNCTION("IF(SUM(COUNTIF(artists!A:A, SPLIT(D21, "",""))) &gt; 0, ""UA"", 0)"),"UA")</f>
        <v>UA</v>
      </c>
      <c r="J21" s="40">
        <f ca="1">IFERROR(__xludf.DUMMYFUNCTION("IF(SUM(COUNTIF(artists!C:C, SPLIT(D21, "",""))) &gt; 0, ""RU"", 0)"),0)</f>
        <v>0</v>
      </c>
      <c r="K21" s="39">
        <f ca="1">IFERROR(__xludf.DUMMYFUNCTION("IF(SUM(COUNTIF(artists!E:E, SPLIT(D21, "",""))) &gt; 0, ""OTHER"", 0)"),0)</f>
        <v>0</v>
      </c>
    </row>
    <row r="22" spans="1:11">
      <c r="A22" s="21">
        <v>21</v>
      </c>
      <c r="B22" s="21">
        <v>15</v>
      </c>
      <c r="C22" s="21" t="s">
        <v>153</v>
      </c>
      <c r="D22" s="21" t="s">
        <v>154</v>
      </c>
      <c r="E22" s="21">
        <v>10</v>
      </c>
      <c r="F22" s="21">
        <v>514916</v>
      </c>
      <c r="G22" s="21" t="s">
        <v>155</v>
      </c>
      <c r="H22" s="38" t="s">
        <v>156</v>
      </c>
      <c r="I22" s="39">
        <f ca="1">IFERROR(__xludf.DUMMYFUNCTION("IF(SUM(COUNTIF(artists!A:A, SPLIT(D22, "",""))) &gt; 0, ""UA"", 0)"),0)</f>
        <v>0</v>
      </c>
      <c r="J22" s="40" t="str">
        <f ca="1">IFERROR(__xludf.DUMMYFUNCTION("IF(SUM(COUNTIF(artists!C:C, SPLIT(D22, "",""))) &gt; 0, ""RU"", 0)"),"RU")</f>
        <v>RU</v>
      </c>
      <c r="K22" s="39">
        <f ca="1">IFERROR(__xludf.DUMMYFUNCTION("IF(SUM(COUNTIF(artists!E:E, SPLIT(D22, "",""))) &gt; 0, ""OTHER"", 0)"),0)</f>
        <v>0</v>
      </c>
    </row>
    <row r="23" spans="1:11">
      <c r="A23" s="21">
        <v>22</v>
      </c>
      <c r="C23" s="21" t="s">
        <v>157</v>
      </c>
      <c r="D23" s="21" t="s">
        <v>158</v>
      </c>
      <c r="E23" s="21">
        <v>1</v>
      </c>
      <c r="F23" s="21">
        <v>506176</v>
      </c>
      <c r="H23" s="38" t="s">
        <v>159</v>
      </c>
      <c r="I23" s="39">
        <f ca="1">IFERROR(__xludf.DUMMYFUNCTION("IF(SUM(COUNTIF(artists!A:A, SPLIT(D23, "",""))) &gt; 0, ""UA"", 0)"),0)</f>
        <v>0</v>
      </c>
      <c r="J23" s="40">
        <f ca="1">IFERROR(__xludf.DUMMYFUNCTION("IF(SUM(COUNTIF(artists!C:C, SPLIT(D23, "",""))) &gt; 0, ""RU"", 0)"),0)</f>
        <v>0</v>
      </c>
      <c r="K23" s="39" t="str">
        <f ca="1">IFERROR(__xludf.DUMMYFUNCTION("IF(SUM(COUNTIF(artists!E:E, SPLIT(D23, "",""))) &gt; 0, ""OTHER"", 0)"),"OTHER")</f>
        <v>OTHER</v>
      </c>
    </row>
    <row r="24" spans="1:11">
      <c r="A24" s="21">
        <v>23</v>
      </c>
      <c r="B24" s="21">
        <v>21</v>
      </c>
      <c r="C24" s="21" t="s">
        <v>160</v>
      </c>
      <c r="D24" s="21" t="s">
        <v>161</v>
      </c>
      <c r="E24" s="21">
        <v>36</v>
      </c>
      <c r="F24" s="21">
        <v>452466</v>
      </c>
      <c r="G24" s="21" t="s">
        <v>162</v>
      </c>
      <c r="H24" s="38" t="s">
        <v>163</v>
      </c>
      <c r="I24" s="39" t="str">
        <f ca="1">IFERROR(__xludf.DUMMYFUNCTION("IF(SUM(COUNTIF(artists!A:A, SPLIT(D24, "",""))) &gt; 0, ""UA"", 0)"),"UA")</f>
        <v>UA</v>
      </c>
      <c r="J24" s="40">
        <f ca="1">IFERROR(__xludf.DUMMYFUNCTION("IF(SUM(COUNTIF(artists!C:C, SPLIT(D24, "",""))) &gt; 0, ""RU"", 0)"),0)</f>
        <v>0</v>
      </c>
      <c r="K24" s="39">
        <f ca="1">IFERROR(__xludf.DUMMYFUNCTION("IF(SUM(COUNTIF(artists!E:E, SPLIT(D24, "",""))) &gt; 0, ""OTHER"", 0)"),0)</f>
        <v>0</v>
      </c>
    </row>
    <row r="25" spans="1:11">
      <c r="A25" s="21">
        <v>24</v>
      </c>
      <c r="B25" s="21">
        <v>23</v>
      </c>
      <c r="C25" s="21" t="s">
        <v>164</v>
      </c>
      <c r="D25" s="21" t="s">
        <v>165</v>
      </c>
      <c r="E25" s="21">
        <v>9</v>
      </c>
      <c r="F25" s="21">
        <v>436374</v>
      </c>
      <c r="G25" s="21" t="s">
        <v>166</v>
      </c>
      <c r="H25" s="38" t="s">
        <v>167</v>
      </c>
      <c r="I25" s="39" t="str">
        <f ca="1">IFERROR(__xludf.DUMMYFUNCTION("IF(SUM(COUNTIF(artists!A:A, SPLIT(D25, "",""))) &gt; 0, ""UA"", 0)"),"UA")</f>
        <v>UA</v>
      </c>
      <c r="J25" s="40">
        <f ca="1">IFERROR(__xludf.DUMMYFUNCTION("IF(SUM(COUNTIF(artists!C:C, SPLIT(D25, "",""))) &gt; 0, ""RU"", 0)"),0)</f>
        <v>0</v>
      </c>
      <c r="K25" s="39">
        <f ca="1">IFERROR(__xludf.DUMMYFUNCTION("IF(SUM(COUNTIF(artists!E:E, SPLIT(D25, "",""))) &gt; 0, ""OTHER"", 0)"),0)</f>
        <v>0</v>
      </c>
    </row>
    <row r="26" spans="1:11">
      <c r="A26" s="21">
        <v>25</v>
      </c>
      <c r="B26" s="21">
        <v>22</v>
      </c>
      <c r="C26" s="21" t="s">
        <v>168</v>
      </c>
      <c r="D26" s="21" t="s">
        <v>137</v>
      </c>
      <c r="E26" s="21">
        <v>33</v>
      </c>
      <c r="F26" s="21">
        <v>428984</v>
      </c>
      <c r="G26" s="21" t="s">
        <v>169</v>
      </c>
      <c r="H26" s="38" t="s">
        <v>170</v>
      </c>
      <c r="I26" s="39" t="str">
        <f ca="1">IFERROR(__xludf.DUMMYFUNCTION("IF(SUM(COUNTIF(artists!A:A, SPLIT(D26, "",""))) &gt; 0, ""UA"", 0)"),"UA")</f>
        <v>UA</v>
      </c>
      <c r="J26" s="40">
        <f ca="1">IFERROR(__xludf.DUMMYFUNCTION("IF(SUM(COUNTIF(artists!C:C, SPLIT(D26, "",""))) &gt; 0, ""RU"", 0)"),0)</f>
        <v>0</v>
      </c>
      <c r="K26" s="39">
        <f ca="1">IFERROR(__xludf.DUMMYFUNCTION("IF(SUM(COUNTIF(artists!E:E, SPLIT(D26, "",""))) &gt; 0, ""OTHER"", 0)"),0)</f>
        <v>0</v>
      </c>
    </row>
    <row r="27" spans="1:11">
      <c r="A27" s="21">
        <v>26</v>
      </c>
      <c r="B27" s="21">
        <v>24</v>
      </c>
      <c r="C27" s="21" t="s">
        <v>171</v>
      </c>
      <c r="D27" s="21" t="s">
        <v>172</v>
      </c>
      <c r="E27" s="21">
        <v>37</v>
      </c>
      <c r="F27" s="21">
        <v>415133</v>
      </c>
      <c r="G27" s="21" t="s">
        <v>173</v>
      </c>
      <c r="H27" s="38" t="s">
        <v>174</v>
      </c>
      <c r="I27" s="39">
        <f ca="1">IFERROR(__xludf.DUMMYFUNCTION("IF(SUM(COUNTIF(artists!A:A, SPLIT(D27, "",""))) &gt; 0, ""UA"", 0)"),0)</f>
        <v>0</v>
      </c>
      <c r="J27" s="40" t="str">
        <f ca="1">IFERROR(__xludf.DUMMYFUNCTION("IF(SUM(COUNTIF(artists!C:C, SPLIT(D27, "",""))) &gt; 0, ""RU"", 0)"),"RU")</f>
        <v>RU</v>
      </c>
      <c r="K27" s="39">
        <f ca="1">IFERROR(__xludf.DUMMYFUNCTION("IF(SUM(COUNTIF(artists!E:E, SPLIT(D27, "",""))) &gt; 0, ""OTHER"", 0)"),0)</f>
        <v>0</v>
      </c>
    </row>
    <row r="28" spans="1:11">
      <c r="A28" s="21">
        <v>27</v>
      </c>
      <c r="B28" s="21">
        <v>27</v>
      </c>
      <c r="C28" s="21" t="s">
        <v>175</v>
      </c>
      <c r="D28" s="21" t="s">
        <v>89</v>
      </c>
      <c r="E28" s="21">
        <v>42</v>
      </c>
      <c r="F28" s="21">
        <v>406828</v>
      </c>
      <c r="G28" s="21" t="s">
        <v>176</v>
      </c>
      <c r="H28" s="38" t="s">
        <v>177</v>
      </c>
      <c r="I28" s="39" t="str">
        <f ca="1">IFERROR(__xludf.DUMMYFUNCTION("IF(SUM(COUNTIF(artists!A:A, SPLIT(D28, "",""))) &gt; 0, ""UA"", 0)"),"UA")</f>
        <v>UA</v>
      </c>
      <c r="J28" s="40">
        <f ca="1">IFERROR(__xludf.DUMMYFUNCTION("IF(SUM(COUNTIF(artists!C:C, SPLIT(D28, "",""))) &gt; 0, ""RU"", 0)"),0)</f>
        <v>0</v>
      </c>
      <c r="K28" s="39">
        <f ca="1">IFERROR(__xludf.DUMMYFUNCTION("IF(SUM(COUNTIF(artists!E:E, SPLIT(D28, "",""))) &gt; 0, ""OTHER"", 0)"),0)</f>
        <v>0</v>
      </c>
    </row>
    <row r="29" spans="1:11">
      <c r="A29" s="21">
        <v>28</v>
      </c>
      <c r="B29" s="21">
        <v>29</v>
      </c>
      <c r="C29" s="21" t="s">
        <v>178</v>
      </c>
      <c r="D29" s="21" t="s">
        <v>179</v>
      </c>
      <c r="E29" s="21">
        <v>46</v>
      </c>
      <c r="F29" s="21">
        <v>390671</v>
      </c>
      <c r="G29" s="21" t="s">
        <v>180</v>
      </c>
      <c r="H29" s="38" t="s">
        <v>181</v>
      </c>
      <c r="I29" s="39" t="str">
        <f ca="1">IFERROR(__xludf.DUMMYFUNCTION("IF(SUM(COUNTIF(artists!A:A, SPLIT(D29, "",""))) &gt; 0, ""UA"", 0)"),"UA")</f>
        <v>UA</v>
      </c>
      <c r="J29" s="40">
        <f ca="1">IFERROR(__xludf.DUMMYFUNCTION("IF(SUM(COUNTIF(artists!C:C, SPLIT(D29, "",""))) &gt; 0, ""RU"", 0)"),0)</f>
        <v>0</v>
      </c>
      <c r="K29" s="39">
        <f ca="1">IFERROR(__xludf.DUMMYFUNCTION("IF(SUM(COUNTIF(artists!E:E, SPLIT(D29, "",""))) &gt; 0, ""OTHER"", 0)"),0)</f>
        <v>0</v>
      </c>
    </row>
    <row r="30" spans="1:11">
      <c r="A30" s="21">
        <v>29</v>
      </c>
      <c r="B30" s="21">
        <v>28</v>
      </c>
      <c r="C30" s="21" t="s">
        <v>182</v>
      </c>
      <c r="D30" s="21" t="s">
        <v>183</v>
      </c>
      <c r="E30" s="21">
        <v>38</v>
      </c>
      <c r="F30" s="21">
        <v>383434</v>
      </c>
      <c r="G30" s="21" t="s">
        <v>184</v>
      </c>
      <c r="H30" s="38" t="s">
        <v>185</v>
      </c>
      <c r="I30" s="39" t="str">
        <f ca="1">IFERROR(__xludf.DUMMYFUNCTION("IF(SUM(COUNTIF(artists!A:A, SPLIT(D30, "",""))) &gt; 0, ""UA"", 0)"),"UA")</f>
        <v>UA</v>
      </c>
      <c r="J30" s="40">
        <f ca="1">IFERROR(__xludf.DUMMYFUNCTION("IF(SUM(COUNTIF(artists!C:C, SPLIT(D30, "",""))) &gt; 0, ""RU"", 0)"),0)</f>
        <v>0</v>
      </c>
      <c r="K30" s="39">
        <f ca="1">IFERROR(__xludf.DUMMYFUNCTION("IF(SUM(COUNTIF(artists!E:E, SPLIT(D30, "",""))) &gt; 0, ""OTHER"", 0)"),0)</f>
        <v>0</v>
      </c>
    </row>
    <row r="31" spans="1:11">
      <c r="A31" s="21">
        <v>30</v>
      </c>
      <c r="B31" s="21">
        <v>26</v>
      </c>
      <c r="C31" s="21" t="s">
        <v>186</v>
      </c>
      <c r="D31" s="21" t="s">
        <v>187</v>
      </c>
      <c r="E31" s="21">
        <v>46</v>
      </c>
      <c r="F31" s="21">
        <v>377474</v>
      </c>
      <c r="G31" s="21" t="s">
        <v>188</v>
      </c>
      <c r="H31" s="38" t="s">
        <v>189</v>
      </c>
      <c r="I31" s="39" t="str">
        <f ca="1">IFERROR(__xludf.DUMMYFUNCTION("IF(SUM(COUNTIF(artists!A:A, SPLIT(D31, "",""))) &gt; 0, ""UA"", 0)"),"UA")</f>
        <v>UA</v>
      </c>
      <c r="J31" s="40">
        <f ca="1">IFERROR(__xludf.DUMMYFUNCTION("IF(SUM(COUNTIF(artists!C:C, SPLIT(D31, "",""))) &gt; 0, ""RU"", 0)"),0)</f>
        <v>0</v>
      </c>
      <c r="K31" s="39">
        <f ca="1">IFERROR(__xludf.DUMMYFUNCTION("IF(SUM(COUNTIF(artists!E:E, SPLIT(D31, "",""))) &gt; 0, ""OTHER"", 0)"),0)</f>
        <v>0</v>
      </c>
    </row>
    <row r="32" spans="1:11">
      <c r="A32" s="21">
        <v>31</v>
      </c>
      <c r="B32" s="21">
        <v>33</v>
      </c>
      <c r="C32" s="21" t="s">
        <v>190</v>
      </c>
      <c r="D32" s="21" t="s">
        <v>191</v>
      </c>
      <c r="E32" s="21">
        <v>17</v>
      </c>
      <c r="F32" s="21">
        <v>363507</v>
      </c>
      <c r="G32" s="21" t="s">
        <v>192</v>
      </c>
      <c r="H32" s="38" t="s">
        <v>193</v>
      </c>
      <c r="I32" s="39" t="str">
        <f ca="1">IFERROR(__xludf.DUMMYFUNCTION("IF(SUM(COUNTIF(artists!A:A, SPLIT(D32, "",""))) &gt; 0, ""UA"", 0)"),"UA")</f>
        <v>UA</v>
      </c>
      <c r="J32" s="40">
        <f ca="1">IFERROR(__xludf.DUMMYFUNCTION("IF(SUM(COUNTIF(artists!C:C, SPLIT(D32, "",""))) &gt; 0, ""RU"", 0)"),0)</f>
        <v>0</v>
      </c>
      <c r="K32" s="39">
        <f ca="1">IFERROR(__xludf.DUMMYFUNCTION("IF(SUM(COUNTIF(artists!E:E, SPLIT(D32, "",""))) &gt; 0, ""OTHER"", 0)"),0)</f>
        <v>0</v>
      </c>
    </row>
    <row r="33" spans="1:11">
      <c r="A33" s="21">
        <v>32</v>
      </c>
      <c r="B33" s="21">
        <v>31</v>
      </c>
      <c r="C33" s="21" t="s">
        <v>194</v>
      </c>
      <c r="D33" s="21" t="s">
        <v>195</v>
      </c>
      <c r="E33" s="21">
        <v>45</v>
      </c>
      <c r="F33" s="21">
        <v>344651</v>
      </c>
      <c r="G33" s="21" t="s">
        <v>196</v>
      </c>
      <c r="H33" s="38" t="s">
        <v>197</v>
      </c>
      <c r="I33" s="39" t="str">
        <f ca="1">IFERROR(__xludf.DUMMYFUNCTION("IF(SUM(COUNTIF(artists!A:A, SPLIT(D33, "",""))) &gt; 0, ""UA"", 0)"),"UA")</f>
        <v>UA</v>
      </c>
      <c r="J33" s="40">
        <f ca="1">IFERROR(__xludf.DUMMYFUNCTION("IF(SUM(COUNTIF(artists!C:C, SPLIT(D33, "",""))) &gt; 0, ""RU"", 0)"),0)</f>
        <v>0</v>
      </c>
      <c r="K33" s="39">
        <f ca="1">IFERROR(__xludf.DUMMYFUNCTION("IF(SUM(COUNTIF(artists!E:E, SPLIT(D33, "",""))) &gt; 0, ""OTHER"", 0)"),0)</f>
        <v>0</v>
      </c>
    </row>
    <row r="34" spans="1:11">
      <c r="A34" s="21">
        <v>33</v>
      </c>
      <c r="B34" s="21">
        <v>32</v>
      </c>
      <c r="C34" s="21" t="s">
        <v>198</v>
      </c>
      <c r="D34" s="21" t="s">
        <v>199</v>
      </c>
      <c r="E34" s="21">
        <v>23</v>
      </c>
      <c r="F34" s="21">
        <v>344459</v>
      </c>
      <c r="G34" s="21" t="s">
        <v>200</v>
      </c>
      <c r="H34" s="38" t="s">
        <v>201</v>
      </c>
      <c r="I34" s="39" t="str">
        <f ca="1">IFERROR(__xludf.DUMMYFUNCTION("IF(SUM(COUNTIF(artists!A:A, SPLIT(D34, "",""))) &gt; 0, ""UA"", 0)"),"UA")</f>
        <v>UA</v>
      </c>
      <c r="J34" s="40">
        <f ca="1">IFERROR(__xludf.DUMMYFUNCTION("IF(SUM(COUNTIF(artists!C:C, SPLIT(D34, "",""))) &gt; 0, ""RU"", 0)"),0)</f>
        <v>0</v>
      </c>
      <c r="K34" s="39">
        <f ca="1">IFERROR(__xludf.DUMMYFUNCTION("IF(SUM(COUNTIF(artists!E:E, SPLIT(D34, "",""))) &gt; 0, ""OTHER"", 0)"),0)</f>
        <v>0</v>
      </c>
    </row>
    <row r="35" spans="1:11">
      <c r="A35" s="21">
        <v>34</v>
      </c>
      <c r="B35" s="21">
        <v>30</v>
      </c>
      <c r="C35" s="21" t="s">
        <v>202</v>
      </c>
      <c r="D35" s="21" t="s">
        <v>203</v>
      </c>
      <c r="E35" s="21">
        <v>32</v>
      </c>
      <c r="F35" s="21">
        <v>341712</v>
      </c>
      <c r="G35" s="21" t="s">
        <v>169</v>
      </c>
      <c r="H35" s="38" t="s">
        <v>204</v>
      </c>
      <c r="I35" s="39" t="str">
        <f ca="1">IFERROR(__xludf.DUMMYFUNCTION("IF(SUM(COUNTIF(artists!A:A, SPLIT(D35, "",""))) &gt; 0, ""UA"", 0)"),"UA")</f>
        <v>UA</v>
      </c>
      <c r="J35" s="40">
        <f ca="1">IFERROR(__xludf.DUMMYFUNCTION("IF(SUM(COUNTIF(artists!C:C, SPLIT(D35, "",""))) &gt; 0, ""RU"", 0)"),0)</f>
        <v>0</v>
      </c>
      <c r="K35" s="39">
        <f ca="1">IFERROR(__xludf.DUMMYFUNCTION("IF(SUM(COUNTIF(artists!E:E, SPLIT(D35, "",""))) &gt; 0, ""OTHER"", 0)"),0)</f>
        <v>0</v>
      </c>
    </row>
    <row r="36" spans="1:11">
      <c r="A36" s="21">
        <v>35</v>
      </c>
      <c r="B36" s="21">
        <v>73</v>
      </c>
      <c r="C36" s="21" t="s">
        <v>205</v>
      </c>
      <c r="D36" s="21" t="s">
        <v>206</v>
      </c>
      <c r="E36" s="21">
        <v>2</v>
      </c>
      <c r="F36" s="21">
        <v>340478</v>
      </c>
      <c r="G36" s="21" t="s">
        <v>207</v>
      </c>
      <c r="H36" s="38" t="s">
        <v>208</v>
      </c>
      <c r="I36" s="39" t="str">
        <f ca="1">IFERROR(__xludf.DUMMYFUNCTION("IF(SUM(COUNTIF(artists!A:A, SPLIT(D36, "",""))) &gt; 0, ""UA"", 0)"),"UA")</f>
        <v>UA</v>
      </c>
      <c r="J36" s="40">
        <f ca="1">IFERROR(__xludf.DUMMYFUNCTION("IF(SUM(COUNTIF(artists!C:C, SPLIT(D36, "",""))) &gt; 0, ""RU"", 0)"),0)</f>
        <v>0</v>
      </c>
      <c r="K36" s="39">
        <f ca="1">IFERROR(__xludf.DUMMYFUNCTION("IF(SUM(COUNTIF(artists!E:E, SPLIT(D36, "",""))) &gt; 0, ""OTHER"", 0)"),0)</f>
        <v>0</v>
      </c>
    </row>
    <row r="37" spans="1:11">
      <c r="A37" s="21">
        <v>36</v>
      </c>
      <c r="B37" s="21">
        <v>37</v>
      </c>
      <c r="C37" s="21" t="s">
        <v>209</v>
      </c>
      <c r="D37" s="21" t="s">
        <v>210</v>
      </c>
      <c r="E37" s="21">
        <v>35</v>
      </c>
      <c r="F37" s="21">
        <v>322792</v>
      </c>
      <c r="G37" s="21" t="s">
        <v>211</v>
      </c>
      <c r="H37" s="38" t="s">
        <v>212</v>
      </c>
      <c r="I37" s="39" t="str">
        <f ca="1">IFERROR(__xludf.DUMMYFUNCTION("IF(SUM(COUNTIF(artists!A:A, SPLIT(D37, "",""))) &gt; 0, ""UA"", 0)"),"UA")</f>
        <v>UA</v>
      </c>
      <c r="J37" s="40">
        <f ca="1">IFERROR(__xludf.DUMMYFUNCTION("IF(SUM(COUNTIF(artists!C:C, SPLIT(D37, "",""))) &gt; 0, ""RU"", 0)"),0)</f>
        <v>0</v>
      </c>
      <c r="K37" s="39">
        <f ca="1">IFERROR(__xludf.DUMMYFUNCTION("IF(SUM(COUNTIF(artists!E:E, SPLIT(D37, "",""))) &gt; 0, ""OTHER"", 0)"),0)</f>
        <v>0</v>
      </c>
    </row>
    <row r="38" spans="1:11">
      <c r="A38" s="21">
        <v>37</v>
      </c>
      <c r="B38" s="21">
        <v>36</v>
      </c>
      <c r="C38" s="21" t="s">
        <v>213</v>
      </c>
      <c r="D38" s="21" t="s">
        <v>214</v>
      </c>
      <c r="E38" s="21">
        <v>4</v>
      </c>
      <c r="F38" s="21">
        <v>316758</v>
      </c>
      <c r="G38" s="21" t="s">
        <v>215</v>
      </c>
      <c r="H38" s="38" t="s">
        <v>216</v>
      </c>
      <c r="I38" s="39" t="str">
        <f ca="1">IFERROR(__xludf.DUMMYFUNCTION("IF(SUM(COUNTIF(artists!A:A, SPLIT(D38, "",""))) &gt; 0, ""UA"", 0)"),"UA")</f>
        <v>UA</v>
      </c>
      <c r="J38" s="40">
        <f ca="1">IFERROR(__xludf.DUMMYFUNCTION("IF(SUM(COUNTIF(artists!C:C, SPLIT(D38, "",""))) &gt; 0, ""RU"", 0)"),0)</f>
        <v>0</v>
      </c>
      <c r="K38" s="39">
        <f ca="1">IFERROR(__xludf.DUMMYFUNCTION("IF(SUM(COUNTIF(artists!E:E, SPLIT(D38, "",""))) &gt; 0, ""OTHER"", 0)"),0)</f>
        <v>0</v>
      </c>
    </row>
    <row r="39" spans="1:11">
      <c r="A39" s="21">
        <v>38</v>
      </c>
      <c r="B39" s="21">
        <v>25</v>
      </c>
      <c r="C39" s="21" t="s">
        <v>217</v>
      </c>
      <c r="D39" s="21" t="s">
        <v>218</v>
      </c>
      <c r="E39" s="21">
        <v>6</v>
      </c>
      <c r="F39" s="21">
        <v>304677</v>
      </c>
      <c r="G39" s="21" t="s">
        <v>219</v>
      </c>
      <c r="H39" s="38" t="s">
        <v>220</v>
      </c>
      <c r="I39" s="39" t="str">
        <f ca="1">IFERROR(__xludf.DUMMYFUNCTION("IF(SUM(COUNTIF(artists!A:A, SPLIT(D39, "",""))) &gt; 0, ""UA"", 0)"),"UA")</f>
        <v>UA</v>
      </c>
      <c r="J39" s="40">
        <f ca="1">IFERROR(__xludf.DUMMYFUNCTION("IF(SUM(COUNTIF(artists!C:C, SPLIT(D39, "",""))) &gt; 0, ""RU"", 0)"),0)</f>
        <v>0</v>
      </c>
      <c r="K39" s="39">
        <f ca="1">IFERROR(__xludf.DUMMYFUNCTION("IF(SUM(COUNTIF(artists!E:E, SPLIT(D39, "",""))) &gt; 0, ""OTHER"", 0)"),0)</f>
        <v>0</v>
      </c>
    </row>
    <row r="40" spans="1:11">
      <c r="A40" s="21">
        <v>39</v>
      </c>
      <c r="B40" s="21">
        <v>35</v>
      </c>
      <c r="C40" s="21" t="s">
        <v>221</v>
      </c>
      <c r="D40" s="21" t="s">
        <v>222</v>
      </c>
      <c r="E40" s="21">
        <v>11</v>
      </c>
      <c r="F40" s="21">
        <v>300968</v>
      </c>
      <c r="G40" s="21" t="s">
        <v>223</v>
      </c>
      <c r="H40" s="38" t="s">
        <v>224</v>
      </c>
      <c r="I40" s="39">
        <f ca="1">IFERROR(__xludf.DUMMYFUNCTION("IF(SUM(COUNTIF(artists!A:A, SPLIT(D40, "",""))) &gt; 0, ""UA"", 0)"),0)</f>
        <v>0</v>
      </c>
      <c r="J40" s="40">
        <f ca="1">IFERROR(__xludf.DUMMYFUNCTION("IF(SUM(COUNTIF(artists!C:C, SPLIT(D40, "",""))) &gt; 0, ""RU"", 0)"),0)</f>
        <v>0</v>
      </c>
      <c r="K40" s="39" t="str">
        <f ca="1">IFERROR(__xludf.DUMMYFUNCTION("IF(SUM(COUNTIF(artists!E:E, SPLIT(D40, "",""))) &gt; 0, ""OTHER"", 0)"),"OTHER")</f>
        <v>OTHER</v>
      </c>
    </row>
    <row r="41" spans="1:11">
      <c r="A41" s="21">
        <v>40</v>
      </c>
      <c r="B41" s="21">
        <v>48</v>
      </c>
      <c r="C41" s="21" t="s">
        <v>225</v>
      </c>
      <c r="D41" s="21" t="s">
        <v>226</v>
      </c>
      <c r="E41" s="21">
        <v>4</v>
      </c>
      <c r="F41" s="21">
        <v>299705</v>
      </c>
      <c r="G41" s="21" t="s">
        <v>227</v>
      </c>
      <c r="H41" s="38" t="s">
        <v>228</v>
      </c>
      <c r="I41" s="39" t="str">
        <f ca="1">IFERROR(__xludf.DUMMYFUNCTION("IF(SUM(COUNTIF(artists!A:A, SPLIT(D41, "",""))) &gt; 0, ""UA"", 0)"),"UA")</f>
        <v>UA</v>
      </c>
      <c r="J41" s="40">
        <f ca="1">IFERROR(__xludf.DUMMYFUNCTION("IF(SUM(COUNTIF(artists!C:C, SPLIT(D41, "",""))) &gt; 0, ""RU"", 0)"),0)</f>
        <v>0</v>
      </c>
      <c r="K41" s="39">
        <f ca="1">IFERROR(__xludf.DUMMYFUNCTION("IF(SUM(COUNTIF(artists!E:E, SPLIT(D41, "",""))) &gt; 0, ""OTHER"", 0)"),0)</f>
        <v>0</v>
      </c>
    </row>
    <row r="42" spans="1:11">
      <c r="A42" s="21">
        <v>41</v>
      </c>
      <c r="B42" s="21">
        <v>34</v>
      </c>
      <c r="C42" s="21" t="s">
        <v>229</v>
      </c>
      <c r="D42" s="21" t="s">
        <v>230</v>
      </c>
      <c r="E42" s="21">
        <v>49</v>
      </c>
      <c r="F42" s="21">
        <v>296494</v>
      </c>
      <c r="G42" s="21" t="s">
        <v>231</v>
      </c>
      <c r="H42" s="38" t="s">
        <v>232</v>
      </c>
      <c r="I42" s="39" t="str">
        <f ca="1">IFERROR(__xludf.DUMMYFUNCTION("IF(SUM(COUNTIF(artists!A:A, SPLIT(D42, "",""))) &gt; 0, ""UA"", 0)"),"UA")</f>
        <v>UA</v>
      </c>
      <c r="J42" s="40">
        <f ca="1">IFERROR(__xludf.DUMMYFUNCTION("IF(SUM(COUNTIF(artists!C:C, SPLIT(D42, "",""))) &gt; 0, ""RU"", 0)"),0)</f>
        <v>0</v>
      </c>
      <c r="K42" s="39">
        <f ca="1">IFERROR(__xludf.DUMMYFUNCTION("IF(SUM(COUNTIF(artists!E:E, SPLIT(D42, "",""))) &gt; 0, ""OTHER"", 0)"),0)</f>
        <v>0</v>
      </c>
    </row>
    <row r="43" spans="1:11">
      <c r="A43" s="21">
        <v>42</v>
      </c>
      <c r="B43" s="21">
        <v>44</v>
      </c>
      <c r="C43" s="21" t="s">
        <v>233</v>
      </c>
      <c r="D43" s="21" t="s">
        <v>234</v>
      </c>
      <c r="E43" s="21">
        <v>6</v>
      </c>
      <c r="F43" s="21">
        <v>284889</v>
      </c>
      <c r="G43" s="21" t="s">
        <v>235</v>
      </c>
      <c r="H43" s="38" t="s">
        <v>236</v>
      </c>
      <c r="I43" s="39">
        <f ca="1">IFERROR(__xludf.DUMMYFUNCTION("IF(SUM(COUNTIF(artists!A:A, SPLIT(D43, "",""))) &gt; 0, ""UA"", 0)"),0)</f>
        <v>0</v>
      </c>
      <c r="J43" s="40">
        <f ca="1">IFERROR(__xludf.DUMMYFUNCTION("IF(SUM(COUNTIF(artists!C:C, SPLIT(D43, "",""))) &gt; 0, ""RU"", 0)"),0)</f>
        <v>0</v>
      </c>
      <c r="K43" s="39" t="str">
        <f ca="1">IFERROR(__xludf.DUMMYFUNCTION("IF(SUM(COUNTIF(artists!E:E, SPLIT(D43, "",""))) &gt; 0, ""OTHER"", 0)"),"OTHER")</f>
        <v>OTHER</v>
      </c>
    </row>
    <row r="44" spans="1:11">
      <c r="A44" s="21">
        <v>43</v>
      </c>
      <c r="B44" s="21">
        <v>39</v>
      </c>
      <c r="C44" s="21" t="s">
        <v>237</v>
      </c>
      <c r="D44" s="21" t="s">
        <v>238</v>
      </c>
      <c r="E44" s="21">
        <v>11</v>
      </c>
      <c r="F44" s="21">
        <v>278167</v>
      </c>
      <c r="G44" s="21" t="s">
        <v>239</v>
      </c>
      <c r="H44" s="38" t="s">
        <v>240</v>
      </c>
      <c r="I44" s="39" t="str">
        <f ca="1">IFERROR(__xludf.DUMMYFUNCTION("IF(SUM(COUNTIF(artists!A:A, SPLIT(D44, "",""))) &gt; 0, ""UA"", 0)"),"UA")</f>
        <v>UA</v>
      </c>
      <c r="J44" s="40">
        <f ca="1">IFERROR(__xludf.DUMMYFUNCTION("IF(SUM(COUNTIF(artists!C:C, SPLIT(D44, "",""))) &gt; 0, ""RU"", 0)"),0)</f>
        <v>0</v>
      </c>
      <c r="K44" s="39">
        <f ca="1">IFERROR(__xludf.DUMMYFUNCTION("IF(SUM(COUNTIF(artists!E:E, SPLIT(D44, "",""))) &gt; 0, ""OTHER"", 0)"),0)</f>
        <v>0</v>
      </c>
    </row>
    <row r="45" spans="1:11">
      <c r="A45" s="21">
        <v>44</v>
      </c>
      <c r="C45" s="21" t="s">
        <v>241</v>
      </c>
      <c r="D45" s="21" t="s">
        <v>242</v>
      </c>
      <c r="E45" s="21">
        <v>1</v>
      </c>
      <c r="F45" s="21">
        <v>274328</v>
      </c>
      <c r="H45" s="38" t="s">
        <v>243</v>
      </c>
      <c r="I45" s="39" t="str">
        <f ca="1">IFERROR(__xludf.DUMMYFUNCTION("IF(SUM(COUNTIF(artists!A:A, SPLIT(D45, "",""))) &gt; 0, ""UA"", 0)"),"UA")</f>
        <v>UA</v>
      </c>
      <c r="J45" s="40">
        <f ca="1">IFERROR(__xludf.DUMMYFUNCTION("IF(SUM(COUNTIF(artists!C:C, SPLIT(D45, "",""))) &gt; 0, ""RU"", 0)"),0)</f>
        <v>0</v>
      </c>
      <c r="K45" s="39">
        <f ca="1">IFERROR(__xludf.DUMMYFUNCTION("IF(SUM(COUNTIF(artists!E:E, SPLIT(D45, "",""))) &gt; 0, ""OTHER"", 0)"),0)</f>
        <v>0</v>
      </c>
    </row>
    <row r="46" spans="1:11">
      <c r="A46" s="21">
        <v>45</v>
      </c>
      <c r="B46" s="21">
        <v>41</v>
      </c>
      <c r="C46" s="21" t="s">
        <v>244</v>
      </c>
      <c r="D46" s="21" t="s">
        <v>161</v>
      </c>
      <c r="E46" s="21">
        <v>11</v>
      </c>
      <c r="F46" s="21">
        <v>269881</v>
      </c>
      <c r="G46" s="21" t="s">
        <v>245</v>
      </c>
      <c r="H46" s="38" t="s">
        <v>246</v>
      </c>
      <c r="I46" s="39" t="str">
        <f ca="1">IFERROR(__xludf.DUMMYFUNCTION("IF(SUM(COUNTIF(artists!A:A, SPLIT(D46, "",""))) &gt; 0, ""UA"", 0)"),"UA")</f>
        <v>UA</v>
      </c>
      <c r="J46" s="40">
        <f ca="1">IFERROR(__xludf.DUMMYFUNCTION("IF(SUM(COUNTIF(artists!C:C, SPLIT(D46, "",""))) &gt; 0, ""RU"", 0)"),0)</f>
        <v>0</v>
      </c>
      <c r="K46" s="39">
        <f ca="1">IFERROR(__xludf.DUMMYFUNCTION("IF(SUM(COUNTIF(artists!E:E, SPLIT(D46, "",""))) &gt; 0, ""OTHER"", 0)"),0)</f>
        <v>0</v>
      </c>
    </row>
    <row r="47" spans="1:11">
      <c r="A47" s="21">
        <v>46</v>
      </c>
      <c r="B47" s="21">
        <v>38</v>
      </c>
      <c r="C47" s="21" t="s">
        <v>247</v>
      </c>
      <c r="D47" s="21" t="s">
        <v>248</v>
      </c>
      <c r="E47" s="21">
        <v>19</v>
      </c>
      <c r="F47" s="21">
        <v>269368</v>
      </c>
      <c r="G47" s="21" t="s">
        <v>249</v>
      </c>
      <c r="H47" s="38" t="s">
        <v>250</v>
      </c>
      <c r="I47" s="39" t="str">
        <f ca="1">IFERROR(__xludf.DUMMYFUNCTION("IF(SUM(COUNTIF(artists!A:A, SPLIT(D47, "",""))) &gt; 0, ""UA"", 0)"),"UA")</f>
        <v>UA</v>
      </c>
      <c r="J47" s="40">
        <f ca="1">IFERROR(__xludf.DUMMYFUNCTION("IF(SUM(COUNTIF(artists!C:C, SPLIT(D47, "",""))) &gt; 0, ""RU"", 0)"),0)</f>
        <v>0</v>
      </c>
      <c r="K47" s="39">
        <f ca="1">IFERROR(__xludf.DUMMYFUNCTION("IF(SUM(COUNTIF(artists!E:E, SPLIT(D47, "",""))) &gt; 0, ""OTHER"", 0)"),0)</f>
        <v>0</v>
      </c>
    </row>
    <row r="48" spans="1:11">
      <c r="A48" s="21">
        <v>47</v>
      </c>
      <c r="C48" s="21" t="s">
        <v>251</v>
      </c>
      <c r="D48" s="21" t="s">
        <v>133</v>
      </c>
      <c r="E48" s="21">
        <v>26</v>
      </c>
      <c r="F48" s="21">
        <v>257613</v>
      </c>
      <c r="H48" s="38" t="s">
        <v>252</v>
      </c>
      <c r="I48" s="39" t="str">
        <f ca="1">IFERROR(__xludf.DUMMYFUNCTION("IF(SUM(COUNTIF(artists!A:A, SPLIT(D48, "",""))) &gt; 0, ""UA"", 0)"),"UA")</f>
        <v>UA</v>
      </c>
      <c r="J48" s="40">
        <f ca="1">IFERROR(__xludf.DUMMYFUNCTION("IF(SUM(COUNTIF(artists!C:C, SPLIT(D48, "",""))) &gt; 0, ""RU"", 0)"),0)</f>
        <v>0</v>
      </c>
      <c r="K48" s="39">
        <f ca="1">IFERROR(__xludf.DUMMYFUNCTION("IF(SUM(COUNTIF(artists!E:E, SPLIT(D48, "",""))) &gt; 0, ""OTHER"", 0)"),0)</f>
        <v>0</v>
      </c>
    </row>
    <row r="49" spans="1:11">
      <c r="A49" s="21">
        <v>48</v>
      </c>
      <c r="B49" s="21">
        <v>45</v>
      </c>
      <c r="C49" s="21" t="s">
        <v>253</v>
      </c>
      <c r="D49" s="21" t="s">
        <v>89</v>
      </c>
      <c r="E49" s="21">
        <v>50</v>
      </c>
      <c r="F49" s="21">
        <v>254502</v>
      </c>
      <c r="G49" s="41">
        <v>-0.02</v>
      </c>
      <c r="H49" s="38" t="s">
        <v>254</v>
      </c>
      <c r="I49" s="39" t="str">
        <f ca="1">IFERROR(__xludf.DUMMYFUNCTION("IF(SUM(COUNTIF(artists!A:A, SPLIT(D49, "",""))) &gt; 0, ""UA"", 0)"),"UA")</f>
        <v>UA</v>
      </c>
      <c r="J49" s="40">
        <f ca="1">IFERROR(__xludf.DUMMYFUNCTION("IF(SUM(COUNTIF(artists!C:C, SPLIT(D49, "",""))) &gt; 0, ""RU"", 0)"),0)</f>
        <v>0</v>
      </c>
      <c r="K49" s="39">
        <f ca="1">IFERROR(__xludf.DUMMYFUNCTION("IF(SUM(COUNTIF(artists!E:E, SPLIT(D49, "",""))) &gt; 0, ""OTHER"", 0)"),0)</f>
        <v>0</v>
      </c>
    </row>
    <row r="50" spans="1:11">
      <c r="A50" s="21">
        <v>49</v>
      </c>
      <c r="C50" s="21" t="s">
        <v>255</v>
      </c>
      <c r="D50" s="21" t="s">
        <v>256</v>
      </c>
      <c r="E50" s="21">
        <v>26</v>
      </c>
      <c r="F50" s="21">
        <v>252346</v>
      </c>
      <c r="H50" s="38" t="s">
        <v>257</v>
      </c>
      <c r="I50" s="39" t="str">
        <f ca="1">IFERROR(__xludf.DUMMYFUNCTION("IF(SUM(COUNTIF(artists!A:A, SPLIT(D50, "",""))) &gt; 0, ""UA"", 0)"),"UA")</f>
        <v>UA</v>
      </c>
      <c r="J50" s="40">
        <f ca="1">IFERROR(__xludf.DUMMYFUNCTION("IF(SUM(COUNTIF(artists!C:C, SPLIT(D50, "",""))) &gt; 0, ""RU"", 0)"),0)</f>
        <v>0</v>
      </c>
      <c r="K50" s="39">
        <f ca="1">IFERROR(__xludf.DUMMYFUNCTION("IF(SUM(COUNTIF(artists!E:E, SPLIT(D50, "",""))) &gt; 0, ""OTHER"", 0)"),0)</f>
        <v>0</v>
      </c>
    </row>
    <row r="51" spans="1:11">
      <c r="A51" s="21">
        <v>50</v>
      </c>
      <c r="B51" s="21">
        <v>55</v>
      </c>
      <c r="C51" s="21" t="s">
        <v>258</v>
      </c>
      <c r="D51" s="21" t="s">
        <v>259</v>
      </c>
      <c r="E51" s="21">
        <v>9</v>
      </c>
      <c r="F51" s="21">
        <v>249234</v>
      </c>
      <c r="G51" s="41">
        <v>0.09</v>
      </c>
      <c r="H51" s="38" t="s">
        <v>260</v>
      </c>
      <c r="I51" s="39" t="str">
        <f ca="1">IFERROR(__xludf.DUMMYFUNCTION("IF(SUM(COUNTIF(artists!A:A, SPLIT(D51, "",""))) &gt; 0, ""UA"", 0)"),"UA")</f>
        <v>UA</v>
      </c>
      <c r="J51" s="40">
        <f ca="1">IFERROR(__xludf.DUMMYFUNCTION("IF(SUM(COUNTIF(artists!C:C, SPLIT(D51, "",""))) &gt; 0, ""RU"", 0)"),0)</f>
        <v>0</v>
      </c>
      <c r="K51" s="39">
        <f ca="1">IFERROR(__xludf.DUMMYFUNCTION("IF(SUM(COUNTIF(artists!E:E, SPLIT(D51, "",""))) &gt; 0, ""OTHER"", 0)"),0)</f>
        <v>0</v>
      </c>
    </row>
    <row r="52" spans="1:11">
      <c r="A52" s="21">
        <v>51</v>
      </c>
      <c r="B52" s="21">
        <v>49</v>
      </c>
      <c r="C52" s="21" t="s">
        <v>261</v>
      </c>
      <c r="D52" s="21" t="s">
        <v>262</v>
      </c>
      <c r="E52" s="21">
        <v>12</v>
      </c>
      <c r="F52" s="21">
        <v>243181</v>
      </c>
      <c r="G52" s="41">
        <v>0</v>
      </c>
      <c r="H52" s="38" t="s">
        <v>263</v>
      </c>
      <c r="I52" s="39" t="str">
        <f ca="1">IFERROR(__xludf.DUMMYFUNCTION("IF(SUM(COUNTIF(artists!A:A, SPLIT(D52, "",""))) &gt; 0, ""UA"", 0)"),"UA")</f>
        <v>UA</v>
      </c>
      <c r="J52" s="40">
        <f ca="1">IFERROR(__xludf.DUMMYFUNCTION("IF(SUM(COUNTIF(artists!C:C, SPLIT(D52, "",""))) &gt; 0, ""RU"", 0)"),0)</f>
        <v>0</v>
      </c>
      <c r="K52" s="39">
        <f ca="1">IFERROR(__xludf.DUMMYFUNCTION("IF(SUM(COUNTIF(artists!E:E, SPLIT(D52, "",""))) &gt; 0, ""OTHER"", 0)"),0)</f>
        <v>0</v>
      </c>
    </row>
    <row r="53" spans="1:11">
      <c r="A53" s="21">
        <v>52</v>
      </c>
      <c r="B53" s="21">
        <v>43</v>
      </c>
      <c r="C53" s="21" t="s">
        <v>264</v>
      </c>
      <c r="D53" s="21" t="s">
        <v>265</v>
      </c>
      <c r="E53" s="21">
        <v>20</v>
      </c>
      <c r="F53" s="21">
        <v>238583</v>
      </c>
      <c r="G53" s="21" t="s">
        <v>266</v>
      </c>
      <c r="H53" s="38" t="s">
        <v>267</v>
      </c>
      <c r="I53" s="39">
        <f ca="1">IFERROR(__xludf.DUMMYFUNCTION("IF(SUM(COUNTIF(artists!A:A, SPLIT(D53, "",""))) &gt; 0, ""UA"", 0)"),0)</f>
        <v>0</v>
      </c>
      <c r="J53" s="40">
        <f ca="1">IFERROR(__xludf.DUMMYFUNCTION("IF(SUM(COUNTIF(artists!C:C, SPLIT(D53, "",""))) &gt; 0, ""RU"", 0)"),0)</f>
        <v>0</v>
      </c>
      <c r="K53" s="39" t="str">
        <f ca="1">IFERROR(__xludf.DUMMYFUNCTION("IF(SUM(COUNTIF(artists!E:E, SPLIT(D53, "",""))) &gt; 0, ""OTHER"", 0)"),"OTHER")</f>
        <v>OTHER</v>
      </c>
    </row>
    <row r="54" spans="1:11">
      <c r="A54" s="21">
        <v>53</v>
      </c>
      <c r="B54" s="21">
        <v>47</v>
      </c>
      <c r="C54" s="21" t="s">
        <v>268</v>
      </c>
      <c r="D54" s="21" t="s">
        <v>269</v>
      </c>
      <c r="E54" s="21">
        <v>15</v>
      </c>
      <c r="F54" s="21">
        <v>238430</v>
      </c>
      <c r="G54" s="21" t="s">
        <v>113</v>
      </c>
      <c r="H54" s="38" t="s">
        <v>270</v>
      </c>
      <c r="I54" s="39" t="str">
        <f ca="1">IFERROR(__xludf.DUMMYFUNCTION("IF(SUM(COUNTIF(artists!A:A, SPLIT(D54, "",""))) &gt; 0, ""UA"", 0)"),"UA")</f>
        <v>UA</v>
      </c>
      <c r="J54" s="40">
        <f ca="1">IFERROR(__xludf.DUMMYFUNCTION("IF(SUM(COUNTIF(artists!C:C, SPLIT(D54, "",""))) &gt; 0, ""RU"", 0)"),0)</f>
        <v>0</v>
      </c>
      <c r="K54" s="39">
        <f ca="1">IFERROR(__xludf.DUMMYFUNCTION("IF(SUM(COUNTIF(artists!E:E, SPLIT(D54, "",""))) &gt; 0, ""OTHER"", 0)"),0)</f>
        <v>0</v>
      </c>
    </row>
    <row r="55" spans="1:11">
      <c r="A55" s="21">
        <v>54</v>
      </c>
      <c r="C55" s="21" t="s">
        <v>271</v>
      </c>
      <c r="D55" s="21" t="s">
        <v>272</v>
      </c>
      <c r="E55" s="21">
        <v>1</v>
      </c>
      <c r="F55" s="21">
        <v>231371</v>
      </c>
      <c r="H55" s="38" t="s">
        <v>273</v>
      </c>
      <c r="I55" s="39" t="str">
        <f ca="1">IFERROR(__xludf.DUMMYFUNCTION("IF(SUM(COUNTIF(artists!A:A, SPLIT(D55, "",""))) &gt; 0, ""UA"", 0)"),"UA")</f>
        <v>UA</v>
      </c>
      <c r="J55" s="40">
        <f ca="1">IFERROR(__xludf.DUMMYFUNCTION("IF(SUM(COUNTIF(artists!C:C, SPLIT(D55, "",""))) &gt; 0, ""RU"", 0)"),0)</f>
        <v>0</v>
      </c>
      <c r="K55" s="39">
        <f ca="1">IFERROR(__xludf.DUMMYFUNCTION("IF(SUM(COUNTIF(artists!E:E, SPLIT(D55, "",""))) &gt; 0, ""OTHER"", 0)"),0)</f>
        <v>0</v>
      </c>
    </row>
    <row r="56" spans="1:11">
      <c r="A56" s="21">
        <v>55</v>
      </c>
      <c r="B56" s="21">
        <v>80</v>
      </c>
      <c r="C56" s="21" t="s">
        <v>274</v>
      </c>
      <c r="D56" s="21" t="s">
        <v>199</v>
      </c>
      <c r="E56" s="21">
        <v>2</v>
      </c>
      <c r="F56" s="21">
        <v>228237</v>
      </c>
      <c r="G56" s="21" t="s">
        <v>275</v>
      </c>
      <c r="H56" s="38" t="s">
        <v>276</v>
      </c>
      <c r="I56" s="39" t="str">
        <f ca="1">IFERROR(__xludf.DUMMYFUNCTION("IF(SUM(COUNTIF(artists!A:A, SPLIT(D56, "",""))) &gt; 0, ""UA"", 0)"),"UA")</f>
        <v>UA</v>
      </c>
      <c r="J56" s="40">
        <f ca="1">IFERROR(__xludf.DUMMYFUNCTION("IF(SUM(COUNTIF(artists!C:C, SPLIT(D56, "",""))) &gt; 0, ""RU"", 0)"),0)</f>
        <v>0</v>
      </c>
      <c r="K56" s="39">
        <f ca="1">IFERROR(__xludf.DUMMYFUNCTION("IF(SUM(COUNTIF(artists!E:E, SPLIT(D56, "",""))) &gt; 0, ""OTHER"", 0)"),0)</f>
        <v>0</v>
      </c>
    </row>
    <row r="57" spans="1:11">
      <c r="A57" s="21">
        <v>56</v>
      </c>
      <c r="B57" s="21">
        <v>40</v>
      </c>
      <c r="C57" s="21" t="s">
        <v>277</v>
      </c>
      <c r="D57" s="21" t="s">
        <v>125</v>
      </c>
      <c r="E57" s="21">
        <v>9</v>
      </c>
      <c r="F57" s="21">
        <v>220148</v>
      </c>
      <c r="G57" s="21" t="s">
        <v>278</v>
      </c>
      <c r="H57" s="38" t="s">
        <v>279</v>
      </c>
      <c r="I57" s="39">
        <f ca="1">IFERROR(__xludf.DUMMYFUNCTION("IF(SUM(COUNTIF(artists!A:A, SPLIT(D57, "",""))) &gt; 0, ""UA"", 0)"),0)</f>
        <v>0</v>
      </c>
      <c r="J57" s="40" t="str">
        <f ca="1">IFERROR(__xludf.DUMMYFUNCTION("IF(SUM(COUNTIF(artists!C:C, SPLIT(D57, "",""))) &gt; 0, ""RU"", 0)"),"RU")</f>
        <v>RU</v>
      </c>
      <c r="K57" s="39">
        <f ca="1">IFERROR(__xludf.DUMMYFUNCTION("IF(SUM(COUNTIF(artists!E:E, SPLIT(D57, "",""))) &gt; 0, ""OTHER"", 0)"),0)</f>
        <v>0</v>
      </c>
    </row>
    <row r="58" spans="1:11">
      <c r="A58" s="21">
        <v>57</v>
      </c>
      <c r="B58" s="21">
        <v>57</v>
      </c>
      <c r="C58" s="21" t="s">
        <v>280</v>
      </c>
      <c r="D58" s="21" t="s">
        <v>108</v>
      </c>
      <c r="E58" s="21">
        <v>2</v>
      </c>
      <c r="F58" s="21">
        <v>214995</v>
      </c>
      <c r="G58" s="21" t="s">
        <v>196</v>
      </c>
      <c r="H58" s="38" t="s">
        <v>281</v>
      </c>
      <c r="I58" s="39" t="str">
        <f ca="1">IFERROR(__xludf.DUMMYFUNCTION("IF(SUM(COUNTIF(artists!A:A, SPLIT(D58, "",""))) &gt; 0, ""UA"", 0)"),"UA")</f>
        <v>UA</v>
      </c>
      <c r="J58" s="40">
        <f ca="1">IFERROR(__xludf.DUMMYFUNCTION("IF(SUM(COUNTIF(artists!C:C, SPLIT(D58, "",""))) &gt; 0, ""RU"", 0)"),0)</f>
        <v>0</v>
      </c>
      <c r="K58" s="39">
        <f ca="1">IFERROR(__xludf.DUMMYFUNCTION("IF(SUM(COUNTIF(artists!E:E, SPLIT(D58, "",""))) &gt; 0, ""OTHER"", 0)"),0)</f>
        <v>0</v>
      </c>
    </row>
    <row r="59" spans="1:11">
      <c r="A59" s="21">
        <v>58</v>
      </c>
      <c r="C59" s="21" t="s">
        <v>282</v>
      </c>
      <c r="D59" s="21" t="s">
        <v>85</v>
      </c>
      <c r="E59" s="21">
        <v>9</v>
      </c>
      <c r="F59" s="21">
        <v>214924</v>
      </c>
      <c r="H59" s="38" t="s">
        <v>283</v>
      </c>
      <c r="I59" s="39" t="str">
        <f ca="1">IFERROR(__xludf.DUMMYFUNCTION("IF(SUM(COUNTIF(artists!A:A, SPLIT(D59, "",""))) &gt; 0, ""UA"", 0)"),"UA")</f>
        <v>UA</v>
      </c>
      <c r="J59" s="40">
        <f ca="1">IFERROR(__xludf.DUMMYFUNCTION("IF(SUM(COUNTIF(artists!C:C, SPLIT(D59, "",""))) &gt; 0, ""RU"", 0)"),0)</f>
        <v>0</v>
      </c>
      <c r="K59" s="39">
        <f ca="1">IFERROR(__xludf.DUMMYFUNCTION("IF(SUM(COUNTIF(artists!E:E, SPLIT(D59, "",""))) &gt; 0, ""OTHER"", 0)"),0)</f>
        <v>0</v>
      </c>
    </row>
    <row r="60" spans="1:11">
      <c r="A60" s="21">
        <v>59</v>
      </c>
      <c r="C60" s="21" t="s">
        <v>284</v>
      </c>
      <c r="D60" s="21" t="s">
        <v>15</v>
      </c>
      <c r="E60" s="21">
        <v>24</v>
      </c>
      <c r="F60" s="21">
        <v>213318</v>
      </c>
      <c r="H60" s="38" t="s">
        <v>285</v>
      </c>
      <c r="I60" s="39">
        <f ca="1">IFERROR(__xludf.DUMMYFUNCTION("IF(SUM(COUNTIF(artists!A:A, SPLIT(D60, "",""))) &gt; 0, ""UA"", 0)"),0)</f>
        <v>0</v>
      </c>
      <c r="J60" s="40">
        <f ca="1">IFERROR(__xludf.DUMMYFUNCTION("IF(SUM(COUNTIF(artists!C:C, SPLIT(D60, "",""))) &gt; 0, ""RU"", 0)"),0)</f>
        <v>0</v>
      </c>
      <c r="K60" s="39" t="str">
        <f ca="1">IFERROR(__xludf.DUMMYFUNCTION("IF(SUM(COUNTIF(artists!E:E, SPLIT(D60, "",""))) &gt; 0, ""OTHER"", 0)"),"OTHER")</f>
        <v>OTHER</v>
      </c>
    </row>
    <row r="61" spans="1:11">
      <c r="A61" s="21">
        <v>60</v>
      </c>
      <c r="B61" s="21">
        <v>51</v>
      </c>
      <c r="C61" s="21" t="s">
        <v>286</v>
      </c>
      <c r="D61" s="21" t="s">
        <v>287</v>
      </c>
      <c r="E61" s="21">
        <v>17</v>
      </c>
      <c r="F61" s="21">
        <v>212235</v>
      </c>
      <c r="G61" s="21" t="s">
        <v>288</v>
      </c>
      <c r="H61" s="38" t="s">
        <v>289</v>
      </c>
      <c r="I61" s="39">
        <f ca="1">IFERROR(__xludf.DUMMYFUNCTION("IF(SUM(COUNTIF(artists!A:A, SPLIT(D61, "",""))) &gt; 0, ""UA"", 0)"),0)</f>
        <v>0</v>
      </c>
      <c r="J61" s="40" t="str">
        <f ca="1">IFERROR(__xludf.DUMMYFUNCTION("IF(SUM(COUNTIF(artists!C:C, SPLIT(D61, "",""))) &gt; 0, ""RU"", 0)"),"RU")</f>
        <v>RU</v>
      </c>
      <c r="K61" s="39">
        <f ca="1">IFERROR(__xludf.DUMMYFUNCTION("IF(SUM(COUNTIF(artists!E:E, SPLIT(D61, "",""))) &gt; 0, ""OTHER"", 0)"),0)</f>
        <v>0</v>
      </c>
    </row>
    <row r="62" spans="1:11">
      <c r="A62" s="21">
        <v>61</v>
      </c>
      <c r="B62" s="21">
        <v>54</v>
      </c>
      <c r="C62" s="21" t="s">
        <v>290</v>
      </c>
      <c r="D62" s="21" t="s">
        <v>291</v>
      </c>
      <c r="E62" s="21">
        <v>7</v>
      </c>
      <c r="F62" s="21">
        <v>205636</v>
      </c>
      <c r="G62" s="21" t="s">
        <v>292</v>
      </c>
      <c r="H62" s="38" t="s">
        <v>293</v>
      </c>
      <c r="I62" s="39" t="str">
        <f ca="1">IFERROR(__xludf.DUMMYFUNCTION("IF(SUM(COUNTIF(artists!A:A, SPLIT(D62, "",""))) &gt; 0, ""UA"", 0)"),"UA")</f>
        <v>UA</v>
      </c>
      <c r="J62" s="40">
        <f ca="1">IFERROR(__xludf.DUMMYFUNCTION("IF(SUM(COUNTIF(artists!C:C, SPLIT(D62, "",""))) &gt; 0, ""RU"", 0)"),0)</f>
        <v>0</v>
      </c>
      <c r="K62" s="39">
        <f ca="1">IFERROR(__xludf.DUMMYFUNCTION("IF(SUM(COUNTIF(artists!E:E, SPLIT(D62, "",""))) &gt; 0, ""OTHER"", 0)"),0)</f>
        <v>0</v>
      </c>
    </row>
    <row r="63" spans="1:11">
      <c r="A63" s="21">
        <v>62</v>
      </c>
      <c r="B63" s="21">
        <v>56</v>
      </c>
      <c r="C63" s="21" t="s">
        <v>294</v>
      </c>
      <c r="D63" s="21" t="s">
        <v>295</v>
      </c>
      <c r="E63" s="21">
        <v>14</v>
      </c>
      <c r="F63" s="21">
        <v>205005</v>
      </c>
      <c r="G63" s="21" t="s">
        <v>296</v>
      </c>
      <c r="H63" s="38" t="s">
        <v>297</v>
      </c>
      <c r="I63" s="39">
        <f ca="1">IFERROR(__xludf.DUMMYFUNCTION("IF(SUM(COUNTIF(artists!A:A, SPLIT(D63, "",""))) &gt; 0, ""UA"", 0)"),0)</f>
        <v>0</v>
      </c>
      <c r="J63" s="40" t="str">
        <f ca="1">IFERROR(__xludf.DUMMYFUNCTION("IF(SUM(COUNTIF(artists!C:C, SPLIT(D63, "",""))) &gt; 0, ""RU"", 0)"),"RU")</f>
        <v>RU</v>
      </c>
      <c r="K63" s="39">
        <f ca="1">IFERROR(__xludf.DUMMYFUNCTION("IF(SUM(COUNTIF(artists!E:E, SPLIT(D63, "",""))) &gt; 0, ""OTHER"", 0)"),0)</f>
        <v>0</v>
      </c>
    </row>
    <row r="64" spans="1:11">
      <c r="A64" s="21">
        <v>63</v>
      </c>
      <c r="B64" s="21">
        <v>63</v>
      </c>
      <c r="C64" s="21" t="s">
        <v>298</v>
      </c>
      <c r="D64" s="21" t="s">
        <v>299</v>
      </c>
      <c r="E64" s="21">
        <v>19</v>
      </c>
      <c r="F64" s="21">
        <v>200503</v>
      </c>
      <c r="G64" s="21" t="s">
        <v>173</v>
      </c>
      <c r="H64" s="38" t="s">
        <v>300</v>
      </c>
      <c r="I64" s="39">
        <f ca="1">IFERROR(__xludf.DUMMYFUNCTION("IF(SUM(COUNTIF(artists!A:A, SPLIT(D64, "",""))) &gt; 0, ""UA"", 0)"),0)</f>
        <v>0</v>
      </c>
      <c r="J64" s="40">
        <f ca="1">IFERROR(__xludf.DUMMYFUNCTION("IF(SUM(COUNTIF(artists!C:C, SPLIT(D64, "",""))) &gt; 0, ""RU"", 0)"),0)</f>
        <v>0</v>
      </c>
      <c r="K64" s="39" t="str">
        <f ca="1">IFERROR(__xludf.DUMMYFUNCTION("IF(SUM(COUNTIF(artists!E:E, SPLIT(D64, "",""))) &gt; 0, ""OTHER"", 0)"),"OTHER")</f>
        <v>OTHER</v>
      </c>
    </row>
    <row r="65" spans="1:11">
      <c r="A65" s="21">
        <v>64</v>
      </c>
      <c r="C65" s="21" t="s">
        <v>301</v>
      </c>
      <c r="D65" s="21" t="s">
        <v>125</v>
      </c>
      <c r="E65" s="21">
        <v>1</v>
      </c>
      <c r="F65" s="21">
        <v>195752</v>
      </c>
      <c r="H65" s="38" t="s">
        <v>302</v>
      </c>
      <c r="I65" s="39">
        <f ca="1">IFERROR(__xludf.DUMMYFUNCTION("IF(SUM(COUNTIF(artists!A:A, SPLIT(D65, "",""))) &gt; 0, ""UA"", 0)"),0)</f>
        <v>0</v>
      </c>
      <c r="J65" s="40" t="str">
        <f ca="1">IFERROR(__xludf.DUMMYFUNCTION("IF(SUM(COUNTIF(artists!C:C, SPLIT(D65, "",""))) &gt; 0, ""RU"", 0)"),"RU")</f>
        <v>RU</v>
      </c>
      <c r="K65" s="39">
        <f ca="1">IFERROR(__xludf.DUMMYFUNCTION("IF(SUM(COUNTIF(artists!E:E, SPLIT(D65, "",""))) &gt; 0, ""OTHER"", 0)"),0)</f>
        <v>0</v>
      </c>
    </row>
    <row r="66" spans="1:11">
      <c r="A66" s="21">
        <v>65</v>
      </c>
      <c r="C66" s="21" t="s">
        <v>303</v>
      </c>
      <c r="D66" s="21" t="s">
        <v>304</v>
      </c>
      <c r="E66" s="21">
        <v>1</v>
      </c>
      <c r="F66" s="21">
        <v>194569</v>
      </c>
      <c r="H66" s="38" t="s">
        <v>305</v>
      </c>
      <c r="I66" s="39">
        <f ca="1">IFERROR(__xludf.DUMMYFUNCTION("IF(SUM(COUNTIF(artists!A:A, SPLIT(D66, "",""))) &gt; 0, ""UA"", 0)"),0)</f>
        <v>0</v>
      </c>
      <c r="J66" s="40" t="str">
        <f ca="1">IFERROR(__xludf.DUMMYFUNCTION("IF(SUM(COUNTIF(artists!C:C, SPLIT(D66, "",""))) &gt; 0, ""RU"", 0)"),"RU")</f>
        <v>RU</v>
      </c>
      <c r="K66" s="39">
        <f ca="1">IFERROR(__xludf.DUMMYFUNCTION("IF(SUM(COUNTIF(artists!E:E, SPLIT(D66, "",""))) &gt; 0, ""OTHER"", 0)"),0)</f>
        <v>0</v>
      </c>
    </row>
    <row r="67" spans="1:11">
      <c r="A67" s="21">
        <v>66</v>
      </c>
      <c r="B67" s="21">
        <v>70</v>
      </c>
      <c r="C67" s="21" t="s">
        <v>306</v>
      </c>
      <c r="D67" s="21" t="s">
        <v>307</v>
      </c>
      <c r="E67" s="21">
        <v>8</v>
      </c>
      <c r="F67" s="21">
        <v>193727</v>
      </c>
      <c r="G67" s="21" t="s">
        <v>134</v>
      </c>
      <c r="H67" s="38" t="s">
        <v>308</v>
      </c>
      <c r="I67" s="39">
        <f ca="1">IFERROR(__xludf.DUMMYFUNCTION("IF(SUM(COUNTIF(artists!A:A, SPLIT(D67, "",""))) &gt; 0, ""UA"", 0)"),0)</f>
        <v>0</v>
      </c>
      <c r="J67" s="40">
        <f ca="1">IFERROR(__xludf.DUMMYFUNCTION("IF(SUM(COUNTIF(artists!C:C, SPLIT(D67, "",""))) &gt; 0, ""RU"", 0)"),0)</f>
        <v>0</v>
      </c>
      <c r="K67" s="39" t="str">
        <f ca="1">IFERROR(__xludf.DUMMYFUNCTION("IF(SUM(COUNTIF(artists!E:E, SPLIT(D67, "",""))) &gt; 0, ""OTHER"", 0)"),"OTHER")</f>
        <v>OTHER</v>
      </c>
    </row>
    <row r="68" spans="1:11">
      <c r="A68" s="21">
        <v>67</v>
      </c>
      <c r="B68" s="21">
        <v>78</v>
      </c>
      <c r="C68" s="21" t="s">
        <v>309</v>
      </c>
      <c r="D68" s="21" t="s">
        <v>310</v>
      </c>
      <c r="E68" s="21">
        <v>17</v>
      </c>
      <c r="F68" s="21">
        <v>190180</v>
      </c>
      <c r="G68" s="21" t="s">
        <v>311</v>
      </c>
      <c r="H68" s="38" t="s">
        <v>312</v>
      </c>
      <c r="I68" s="39">
        <f ca="1">IFERROR(__xludf.DUMMYFUNCTION("IF(SUM(COUNTIF(artists!A:A, SPLIT(D68, "",""))) &gt; 0, ""UA"", 0)"),0)</f>
        <v>0</v>
      </c>
      <c r="J68" s="40">
        <f ca="1">IFERROR(__xludf.DUMMYFUNCTION("IF(SUM(COUNTIF(artists!C:C, SPLIT(D68, "",""))) &gt; 0, ""RU"", 0)"),0)</f>
        <v>0</v>
      </c>
      <c r="K68" s="39" t="str">
        <f ca="1">IFERROR(__xludf.DUMMYFUNCTION("IF(SUM(COUNTIF(artists!E:E, SPLIT(D68, "",""))) &gt; 0, ""OTHER"", 0)"),"OTHER")</f>
        <v>OTHER</v>
      </c>
    </row>
    <row r="69" spans="1:11">
      <c r="A69" s="21">
        <v>68</v>
      </c>
      <c r="C69" s="21" t="s">
        <v>313</v>
      </c>
      <c r="D69" s="21" t="s">
        <v>314</v>
      </c>
      <c r="E69" s="21">
        <v>1</v>
      </c>
      <c r="F69" s="21">
        <v>186913</v>
      </c>
      <c r="H69" s="38" t="s">
        <v>315</v>
      </c>
      <c r="I69" s="39" t="str">
        <f ca="1">IFERROR(__xludf.DUMMYFUNCTION("IF(SUM(COUNTIF(artists!A:A, SPLIT(D69, "",""))) &gt; 0, ""UA"", 0)"),"UA")</f>
        <v>UA</v>
      </c>
      <c r="J69" s="40">
        <f ca="1">IFERROR(__xludf.DUMMYFUNCTION("IF(SUM(COUNTIF(artists!C:C, SPLIT(D69, "",""))) &gt; 0, ""RU"", 0)"),0)</f>
        <v>0</v>
      </c>
      <c r="K69" s="39">
        <f ca="1">IFERROR(__xludf.DUMMYFUNCTION("IF(SUM(COUNTIF(artists!E:E, SPLIT(D69, "",""))) &gt; 0, ""OTHER"", 0)"),0)</f>
        <v>0</v>
      </c>
    </row>
    <row r="70" spans="1:11">
      <c r="A70" s="21">
        <v>69</v>
      </c>
      <c r="B70" s="21">
        <v>74</v>
      </c>
      <c r="C70" s="21" t="s">
        <v>316</v>
      </c>
      <c r="D70" s="21" t="s">
        <v>317</v>
      </c>
      <c r="E70" s="21">
        <v>16</v>
      </c>
      <c r="F70" s="21">
        <v>177743</v>
      </c>
      <c r="G70" s="21" t="s">
        <v>318</v>
      </c>
      <c r="H70" s="38" t="s">
        <v>319</v>
      </c>
      <c r="I70" s="39" t="str">
        <f ca="1">IFERROR(__xludf.DUMMYFUNCTION("IF(SUM(COUNTIF(artists!A:A, SPLIT(D70, "",""))) &gt; 0, ""UA"", 0)"),"UA")</f>
        <v>UA</v>
      </c>
      <c r="J70" s="40">
        <f ca="1">IFERROR(__xludf.DUMMYFUNCTION("IF(SUM(COUNTIF(artists!C:C, SPLIT(D70, "",""))) &gt; 0, ""RU"", 0)"),0)</f>
        <v>0</v>
      </c>
      <c r="K70" s="39">
        <f ca="1">IFERROR(__xludf.DUMMYFUNCTION("IF(SUM(COUNTIF(artists!E:E, SPLIT(D70, "",""))) &gt; 0, ""OTHER"", 0)"),0)</f>
        <v>0</v>
      </c>
    </row>
    <row r="71" spans="1:11">
      <c r="A71" s="21">
        <v>70</v>
      </c>
      <c r="B71" s="21">
        <v>79</v>
      </c>
      <c r="C71" s="21" t="s">
        <v>320</v>
      </c>
      <c r="D71" s="21" t="s">
        <v>321</v>
      </c>
      <c r="E71" s="21">
        <v>11</v>
      </c>
      <c r="F71" s="21">
        <v>175725</v>
      </c>
      <c r="G71" s="21" t="s">
        <v>322</v>
      </c>
      <c r="H71" s="38" t="s">
        <v>323</v>
      </c>
      <c r="I71" s="39">
        <f ca="1">IFERROR(__xludf.DUMMYFUNCTION("IF(SUM(COUNTIF(artists!A:A, SPLIT(D71, "",""))) &gt; 0, ""UA"", 0)"),0)</f>
        <v>0</v>
      </c>
      <c r="J71" s="40">
        <f ca="1">IFERROR(__xludf.DUMMYFUNCTION("IF(SUM(COUNTIF(artists!C:C, SPLIT(D71, "",""))) &gt; 0, ""RU"", 0)"),0)</f>
        <v>0</v>
      </c>
      <c r="K71" s="39" t="str">
        <f ca="1">IFERROR(__xludf.DUMMYFUNCTION("IF(SUM(COUNTIF(artists!E:E, SPLIT(D71, "",""))) &gt; 0, ""OTHER"", 0)"),"OTHER")</f>
        <v>OTHER</v>
      </c>
    </row>
    <row r="72" spans="1:11">
      <c r="A72" s="21">
        <v>71</v>
      </c>
      <c r="B72" s="21">
        <v>65</v>
      </c>
      <c r="C72" s="21" t="s">
        <v>324</v>
      </c>
      <c r="D72" s="21" t="s">
        <v>325</v>
      </c>
      <c r="E72" s="21">
        <v>12</v>
      </c>
      <c r="F72" s="21">
        <v>172156</v>
      </c>
      <c r="G72" s="21" t="s">
        <v>326</v>
      </c>
      <c r="H72" s="38" t="s">
        <v>327</v>
      </c>
      <c r="I72" s="39" t="str">
        <f ca="1">IFERROR(__xludf.DUMMYFUNCTION("IF(SUM(COUNTIF(artists!A:A, SPLIT(D72, "",""))) &gt; 0, ""UA"", 0)"),"UA")</f>
        <v>UA</v>
      </c>
      <c r="J72" s="40">
        <f ca="1">IFERROR(__xludf.DUMMYFUNCTION("IF(SUM(COUNTIF(artists!C:C, SPLIT(D72, "",""))) &gt; 0, ""RU"", 0)"),0)</f>
        <v>0</v>
      </c>
      <c r="K72" s="39">
        <f ca="1">IFERROR(__xludf.DUMMYFUNCTION("IF(SUM(COUNTIF(artists!E:E, SPLIT(D72, "",""))) &gt; 0, ""OTHER"", 0)"),0)</f>
        <v>0</v>
      </c>
    </row>
    <row r="73" spans="1:11">
      <c r="A73" s="21">
        <v>72</v>
      </c>
      <c r="B73" s="21">
        <v>91</v>
      </c>
      <c r="C73" s="21" t="s">
        <v>328</v>
      </c>
      <c r="D73" s="21" t="s">
        <v>329</v>
      </c>
      <c r="E73" s="21">
        <v>3</v>
      </c>
      <c r="F73" s="21">
        <v>171105</v>
      </c>
      <c r="G73" s="21" t="s">
        <v>330</v>
      </c>
      <c r="H73" s="38" t="s">
        <v>331</v>
      </c>
      <c r="I73" s="39">
        <f ca="1">IFERROR(__xludf.DUMMYFUNCTION("IF(SUM(COUNTIF(artists!A:A, SPLIT(D73, "",""))) &gt; 0, ""UA"", 0)"),0)</f>
        <v>0</v>
      </c>
      <c r="J73" s="40">
        <f ca="1">IFERROR(__xludf.DUMMYFUNCTION("IF(SUM(COUNTIF(artists!C:C, SPLIT(D73, "",""))) &gt; 0, ""RU"", 0)"),0)</f>
        <v>0</v>
      </c>
      <c r="K73" s="39" t="str">
        <f ca="1">IFERROR(__xludf.DUMMYFUNCTION("IF(SUM(COUNTIF(artists!E:E, SPLIT(D73, "",""))) &gt; 0, ""OTHER"", 0)"),"OTHER")</f>
        <v>OTHER</v>
      </c>
    </row>
    <row r="74" spans="1:11">
      <c r="A74" s="21">
        <v>73</v>
      </c>
      <c r="B74" s="21">
        <v>69</v>
      </c>
      <c r="C74" s="21" t="s">
        <v>332</v>
      </c>
      <c r="D74" s="21" t="s">
        <v>333</v>
      </c>
      <c r="E74" s="21">
        <v>4</v>
      </c>
      <c r="F74" s="21">
        <v>170122</v>
      </c>
      <c r="G74" s="21" t="s">
        <v>334</v>
      </c>
      <c r="H74" s="38" t="s">
        <v>335</v>
      </c>
      <c r="I74" s="39" t="str">
        <f ca="1">IFERROR(__xludf.DUMMYFUNCTION("IF(SUM(COUNTIF(artists!A:A, SPLIT(D74, "",""))) &gt; 0, ""UA"", 0)"),"UA")</f>
        <v>UA</v>
      </c>
      <c r="J74" s="40">
        <f ca="1">IFERROR(__xludf.DUMMYFUNCTION("IF(SUM(COUNTIF(artists!C:C, SPLIT(D74, "",""))) &gt; 0, ""RU"", 0)"),0)</f>
        <v>0</v>
      </c>
      <c r="K74" s="39">
        <f ca="1">IFERROR(__xludf.DUMMYFUNCTION("IF(SUM(COUNTIF(artists!E:E, SPLIT(D74, "",""))) &gt; 0, ""OTHER"", 0)"),0)</f>
        <v>0</v>
      </c>
    </row>
    <row r="75" spans="1:11">
      <c r="A75" s="21">
        <v>74</v>
      </c>
      <c r="C75" s="21" t="s">
        <v>336</v>
      </c>
      <c r="D75" s="21" t="s">
        <v>337</v>
      </c>
      <c r="E75" s="21">
        <v>1</v>
      </c>
      <c r="F75" s="21">
        <v>169421</v>
      </c>
      <c r="H75" s="38" t="s">
        <v>338</v>
      </c>
      <c r="I75" s="39" t="str">
        <f ca="1">IFERROR(__xludf.DUMMYFUNCTION("IF(SUM(COUNTIF(artists!A:A, SPLIT(D75, "",""))) &gt; 0, ""UA"", 0)"),"UA")</f>
        <v>UA</v>
      </c>
      <c r="J75" s="40">
        <f ca="1">IFERROR(__xludf.DUMMYFUNCTION("IF(SUM(COUNTIF(artists!C:C, SPLIT(D75, "",""))) &gt; 0, ""RU"", 0)"),0)</f>
        <v>0</v>
      </c>
      <c r="K75" s="39">
        <f ca="1">IFERROR(__xludf.DUMMYFUNCTION("IF(SUM(COUNTIF(artists!E:E, SPLIT(D75, "",""))) &gt; 0, ""OTHER"", 0)"),0)</f>
        <v>0</v>
      </c>
    </row>
    <row r="76" spans="1:11">
      <c r="A76" s="21">
        <v>75</v>
      </c>
      <c r="B76" s="21">
        <v>60</v>
      </c>
      <c r="C76" s="21" t="s">
        <v>339</v>
      </c>
      <c r="D76" s="21" t="s">
        <v>340</v>
      </c>
      <c r="E76" s="21">
        <v>18</v>
      </c>
      <c r="F76" s="21">
        <v>167902</v>
      </c>
      <c r="G76" s="21" t="s">
        <v>341</v>
      </c>
      <c r="H76" s="38" t="s">
        <v>342</v>
      </c>
      <c r="I76" s="39" t="str">
        <f ca="1">IFERROR(__xludf.DUMMYFUNCTION("IF(SUM(COUNTIF(artists!A:A, SPLIT(D76, "",""))) &gt; 0, ""UA"", 0)"),"UA")</f>
        <v>UA</v>
      </c>
      <c r="J76" s="40">
        <f ca="1">IFERROR(__xludf.DUMMYFUNCTION("IF(SUM(COUNTIF(artists!C:C, SPLIT(D76, "",""))) &gt; 0, ""RU"", 0)"),0)</f>
        <v>0</v>
      </c>
      <c r="K76" s="39">
        <f ca="1">IFERROR(__xludf.DUMMYFUNCTION("IF(SUM(COUNTIF(artists!E:E, SPLIT(D76, "",""))) &gt; 0, ""OTHER"", 0)"),0)</f>
        <v>0</v>
      </c>
    </row>
    <row r="77" spans="1:11">
      <c r="A77" s="21">
        <v>76</v>
      </c>
      <c r="B77" s="21">
        <v>83</v>
      </c>
      <c r="C77" s="21" t="s">
        <v>343</v>
      </c>
      <c r="D77" s="21" t="s">
        <v>344</v>
      </c>
      <c r="E77" s="21">
        <v>13</v>
      </c>
      <c r="F77" s="21">
        <v>166253</v>
      </c>
      <c r="G77" s="21" t="s">
        <v>345</v>
      </c>
      <c r="H77" s="38" t="s">
        <v>346</v>
      </c>
      <c r="I77" s="39" t="str">
        <f ca="1">IFERROR(__xludf.DUMMYFUNCTION("IF(SUM(COUNTIF(artists!A:A, SPLIT(D77, "",""))) &gt; 0, ""UA"", 0)"),"UA")</f>
        <v>UA</v>
      </c>
      <c r="J77" s="40">
        <f ca="1">IFERROR(__xludf.DUMMYFUNCTION("IF(SUM(COUNTIF(artists!C:C, SPLIT(D77, "",""))) &gt; 0, ""RU"", 0)"),0)</f>
        <v>0</v>
      </c>
      <c r="K77" s="39">
        <f ca="1">IFERROR(__xludf.DUMMYFUNCTION("IF(SUM(COUNTIF(artists!E:E, SPLIT(D77, "",""))) &gt; 0, ""OTHER"", 0)"),0)</f>
        <v>0</v>
      </c>
    </row>
    <row r="78" spans="1:11">
      <c r="A78" s="21">
        <v>77</v>
      </c>
      <c r="B78" s="21">
        <v>92</v>
      </c>
      <c r="C78" s="21" t="s">
        <v>347</v>
      </c>
      <c r="D78" s="21" t="s">
        <v>348</v>
      </c>
      <c r="E78" s="21">
        <v>2</v>
      </c>
      <c r="F78" s="21">
        <v>165367</v>
      </c>
      <c r="G78" s="21" t="s">
        <v>349</v>
      </c>
      <c r="H78" s="38" t="s">
        <v>350</v>
      </c>
      <c r="I78" s="39" t="str">
        <f ca="1">IFERROR(__xludf.DUMMYFUNCTION("IF(SUM(COUNTIF(artists!A:A, SPLIT(D78, "",""))) &gt; 0, ""UA"", 0)"),"UA")</f>
        <v>UA</v>
      </c>
      <c r="J78" s="40">
        <f ca="1">IFERROR(__xludf.DUMMYFUNCTION("IF(SUM(COUNTIF(artists!C:C, SPLIT(D78, "",""))) &gt; 0, ""RU"", 0)"),0)</f>
        <v>0</v>
      </c>
      <c r="K78" s="39">
        <f ca="1">IFERROR(__xludf.DUMMYFUNCTION("IF(SUM(COUNTIF(artists!E:E, SPLIT(D78, "",""))) &gt; 0, ""OTHER"", 0)"),0)</f>
        <v>0</v>
      </c>
    </row>
    <row r="79" spans="1:11">
      <c r="A79" s="21">
        <v>78</v>
      </c>
      <c r="B79" s="21">
        <v>68</v>
      </c>
      <c r="C79" s="21" t="s">
        <v>351</v>
      </c>
      <c r="D79" s="21" t="s">
        <v>352</v>
      </c>
      <c r="E79" s="21">
        <v>18</v>
      </c>
      <c r="F79" s="21">
        <v>163694</v>
      </c>
      <c r="G79" s="21" t="s">
        <v>353</v>
      </c>
      <c r="H79" s="38" t="s">
        <v>354</v>
      </c>
      <c r="I79" s="39" t="str">
        <f ca="1">IFERROR(__xludf.DUMMYFUNCTION("IF(SUM(COUNTIF(artists!A:A, SPLIT(D79, "",""))) &gt; 0, ""UA"", 0)"),"UA")</f>
        <v>UA</v>
      </c>
      <c r="J79" s="40">
        <f ca="1">IFERROR(__xludf.DUMMYFUNCTION("IF(SUM(COUNTIF(artists!C:C, SPLIT(D79, "",""))) &gt; 0, ""RU"", 0)"),0)</f>
        <v>0</v>
      </c>
      <c r="K79" s="39">
        <f ca="1">IFERROR(__xludf.DUMMYFUNCTION("IF(SUM(COUNTIF(artists!E:E, SPLIT(D79, "",""))) &gt; 0, ""OTHER"", 0)"),0)</f>
        <v>0</v>
      </c>
    </row>
    <row r="80" spans="1:11">
      <c r="A80" s="21">
        <v>79</v>
      </c>
      <c r="B80" s="21">
        <v>99</v>
      </c>
      <c r="C80" s="21" t="s">
        <v>355</v>
      </c>
      <c r="D80" s="21" t="s">
        <v>356</v>
      </c>
      <c r="E80" s="21">
        <v>16</v>
      </c>
      <c r="F80" s="21">
        <v>162443</v>
      </c>
      <c r="G80" s="21" t="s">
        <v>349</v>
      </c>
      <c r="H80" s="38" t="s">
        <v>357</v>
      </c>
      <c r="I80" s="39">
        <f ca="1">IFERROR(__xludf.DUMMYFUNCTION("IF(SUM(COUNTIF(artists!A:A, SPLIT(D80, "",""))) &gt; 0, ""UA"", 0)"),0)</f>
        <v>0</v>
      </c>
      <c r="J80" s="40">
        <f ca="1">IFERROR(__xludf.DUMMYFUNCTION("IF(SUM(COUNTIF(artists!C:C, SPLIT(D80, "",""))) &gt; 0, ""RU"", 0)"),0)</f>
        <v>0</v>
      </c>
      <c r="K80" s="39" t="str">
        <f ca="1">IFERROR(__xludf.DUMMYFUNCTION("IF(SUM(COUNTIF(artists!E:E, SPLIT(D80, "",""))) &gt; 0, ""OTHER"", 0)"),"OTHER")</f>
        <v>OTHER</v>
      </c>
    </row>
    <row r="81" spans="1:11">
      <c r="A81" s="21">
        <v>80</v>
      </c>
      <c r="B81" s="21">
        <v>88</v>
      </c>
      <c r="C81" s="21" t="s">
        <v>358</v>
      </c>
      <c r="D81" s="21" t="s">
        <v>359</v>
      </c>
      <c r="E81" s="21">
        <v>18</v>
      </c>
      <c r="F81" s="21">
        <v>159918</v>
      </c>
      <c r="G81" s="21" t="s">
        <v>360</v>
      </c>
      <c r="H81" s="38" t="s">
        <v>361</v>
      </c>
      <c r="I81" s="39">
        <f ca="1">IFERROR(__xludf.DUMMYFUNCTION("IF(SUM(COUNTIF(artists!A:A, SPLIT(D81, "",""))) &gt; 0, ""UA"", 0)"),0)</f>
        <v>0</v>
      </c>
      <c r="J81" s="40">
        <f ca="1">IFERROR(__xludf.DUMMYFUNCTION("IF(SUM(COUNTIF(artists!C:C, SPLIT(D81, "",""))) &gt; 0, ""RU"", 0)"),0)</f>
        <v>0</v>
      </c>
      <c r="K81" s="39" t="str">
        <f ca="1">IFERROR(__xludf.DUMMYFUNCTION("IF(SUM(COUNTIF(artists!E:E, SPLIT(D81, "",""))) &gt; 0, ""OTHER"", 0)"),"OTHER")</f>
        <v>OTHER</v>
      </c>
    </row>
    <row r="82" spans="1:11">
      <c r="A82" s="21">
        <v>81</v>
      </c>
      <c r="B82" s="21">
        <v>58</v>
      </c>
      <c r="C82" s="21" t="s">
        <v>362</v>
      </c>
      <c r="D82" s="21" t="s">
        <v>165</v>
      </c>
      <c r="E82" s="21">
        <v>3</v>
      </c>
      <c r="F82" s="21">
        <v>159261</v>
      </c>
      <c r="G82" s="41">
        <v>-0.25</v>
      </c>
      <c r="H82" s="38" t="s">
        <v>363</v>
      </c>
      <c r="I82" s="39" t="str">
        <f ca="1">IFERROR(__xludf.DUMMYFUNCTION("IF(SUM(COUNTIF(artists!A:A, SPLIT(D82, "",""))) &gt; 0, ""UA"", 0)"),"UA")</f>
        <v>UA</v>
      </c>
      <c r="J82" s="40">
        <f ca="1">IFERROR(__xludf.DUMMYFUNCTION("IF(SUM(COUNTIF(artists!C:C, SPLIT(D82, "",""))) &gt; 0, ""RU"", 0)"),0)</f>
        <v>0</v>
      </c>
      <c r="K82" s="39">
        <f ca="1">IFERROR(__xludf.DUMMYFUNCTION("IF(SUM(COUNTIF(artists!E:E, SPLIT(D82, "",""))) &gt; 0, ""OTHER"", 0)"),0)</f>
        <v>0</v>
      </c>
    </row>
    <row r="83" spans="1:11">
      <c r="A83" s="21">
        <v>82</v>
      </c>
      <c r="C83" s="21" t="s">
        <v>364</v>
      </c>
      <c r="D83" s="21" t="s">
        <v>365</v>
      </c>
      <c r="E83" s="21">
        <v>1</v>
      </c>
      <c r="F83" s="21">
        <v>158698</v>
      </c>
      <c r="H83" s="38" t="s">
        <v>366</v>
      </c>
      <c r="I83" s="39">
        <f ca="1">IFERROR(__xludf.DUMMYFUNCTION("IF(SUM(COUNTIF(artists!A:A, SPLIT(D83, "",""))) &gt; 0, ""UA"", 0)"),0)</f>
        <v>0</v>
      </c>
      <c r="J83" s="40">
        <f ca="1">IFERROR(__xludf.DUMMYFUNCTION("IF(SUM(COUNTIF(artists!C:C, SPLIT(D83, "",""))) &gt; 0, ""RU"", 0)"),0)</f>
        <v>0</v>
      </c>
      <c r="K83" s="39" t="str">
        <f ca="1">IFERROR(__xludf.DUMMYFUNCTION("IF(SUM(COUNTIF(artists!E:E, SPLIT(D83, "",""))) &gt; 0, ""OTHER"", 0)"),"OTHER")</f>
        <v>OTHER</v>
      </c>
    </row>
    <row r="84" spans="1:11">
      <c r="A84" s="21">
        <v>83</v>
      </c>
      <c r="C84" s="21" t="s">
        <v>367</v>
      </c>
      <c r="D84" s="21" t="s">
        <v>368</v>
      </c>
      <c r="E84" s="21">
        <v>1</v>
      </c>
      <c r="F84" s="21">
        <v>157722</v>
      </c>
      <c r="H84" s="38" t="s">
        <v>369</v>
      </c>
      <c r="I84" s="39">
        <f ca="1">IFERROR(__xludf.DUMMYFUNCTION("IF(SUM(COUNTIF(artists!A:A, SPLIT(D84, "",""))) &gt; 0, ""UA"", 0)"),0)</f>
        <v>0</v>
      </c>
      <c r="J84" s="40">
        <f ca="1">IFERROR(__xludf.DUMMYFUNCTION("IF(SUM(COUNTIF(artists!C:C, SPLIT(D84, "",""))) &gt; 0, ""RU"", 0)"),0)</f>
        <v>0</v>
      </c>
      <c r="K84" s="39" t="str">
        <f ca="1">IFERROR(__xludf.DUMMYFUNCTION("IF(SUM(COUNTIF(artists!E:E, SPLIT(D84, "",""))) &gt; 0, ""OTHER"", 0)"),"OTHER")</f>
        <v>OTHER</v>
      </c>
    </row>
    <row r="85" spans="1:11">
      <c r="A85" s="21">
        <v>84</v>
      </c>
      <c r="B85" s="21">
        <v>95</v>
      </c>
      <c r="C85" s="21" t="s">
        <v>370</v>
      </c>
      <c r="D85" s="21" t="s">
        <v>222</v>
      </c>
      <c r="E85" s="21">
        <v>10</v>
      </c>
      <c r="F85" s="21">
        <v>157305</v>
      </c>
      <c r="G85" s="21" t="s">
        <v>371</v>
      </c>
      <c r="H85" s="38" t="s">
        <v>372</v>
      </c>
      <c r="I85" s="39">
        <f ca="1">IFERROR(__xludf.DUMMYFUNCTION("IF(SUM(COUNTIF(artists!A:A, SPLIT(D85, "",""))) &gt; 0, ""UA"", 0)"),0)</f>
        <v>0</v>
      </c>
      <c r="J85" s="40">
        <f ca="1">IFERROR(__xludf.DUMMYFUNCTION("IF(SUM(COUNTIF(artists!C:C, SPLIT(D85, "",""))) &gt; 0, ""RU"", 0)"),0)</f>
        <v>0</v>
      </c>
      <c r="K85" s="39" t="str">
        <f ca="1">IFERROR(__xludf.DUMMYFUNCTION("IF(SUM(COUNTIF(artists!E:E, SPLIT(D85, "",""))) &gt; 0, ""OTHER"", 0)"),"OTHER")</f>
        <v>OTHER</v>
      </c>
    </row>
    <row r="86" spans="1:11">
      <c r="A86" s="21">
        <v>85</v>
      </c>
      <c r="B86" s="21">
        <v>76</v>
      </c>
      <c r="C86" s="21" t="s">
        <v>373</v>
      </c>
      <c r="D86" s="21" t="s">
        <v>172</v>
      </c>
      <c r="E86" s="21">
        <v>18</v>
      </c>
      <c r="F86" s="21">
        <v>156741</v>
      </c>
      <c r="G86" s="21" t="s">
        <v>374</v>
      </c>
      <c r="H86" s="38" t="s">
        <v>375</v>
      </c>
      <c r="I86" s="39">
        <f ca="1">IFERROR(__xludf.DUMMYFUNCTION("IF(SUM(COUNTIF(artists!A:A, SPLIT(D86, "",""))) &gt; 0, ""UA"", 0)"),0)</f>
        <v>0</v>
      </c>
      <c r="J86" s="40" t="str">
        <f ca="1">IFERROR(__xludf.DUMMYFUNCTION("IF(SUM(COUNTIF(artists!C:C, SPLIT(D86, "",""))) &gt; 0, ""RU"", 0)"),"RU")</f>
        <v>RU</v>
      </c>
      <c r="K86" s="39">
        <f ca="1">IFERROR(__xludf.DUMMYFUNCTION("IF(SUM(COUNTIF(artists!E:E, SPLIT(D86, "",""))) &gt; 0, ""OTHER"", 0)"),0)</f>
        <v>0</v>
      </c>
    </row>
    <row r="87" spans="1:11">
      <c r="A87" s="21">
        <v>86</v>
      </c>
      <c r="C87" s="21" t="s">
        <v>376</v>
      </c>
      <c r="D87" s="21" t="s">
        <v>377</v>
      </c>
      <c r="E87" s="21">
        <v>2</v>
      </c>
      <c r="F87" s="21">
        <v>152511</v>
      </c>
      <c r="H87" s="38" t="s">
        <v>378</v>
      </c>
      <c r="I87" s="39" t="str">
        <f ca="1">IFERROR(__xludf.DUMMYFUNCTION("IF(SUM(COUNTIF(artists!A:A, SPLIT(D87, "",""))) &gt; 0, ""UA"", 0)"),"UA")</f>
        <v>UA</v>
      </c>
      <c r="J87" s="40">
        <f ca="1">IFERROR(__xludf.DUMMYFUNCTION("IF(SUM(COUNTIF(artists!C:C, SPLIT(D87, "",""))) &gt; 0, ""RU"", 0)"),0)</f>
        <v>0</v>
      </c>
      <c r="K87" s="39">
        <f ca="1">IFERROR(__xludf.DUMMYFUNCTION("IF(SUM(COUNTIF(artists!E:E, SPLIT(D87, "",""))) &gt; 0, ""OTHER"", 0)"),0)</f>
        <v>0</v>
      </c>
    </row>
    <row r="88" spans="1:11">
      <c r="A88" s="21">
        <v>87</v>
      </c>
      <c r="B88" s="21">
        <v>93</v>
      </c>
      <c r="C88" s="21" t="s">
        <v>379</v>
      </c>
      <c r="D88" s="21" t="s">
        <v>380</v>
      </c>
      <c r="E88" s="21">
        <v>15</v>
      </c>
      <c r="F88" s="21">
        <v>152260</v>
      </c>
      <c r="G88" s="21" t="s">
        <v>381</v>
      </c>
      <c r="H88" s="38" t="s">
        <v>382</v>
      </c>
      <c r="I88" s="39" t="str">
        <f ca="1">IFERROR(__xludf.DUMMYFUNCTION("IF(SUM(COUNTIF(artists!A:A, SPLIT(D88, "",""))) &gt; 0, ""UA"", 0)"),"UA")</f>
        <v>UA</v>
      </c>
      <c r="J88" s="40">
        <f ca="1">IFERROR(__xludf.DUMMYFUNCTION("IF(SUM(COUNTIF(artists!C:C, SPLIT(D88, "",""))) &gt; 0, ""RU"", 0)"),0)</f>
        <v>0</v>
      </c>
      <c r="K88" s="39">
        <f ca="1">IFERROR(__xludf.DUMMYFUNCTION("IF(SUM(COUNTIF(artists!E:E, SPLIT(D88, "",""))) &gt; 0, ""OTHER"", 0)"),0)</f>
        <v>0</v>
      </c>
    </row>
    <row r="89" spans="1:11">
      <c r="A89" s="21">
        <v>88</v>
      </c>
      <c r="B89" s="21">
        <v>87</v>
      </c>
      <c r="C89" s="21" t="s">
        <v>383</v>
      </c>
      <c r="D89" s="21" t="s">
        <v>384</v>
      </c>
      <c r="E89" s="21">
        <v>12</v>
      </c>
      <c r="F89" s="21">
        <v>150417</v>
      </c>
      <c r="G89" s="21" t="s">
        <v>385</v>
      </c>
      <c r="H89" s="38" t="s">
        <v>386</v>
      </c>
      <c r="I89" s="39">
        <f ca="1">IFERROR(__xludf.DUMMYFUNCTION("IF(SUM(COUNTIF(artists!A:A, SPLIT(D89, "",""))) &gt; 0, ""UA"", 0)"),0)</f>
        <v>0</v>
      </c>
      <c r="J89" s="40">
        <f ca="1">IFERROR(__xludf.DUMMYFUNCTION("IF(SUM(COUNTIF(artists!C:C, SPLIT(D89, "",""))) &gt; 0, ""RU"", 0)"),0)</f>
        <v>0</v>
      </c>
      <c r="K89" s="39" t="str">
        <f ca="1">IFERROR(__xludf.DUMMYFUNCTION("IF(SUM(COUNTIF(artists!E:E, SPLIT(D89, "",""))) &gt; 0, ""OTHER"", 0)"),"OTHER")</f>
        <v>OTHER</v>
      </c>
    </row>
    <row r="90" spans="1:11">
      <c r="A90" s="21">
        <v>89</v>
      </c>
      <c r="C90" s="21" t="s">
        <v>387</v>
      </c>
      <c r="D90" s="21" t="s">
        <v>388</v>
      </c>
      <c r="E90" s="21">
        <v>1</v>
      </c>
      <c r="F90" s="21">
        <v>149274</v>
      </c>
      <c r="H90" s="38" t="s">
        <v>389</v>
      </c>
      <c r="I90" s="39" t="str">
        <f ca="1">IFERROR(__xludf.DUMMYFUNCTION("IF(SUM(COUNTIF(artists!A:A, SPLIT(D90, "",""))) &gt; 0, ""UA"", 0)"),"UA")</f>
        <v>UA</v>
      </c>
      <c r="J90" s="40">
        <f ca="1">IFERROR(__xludf.DUMMYFUNCTION("IF(SUM(COUNTIF(artists!C:C, SPLIT(D90, "",""))) &gt; 0, ""RU"", 0)"),0)</f>
        <v>0</v>
      </c>
      <c r="K90" s="39">
        <f ca="1">IFERROR(__xludf.DUMMYFUNCTION("IF(SUM(COUNTIF(artists!E:E, SPLIT(D90, "",""))) &gt; 0, ""OTHER"", 0)"),0)</f>
        <v>0</v>
      </c>
    </row>
    <row r="91" spans="1:11">
      <c r="A91" s="21">
        <v>90</v>
      </c>
      <c r="B91" s="21">
        <v>89</v>
      </c>
      <c r="C91" s="21" t="s">
        <v>390</v>
      </c>
      <c r="D91" s="21" t="s">
        <v>391</v>
      </c>
      <c r="E91" s="21">
        <v>10</v>
      </c>
      <c r="F91" s="21">
        <v>147871</v>
      </c>
      <c r="G91" s="21" t="s">
        <v>392</v>
      </c>
      <c r="H91" s="38" t="s">
        <v>393</v>
      </c>
      <c r="I91" s="39">
        <f ca="1">IFERROR(__xludf.DUMMYFUNCTION("IF(SUM(COUNTIF(artists!A:A, SPLIT(D91, "",""))) &gt; 0, ""UA"", 0)"),0)</f>
        <v>0</v>
      </c>
      <c r="J91" s="40" t="str">
        <f ca="1">IFERROR(__xludf.DUMMYFUNCTION("IF(SUM(COUNTIF(artists!C:C, SPLIT(D91, "",""))) &gt; 0, ""RU"", 0)"),"RU")</f>
        <v>RU</v>
      </c>
      <c r="K91" s="39">
        <f ca="1">IFERROR(__xludf.DUMMYFUNCTION("IF(SUM(COUNTIF(artists!E:E, SPLIT(D91, "",""))) &gt; 0, ""OTHER"", 0)"),0)</f>
        <v>0</v>
      </c>
    </row>
    <row r="92" spans="1:11">
      <c r="A92" s="21">
        <v>91</v>
      </c>
      <c r="B92" s="21">
        <v>94</v>
      </c>
      <c r="C92" s="21" t="s">
        <v>394</v>
      </c>
      <c r="D92" s="21" t="s">
        <v>395</v>
      </c>
      <c r="E92" s="21">
        <v>3</v>
      </c>
      <c r="F92" s="21">
        <v>147416</v>
      </c>
      <c r="G92" s="21" t="s">
        <v>396</v>
      </c>
      <c r="H92" s="38" t="s">
        <v>397</v>
      </c>
      <c r="I92" s="39">
        <f ca="1">IFERROR(__xludf.DUMMYFUNCTION("IF(SUM(COUNTIF(artists!A:A, SPLIT(D92, "",""))) &gt; 0, ""UA"", 0)"),0)</f>
        <v>0</v>
      </c>
      <c r="J92" s="40" t="str">
        <f ca="1">IFERROR(__xludf.DUMMYFUNCTION("IF(SUM(COUNTIF(artists!C:C, SPLIT(D92, "",""))) &gt; 0, ""RU"", 0)"),"RU")</f>
        <v>RU</v>
      </c>
      <c r="K92" s="39">
        <f ca="1">IFERROR(__xludf.DUMMYFUNCTION("IF(SUM(COUNTIF(artists!E:E, SPLIT(D92, "",""))) &gt; 0, ""OTHER"", 0)"),0)</f>
        <v>0</v>
      </c>
    </row>
    <row r="93" spans="1:11">
      <c r="A93" s="21">
        <v>92</v>
      </c>
      <c r="C93" s="21" t="s">
        <v>313</v>
      </c>
      <c r="D93" s="21" t="s">
        <v>310</v>
      </c>
      <c r="E93" s="21">
        <v>14</v>
      </c>
      <c r="F93" s="21">
        <v>146871</v>
      </c>
      <c r="H93" s="38" t="s">
        <v>398</v>
      </c>
      <c r="I93" s="39">
        <f ca="1">IFERROR(__xludf.DUMMYFUNCTION("IF(SUM(COUNTIF(artists!A:A, SPLIT(D93, "",""))) &gt; 0, ""UA"", 0)"),0)</f>
        <v>0</v>
      </c>
      <c r="J93" s="40">
        <f ca="1">IFERROR(__xludf.DUMMYFUNCTION("IF(SUM(COUNTIF(artists!C:C, SPLIT(D93, "",""))) &gt; 0, ""RU"", 0)"),0)</f>
        <v>0</v>
      </c>
      <c r="K93" s="39" t="str">
        <f ca="1">IFERROR(__xludf.DUMMYFUNCTION("IF(SUM(COUNTIF(artists!E:E, SPLIT(D93, "",""))) &gt; 0, ""OTHER"", 0)"),"OTHER")</f>
        <v>OTHER</v>
      </c>
    </row>
    <row r="94" spans="1:11">
      <c r="A94" s="21">
        <v>93</v>
      </c>
      <c r="C94" s="21" t="s">
        <v>399</v>
      </c>
      <c r="D94" s="21" t="s">
        <v>400</v>
      </c>
      <c r="E94" s="21">
        <v>6</v>
      </c>
      <c r="F94" s="21">
        <v>146729</v>
      </c>
      <c r="H94" s="38" t="s">
        <v>401</v>
      </c>
      <c r="I94" s="39" t="str">
        <f ca="1">IFERROR(__xludf.DUMMYFUNCTION("IF(SUM(COUNTIF(artists!A:A, SPLIT(D94, "",""))) &gt; 0, ""UA"", 0)"),"UA")</f>
        <v>UA</v>
      </c>
      <c r="J94" s="40">
        <f ca="1">IFERROR(__xludf.DUMMYFUNCTION("IF(SUM(COUNTIF(artists!C:C, SPLIT(D94, "",""))) &gt; 0, ""RU"", 0)"),0)</f>
        <v>0</v>
      </c>
      <c r="K94" s="39">
        <f ca="1">IFERROR(__xludf.DUMMYFUNCTION("IF(SUM(COUNTIF(artists!E:E, SPLIT(D94, "",""))) &gt; 0, ""OTHER"", 0)"),0)</f>
        <v>0</v>
      </c>
    </row>
    <row r="95" spans="1:11">
      <c r="A95" s="21">
        <v>94</v>
      </c>
      <c r="B95" s="21">
        <v>82</v>
      </c>
      <c r="C95" s="21" t="s">
        <v>402</v>
      </c>
      <c r="D95" s="21" t="s">
        <v>403</v>
      </c>
      <c r="E95" s="21">
        <v>14</v>
      </c>
      <c r="F95" s="21">
        <v>146490</v>
      </c>
      <c r="G95" s="21" t="s">
        <v>143</v>
      </c>
      <c r="H95" s="38" t="s">
        <v>404</v>
      </c>
      <c r="I95" s="39">
        <f ca="1">IFERROR(__xludf.DUMMYFUNCTION("IF(SUM(COUNTIF(artists!A:A, SPLIT(D95, "",""))) &gt; 0, ""UA"", 0)"),0)</f>
        <v>0</v>
      </c>
      <c r="J95" s="40">
        <f ca="1">IFERROR(__xludf.DUMMYFUNCTION("IF(SUM(COUNTIF(artists!C:C, SPLIT(D95, "",""))) &gt; 0, ""RU"", 0)"),0)</f>
        <v>0</v>
      </c>
      <c r="K95" s="39" t="str">
        <f ca="1">IFERROR(__xludf.DUMMYFUNCTION("IF(SUM(COUNTIF(artists!E:E, SPLIT(D95, "",""))) &gt; 0, ""OTHER"", 0)"),"OTHER")</f>
        <v>OTHER</v>
      </c>
    </row>
    <row r="96" spans="1:11">
      <c r="A96" s="21">
        <v>95</v>
      </c>
      <c r="C96" s="21" t="s">
        <v>405</v>
      </c>
      <c r="D96" s="21" t="s">
        <v>406</v>
      </c>
      <c r="E96" s="21">
        <v>1</v>
      </c>
      <c r="F96" s="21">
        <v>145528</v>
      </c>
      <c r="H96" s="38" t="s">
        <v>407</v>
      </c>
      <c r="I96" s="39">
        <f ca="1">IFERROR(__xludf.DUMMYFUNCTION("IF(SUM(COUNTIF(artists!A:A, SPLIT(D96, "",""))) &gt; 0, ""UA"", 0)"),0)</f>
        <v>0</v>
      </c>
      <c r="J96" s="40">
        <f ca="1">IFERROR(__xludf.DUMMYFUNCTION("IF(SUM(COUNTIF(artists!C:C, SPLIT(D96, "",""))) &gt; 0, ""RU"", 0)"),0)</f>
        <v>0</v>
      </c>
      <c r="K96" s="39" t="str">
        <f ca="1">IFERROR(__xludf.DUMMYFUNCTION("IF(SUM(COUNTIF(artists!E:E, SPLIT(D96, "",""))) &gt; 0, ""OTHER"", 0)"),"OTHER")</f>
        <v>OTHER</v>
      </c>
    </row>
    <row r="97" spans="1:11">
      <c r="A97" s="21">
        <v>96</v>
      </c>
      <c r="C97" s="21" t="s">
        <v>408</v>
      </c>
      <c r="D97" s="21" t="s">
        <v>409</v>
      </c>
      <c r="E97" s="21">
        <v>6</v>
      </c>
      <c r="F97" s="21">
        <v>144771</v>
      </c>
      <c r="H97" s="38" t="s">
        <v>410</v>
      </c>
      <c r="I97" s="39" t="str">
        <f ca="1">IFERROR(__xludf.DUMMYFUNCTION("IF(SUM(COUNTIF(artists!A:A, SPLIT(D97, "",""))) &gt; 0, ""UA"", 0)"),"UA")</f>
        <v>UA</v>
      </c>
      <c r="J97" s="40">
        <f ca="1">IFERROR(__xludf.DUMMYFUNCTION("IF(SUM(COUNTIF(artists!C:C, SPLIT(D97, "",""))) &gt; 0, ""RU"", 0)"),0)</f>
        <v>0</v>
      </c>
      <c r="K97" s="39">
        <f ca="1">IFERROR(__xludf.DUMMYFUNCTION("IF(SUM(COUNTIF(artists!E:E, SPLIT(D97, "",""))) &gt; 0, ""OTHER"", 0)"),0)</f>
        <v>0</v>
      </c>
    </row>
    <row r="98" spans="1:11">
      <c r="A98" s="21">
        <v>97</v>
      </c>
      <c r="C98" s="21" t="s">
        <v>411</v>
      </c>
      <c r="D98" s="21" t="s">
        <v>412</v>
      </c>
      <c r="E98" s="21">
        <v>5</v>
      </c>
      <c r="F98" s="21">
        <v>144082</v>
      </c>
      <c r="H98" s="38" t="s">
        <v>413</v>
      </c>
      <c r="I98" s="39" t="str">
        <f ca="1">IFERROR(__xludf.DUMMYFUNCTION("IF(SUM(COUNTIF(artists!A:A, SPLIT(D98, "",""))) &gt; 0, ""UA"", 0)"),"UA")</f>
        <v>UA</v>
      </c>
      <c r="J98" s="40">
        <f ca="1">IFERROR(__xludf.DUMMYFUNCTION("IF(SUM(COUNTIF(artists!C:C, SPLIT(D98, "",""))) &gt; 0, ""RU"", 0)"),0)</f>
        <v>0</v>
      </c>
      <c r="K98" s="39">
        <f ca="1">IFERROR(__xludf.DUMMYFUNCTION("IF(SUM(COUNTIF(artists!E:E, SPLIT(D98, "",""))) &gt; 0, ""OTHER"", 0)"),0)</f>
        <v>0</v>
      </c>
    </row>
    <row r="99" spans="1:11">
      <c r="A99" s="21">
        <v>98</v>
      </c>
      <c r="B99" s="21">
        <v>96</v>
      </c>
      <c r="C99" s="21" t="s">
        <v>414</v>
      </c>
      <c r="D99" s="21" t="s">
        <v>415</v>
      </c>
      <c r="E99" s="21">
        <v>4</v>
      </c>
      <c r="F99" s="21">
        <v>141740</v>
      </c>
      <c r="G99" s="21" t="s">
        <v>416</v>
      </c>
      <c r="H99" s="38" t="s">
        <v>417</v>
      </c>
      <c r="I99" s="39" t="str">
        <f ca="1">IFERROR(__xludf.DUMMYFUNCTION("IF(SUM(COUNTIF(artists!A:A, SPLIT(D99, "",""))) &gt; 0, ""UA"", 0)"),"UA")</f>
        <v>UA</v>
      </c>
      <c r="J99" s="40">
        <f ca="1">IFERROR(__xludf.DUMMYFUNCTION("IF(SUM(COUNTIF(artists!C:C, SPLIT(D99, "",""))) &gt; 0, ""RU"", 0)"),0)</f>
        <v>0</v>
      </c>
      <c r="K99" s="39">
        <f ca="1">IFERROR(__xludf.DUMMYFUNCTION("IF(SUM(COUNTIF(artists!E:E, SPLIT(D99, "",""))) &gt; 0, ""OTHER"", 0)"),0)</f>
        <v>0</v>
      </c>
    </row>
    <row r="100" spans="1:11">
      <c r="A100" s="21">
        <v>99</v>
      </c>
      <c r="C100" s="21" t="s">
        <v>418</v>
      </c>
      <c r="D100" s="21" t="s">
        <v>419</v>
      </c>
      <c r="E100" s="21">
        <v>14</v>
      </c>
      <c r="F100" s="21">
        <v>141399</v>
      </c>
      <c r="H100" s="38" t="s">
        <v>420</v>
      </c>
      <c r="I100" s="39">
        <f ca="1">IFERROR(__xludf.DUMMYFUNCTION("IF(SUM(COUNTIF(artists!A:A, SPLIT(D100, "",""))) &gt; 0, ""UA"", 0)"),0)</f>
        <v>0</v>
      </c>
      <c r="J100" s="40">
        <f ca="1">IFERROR(__xludf.DUMMYFUNCTION("IF(SUM(COUNTIF(artists!C:C, SPLIT(D100, "",""))) &gt; 0, ""RU"", 0)"),0)</f>
        <v>0</v>
      </c>
      <c r="K100" s="39" t="str">
        <f ca="1">IFERROR(__xludf.DUMMYFUNCTION("IF(SUM(COUNTIF(artists!E:E, SPLIT(D100, "",""))) &gt; 0, ""OTHER"", 0)"),"OTHER")</f>
        <v>OTHER</v>
      </c>
    </row>
    <row r="101" spans="1:11">
      <c r="A101" s="21">
        <v>100</v>
      </c>
      <c r="C101" s="21" t="s">
        <v>421</v>
      </c>
      <c r="D101" s="21" t="s">
        <v>422</v>
      </c>
      <c r="E101" s="21">
        <v>1</v>
      </c>
      <c r="F101" s="21">
        <v>140756</v>
      </c>
      <c r="H101" s="38" t="s">
        <v>423</v>
      </c>
      <c r="I101" s="39">
        <f ca="1">IFERROR(__xludf.DUMMYFUNCTION("IF(SUM(COUNTIF(artists!A:A, SPLIT(D101, "",""))) &gt; 0, ""UA"", 0)"),0)</f>
        <v>0</v>
      </c>
      <c r="J101" s="40" t="str">
        <f ca="1">IFERROR(__xludf.DUMMYFUNCTION("IF(SUM(COUNTIF(artists!C:C, SPLIT(D101, "",""))) &gt; 0, ""RU"", 0)"),"RU")</f>
        <v>RU</v>
      </c>
      <c r="K101" s="39">
        <f ca="1">IFERROR(__xludf.DUMMYFUNCTION("IF(SUM(COUNTIF(artists!E:E, SPLIT(D101, "",""))) &gt; 0, ""OTHER"", 0)"),0)</f>
        <v>0</v>
      </c>
    </row>
  </sheetData>
  <conditionalFormatting sqref="I2:K101">
    <cfRule type="expression" dxfId="119" priority="1">
      <formula>AND($I2=0, $J2=0, $K2=0)</formula>
    </cfRule>
    <cfRule type="expression" dxfId="118" priority="2">
      <formula>OR(AND($I2&lt;&gt;0, $J2&lt;&gt;0), AND($I2&lt;&gt;0, $K2&lt;&gt;0), AND($J2&lt;&gt;0, $K2&lt;&gt;0))</formula>
    </cfRule>
  </conditionalFormatting>
  <hyperlinks>
    <hyperlink ref="H2" r:id="rId1" xr:uid="{00000000-0004-0000-0200-000000000000}"/>
    <hyperlink ref="H3" r:id="rId2" xr:uid="{00000000-0004-0000-0200-000001000000}"/>
    <hyperlink ref="H4" r:id="rId3" xr:uid="{00000000-0004-0000-0200-000002000000}"/>
    <hyperlink ref="H5" r:id="rId4" xr:uid="{00000000-0004-0000-0200-000003000000}"/>
    <hyperlink ref="H6" r:id="rId5" xr:uid="{00000000-0004-0000-0200-000004000000}"/>
    <hyperlink ref="H7" r:id="rId6" xr:uid="{00000000-0004-0000-0200-000005000000}"/>
    <hyperlink ref="H8" r:id="rId7" xr:uid="{00000000-0004-0000-0200-000006000000}"/>
    <hyperlink ref="H9" r:id="rId8" xr:uid="{00000000-0004-0000-0200-000007000000}"/>
    <hyperlink ref="H10" r:id="rId9" xr:uid="{00000000-0004-0000-0200-000008000000}"/>
    <hyperlink ref="H11" r:id="rId10" xr:uid="{00000000-0004-0000-0200-000009000000}"/>
    <hyperlink ref="H12" r:id="rId11" xr:uid="{00000000-0004-0000-0200-00000A000000}"/>
    <hyperlink ref="H13" r:id="rId12" xr:uid="{00000000-0004-0000-0200-00000B000000}"/>
    <hyperlink ref="H14" r:id="rId13" xr:uid="{00000000-0004-0000-0200-00000C000000}"/>
    <hyperlink ref="H15" r:id="rId14" xr:uid="{00000000-0004-0000-0200-00000D000000}"/>
    <hyperlink ref="H16" r:id="rId15" xr:uid="{00000000-0004-0000-0200-00000E000000}"/>
    <hyperlink ref="H17" r:id="rId16" xr:uid="{00000000-0004-0000-0200-00000F000000}"/>
    <hyperlink ref="H18" r:id="rId17" xr:uid="{00000000-0004-0000-0200-000010000000}"/>
    <hyperlink ref="H19" r:id="rId18" xr:uid="{00000000-0004-0000-0200-000011000000}"/>
    <hyperlink ref="H20" r:id="rId19" xr:uid="{00000000-0004-0000-0200-000012000000}"/>
    <hyperlink ref="H21" r:id="rId20" xr:uid="{00000000-0004-0000-0200-000013000000}"/>
    <hyperlink ref="H22" r:id="rId21" xr:uid="{00000000-0004-0000-0200-000014000000}"/>
    <hyperlink ref="H23" r:id="rId22" xr:uid="{00000000-0004-0000-0200-000015000000}"/>
    <hyperlink ref="H24" r:id="rId23" xr:uid="{00000000-0004-0000-0200-000016000000}"/>
    <hyperlink ref="H25" r:id="rId24" xr:uid="{00000000-0004-0000-0200-000017000000}"/>
    <hyperlink ref="H26" r:id="rId25" xr:uid="{00000000-0004-0000-0200-000018000000}"/>
    <hyperlink ref="H27" r:id="rId26" xr:uid="{00000000-0004-0000-0200-000019000000}"/>
    <hyperlink ref="H28" r:id="rId27" xr:uid="{00000000-0004-0000-0200-00001A000000}"/>
    <hyperlink ref="H29" r:id="rId28" xr:uid="{00000000-0004-0000-0200-00001B000000}"/>
    <hyperlink ref="H30" r:id="rId29" xr:uid="{00000000-0004-0000-0200-00001C000000}"/>
    <hyperlink ref="H31" r:id="rId30" xr:uid="{00000000-0004-0000-0200-00001D000000}"/>
    <hyperlink ref="H32" r:id="rId31" xr:uid="{00000000-0004-0000-0200-00001E000000}"/>
    <hyperlink ref="H33" r:id="rId32" xr:uid="{00000000-0004-0000-0200-00001F000000}"/>
    <hyperlink ref="H34" r:id="rId33" xr:uid="{00000000-0004-0000-0200-000020000000}"/>
    <hyperlink ref="H35" r:id="rId34" xr:uid="{00000000-0004-0000-0200-000021000000}"/>
    <hyperlink ref="H36" r:id="rId35" xr:uid="{00000000-0004-0000-0200-000022000000}"/>
    <hyperlink ref="H37" r:id="rId36" xr:uid="{00000000-0004-0000-0200-000023000000}"/>
    <hyperlink ref="H38" r:id="rId37" xr:uid="{00000000-0004-0000-0200-000024000000}"/>
    <hyperlink ref="H39" r:id="rId38" xr:uid="{00000000-0004-0000-0200-000025000000}"/>
    <hyperlink ref="H40" r:id="rId39" xr:uid="{00000000-0004-0000-0200-000026000000}"/>
    <hyperlink ref="H41" r:id="rId40" xr:uid="{00000000-0004-0000-0200-000027000000}"/>
    <hyperlink ref="H42" r:id="rId41" xr:uid="{00000000-0004-0000-0200-000028000000}"/>
    <hyperlink ref="H43" r:id="rId42" xr:uid="{00000000-0004-0000-0200-000029000000}"/>
    <hyperlink ref="H44" r:id="rId43" xr:uid="{00000000-0004-0000-0200-00002A000000}"/>
    <hyperlink ref="H45" r:id="rId44" xr:uid="{00000000-0004-0000-0200-00002B000000}"/>
    <hyperlink ref="H46" r:id="rId45" xr:uid="{00000000-0004-0000-0200-00002C000000}"/>
    <hyperlink ref="H47" r:id="rId46" xr:uid="{00000000-0004-0000-0200-00002D000000}"/>
    <hyperlink ref="H48" r:id="rId47" xr:uid="{00000000-0004-0000-0200-00002E000000}"/>
    <hyperlink ref="H49" r:id="rId48" xr:uid="{00000000-0004-0000-0200-00002F000000}"/>
    <hyperlink ref="H50" r:id="rId49" xr:uid="{00000000-0004-0000-0200-000030000000}"/>
    <hyperlink ref="H51" r:id="rId50" xr:uid="{00000000-0004-0000-0200-000031000000}"/>
    <hyperlink ref="H52" r:id="rId51" xr:uid="{00000000-0004-0000-0200-000032000000}"/>
    <hyperlink ref="H53" r:id="rId52" xr:uid="{00000000-0004-0000-0200-000033000000}"/>
    <hyperlink ref="H54" r:id="rId53" xr:uid="{00000000-0004-0000-0200-000034000000}"/>
    <hyperlink ref="H55" r:id="rId54" xr:uid="{00000000-0004-0000-0200-000035000000}"/>
    <hyperlink ref="H56" r:id="rId55" xr:uid="{00000000-0004-0000-0200-000036000000}"/>
    <hyperlink ref="H57" r:id="rId56" xr:uid="{00000000-0004-0000-0200-000037000000}"/>
    <hyperlink ref="H58" r:id="rId57" xr:uid="{00000000-0004-0000-0200-000038000000}"/>
    <hyperlink ref="H59" r:id="rId58" xr:uid="{00000000-0004-0000-0200-000039000000}"/>
    <hyperlink ref="H60" r:id="rId59" xr:uid="{00000000-0004-0000-0200-00003A000000}"/>
    <hyperlink ref="H61" r:id="rId60" xr:uid="{00000000-0004-0000-0200-00003B000000}"/>
    <hyperlink ref="H62" r:id="rId61" xr:uid="{00000000-0004-0000-0200-00003C000000}"/>
    <hyperlink ref="H63" r:id="rId62" xr:uid="{00000000-0004-0000-0200-00003D000000}"/>
    <hyperlink ref="H64" r:id="rId63" xr:uid="{00000000-0004-0000-0200-00003E000000}"/>
    <hyperlink ref="H65" r:id="rId64" xr:uid="{00000000-0004-0000-0200-00003F000000}"/>
    <hyperlink ref="H66" r:id="rId65" xr:uid="{00000000-0004-0000-0200-000040000000}"/>
    <hyperlink ref="H67" r:id="rId66" xr:uid="{00000000-0004-0000-0200-000041000000}"/>
    <hyperlink ref="H68" r:id="rId67" xr:uid="{00000000-0004-0000-0200-000042000000}"/>
    <hyperlink ref="H69" r:id="rId68" xr:uid="{00000000-0004-0000-0200-000043000000}"/>
    <hyperlink ref="H70" r:id="rId69" xr:uid="{00000000-0004-0000-0200-000044000000}"/>
    <hyperlink ref="H71" r:id="rId70" xr:uid="{00000000-0004-0000-0200-000045000000}"/>
    <hyperlink ref="H72" r:id="rId71" xr:uid="{00000000-0004-0000-0200-000046000000}"/>
    <hyperlink ref="H73" r:id="rId72" xr:uid="{00000000-0004-0000-0200-000047000000}"/>
    <hyperlink ref="H74" r:id="rId73" xr:uid="{00000000-0004-0000-0200-000048000000}"/>
    <hyperlink ref="H75" r:id="rId74" xr:uid="{00000000-0004-0000-0200-000049000000}"/>
    <hyperlink ref="H76" r:id="rId75" xr:uid="{00000000-0004-0000-0200-00004A000000}"/>
    <hyperlink ref="H77" r:id="rId76" xr:uid="{00000000-0004-0000-0200-00004B000000}"/>
    <hyperlink ref="H78" r:id="rId77" xr:uid="{00000000-0004-0000-0200-00004C000000}"/>
    <hyperlink ref="H79" r:id="rId78" xr:uid="{00000000-0004-0000-0200-00004D000000}"/>
    <hyperlink ref="H80" r:id="rId79" xr:uid="{00000000-0004-0000-0200-00004E000000}"/>
    <hyperlink ref="H81" r:id="rId80" xr:uid="{00000000-0004-0000-0200-00004F000000}"/>
    <hyperlink ref="H82" r:id="rId81" xr:uid="{00000000-0004-0000-0200-000050000000}"/>
    <hyperlink ref="H83" r:id="rId82" xr:uid="{00000000-0004-0000-0200-000051000000}"/>
    <hyperlink ref="H84" r:id="rId83" xr:uid="{00000000-0004-0000-0200-000052000000}"/>
    <hyperlink ref="H85" r:id="rId84" xr:uid="{00000000-0004-0000-0200-000053000000}"/>
    <hyperlink ref="H86" r:id="rId85" xr:uid="{00000000-0004-0000-0200-000054000000}"/>
    <hyperlink ref="H87" r:id="rId86" xr:uid="{00000000-0004-0000-0200-000055000000}"/>
    <hyperlink ref="H88" r:id="rId87" xr:uid="{00000000-0004-0000-0200-000056000000}"/>
    <hyperlink ref="H89" r:id="rId88" xr:uid="{00000000-0004-0000-0200-000057000000}"/>
    <hyperlink ref="H90" r:id="rId89" xr:uid="{00000000-0004-0000-0200-000058000000}"/>
    <hyperlink ref="H91" r:id="rId90" xr:uid="{00000000-0004-0000-0200-000059000000}"/>
    <hyperlink ref="H92" r:id="rId91" xr:uid="{00000000-0004-0000-0200-00005A000000}"/>
    <hyperlink ref="H93" r:id="rId92" xr:uid="{00000000-0004-0000-0200-00005B000000}"/>
    <hyperlink ref="H94" r:id="rId93" xr:uid="{00000000-0004-0000-0200-00005C000000}"/>
    <hyperlink ref="H95" r:id="rId94" xr:uid="{00000000-0004-0000-0200-00005D000000}"/>
    <hyperlink ref="H96" r:id="rId95" xr:uid="{00000000-0004-0000-0200-00005E000000}"/>
    <hyperlink ref="H97" r:id="rId96" xr:uid="{00000000-0004-0000-0200-00005F000000}"/>
    <hyperlink ref="H98" r:id="rId97" xr:uid="{00000000-0004-0000-0200-000060000000}"/>
    <hyperlink ref="H99" r:id="rId98" xr:uid="{00000000-0004-0000-0200-000061000000}"/>
    <hyperlink ref="H100" r:id="rId99" xr:uid="{00000000-0004-0000-0200-000062000000}"/>
    <hyperlink ref="H101" r:id="rId100" xr:uid="{00000000-0004-0000-0200-000063000000}"/>
  </hyperlink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Аркуш30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4" width="8.6640625" customWidth="1"/>
    <col min="5" max="5" width="8.6640625" hidden="1" customWidth="1"/>
    <col min="6" max="6" width="8.6640625" customWidth="1"/>
    <col min="7" max="7" width="13.10937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B2" s="21">
        <v>1</v>
      </c>
      <c r="C2" s="21" t="s">
        <v>88</v>
      </c>
      <c r="D2" s="21" t="s">
        <v>89</v>
      </c>
      <c r="E2" s="21">
        <v>3</v>
      </c>
      <c r="F2" s="21">
        <v>2257460</v>
      </c>
      <c r="G2" s="43">
        <v>-0.17</v>
      </c>
      <c r="H2" s="21" t="s">
        <v>90</v>
      </c>
      <c r="I2" s="39" t="str">
        <f ca="1">IFERROR(__xludf.DUMMYFUNCTION("IF(SUM(COUNTIF(artists!A:A, SPLIT(D2, "",""))) &gt; 0, ""UA"", 0)"),"UA")</f>
        <v>UA</v>
      </c>
      <c r="J2" s="40">
        <f ca="1">IFERROR(__xludf.DUMMYFUNCTION("IF(SUM(COUNTIF(artists!C:C, SPLIT(D2, "",""))) &gt; 0, ""RU"", 0)"),0)</f>
        <v>0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B3" s="21">
        <v>2</v>
      </c>
      <c r="C3" s="21" t="s">
        <v>145</v>
      </c>
      <c r="D3" s="21" t="s">
        <v>146</v>
      </c>
      <c r="E3" s="21">
        <v>9</v>
      </c>
      <c r="F3" s="21">
        <v>1549759</v>
      </c>
      <c r="G3" s="42">
        <v>1.4E-2</v>
      </c>
      <c r="H3" s="21" t="s">
        <v>148</v>
      </c>
      <c r="I3" s="39" t="str">
        <f ca="1">IFERROR(__xludf.DUMMYFUNCTION("IF(SUM(COUNTIF(artists!A:A, SPLIT(D3, "",""))) &gt; 0, ""UA"", 0)"),"UA")</f>
        <v>UA</v>
      </c>
      <c r="J3" s="40">
        <f ca="1">IFERROR(__xludf.DUMMYFUNCTION("IF(SUM(COUNTIF(artists!C:C, SPLIT(D3, "",""))) &gt; 0, ""RU"", 0)"),0)</f>
        <v>0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B4" s="21">
        <v>4</v>
      </c>
      <c r="C4" s="21" t="s">
        <v>115</v>
      </c>
      <c r="D4" s="21" t="s">
        <v>116</v>
      </c>
      <c r="E4" s="21">
        <v>5</v>
      </c>
      <c r="F4" s="21">
        <v>1274543</v>
      </c>
      <c r="G4" s="43">
        <v>-0.11</v>
      </c>
      <c r="H4" s="21" t="s">
        <v>117</v>
      </c>
      <c r="I4" s="39" t="str">
        <f ca="1">IFERROR(__xludf.DUMMYFUNCTION("IF(SUM(COUNTIF(artists!A:A, SPLIT(D4, "",""))) &gt; 0, ""UA"", 0)"),"UA")</f>
        <v>UA</v>
      </c>
      <c r="J4" s="40">
        <f ca="1">IFERROR(__xludf.DUMMYFUNCTION("IF(SUM(COUNTIF(artists!C:C, SPLIT(D4, "",""))) &gt; 0, ""RU"", 0)"),0)</f>
        <v>0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B5" s="21">
        <v>5</v>
      </c>
      <c r="C5" s="21" t="s">
        <v>128</v>
      </c>
      <c r="D5" s="21" t="s">
        <v>129</v>
      </c>
      <c r="E5" s="21">
        <v>11</v>
      </c>
      <c r="F5" s="21">
        <v>1139946</v>
      </c>
      <c r="G5" s="42">
        <v>-8.6999999999999994E-2</v>
      </c>
      <c r="H5" s="21" t="s">
        <v>131</v>
      </c>
      <c r="I5" s="39" t="str">
        <f ca="1">IFERROR(__xludf.DUMMYFUNCTION("IF(SUM(COUNTIF(artists!A:A, SPLIT(D5, "",""))) &gt; 0, ""UA"", 0)"),"UA")</f>
        <v>UA</v>
      </c>
      <c r="J5" s="40">
        <f ca="1">IFERROR(__xludf.DUMMYFUNCTION("IF(SUM(COUNTIF(artists!C:C, SPLIT(D5, "",""))) &gt; 0, ""RU"", 0)"),0)</f>
        <v>0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B6" s="21">
        <v>3</v>
      </c>
      <c r="C6" s="21" t="s">
        <v>202</v>
      </c>
      <c r="D6" s="21" t="s">
        <v>835</v>
      </c>
      <c r="E6" s="21">
        <v>5</v>
      </c>
      <c r="F6" s="21">
        <v>1052583</v>
      </c>
      <c r="G6" s="43">
        <v>-0.27</v>
      </c>
      <c r="H6" s="21" t="s">
        <v>204</v>
      </c>
      <c r="I6" s="39" t="str">
        <f ca="1">IFERROR(__xludf.DUMMYFUNCTION("IF(SUM(COUNTIF(artists!A:A, SPLIT(D6, "",""))) &gt; 0, ""UA"", 0)"),"UA")</f>
        <v>UA</v>
      </c>
      <c r="J6" s="40">
        <f ca="1">IFERROR(__xludf.DUMMYFUNCTION("IF(SUM(COUNTIF(artists!C:C, SPLIT(D6, "",""))) &gt; 0, ""RU"", 0)"),0)</f>
        <v>0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B7" s="21">
        <v>6</v>
      </c>
      <c r="C7" s="21" t="s">
        <v>645</v>
      </c>
      <c r="D7" s="21" t="s">
        <v>352</v>
      </c>
      <c r="E7" s="21">
        <v>28</v>
      </c>
      <c r="F7" s="21">
        <v>982784</v>
      </c>
      <c r="G7" s="43">
        <v>-0.06</v>
      </c>
      <c r="H7" s="21" t="s">
        <v>647</v>
      </c>
      <c r="I7" s="39" t="str">
        <f ca="1">IFERROR(__xludf.DUMMYFUNCTION("IF(SUM(COUNTIF(artists!A:A, SPLIT(D7, "",""))) &gt; 0, ""UA"", 0)"),"UA")</f>
        <v>UA</v>
      </c>
      <c r="J7" s="40">
        <f ca="1">IFERROR(__xludf.DUMMYFUNCTION("IF(SUM(COUNTIF(artists!C:C, SPLIT(D7, "",""))) &gt; 0, ""RU"", 0)"),0)</f>
        <v>0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C8" s="21" t="s">
        <v>1147</v>
      </c>
      <c r="D8" s="21" t="s">
        <v>776</v>
      </c>
      <c r="E8" s="21">
        <v>1</v>
      </c>
      <c r="F8" s="21">
        <v>774904</v>
      </c>
      <c r="H8" s="21" t="s">
        <v>1148</v>
      </c>
      <c r="I8" s="39" t="str">
        <f ca="1">IFERROR(__xludf.DUMMYFUNCTION("IF(SUM(COUNTIF(artists!A:A, SPLIT(D8, "",""))) &gt; 0, ""UA"", 0)"),"UA")</f>
        <v>UA</v>
      </c>
      <c r="J8" s="40">
        <f ca="1">IFERROR(__xludf.DUMMYFUNCTION("IF(SUM(COUNTIF(artists!C:C, SPLIT(D8, "",""))) &gt; 0, ""RU"", 0)"),0)</f>
        <v>0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B9" s="21">
        <v>8</v>
      </c>
      <c r="C9" s="21" t="s">
        <v>132</v>
      </c>
      <c r="D9" s="21" t="s">
        <v>133</v>
      </c>
      <c r="E9" s="21">
        <v>15</v>
      </c>
      <c r="F9" s="21">
        <v>745442</v>
      </c>
      <c r="G9" s="42">
        <v>-6.0000000000000001E-3</v>
      </c>
      <c r="H9" s="21" t="s">
        <v>135</v>
      </c>
      <c r="I9" s="39" t="str">
        <f ca="1">IFERROR(__xludf.DUMMYFUNCTION("IF(SUM(COUNTIF(artists!A:A, SPLIT(D9, "",""))) &gt; 0, ""UA"", 0)"),"UA")</f>
        <v>UA</v>
      </c>
      <c r="J9" s="40">
        <f ca="1">IFERROR(__xludf.DUMMYFUNCTION("IF(SUM(COUNTIF(artists!C:C, SPLIT(D9, "",""))) &gt; 0, ""RU"", 0)"),0)</f>
        <v>0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B10" s="21">
        <v>9</v>
      </c>
      <c r="C10" s="21" t="s">
        <v>209</v>
      </c>
      <c r="D10" s="21" t="s">
        <v>210</v>
      </c>
      <c r="E10" s="21">
        <v>8</v>
      </c>
      <c r="F10" s="21">
        <v>741561</v>
      </c>
      <c r="G10" s="42">
        <v>5.0000000000000001E-3</v>
      </c>
      <c r="H10" s="21" t="s">
        <v>212</v>
      </c>
      <c r="I10" s="39" t="str">
        <f ca="1">IFERROR(__xludf.DUMMYFUNCTION("IF(SUM(COUNTIF(artists!A:A, SPLIT(D10, "",""))) &gt; 0, ""UA"", 0)"),"UA")</f>
        <v>UA</v>
      </c>
      <c r="J10" s="40">
        <f ca="1">IFERROR(__xludf.DUMMYFUNCTION("IF(SUM(COUNTIF(artists!C:C, SPLIT(D10, "",""))) &gt; 0, ""RU"", 0)"),0)</f>
        <v>0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B11" s="21">
        <v>10</v>
      </c>
      <c r="C11" s="21" t="s">
        <v>171</v>
      </c>
      <c r="D11" s="21" t="s">
        <v>172</v>
      </c>
      <c r="E11" s="21">
        <v>10</v>
      </c>
      <c r="F11" s="21">
        <v>726853</v>
      </c>
      <c r="G11" s="43">
        <v>-0.01</v>
      </c>
      <c r="H11" s="21" t="s">
        <v>174</v>
      </c>
      <c r="I11" s="39">
        <f ca="1">IFERROR(__xludf.DUMMYFUNCTION("IF(SUM(COUNTIF(artists!A:A, SPLIT(D11, "",""))) &gt; 0, ""UA"", 0)"),0)</f>
        <v>0</v>
      </c>
      <c r="J11" s="40" t="str">
        <f ca="1">IFERROR(__xludf.DUMMYFUNCTION("IF(SUM(COUNTIF(artists!C:C, SPLIT(D11, "",""))) &gt; 0, ""RU"", 0)"),"RU")</f>
        <v>RU</v>
      </c>
      <c r="K11" s="39">
        <f ca="1">IFERROR(__xludf.DUMMYFUNCTION("IF(SUM(COUNTIF(artists!E:E, SPLIT(D11, "",""))) &gt; 0, ""OTHER"", 0)"),0)</f>
        <v>0</v>
      </c>
    </row>
    <row r="12" spans="1:11" ht="14.25" customHeight="1">
      <c r="A12" s="21">
        <v>11</v>
      </c>
      <c r="B12" s="21">
        <v>7</v>
      </c>
      <c r="C12" s="21" t="s">
        <v>175</v>
      </c>
      <c r="D12" s="21" t="s">
        <v>89</v>
      </c>
      <c r="E12" s="21">
        <v>15</v>
      </c>
      <c r="F12" s="21">
        <v>721846</v>
      </c>
      <c r="G12" s="42">
        <v>-0.123</v>
      </c>
      <c r="H12" s="21" t="s">
        <v>177</v>
      </c>
      <c r="I12" s="39" t="str">
        <f ca="1">IFERROR(__xludf.DUMMYFUNCTION("IF(SUM(COUNTIF(artists!A:A, SPLIT(D12, "",""))) &gt; 0, ""UA"", 0)"),"UA")</f>
        <v>UA</v>
      </c>
      <c r="J12" s="40">
        <f ca="1">IFERROR(__xludf.DUMMYFUNCTION("IF(SUM(COUNTIF(artists!C:C, SPLIT(D12, "",""))) &gt; 0, ""RU"", 0)"),0)</f>
        <v>0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B13" s="21">
        <v>13</v>
      </c>
      <c r="C13" s="21" t="s">
        <v>149</v>
      </c>
      <c r="D13" s="21" t="s">
        <v>150</v>
      </c>
      <c r="E13" s="21">
        <v>8</v>
      </c>
      <c r="F13" s="21">
        <v>664222</v>
      </c>
      <c r="G13" s="42">
        <v>5.5E-2</v>
      </c>
      <c r="H13" s="21" t="s">
        <v>152</v>
      </c>
      <c r="I13" s="39" t="str">
        <f ca="1">IFERROR(__xludf.DUMMYFUNCTION("IF(SUM(COUNTIF(artists!A:A, SPLIT(D13, "",""))) &gt; 0, ""UA"", 0)"),"UA")</f>
        <v>UA</v>
      </c>
      <c r="J13" s="40">
        <f ca="1">IFERROR(__xludf.DUMMYFUNCTION("IF(SUM(COUNTIF(artists!C:C, SPLIT(D13, "",""))) &gt; 0, ""RU"", 0)"),0)</f>
        <v>0</v>
      </c>
      <c r="K13" s="39">
        <f ca="1">IFERROR(__xludf.DUMMYFUNCTION("IF(SUM(COUNTIF(artists!E:E, SPLIT(D13, "",""))) &gt; 0, ""OTHER"", 0)"),0)</f>
        <v>0</v>
      </c>
    </row>
    <row r="14" spans="1:11" ht="14.25" customHeight="1">
      <c r="A14" s="21">
        <v>13</v>
      </c>
      <c r="B14" s="21">
        <v>12</v>
      </c>
      <c r="C14" s="21" t="s">
        <v>462</v>
      </c>
      <c r="D14" s="21" t="s">
        <v>463</v>
      </c>
      <c r="E14" s="21">
        <v>6</v>
      </c>
      <c r="F14" s="21">
        <v>651948</v>
      </c>
      <c r="G14" s="42">
        <v>8.9999999999999993E-3</v>
      </c>
      <c r="H14" s="21" t="s">
        <v>465</v>
      </c>
      <c r="I14" s="39" t="str">
        <f ca="1">IFERROR(__xludf.DUMMYFUNCTION("IF(SUM(COUNTIF(artists!A:A, SPLIT(D14, "",""))) &gt; 0, ""UA"", 0)"),"UA")</f>
        <v>UA</v>
      </c>
      <c r="J14" s="40">
        <f ca="1">IFERROR(__xludf.DUMMYFUNCTION("IF(SUM(COUNTIF(artists!C:C, SPLIT(D14, "",""))) &gt; 0, ""RU"", 0)"),0)</f>
        <v>0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B15" s="21">
        <v>11</v>
      </c>
      <c r="C15" s="21" t="s">
        <v>194</v>
      </c>
      <c r="D15" s="21" t="s">
        <v>195</v>
      </c>
      <c r="E15" s="21">
        <v>18</v>
      </c>
      <c r="F15" s="21">
        <v>619947</v>
      </c>
      <c r="G15" s="42">
        <v>-9.7000000000000003E-2</v>
      </c>
      <c r="H15" s="21" t="s">
        <v>197</v>
      </c>
      <c r="I15" s="39" t="str">
        <f ca="1">IFERROR(__xludf.DUMMYFUNCTION("IF(SUM(COUNTIF(artists!A:A, SPLIT(D15, "",""))) &gt; 0, ""UA"", 0)"),"UA")</f>
        <v>UA</v>
      </c>
      <c r="J15" s="40">
        <f ca="1">IFERROR(__xludf.DUMMYFUNCTION("IF(SUM(COUNTIF(artists!C:C, SPLIT(D15, "",""))) &gt; 0, ""RU"", 0)"),0)</f>
        <v>0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B16" s="21">
        <v>14</v>
      </c>
      <c r="C16" s="21" t="s">
        <v>186</v>
      </c>
      <c r="D16" s="21" t="s">
        <v>187</v>
      </c>
      <c r="E16" s="21">
        <v>19</v>
      </c>
      <c r="F16" s="21">
        <v>582259</v>
      </c>
      <c r="G16" s="43">
        <v>-0.02</v>
      </c>
      <c r="H16" s="21" t="s">
        <v>189</v>
      </c>
      <c r="I16" s="39" t="str">
        <f ca="1">IFERROR(__xludf.DUMMYFUNCTION("IF(SUM(COUNTIF(artists!A:A, SPLIT(D16, "",""))) &gt; 0, ""UA"", 0)"),"UA")</f>
        <v>UA</v>
      </c>
      <c r="J16" s="40">
        <f ca="1">IFERROR(__xludf.DUMMYFUNCTION("IF(SUM(COUNTIF(artists!C:C, SPLIT(D16, "",""))) &gt; 0, ""RU"", 0)"),0)</f>
        <v>0</v>
      </c>
      <c r="K16" s="39">
        <f ca="1">IFERROR(__xludf.DUMMYFUNCTION("IF(SUM(COUNTIF(artists!E:E, SPLIT(D16, "",""))) &gt; 0, ""OTHER"", 0)"),0)</f>
        <v>0</v>
      </c>
    </row>
    <row r="17" spans="1:11" ht="14.25" customHeight="1">
      <c r="A17" s="21">
        <v>16</v>
      </c>
      <c r="B17" s="21">
        <v>17</v>
      </c>
      <c r="C17" s="21" t="s">
        <v>968</v>
      </c>
      <c r="D17" s="21" t="s">
        <v>969</v>
      </c>
      <c r="E17" s="21">
        <v>35</v>
      </c>
      <c r="F17" s="21">
        <v>510357</v>
      </c>
      <c r="G17" s="42">
        <v>-4.0000000000000001E-3</v>
      </c>
      <c r="H17" s="21" t="s">
        <v>970</v>
      </c>
      <c r="I17" s="39" t="str">
        <f ca="1">IFERROR(__xludf.DUMMYFUNCTION("IF(SUM(COUNTIF(artists!A:A, SPLIT(D17, "",""))) &gt; 0, ""UA"", 0)"),"UA")</f>
        <v>UA</v>
      </c>
      <c r="J17" s="40">
        <f ca="1">IFERROR(__xludf.DUMMYFUNCTION("IF(SUM(COUNTIF(artists!C:C, SPLIT(D17, "",""))) &gt; 0, ""RU"", 0)"),0)</f>
        <v>0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B18" s="21">
        <v>15</v>
      </c>
      <c r="C18" s="21" t="s">
        <v>229</v>
      </c>
      <c r="D18" s="21" t="s">
        <v>230</v>
      </c>
      <c r="E18" s="21">
        <v>22</v>
      </c>
      <c r="F18" s="21">
        <v>491190</v>
      </c>
      <c r="G18" s="42">
        <v>-0.126</v>
      </c>
      <c r="H18" s="21" t="s">
        <v>232</v>
      </c>
      <c r="I18" s="39" t="str">
        <f ca="1">IFERROR(__xludf.DUMMYFUNCTION("IF(SUM(COUNTIF(artists!A:A, SPLIT(D18, "",""))) &gt; 0, ""UA"", 0)"),"UA")</f>
        <v>UA</v>
      </c>
      <c r="J18" s="40">
        <f ca="1">IFERROR(__xludf.DUMMYFUNCTION("IF(SUM(COUNTIF(artists!C:C, SPLIT(D18, "",""))) &gt; 0, ""RU"", 0)"),0)</f>
        <v>0</v>
      </c>
      <c r="K18" s="39">
        <f ca="1">IFERROR(__xludf.DUMMYFUNCTION("IF(SUM(COUNTIF(artists!E:E, SPLIT(D18, "",""))) &gt; 0, ""OTHER"", 0)"),0)</f>
        <v>0</v>
      </c>
    </row>
    <row r="19" spans="1:11" ht="14.25" customHeight="1">
      <c r="A19" s="21">
        <v>18</v>
      </c>
      <c r="B19" s="21">
        <v>16</v>
      </c>
      <c r="C19" s="21" t="s">
        <v>921</v>
      </c>
      <c r="D19" s="21" t="s">
        <v>922</v>
      </c>
      <c r="E19" s="21">
        <v>7</v>
      </c>
      <c r="F19" s="21">
        <v>479285</v>
      </c>
      <c r="G19" s="42">
        <v>-0.11700000000000001</v>
      </c>
      <c r="H19" s="21" t="s">
        <v>923</v>
      </c>
      <c r="I19" s="39" t="str">
        <f ca="1">IFERROR(__xludf.DUMMYFUNCTION("IF(SUM(COUNTIF(artists!A:A, SPLIT(D19, "",""))) &gt; 0, ""UA"", 0)"),"UA")</f>
        <v>UA</v>
      </c>
      <c r="J19" s="40">
        <f ca="1">IFERROR(__xludf.DUMMYFUNCTION("IF(SUM(COUNTIF(artists!C:C, SPLIT(D19, "",""))) &gt; 0, ""RU"", 0)"),0)</f>
        <v>0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B20" s="21">
        <v>18</v>
      </c>
      <c r="C20" s="21" t="s">
        <v>799</v>
      </c>
      <c r="D20" s="21" t="s">
        <v>494</v>
      </c>
      <c r="E20" s="21">
        <v>24</v>
      </c>
      <c r="F20" s="21">
        <v>465639</v>
      </c>
      <c r="G20" s="42">
        <v>-7.0999999999999994E-2</v>
      </c>
      <c r="H20" s="21" t="s">
        <v>800</v>
      </c>
      <c r="I20" s="39" t="str">
        <f ca="1">IFERROR(__xludf.DUMMYFUNCTION("IF(SUM(COUNTIF(artists!A:A, SPLIT(D20, "",""))) &gt; 0, ""UA"", 0)"),"UA")</f>
        <v>UA</v>
      </c>
      <c r="J20" s="40">
        <f ca="1">IFERROR(__xludf.DUMMYFUNCTION("IF(SUM(COUNTIF(artists!C:C, SPLIT(D20, "",""))) &gt; 0, ""RU"", 0)"),0)</f>
        <v>0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B21" s="21">
        <v>21</v>
      </c>
      <c r="C21" s="21" t="s">
        <v>182</v>
      </c>
      <c r="D21" s="21" t="s">
        <v>183</v>
      </c>
      <c r="E21" s="21">
        <v>11</v>
      </c>
      <c r="F21" s="21">
        <v>459245</v>
      </c>
      <c r="G21" s="42">
        <v>-2E-3</v>
      </c>
      <c r="H21" s="21" t="s">
        <v>185</v>
      </c>
      <c r="I21" s="39" t="str">
        <f ca="1">IFERROR(__xludf.DUMMYFUNCTION("IF(SUM(COUNTIF(artists!A:A, SPLIT(D21, "",""))) &gt; 0, ""UA"", 0)"),"UA")</f>
        <v>UA</v>
      </c>
      <c r="J21" s="40">
        <f ca="1">IFERROR(__xludf.DUMMYFUNCTION("IF(SUM(COUNTIF(artists!C:C, SPLIT(D21, "",""))) &gt; 0, ""RU"", 0)"),0)</f>
        <v>0</v>
      </c>
      <c r="K21" s="39">
        <f ca="1">IFERROR(__xludf.DUMMYFUNCTION("IF(SUM(COUNTIF(artists!E:E, SPLIT(D21, "",""))) &gt; 0, ""OTHER"", 0)"),0)</f>
        <v>0</v>
      </c>
    </row>
    <row r="22" spans="1:11" ht="14.25" customHeight="1">
      <c r="A22" s="21">
        <v>21</v>
      </c>
      <c r="B22" s="21">
        <v>20</v>
      </c>
      <c r="C22" s="21" t="s">
        <v>255</v>
      </c>
      <c r="D22" s="21" t="s">
        <v>256</v>
      </c>
      <c r="E22" s="21">
        <v>5</v>
      </c>
      <c r="F22" s="21">
        <v>459220</v>
      </c>
      <c r="G22" s="42">
        <v>-5.6000000000000001E-2</v>
      </c>
      <c r="H22" s="21" t="s">
        <v>257</v>
      </c>
      <c r="I22" s="39" t="str">
        <f ca="1">IFERROR(__xludf.DUMMYFUNCTION("IF(SUM(COUNTIF(artists!A:A, SPLIT(D22, "",""))) &gt; 0, ""UA"", 0)"),"UA")</f>
        <v>UA</v>
      </c>
      <c r="J22" s="40">
        <f ca="1">IFERROR(__xludf.DUMMYFUNCTION("IF(SUM(COUNTIF(artists!C:C, SPLIT(D22, "",""))) &gt; 0, ""RU"", 0)"),0)</f>
        <v>0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B23" s="21">
        <v>22</v>
      </c>
      <c r="C23" s="21" t="s">
        <v>160</v>
      </c>
      <c r="D23" s="21" t="s">
        <v>161</v>
      </c>
      <c r="E23" s="21">
        <v>9</v>
      </c>
      <c r="F23" s="21">
        <v>428684</v>
      </c>
      <c r="G23" s="42">
        <v>-6.4000000000000001E-2</v>
      </c>
      <c r="H23" s="21" t="s">
        <v>163</v>
      </c>
      <c r="I23" s="39" t="str">
        <f ca="1">IFERROR(__xludf.DUMMYFUNCTION("IF(SUM(COUNTIF(artists!A:A, SPLIT(D23, "",""))) &gt; 0, ""UA"", 0)"),"UA")</f>
        <v>UA</v>
      </c>
      <c r="J23" s="40">
        <f ca="1">IFERROR(__xludf.DUMMYFUNCTION("IF(SUM(COUNTIF(artists!C:C, SPLIT(D23, "",""))) &gt; 0, ""RU"", 0)"),0)</f>
        <v>0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B24" s="21">
        <v>24</v>
      </c>
      <c r="C24" s="21" t="s">
        <v>929</v>
      </c>
      <c r="D24" s="21" t="s">
        <v>930</v>
      </c>
      <c r="E24" s="21">
        <v>8</v>
      </c>
      <c r="F24" s="21">
        <v>418456</v>
      </c>
      <c r="G24" s="42">
        <v>-1.2999999999999999E-2</v>
      </c>
      <c r="H24" s="21" t="s">
        <v>931</v>
      </c>
      <c r="I24" s="39" t="str">
        <f ca="1">IFERROR(__xludf.DUMMYFUNCTION("IF(SUM(COUNTIF(artists!A:A, SPLIT(D24, "",""))) &gt; 0, ""UA"", 0)"),"UA")</f>
        <v>UA</v>
      </c>
      <c r="J24" s="40">
        <f ca="1">IFERROR(__xludf.DUMMYFUNCTION("IF(SUM(COUNTIF(artists!C:C, SPLIT(D24, "",""))) &gt; 0, ""RU"", 0)"),0)</f>
        <v>0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B25" s="21">
        <v>19</v>
      </c>
      <c r="C25" s="21" t="s">
        <v>706</v>
      </c>
      <c r="D25" s="21" t="s">
        <v>199</v>
      </c>
      <c r="E25" s="21">
        <v>11</v>
      </c>
      <c r="F25" s="21">
        <v>411858</v>
      </c>
      <c r="G25" s="42">
        <v>-0.155</v>
      </c>
      <c r="H25" s="21" t="s">
        <v>1126</v>
      </c>
      <c r="I25" s="39" t="str">
        <f ca="1">IFERROR(__xludf.DUMMYFUNCTION("IF(SUM(COUNTIF(artists!A:A, SPLIT(D25, "",""))) &gt; 0, ""UA"", 0)"),"UA")</f>
        <v>UA</v>
      </c>
      <c r="J25" s="40">
        <f ca="1">IFERROR(__xludf.DUMMYFUNCTION("IF(SUM(COUNTIF(artists!C:C, SPLIT(D25, "",""))) &gt; 0, ""RU"", 0)"),0)</f>
        <v>0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B26" s="21">
        <v>23</v>
      </c>
      <c r="C26" s="21" t="s">
        <v>895</v>
      </c>
      <c r="D26" s="21" t="s">
        <v>896</v>
      </c>
      <c r="E26" s="21">
        <v>27</v>
      </c>
      <c r="F26" s="21">
        <v>402975</v>
      </c>
      <c r="G26" s="42">
        <v>-8.7999999999999995E-2</v>
      </c>
      <c r="H26" s="21" t="s">
        <v>897</v>
      </c>
      <c r="I26" s="39" t="str">
        <f ca="1">IFERROR(__xludf.DUMMYFUNCTION("IF(SUM(COUNTIF(artists!A:A, SPLIT(D26, "",""))) &gt; 0, ""UA"", 0)"),"UA")</f>
        <v>UA</v>
      </c>
      <c r="J26" s="40">
        <f ca="1">IFERROR(__xludf.DUMMYFUNCTION("IF(SUM(COUNTIF(artists!C:C, SPLIT(D26, "",""))) &gt; 0, ""RU"", 0)"),0)</f>
        <v>0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B27" s="21">
        <v>33</v>
      </c>
      <c r="C27" s="21" t="s">
        <v>903</v>
      </c>
      <c r="D27" s="21" t="s">
        <v>904</v>
      </c>
      <c r="E27" s="21">
        <v>7</v>
      </c>
      <c r="F27" s="21">
        <v>394971</v>
      </c>
      <c r="G27" s="42">
        <v>4.2999999999999997E-2</v>
      </c>
      <c r="H27" s="21" t="s">
        <v>905</v>
      </c>
      <c r="I27" s="39" t="str">
        <f ca="1">IFERROR(__xludf.DUMMYFUNCTION("IF(SUM(COUNTIF(artists!A:A, SPLIT(D27, "",""))) &gt; 0, ""UA"", 0)"),"UA")</f>
        <v>UA</v>
      </c>
      <c r="J27" s="40">
        <f ca="1">IFERROR(__xludf.DUMMYFUNCTION("IF(SUM(COUNTIF(artists!C:C, SPLIT(D27, "",""))) &gt; 0, ""RU"", 0)"),0)</f>
        <v>0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B28" s="21">
        <v>25</v>
      </c>
      <c r="C28" s="21" t="s">
        <v>178</v>
      </c>
      <c r="D28" s="21" t="s">
        <v>179</v>
      </c>
      <c r="E28" s="21">
        <v>19</v>
      </c>
      <c r="F28" s="21">
        <v>394557</v>
      </c>
      <c r="G28" s="42">
        <v>-5.6000000000000001E-2</v>
      </c>
      <c r="H28" s="21" t="s">
        <v>181</v>
      </c>
      <c r="I28" s="39" t="str">
        <f ca="1">IFERROR(__xludf.DUMMYFUNCTION("IF(SUM(COUNTIF(artists!A:A, SPLIT(D28, "",""))) &gt; 0, ""UA"", 0)"),"UA")</f>
        <v>UA</v>
      </c>
      <c r="J28" s="40">
        <f ca="1">IFERROR(__xludf.DUMMYFUNCTION("IF(SUM(COUNTIF(artists!C:C, SPLIT(D28, "",""))) &gt; 0, ""RU"", 0)"),0)</f>
        <v>0</v>
      </c>
      <c r="K28" s="39">
        <f ca="1">IFERROR(__xludf.DUMMYFUNCTION("IF(SUM(COUNTIF(artists!E:E, SPLIT(D28, "",""))) &gt; 0, ""OTHER"", 0)"),0)</f>
        <v>0</v>
      </c>
    </row>
    <row r="29" spans="1:11" ht="14.25" customHeight="1">
      <c r="A29" s="21">
        <v>28</v>
      </c>
      <c r="B29" s="21">
        <v>29</v>
      </c>
      <c r="C29" s="21" t="s">
        <v>594</v>
      </c>
      <c r="D29" s="21" t="s">
        <v>595</v>
      </c>
      <c r="E29" s="21">
        <v>3</v>
      </c>
      <c r="F29" s="21">
        <v>386392</v>
      </c>
      <c r="G29" s="42">
        <v>1E-3</v>
      </c>
      <c r="H29" s="21" t="s">
        <v>596</v>
      </c>
      <c r="I29" s="39" t="str">
        <f ca="1">IFERROR(__xludf.DUMMYFUNCTION("IF(SUM(COUNTIF(artists!A:A, SPLIT(D29, "",""))) &gt; 0, ""UA"", 0)"),"UA")</f>
        <v>UA</v>
      </c>
      <c r="J29" s="40">
        <f ca="1">IFERROR(__xludf.DUMMYFUNCTION("IF(SUM(COUNTIF(artists!C:C, SPLIT(D29, "",""))) &gt; 0, ""RU"", 0)"),0)</f>
        <v>0</v>
      </c>
      <c r="K29" s="39">
        <f ca="1">IFERROR(__xludf.DUMMYFUNCTION("IF(SUM(COUNTIF(artists!E:E, SPLIT(D29, "",""))) &gt; 0, ""OTHER"", 0)"),0)</f>
        <v>0</v>
      </c>
    </row>
    <row r="30" spans="1:11" ht="14.25" customHeight="1">
      <c r="A30" s="21">
        <v>29</v>
      </c>
      <c r="B30" s="21">
        <v>28</v>
      </c>
      <c r="C30" s="21" t="s">
        <v>168</v>
      </c>
      <c r="D30" s="21" t="s">
        <v>137</v>
      </c>
      <c r="E30" s="21">
        <v>6</v>
      </c>
      <c r="F30" s="21">
        <v>372248</v>
      </c>
      <c r="G30" s="42">
        <v>-6.6000000000000003E-2</v>
      </c>
      <c r="H30" s="21" t="s">
        <v>170</v>
      </c>
      <c r="I30" s="39" t="str">
        <f ca="1">IFERROR(__xludf.DUMMYFUNCTION("IF(SUM(COUNTIF(artists!A:A, SPLIT(D30, "",""))) &gt; 0, ""UA"", 0)"),"UA")</f>
        <v>UA</v>
      </c>
      <c r="J30" s="40">
        <f ca="1">IFERROR(__xludf.DUMMYFUNCTION("IF(SUM(COUNTIF(artists!C:C, SPLIT(D30, "",""))) &gt; 0, ""RU"", 0)"),0)</f>
        <v>0</v>
      </c>
      <c r="K30" s="39">
        <f ca="1">IFERROR(__xludf.DUMMYFUNCTION("IF(SUM(COUNTIF(artists!E:E, SPLIT(D30, "",""))) &gt; 0, ""OTHER"", 0)"),0)</f>
        <v>0</v>
      </c>
    </row>
    <row r="31" spans="1:11" ht="14.25" customHeight="1">
      <c r="A31" s="21">
        <v>30</v>
      </c>
      <c r="B31" s="21">
        <v>31</v>
      </c>
      <c r="C31" s="21" t="s">
        <v>1327</v>
      </c>
      <c r="D31" s="21" t="s">
        <v>89</v>
      </c>
      <c r="E31" s="21">
        <v>44</v>
      </c>
      <c r="F31" s="21">
        <v>361942</v>
      </c>
      <c r="G31" s="42">
        <v>-5.6000000000000001E-2</v>
      </c>
      <c r="H31" s="21" t="s">
        <v>1328</v>
      </c>
      <c r="I31" s="39" t="str">
        <f ca="1">IFERROR(__xludf.DUMMYFUNCTION("IF(SUM(COUNTIF(artists!A:A, SPLIT(D31, "",""))) &gt; 0, ""UA"", 0)"),"UA")</f>
        <v>UA</v>
      </c>
      <c r="J31" s="40">
        <f ca="1">IFERROR(__xludf.DUMMYFUNCTION("IF(SUM(COUNTIF(artists!C:C, SPLIT(D31, "",""))) &gt; 0, ""RU"", 0)"),0)</f>
        <v>0</v>
      </c>
      <c r="K31" s="39">
        <f ca="1">IFERROR(__xludf.DUMMYFUNCTION("IF(SUM(COUNTIF(artists!E:E, SPLIT(D31, "",""))) &gt; 0, ""OTHER"", 0)"),0)</f>
        <v>0</v>
      </c>
    </row>
    <row r="32" spans="1:11" ht="14.25" customHeight="1">
      <c r="A32" s="21">
        <v>31</v>
      </c>
      <c r="B32" s="21">
        <v>32</v>
      </c>
      <c r="C32" s="21" t="s">
        <v>1089</v>
      </c>
      <c r="D32" s="21" t="s">
        <v>125</v>
      </c>
      <c r="E32" s="21">
        <v>5</v>
      </c>
      <c r="F32" s="21">
        <v>352312</v>
      </c>
      <c r="G32" s="42">
        <v>-7.6999999999999999E-2</v>
      </c>
      <c r="H32" s="21" t="s">
        <v>1090</v>
      </c>
      <c r="I32" s="39">
        <f ca="1">IFERROR(__xludf.DUMMYFUNCTION("IF(SUM(COUNTIF(artists!A:A, SPLIT(D32, "",""))) &gt; 0, ""UA"", 0)"),0)</f>
        <v>0</v>
      </c>
      <c r="J32" s="40" t="str">
        <f ca="1">IFERROR(__xludf.DUMMYFUNCTION("IF(SUM(COUNTIF(artists!C:C, SPLIT(D32, "",""))) &gt; 0, ""RU"", 0)"),"RU")</f>
        <v>RU</v>
      </c>
      <c r="K32" s="39">
        <f ca="1">IFERROR(__xludf.DUMMYFUNCTION("IF(SUM(COUNTIF(artists!E:E, SPLIT(D32, "",""))) &gt; 0, ""OTHER"", 0)"),0)</f>
        <v>0</v>
      </c>
    </row>
    <row r="33" spans="1:11" ht="14.25" customHeight="1">
      <c r="A33" s="21">
        <v>32</v>
      </c>
      <c r="B33" s="21">
        <v>30</v>
      </c>
      <c r="C33" s="21" t="s">
        <v>887</v>
      </c>
      <c r="D33" s="21" t="s">
        <v>89</v>
      </c>
      <c r="E33" s="21">
        <v>22</v>
      </c>
      <c r="F33" s="21">
        <v>337127</v>
      </c>
      <c r="G33" s="42">
        <v>-0.126</v>
      </c>
      <c r="H33" s="21" t="s">
        <v>888</v>
      </c>
      <c r="I33" s="39" t="str">
        <f ca="1">IFERROR(__xludf.DUMMYFUNCTION("IF(SUM(COUNTIF(artists!A:A, SPLIT(D33, "",""))) &gt; 0, ""UA"", 0)"),"UA")</f>
        <v>UA</v>
      </c>
      <c r="J33" s="40">
        <f ca="1">IFERROR(__xludf.DUMMYFUNCTION("IF(SUM(COUNTIF(artists!C:C, SPLIT(D33, "",""))) &gt; 0, ""RU"", 0)"),0)</f>
        <v>0</v>
      </c>
      <c r="K33" s="39">
        <f ca="1">IFERROR(__xludf.DUMMYFUNCTION("IF(SUM(COUNTIF(artists!E:E, SPLIT(D33, "",""))) &gt; 0, ""OTHER"", 0)"),0)</f>
        <v>0</v>
      </c>
    </row>
    <row r="34" spans="1:11" ht="14.25" customHeight="1">
      <c r="A34" s="21">
        <v>33</v>
      </c>
      <c r="B34" s="21">
        <v>37</v>
      </c>
      <c r="C34" s="21" t="s">
        <v>1010</v>
      </c>
      <c r="D34" s="21" t="s">
        <v>1011</v>
      </c>
      <c r="E34" s="21">
        <v>16</v>
      </c>
      <c r="F34" s="21">
        <v>328056</v>
      </c>
      <c r="G34" s="42">
        <v>-5.2999999999999999E-2</v>
      </c>
      <c r="H34" s="21" t="s">
        <v>1012</v>
      </c>
      <c r="I34" s="39" t="str">
        <f ca="1">IFERROR(__xludf.DUMMYFUNCTION("IF(SUM(COUNTIF(artists!A:A, SPLIT(D34, "",""))) &gt; 0, ""UA"", 0)"),"UA")</f>
        <v>UA</v>
      </c>
      <c r="J34" s="40">
        <f ca="1">IFERROR(__xludf.DUMMYFUNCTION("IF(SUM(COUNTIF(artists!C:C, SPLIT(D34, "",""))) &gt; 0, ""RU"", 0)"),0)</f>
        <v>0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B35" s="21">
        <v>35</v>
      </c>
      <c r="C35" s="21" t="s">
        <v>1178</v>
      </c>
      <c r="D35" s="21" t="s">
        <v>1117</v>
      </c>
      <c r="E35" s="21">
        <v>11</v>
      </c>
      <c r="F35" s="21">
        <v>317640</v>
      </c>
      <c r="G35" s="42">
        <v>-0.105</v>
      </c>
      <c r="H35" s="21" t="s">
        <v>1179</v>
      </c>
      <c r="I35" s="39">
        <f ca="1">IFERROR(__xludf.DUMMYFUNCTION("IF(SUM(COUNTIF(artists!A:A, SPLIT(D35, "",""))) &gt; 0, ""UA"", 0)"),0)</f>
        <v>0</v>
      </c>
      <c r="J35" s="40" t="str">
        <f ca="1">IFERROR(__xludf.DUMMYFUNCTION("IF(SUM(COUNTIF(artists!C:C, SPLIT(D35, "",""))) &gt; 0, ""RU"", 0)"),"RU")</f>
        <v>RU</v>
      </c>
      <c r="K35" s="39">
        <f ca="1">IFERROR(__xludf.DUMMYFUNCTION("IF(SUM(COUNTIF(artists!E:E, SPLIT(D35, "",""))) &gt; 0, ""OTHER"", 0)"),0)</f>
        <v>0</v>
      </c>
    </row>
    <row r="36" spans="1:11" ht="14.25" customHeight="1">
      <c r="A36" s="21">
        <v>35</v>
      </c>
      <c r="B36" s="21">
        <v>41</v>
      </c>
      <c r="C36" s="21" t="s">
        <v>1055</v>
      </c>
      <c r="D36" s="21" t="s">
        <v>776</v>
      </c>
      <c r="E36" s="21">
        <v>12</v>
      </c>
      <c r="F36" s="21">
        <v>311809</v>
      </c>
      <c r="G36" s="42">
        <v>-4.4999999999999998E-2</v>
      </c>
      <c r="H36" s="21" t="s">
        <v>1056</v>
      </c>
      <c r="I36" s="39" t="str">
        <f ca="1">IFERROR(__xludf.DUMMYFUNCTION("IF(SUM(COUNTIF(artists!A:A, SPLIT(D36, "",""))) &gt; 0, ""UA"", 0)"),"UA")</f>
        <v>UA</v>
      </c>
      <c r="J36" s="40">
        <f ca="1">IFERROR(__xludf.DUMMYFUNCTION("IF(SUM(COUNTIF(artists!C:C, SPLIT(D36, "",""))) &gt; 0, ""RU"", 0)"),0)</f>
        <v>0</v>
      </c>
      <c r="K36" s="39">
        <f ca="1">IFERROR(__xludf.DUMMYFUNCTION("IF(SUM(COUNTIF(artists!E:E, SPLIT(D36, "",""))) &gt; 0, ""OTHER"", 0)"),0)</f>
        <v>0</v>
      </c>
    </row>
    <row r="37" spans="1:11" ht="14.25" customHeight="1">
      <c r="A37" s="21">
        <v>36</v>
      </c>
      <c r="B37" s="21">
        <v>36</v>
      </c>
      <c r="C37" s="21" t="s">
        <v>1263</v>
      </c>
      <c r="D37" s="21" t="s">
        <v>1264</v>
      </c>
      <c r="E37" s="21">
        <v>41</v>
      </c>
      <c r="F37" s="21">
        <v>310890</v>
      </c>
      <c r="G37" s="42">
        <v>-0.121</v>
      </c>
      <c r="H37" s="21" t="s">
        <v>1265</v>
      </c>
      <c r="I37" s="39">
        <f ca="1">IFERROR(__xludf.DUMMYFUNCTION("IF(SUM(COUNTIF(artists!A:A, SPLIT(D37, "",""))) &gt; 0, ""UA"", 0)"),0)</f>
        <v>0</v>
      </c>
      <c r="J37" s="40" t="str">
        <f ca="1">IFERROR(__xludf.DUMMYFUNCTION("IF(SUM(COUNTIF(artists!C:C, SPLIT(D37, "",""))) &gt; 0, ""RU"", 0)"),"RU")</f>
        <v>RU</v>
      </c>
      <c r="K37" s="39">
        <f ca="1">IFERROR(__xludf.DUMMYFUNCTION("IF(SUM(COUNTIF(artists!E:E, SPLIT(D37, "",""))) &gt; 0, ""OTHER"", 0)"),0)</f>
        <v>0</v>
      </c>
    </row>
    <row r="38" spans="1:11" ht="14.25" customHeight="1">
      <c r="A38" s="21">
        <v>37</v>
      </c>
      <c r="B38" s="21">
        <v>48</v>
      </c>
      <c r="C38" s="21" t="s">
        <v>1354</v>
      </c>
      <c r="D38" s="21" t="s">
        <v>1355</v>
      </c>
      <c r="E38" s="21">
        <v>45</v>
      </c>
      <c r="F38" s="21">
        <v>308036</v>
      </c>
      <c r="G38" s="42">
        <v>5.6000000000000001E-2</v>
      </c>
      <c r="H38" s="21" t="s">
        <v>1356</v>
      </c>
      <c r="I38" s="39" t="str">
        <f ca="1">IFERROR(__xludf.DUMMYFUNCTION("IF(SUM(COUNTIF(artists!A:A, SPLIT(D38, "",""))) &gt; 0, ""UA"", 0)"),"UA")</f>
        <v>UA</v>
      </c>
      <c r="J38" s="40">
        <f ca="1">IFERROR(__xludf.DUMMYFUNCTION("IF(SUM(COUNTIF(artists!C:C, SPLIT(D38, "",""))) &gt; 0, ""RU"", 0)"),0)</f>
        <v>0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B39" s="21">
        <v>38</v>
      </c>
      <c r="C39" s="21" t="s">
        <v>1187</v>
      </c>
      <c r="D39" s="21" t="s">
        <v>1188</v>
      </c>
      <c r="E39" s="21">
        <v>6</v>
      </c>
      <c r="F39" s="21">
        <v>306579</v>
      </c>
      <c r="G39" s="42">
        <v>-0.115</v>
      </c>
      <c r="H39" s="21" t="s">
        <v>1189</v>
      </c>
      <c r="I39" s="39" t="str">
        <f ca="1">IFERROR(__xludf.DUMMYFUNCTION("IF(SUM(COUNTIF(artists!A:A, SPLIT(D39, "",""))) &gt; 0, ""UA"", 0)"),"UA")</f>
        <v>UA</v>
      </c>
      <c r="J39" s="40">
        <f ca="1">IFERROR(__xludf.DUMMYFUNCTION("IF(SUM(COUNTIF(artists!C:C, SPLIT(D39, "",""))) &gt; 0, ""RU"", 0)"),0)</f>
        <v>0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B40" s="21">
        <v>34</v>
      </c>
      <c r="C40" s="21" t="s">
        <v>253</v>
      </c>
      <c r="D40" s="21" t="s">
        <v>89</v>
      </c>
      <c r="E40" s="21">
        <v>24</v>
      </c>
      <c r="F40" s="21">
        <v>306169</v>
      </c>
      <c r="G40" s="42">
        <v>-0.158</v>
      </c>
      <c r="H40" s="21" t="s">
        <v>254</v>
      </c>
      <c r="I40" s="39" t="str">
        <f ca="1">IFERROR(__xludf.DUMMYFUNCTION("IF(SUM(COUNTIF(artists!A:A, SPLIT(D40, "",""))) &gt; 0, ""UA"", 0)"),"UA")</f>
        <v>UA</v>
      </c>
      <c r="J40" s="40">
        <f ca="1">IFERROR(__xludf.DUMMYFUNCTION("IF(SUM(COUNTIF(artists!C:C, SPLIT(D40, "",""))) &gt; 0, ""RU"", 0)"),0)</f>
        <v>0</v>
      </c>
      <c r="K40" s="39">
        <f ca="1">IFERROR(__xludf.DUMMYFUNCTION("IF(SUM(COUNTIF(artists!E:E, SPLIT(D40, "",""))) &gt; 0, ""OTHER"", 0)"),0)</f>
        <v>0</v>
      </c>
    </row>
    <row r="41" spans="1:11" ht="14.25" customHeight="1">
      <c r="A41" s="21">
        <v>40</v>
      </c>
      <c r="B41" s="21">
        <v>42</v>
      </c>
      <c r="C41" s="21" t="s">
        <v>632</v>
      </c>
      <c r="D41" s="21" t="s">
        <v>633</v>
      </c>
      <c r="E41" s="21">
        <v>19</v>
      </c>
      <c r="F41" s="21">
        <v>303990</v>
      </c>
      <c r="G41" s="42">
        <v>-5.2999999999999999E-2</v>
      </c>
      <c r="H41" s="21" t="s">
        <v>634</v>
      </c>
      <c r="I41" s="39" t="str">
        <f ca="1">IFERROR(__xludf.DUMMYFUNCTION("IF(SUM(COUNTIF(artists!A:A, SPLIT(D41, "",""))) &gt; 0, ""UA"", 0)"),"UA")</f>
        <v>UA</v>
      </c>
      <c r="J41" s="40">
        <f ca="1">IFERROR(__xludf.DUMMYFUNCTION("IF(SUM(COUNTIF(artists!C:C, SPLIT(D41, "",""))) &gt; 0, ""RU"", 0)"),0)</f>
        <v>0</v>
      </c>
      <c r="K41" s="39">
        <f ca="1">IFERROR(__xludf.DUMMYFUNCTION("IF(SUM(COUNTIF(artists!E:E, SPLIT(D41, "",""))) &gt; 0, ""OTHER"", 0)"),0)</f>
        <v>0</v>
      </c>
    </row>
    <row r="42" spans="1:11" ht="14.25" customHeight="1">
      <c r="A42" s="21">
        <v>41</v>
      </c>
      <c r="B42" s="21">
        <v>43</v>
      </c>
      <c r="C42" s="21" t="s">
        <v>1282</v>
      </c>
      <c r="D42" s="21" t="s">
        <v>108</v>
      </c>
      <c r="E42" s="21">
        <v>42</v>
      </c>
      <c r="F42" s="21">
        <v>300764</v>
      </c>
      <c r="G42" s="42">
        <v>-4.7E-2</v>
      </c>
      <c r="H42" s="21" t="s">
        <v>1283</v>
      </c>
      <c r="I42" s="39" t="str">
        <f ca="1">IFERROR(__xludf.DUMMYFUNCTION("IF(SUM(COUNTIF(artists!A:A, SPLIT(D42, "",""))) &gt; 0, ""UA"", 0)"),"UA")</f>
        <v>UA</v>
      </c>
      <c r="J42" s="40">
        <f ca="1">IFERROR(__xludf.DUMMYFUNCTION("IF(SUM(COUNTIF(artists!C:C, SPLIT(D42, "",""))) &gt; 0, ""RU"", 0)"),0)</f>
        <v>0</v>
      </c>
      <c r="K42" s="39">
        <f ca="1">IFERROR(__xludf.DUMMYFUNCTION("IF(SUM(COUNTIF(artists!E:E, SPLIT(D42, "",""))) &gt; 0, ""OTHER"", 0)"),0)</f>
        <v>0</v>
      </c>
    </row>
    <row r="43" spans="1:11" ht="14.25" customHeight="1">
      <c r="A43" s="21">
        <v>42</v>
      </c>
      <c r="B43" s="21">
        <v>39</v>
      </c>
      <c r="C43" s="21" t="s">
        <v>284</v>
      </c>
      <c r="D43" s="21" t="s">
        <v>15</v>
      </c>
      <c r="E43" s="21">
        <v>2</v>
      </c>
      <c r="F43" s="21">
        <v>293004</v>
      </c>
      <c r="G43" s="42">
        <v>-0.14599999999999999</v>
      </c>
      <c r="H43" s="21" t="s">
        <v>285</v>
      </c>
      <c r="I43" s="39">
        <f ca="1">IFERROR(__xludf.DUMMYFUNCTION("IF(SUM(COUNTIF(artists!A:A, SPLIT(D43, "",""))) &gt; 0, ""UA"", 0)"),0)</f>
        <v>0</v>
      </c>
      <c r="J43" s="40">
        <f ca="1">IFERROR(__xludf.DUMMYFUNCTION("IF(SUM(COUNTIF(artists!C:C, SPLIT(D43, "",""))) &gt; 0, ""RU"", 0)"),0)</f>
        <v>0</v>
      </c>
      <c r="K43" s="39" t="str">
        <f ca="1">IFERROR(__xludf.DUMMYFUNCTION("IF(SUM(COUNTIF(artists!E:E, SPLIT(D43, "",""))) &gt; 0, ""OTHER"", 0)"),"OTHER")</f>
        <v>OTHER</v>
      </c>
    </row>
    <row r="44" spans="1:11" ht="14.25" customHeight="1">
      <c r="A44" s="21">
        <v>43</v>
      </c>
      <c r="B44" s="21">
        <v>45</v>
      </c>
      <c r="C44" s="21" t="s">
        <v>1287</v>
      </c>
      <c r="D44" s="21" t="s">
        <v>1288</v>
      </c>
      <c r="E44" s="21">
        <v>16</v>
      </c>
      <c r="F44" s="21">
        <v>289661</v>
      </c>
      <c r="G44" s="42">
        <v>-5.6000000000000001E-2</v>
      </c>
      <c r="H44" s="21" t="s">
        <v>1289</v>
      </c>
      <c r="I44" s="39">
        <f ca="1">IFERROR(__xludf.DUMMYFUNCTION("IF(SUM(COUNTIF(artists!A:A, SPLIT(D44, "",""))) &gt; 0, ""UA"", 0)"),0)</f>
        <v>0</v>
      </c>
      <c r="J44" s="40">
        <f ca="1">IFERROR(__xludf.DUMMYFUNCTION("IF(SUM(COUNTIF(artists!C:C, SPLIT(D44, "",""))) &gt; 0, ""RU"", 0)"),0)</f>
        <v>0</v>
      </c>
      <c r="K44" s="39" t="str">
        <f ca="1">IFERROR(__xludf.DUMMYFUNCTION("IF(SUM(COUNTIF(artists!E:E, SPLIT(D44, "",""))) &gt; 0, ""OTHER"", 0)"),"OTHER")</f>
        <v>OTHER</v>
      </c>
    </row>
    <row r="45" spans="1:11" ht="14.25" customHeight="1">
      <c r="A45" s="21">
        <v>44</v>
      </c>
      <c r="B45" s="21">
        <v>51</v>
      </c>
      <c r="C45" s="21" t="s">
        <v>1242</v>
      </c>
      <c r="D45" s="21" t="s">
        <v>969</v>
      </c>
      <c r="E45" s="21">
        <v>14</v>
      </c>
      <c r="F45" s="21">
        <v>282815</v>
      </c>
      <c r="G45" s="42">
        <v>5.0000000000000001E-3</v>
      </c>
      <c r="H45" s="21" t="s">
        <v>1243</v>
      </c>
      <c r="I45" s="39" t="str">
        <f ca="1">IFERROR(__xludf.DUMMYFUNCTION("IF(SUM(COUNTIF(artists!A:A, SPLIT(D45, "",""))) &gt; 0, ""UA"", 0)"),"UA")</f>
        <v>UA</v>
      </c>
      <c r="J45" s="40">
        <f ca="1">IFERROR(__xludf.DUMMYFUNCTION("IF(SUM(COUNTIF(artists!C:C, SPLIT(D45, "",""))) &gt; 0, ""RU"", 0)"),0)</f>
        <v>0</v>
      </c>
      <c r="K45" s="39">
        <f ca="1">IFERROR(__xludf.DUMMYFUNCTION("IF(SUM(COUNTIF(artists!E:E, SPLIT(D45, "",""))) &gt; 0, ""OTHER"", 0)"),0)</f>
        <v>0</v>
      </c>
    </row>
    <row r="46" spans="1:11" ht="14.25" customHeight="1">
      <c r="A46" s="21">
        <v>45</v>
      </c>
      <c r="B46" s="21">
        <v>27</v>
      </c>
      <c r="C46" s="21" t="s">
        <v>1366</v>
      </c>
      <c r="D46" s="21" t="s">
        <v>1367</v>
      </c>
      <c r="E46" s="21">
        <v>4</v>
      </c>
      <c r="F46" s="21">
        <v>281240</v>
      </c>
      <c r="G46" s="42">
        <v>-0.30599999999999999</v>
      </c>
      <c r="H46" s="21" t="s">
        <v>1368</v>
      </c>
      <c r="I46" s="39">
        <f ca="1">IFERROR(__xludf.DUMMYFUNCTION("IF(SUM(COUNTIF(artists!A:A, SPLIT(D46, "",""))) &gt; 0, ""UA"", 0)"),0)</f>
        <v>0</v>
      </c>
      <c r="J46" s="40" t="str">
        <f ca="1">IFERROR(__xludf.DUMMYFUNCTION("IF(SUM(COUNTIF(artists!C:C, SPLIT(D46, "",""))) &gt; 0, ""RU"", 0)"),"RU")</f>
        <v>RU</v>
      </c>
      <c r="K46" s="39">
        <f ca="1">IFERROR(__xludf.DUMMYFUNCTION("IF(SUM(COUNTIF(artists!E:E, SPLIT(D46, "",""))) &gt; 0, ""OTHER"", 0)"),0)</f>
        <v>0</v>
      </c>
    </row>
    <row r="47" spans="1:11" ht="14.25" customHeight="1">
      <c r="A47" s="21">
        <v>46</v>
      </c>
      <c r="B47" s="21">
        <v>49</v>
      </c>
      <c r="C47" s="21" t="s">
        <v>1261</v>
      </c>
      <c r="D47" s="21" t="s">
        <v>137</v>
      </c>
      <c r="E47" s="21">
        <v>32</v>
      </c>
      <c r="F47" s="21">
        <v>276264</v>
      </c>
      <c r="G47" s="42">
        <v>-4.3999999999999997E-2</v>
      </c>
      <c r="H47" s="21" t="s">
        <v>1262</v>
      </c>
      <c r="I47" s="39" t="str">
        <f ca="1">IFERROR(__xludf.DUMMYFUNCTION("IF(SUM(COUNTIF(artists!A:A, SPLIT(D47, "",""))) &gt; 0, ""UA"", 0)"),"UA")</f>
        <v>UA</v>
      </c>
      <c r="J47" s="40">
        <f ca="1">IFERROR(__xludf.DUMMYFUNCTION("IF(SUM(COUNTIF(artists!C:C, SPLIT(D47, "",""))) &gt; 0, ""RU"", 0)"),0)</f>
        <v>0</v>
      </c>
      <c r="K47" s="39">
        <f ca="1">IFERROR(__xludf.DUMMYFUNCTION("IF(SUM(COUNTIF(artists!E:E, SPLIT(D47, "",""))) &gt; 0, ""OTHER"", 0)"),0)</f>
        <v>0</v>
      </c>
    </row>
    <row r="48" spans="1:11" ht="14.25" customHeight="1">
      <c r="A48" s="21">
        <v>47</v>
      </c>
      <c r="B48" s="21">
        <v>58</v>
      </c>
      <c r="C48" s="21" t="s">
        <v>1211</v>
      </c>
      <c r="D48" s="21" t="s">
        <v>1212</v>
      </c>
      <c r="E48" s="21">
        <v>2</v>
      </c>
      <c r="F48" s="21">
        <v>272223</v>
      </c>
      <c r="G48" s="42">
        <v>0.122</v>
      </c>
      <c r="H48" s="21" t="s">
        <v>1213</v>
      </c>
      <c r="I48" s="39">
        <f ca="1">IFERROR(__xludf.DUMMYFUNCTION("IF(SUM(COUNTIF(artists!A:A, SPLIT(D48, "",""))) &gt; 0, ""UA"", 0)"),0)</f>
        <v>0</v>
      </c>
      <c r="J48" s="40" t="str">
        <f ca="1">IFERROR(__xludf.DUMMYFUNCTION("IF(SUM(COUNTIF(artists!C:C, SPLIT(D48, "",""))) &gt; 0, ""RU"", 0)"),"RU")</f>
        <v>RU</v>
      </c>
      <c r="K48" s="39">
        <f ca="1">IFERROR(__xludf.DUMMYFUNCTION("IF(SUM(COUNTIF(artists!E:E, SPLIT(D48, "",""))) &gt; 0, ""OTHER"", 0)"),0)</f>
        <v>0</v>
      </c>
    </row>
    <row r="49" spans="1:11" ht="14.25" customHeight="1">
      <c r="A49" s="21">
        <v>48</v>
      </c>
      <c r="C49" s="21" t="s">
        <v>1346</v>
      </c>
      <c r="D49" s="21" t="s">
        <v>1347</v>
      </c>
      <c r="E49" s="21">
        <v>1</v>
      </c>
      <c r="F49" s="21">
        <v>268990</v>
      </c>
      <c r="H49" s="21" t="s">
        <v>1348</v>
      </c>
      <c r="I49" s="39" t="str">
        <f ca="1">IFERROR(__xludf.DUMMYFUNCTION("IF(SUM(COUNTIF(artists!A:A, SPLIT(D49, "",""))) &gt; 0, ""UA"", 0)"),"UA")</f>
        <v>UA</v>
      </c>
      <c r="J49" s="40">
        <f ca="1">IFERROR(__xludf.DUMMYFUNCTION("IF(SUM(COUNTIF(artists!C:C, SPLIT(D49, "",""))) &gt; 0, ""RU"", 0)"),0)</f>
        <v>0</v>
      </c>
      <c r="K49" s="39">
        <f ca="1">IFERROR(__xludf.DUMMYFUNCTION("IF(SUM(COUNTIF(artists!E:E, SPLIT(D49, "",""))) &gt; 0, ""OTHER"", 0)"),0)</f>
        <v>0</v>
      </c>
    </row>
    <row r="50" spans="1:11" ht="14.25" customHeight="1">
      <c r="A50" s="21">
        <v>49</v>
      </c>
      <c r="B50" s="21">
        <v>47</v>
      </c>
      <c r="C50" s="21" t="s">
        <v>909</v>
      </c>
      <c r="D50" s="21" t="s">
        <v>910</v>
      </c>
      <c r="E50" s="21">
        <v>25</v>
      </c>
      <c r="F50" s="21">
        <v>267290</v>
      </c>
      <c r="G50" s="42">
        <v>-8.5999999999999993E-2</v>
      </c>
      <c r="H50" s="21" t="s">
        <v>911</v>
      </c>
      <c r="I50" s="39" t="str">
        <f ca="1">IFERROR(__xludf.DUMMYFUNCTION("IF(SUM(COUNTIF(artists!A:A, SPLIT(D50, "",""))) &gt; 0, ""UA"", 0)"),"UA")</f>
        <v>UA</v>
      </c>
      <c r="J50" s="40">
        <f ca="1">IFERROR(__xludf.DUMMYFUNCTION("IF(SUM(COUNTIF(artists!C:C, SPLIT(D50, "",""))) &gt; 0, ""RU"", 0)"),0)</f>
        <v>0</v>
      </c>
      <c r="K50" s="39">
        <f ca="1">IFERROR(__xludf.DUMMYFUNCTION("IF(SUM(COUNTIF(artists!E:E, SPLIT(D50, "",""))) &gt; 0, ""OTHER"", 0)"),0)</f>
        <v>0</v>
      </c>
    </row>
    <row r="51" spans="1:11" ht="14.25" customHeight="1">
      <c r="A51" s="21">
        <v>50</v>
      </c>
      <c r="B51" s="21">
        <v>46</v>
      </c>
      <c r="C51" s="21" t="s">
        <v>1214</v>
      </c>
      <c r="D51" s="21" t="s">
        <v>1117</v>
      </c>
      <c r="E51" s="21">
        <v>4</v>
      </c>
      <c r="F51" s="21">
        <v>265483</v>
      </c>
      <c r="G51" s="42">
        <v>-0.108</v>
      </c>
      <c r="H51" s="21" t="s">
        <v>1215</v>
      </c>
      <c r="I51" s="39">
        <f ca="1">IFERROR(__xludf.DUMMYFUNCTION("IF(SUM(COUNTIF(artists!A:A, SPLIT(D51, "",""))) &gt; 0, ""UA"", 0)"),0)</f>
        <v>0</v>
      </c>
      <c r="J51" s="40" t="str">
        <f ca="1">IFERROR(__xludf.DUMMYFUNCTION("IF(SUM(COUNTIF(artists!C:C, SPLIT(D51, "",""))) &gt; 0, ""RU"", 0)"),"RU")</f>
        <v>RU</v>
      </c>
      <c r="K51" s="39">
        <f ca="1">IFERROR(__xludf.DUMMYFUNCTION("IF(SUM(COUNTIF(artists!E:E, SPLIT(D51, "",""))) &gt; 0, ""OTHER"", 0)"),0)</f>
        <v>0</v>
      </c>
    </row>
    <row r="52" spans="1:11" ht="14.25" customHeight="1">
      <c r="A52" s="21">
        <v>51</v>
      </c>
      <c r="B52" s="21">
        <v>44</v>
      </c>
      <c r="C52" s="21" t="s">
        <v>1175</v>
      </c>
      <c r="D52" s="21" t="s">
        <v>1176</v>
      </c>
      <c r="E52" s="21">
        <v>6</v>
      </c>
      <c r="F52" s="21">
        <v>262822</v>
      </c>
      <c r="G52" s="42">
        <v>-0.155</v>
      </c>
      <c r="H52" s="21" t="s">
        <v>1177</v>
      </c>
      <c r="I52" s="39">
        <f ca="1">IFERROR(__xludf.DUMMYFUNCTION("IF(SUM(COUNTIF(artists!A:A, SPLIT(D52, "",""))) &gt; 0, ""UA"", 0)"),0)</f>
        <v>0</v>
      </c>
      <c r="J52" s="40" t="str">
        <f ca="1">IFERROR(__xludf.DUMMYFUNCTION("IF(SUM(COUNTIF(artists!C:C, SPLIT(D52, "",""))) &gt; 0, ""RU"", 0)"),"RU")</f>
        <v>RU</v>
      </c>
      <c r="K52" s="39">
        <f ca="1">IFERROR(__xludf.DUMMYFUNCTION("IF(SUM(COUNTIF(artists!E:E, SPLIT(D52, "",""))) &gt; 0, ""OTHER"", 0)"),0)</f>
        <v>0</v>
      </c>
    </row>
    <row r="53" spans="1:11" ht="14.25" customHeight="1">
      <c r="A53" s="21">
        <v>52</v>
      </c>
      <c r="B53" s="21">
        <v>57</v>
      </c>
      <c r="C53" s="21" t="s">
        <v>874</v>
      </c>
      <c r="D53" s="21" t="s">
        <v>108</v>
      </c>
      <c r="E53" s="21">
        <v>5</v>
      </c>
      <c r="F53" s="21">
        <v>257364</v>
      </c>
      <c r="G53" s="42">
        <v>1.0999999999999999E-2</v>
      </c>
      <c r="H53" s="21" t="s">
        <v>875</v>
      </c>
      <c r="I53" s="39" t="str">
        <f ca="1">IFERROR(__xludf.DUMMYFUNCTION("IF(SUM(COUNTIF(artists!A:A, SPLIT(D53, "",""))) &gt; 0, ""UA"", 0)"),"UA")</f>
        <v>UA</v>
      </c>
      <c r="J53" s="40">
        <f ca="1">IFERROR(__xludf.DUMMYFUNCTION("IF(SUM(COUNTIF(artists!C:C, SPLIT(D53, "",""))) &gt; 0, ""RU"", 0)"),0)</f>
        <v>0</v>
      </c>
      <c r="K53" s="39">
        <f ca="1">IFERROR(__xludf.DUMMYFUNCTION("IF(SUM(COUNTIF(artists!E:E, SPLIT(D53, "",""))) &gt; 0, ""OTHER"", 0)"),0)</f>
        <v>0</v>
      </c>
    </row>
    <row r="54" spans="1:11" ht="14.25" customHeight="1">
      <c r="A54" s="21">
        <v>53</v>
      </c>
      <c r="B54" s="21">
        <v>55</v>
      </c>
      <c r="C54" s="21" t="s">
        <v>636</v>
      </c>
      <c r="D54" s="21" t="s">
        <v>637</v>
      </c>
      <c r="E54" s="21">
        <v>15</v>
      </c>
      <c r="F54" s="21">
        <v>255367</v>
      </c>
      <c r="G54" s="42">
        <v>-5.0000000000000001E-3</v>
      </c>
      <c r="H54" s="21" t="s">
        <v>638</v>
      </c>
      <c r="I54" s="39">
        <f ca="1">IFERROR(__xludf.DUMMYFUNCTION("IF(SUM(COUNTIF(artists!A:A, SPLIT(D54, "",""))) &gt; 0, ""UA"", 0)"),0)</f>
        <v>0</v>
      </c>
      <c r="J54" s="40">
        <f ca="1">IFERROR(__xludf.DUMMYFUNCTION("IF(SUM(COUNTIF(artists!C:C, SPLIT(D54, "",""))) &gt; 0, ""RU"", 0)"),0)</f>
        <v>0</v>
      </c>
      <c r="K54" s="39" t="str">
        <f ca="1">IFERROR(__xludf.DUMMYFUNCTION("IF(SUM(COUNTIF(artists!E:E, SPLIT(D54, "",""))) &gt; 0, ""OTHER"", 0)"),"OTHER")</f>
        <v>OTHER</v>
      </c>
    </row>
    <row r="55" spans="1:11" ht="14.25" customHeight="1">
      <c r="A55" s="21">
        <v>54</v>
      </c>
      <c r="B55" s="21">
        <v>53</v>
      </c>
      <c r="C55" s="21" t="s">
        <v>1332</v>
      </c>
      <c r="D55" s="21" t="s">
        <v>1333</v>
      </c>
      <c r="E55" s="21">
        <v>17</v>
      </c>
      <c r="F55" s="21">
        <v>249640</v>
      </c>
      <c r="G55" s="42">
        <v>-5.8000000000000003E-2</v>
      </c>
      <c r="H55" s="21" t="s">
        <v>1334</v>
      </c>
      <c r="I55" s="39" t="str">
        <f ca="1">IFERROR(__xludf.DUMMYFUNCTION("IF(SUM(COUNTIF(artists!A:A, SPLIT(D55, "",""))) &gt; 0, ""UA"", 0)"),"UA")</f>
        <v>UA</v>
      </c>
      <c r="J55" s="40">
        <f ca="1">IFERROR(__xludf.DUMMYFUNCTION("IF(SUM(COUNTIF(artists!C:C, SPLIT(D55, "",""))) &gt; 0, ""RU"", 0)"),0)</f>
        <v>0</v>
      </c>
      <c r="K55" s="39">
        <f ca="1">IFERROR(__xludf.DUMMYFUNCTION("IF(SUM(COUNTIF(artists!E:E, SPLIT(D55, "",""))) &gt; 0, ""OTHER"", 0)"),0)</f>
        <v>0</v>
      </c>
    </row>
    <row r="56" spans="1:11" ht="14.25" customHeight="1">
      <c r="A56" s="21">
        <v>55</v>
      </c>
      <c r="B56" s="21">
        <v>59</v>
      </c>
      <c r="C56" s="21" t="s">
        <v>616</v>
      </c>
      <c r="D56" s="21" t="s">
        <v>617</v>
      </c>
      <c r="E56" s="21">
        <v>5</v>
      </c>
      <c r="F56" s="21">
        <v>248678</v>
      </c>
      <c r="G56" s="42">
        <v>3.5999999999999997E-2</v>
      </c>
      <c r="H56" s="21" t="s">
        <v>618</v>
      </c>
      <c r="I56" s="39">
        <f ca="1">IFERROR(__xludf.DUMMYFUNCTION("IF(SUM(COUNTIF(artists!A:A, SPLIT(D56, "",""))) &gt; 0, ""UA"", 0)"),0)</f>
        <v>0</v>
      </c>
      <c r="J56" s="40">
        <f ca="1">IFERROR(__xludf.DUMMYFUNCTION("IF(SUM(COUNTIF(artists!C:C, SPLIT(D56, "",""))) &gt; 0, ""RU"", 0)"),0)</f>
        <v>0</v>
      </c>
      <c r="K56" s="39" t="str">
        <f ca="1">IFERROR(__xludf.DUMMYFUNCTION("IF(SUM(COUNTIF(artists!E:E, SPLIT(D56, "",""))) &gt; 0, ""OTHER"", 0)"),"OTHER")</f>
        <v>OTHER</v>
      </c>
    </row>
    <row r="57" spans="1:11" ht="14.25" customHeight="1">
      <c r="A57" s="21">
        <v>56</v>
      </c>
      <c r="B57" s="21">
        <v>40</v>
      </c>
      <c r="C57" s="21" t="s">
        <v>1364</v>
      </c>
      <c r="D57" s="21" t="s">
        <v>104</v>
      </c>
      <c r="E57" s="21">
        <v>5</v>
      </c>
      <c r="F57" s="21">
        <v>240833</v>
      </c>
      <c r="G57" s="42">
        <v>-0.27800000000000002</v>
      </c>
      <c r="H57" s="21" t="s">
        <v>1365</v>
      </c>
      <c r="I57" s="39" t="str">
        <f ca="1">IFERROR(__xludf.DUMMYFUNCTION("IF(SUM(COUNTIF(artists!A:A, SPLIT(D57, "",""))) &gt; 0, ""UA"", 0)"),"UA")</f>
        <v>UA</v>
      </c>
      <c r="J57" s="40">
        <f ca="1">IFERROR(__xludf.DUMMYFUNCTION("IF(SUM(COUNTIF(artists!C:C, SPLIT(D57, "",""))) &gt; 0, ""RU"", 0)"),0)</f>
        <v>0</v>
      </c>
      <c r="K57" s="39">
        <f ca="1">IFERROR(__xludf.DUMMYFUNCTION("IF(SUM(COUNTIF(artists!E:E, SPLIT(D57, "",""))) &gt; 0, ""OTHER"", 0)"),0)</f>
        <v>0</v>
      </c>
    </row>
    <row r="58" spans="1:11" ht="14.25" customHeight="1">
      <c r="A58" s="21">
        <v>57</v>
      </c>
      <c r="C58" s="21" t="s">
        <v>1073</v>
      </c>
      <c r="D58" s="21" t="s">
        <v>1074</v>
      </c>
      <c r="E58" s="21">
        <v>1</v>
      </c>
      <c r="F58" s="21">
        <v>240602</v>
      </c>
      <c r="H58" s="21" t="s">
        <v>1075</v>
      </c>
      <c r="I58" s="39" t="str">
        <f ca="1">IFERROR(__xludf.DUMMYFUNCTION("IF(SUM(COUNTIF(artists!A:A, SPLIT(D58, "",""))) &gt; 0, ""UA"", 0)"),"UA")</f>
        <v>UA</v>
      </c>
      <c r="J58" s="40">
        <f ca="1">IFERROR(__xludf.DUMMYFUNCTION("IF(SUM(COUNTIF(artists!C:C, SPLIT(D58, "",""))) &gt; 0, ""RU"", 0)"),0)</f>
        <v>0</v>
      </c>
      <c r="K58" s="39">
        <f ca="1">IFERROR(__xludf.DUMMYFUNCTION("IF(SUM(COUNTIF(artists!E:E, SPLIT(D58, "",""))) &gt; 0, ""OTHER"", 0)"),0)</f>
        <v>0</v>
      </c>
    </row>
    <row r="59" spans="1:11" ht="14.25" customHeight="1">
      <c r="A59" s="21">
        <v>58</v>
      </c>
      <c r="B59" s="21">
        <v>56</v>
      </c>
      <c r="C59" s="21" t="s">
        <v>1284</v>
      </c>
      <c r="D59" s="21" t="s">
        <v>1285</v>
      </c>
      <c r="E59" s="21">
        <v>16</v>
      </c>
      <c r="F59" s="21">
        <v>237395</v>
      </c>
      <c r="G59" s="42">
        <v>-6.8000000000000005E-2</v>
      </c>
      <c r="H59" s="21" t="s">
        <v>1286</v>
      </c>
      <c r="I59" s="39">
        <f ca="1">IFERROR(__xludf.DUMMYFUNCTION("IF(SUM(COUNTIF(artists!A:A, SPLIT(D59, "",""))) &gt; 0, ""UA"", 0)"),0)</f>
        <v>0</v>
      </c>
      <c r="J59" s="40" t="str">
        <f ca="1">IFERROR(__xludf.DUMMYFUNCTION("IF(SUM(COUNTIF(artists!C:C, SPLIT(D59, "",""))) &gt; 0, ""RU"", 0)"),"RU")</f>
        <v>RU</v>
      </c>
      <c r="K59" s="39">
        <f ca="1">IFERROR(__xludf.DUMMYFUNCTION("IF(SUM(COUNTIF(artists!E:E, SPLIT(D59, "",""))) &gt; 0, ""OTHER"", 0)"),0)</f>
        <v>0</v>
      </c>
    </row>
    <row r="60" spans="1:11" ht="14.25" customHeight="1">
      <c r="A60" s="21">
        <v>59</v>
      </c>
      <c r="B60" s="21">
        <v>61</v>
      </c>
      <c r="C60" s="21" t="s">
        <v>1182</v>
      </c>
      <c r="D60" s="21" t="s">
        <v>466</v>
      </c>
      <c r="E60" s="21">
        <v>17</v>
      </c>
      <c r="F60" s="21">
        <v>232462</v>
      </c>
      <c r="G60" s="42">
        <v>2.1000000000000001E-2</v>
      </c>
      <c r="H60" s="21" t="s">
        <v>1183</v>
      </c>
      <c r="I60" s="39" t="str">
        <f ca="1">IFERROR(__xludf.DUMMYFUNCTION("IF(SUM(COUNTIF(artists!A:A, SPLIT(D60, "",""))) &gt; 0, ""UA"", 0)"),"UA")</f>
        <v>UA</v>
      </c>
      <c r="J60" s="40">
        <f ca="1">IFERROR(__xludf.DUMMYFUNCTION("IF(SUM(COUNTIF(artists!C:C, SPLIT(D60, "",""))) &gt; 0, ""RU"", 0)"),0)</f>
        <v>0</v>
      </c>
      <c r="K60" s="39">
        <f ca="1">IFERROR(__xludf.DUMMYFUNCTION("IF(SUM(COUNTIF(artists!E:E, SPLIT(D60, "",""))) &gt; 0, ""OTHER"", 0)"),0)</f>
        <v>0</v>
      </c>
    </row>
    <row r="61" spans="1:11" ht="14.25" customHeight="1">
      <c r="A61" s="21">
        <v>60</v>
      </c>
      <c r="C61" s="21" t="s">
        <v>1405</v>
      </c>
      <c r="D61" s="21" t="s">
        <v>199</v>
      </c>
      <c r="E61" s="21">
        <v>1</v>
      </c>
      <c r="F61" s="21">
        <v>229098</v>
      </c>
      <c r="H61" s="21" t="s">
        <v>1406</v>
      </c>
      <c r="I61" s="39" t="str">
        <f ca="1">IFERROR(__xludf.DUMMYFUNCTION("IF(SUM(COUNTIF(artists!A:A, SPLIT(D61, "",""))) &gt; 0, ""UA"", 0)"),"UA")</f>
        <v>UA</v>
      </c>
      <c r="J61" s="40">
        <f ca="1">IFERROR(__xludf.DUMMYFUNCTION("IF(SUM(COUNTIF(artists!C:C, SPLIT(D61, "",""))) &gt; 0, ""RU"", 0)"),0)</f>
        <v>0</v>
      </c>
      <c r="K61" s="39">
        <f ca="1">IFERROR(__xludf.DUMMYFUNCTION("IF(SUM(COUNTIF(artists!E:E, SPLIT(D61, "",""))) &gt; 0, ""OTHER"", 0)"),0)</f>
        <v>0</v>
      </c>
    </row>
    <row r="62" spans="1:11" ht="14.25" customHeight="1">
      <c r="A62" s="21">
        <v>61</v>
      </c>
      <c r="B62" s="21">
        <v>67</v>
      </c>
      <c r="C62" s="21" t="s">
        <v>589</v>
      </c>
      <c r="D62" s="21" t="s">
        <v>590</v>
      </c>
      <c r="E62" s="21">
        <v>3</v>
      </c>
      <c r="F62" s="21">
        <v>226719</v>
      </c>
      <c r="G62" s="42">
        <v>0.14899999999999999</v>
      </c>
      <c r="H62" s="21" t="s">
        <v>591</v>
      </c>
      <c r="I62" s="39" t="str">
        <f ca="1">IFERROR(__xludf.DUMMYFUNCTION("IF(SUM(COUNTIF(artists!A:A, SPLIT(D62, "",""))) &gt; 0, ""UA"", 0)"),"UA")</f>
        <v>UA</v>
      </c>
      <c r="J62" s="40">
        <f ca="1">IFERROR(__xludf.DUMMYFUNCTION("IF(SUM(COUNTIF(artists!C:C, SPLIT(D62, "",""))) &gt; 0, ""RU"", 0)"),0)</f>
        <v>0</v>
      </c>
      <c r="K62" s="39">
        <f ca="1">IFERROR(__xludf.DUMMYFUNCTION("IF(SUM(COUNTIF(artists!E:E, SPLIT(D62, "",""))) &gt; 0, ""OTHER"", 0)"),0)</f>
        <v>0</v>
      </c>
    </row>
    <row r="63" spans="1:11" ht="14.25" customHeight="1">
      <c r="A63" s="21">
        <v>62</v>
      </c>
      <c r="B63" s="21">
        <v>62</v>
      </c>
      <c r="C63" s="21" t="s">
        <v>1290</v>
      </c>
      <c r="D63" s="21" t="s">
        <v>942</v>
      </c>
      <c r="E63" s="21">
        <v>19</v>
      </c>
      <c r="F63" s="21">
        <v>222627</v>
      </c>
      <c r="G63" s="42">
        <v>-1E-3</v>
      </c>
      <c r="H63" s="21" t="s">
        <v>1291</v>
      </c>
      <c r="I63" s="39" t="str">
        <f ca="1">IFERROR(__xludf.DUMMYFUNCTION("IF(SUM(COUNTIF(artists!A:A, SPLIT(D63, "",""))) &gt; 0, ""UA"", 0)"),"UA")</f>
        <v>UA</v>
      </c>
      <c r="J63" s="40">
        <f ca="1">IFERROR(__xludf.DUMMYFUNCTION("IF(SUM(COUNTIF(artists!C:C, SPLIT(D63, "",""))) &gt; 0, ""RU"", 0)"),0)</f>
        <v>0</v>
      </c>
      <c r="K63" s="39">
        <f ca="1">IFERROR(__xludf.DUMMYFUNCTION("IF(SUM(COUNTIF(artists!E:E, SPLIT(D63, "",""))) &gt; 0, ""OTHER"", 0)"),0)</f>
        <v>0</v>
      </c>
    </row>
    <row r="64" spans="1:11" ht="14.25" customHeight="1">
      <c r="A64" s="21">
        <v>63</v>
      </c>
      <c r="B64" s="21">
        <v>26</v>
      </c>
      <c r="C64" s="21" t="s">
        <v>1314</v>
      </c>
      <c r="D64" s="21" t="s">
        <v>1027</v>
      </c>
      <c r="E64" s="21">
        <v>2</v>
      </c>
      <c r="F64" s="21">
        <v>221618</v>
      </c>
      <c r="G64" s="42">
        <v>-0.46500000000000002</v>
      </c>
      <c r="H64" s="21" t="s">
        <v>1315</v>
      </c>
      <c r="I64" s="39" t="str">
        <f ca="1">IFERROR(__xludf.DUMMYFUNCTION("IF(SUM(COUNTIF(artists!A:A, SPLIT(D64, "",""))) &gt; 0, ""UA"", 0)"),"UA")</f>
        <v>UA</v>
      </c>
      <c r="J64" s="40">
        <f ca="1">IFERROR(__xludf.DUMMYFUNCTION("IF(SUM(COUNTIF(artists!C:C, SPLIT(D64, "",""))) &gt; 0, ""RU"", 0)"),0)</f>
        <v>0</v>
      </c>
      <c r="K64" s="39">
        <f ca="1">IFERROR(__xludf.DUMMYFUNCTION("IF(SUM(COUNTIF(artists!E:E, SPLIT(D64, "",""))) &gt; 0, ""OTHER"", 0)"),0)</f>
        <v>0</v>
      </c>
    </row>
    <row r="65" spans="1:11" ht="14.25" customHeight="1">
      <c r="A65" s="21">
        <v>64</v>
      </c>
      <c r="B65" s="21">
        <v>60</v>
      </c>
      <c r="C65" s="21" t="s">
        <v>516</v>
      </c>
      <c r="D65" s="21" t="s">
        <v>517</v>
      </c>
      <c r="E65" s="21">
        <v>13</v>
      </c>
      <c r="F65" s="21">
        <v>216681</v>
      </c>
      <c r="G65" s="42">
        <v>-7.8E-2</v>
      </c>
      <c r="H65" s="21" t="s">
        <v>518</v>
      </c>
      <c r="I65" s="39">
        <f ca="1">IFERROR(__xludf.DUMMYFUNCTION("IF(SUM(COUNTIF(artists!A:A, SPLIT(D65, "",""))) &gt; 0, ""UA"", 0)"),0)</f>
        <v>0</v>
      </c>
      <c r="J65" s="40">
        <f ca="1">IFERROR(__xludf.DUMMYFUNCTION("IF(SUM(COUNTIF(artists!C:C, SPLIT(D65, "",""))) &gt; 0, ""RU"", 0)"),0)</f>
        <v>0</v>
      </c>
      <c r="K65" s="39" t="str">
        <f ca="1">IFERROR(__xludf.DUMMYFUNCTION("IF(SUM(COUNTIF(artists!E:E, SPLIT(D65, "",""))) &gt; 0, ""OTHER"", 0)"),"OTHER")</f>
        <v>OTHER</v>
      </c>
    </row>
    <row r="66" spans="1:11" ht="14.25" customHeight="1">
      <c r="A66" s="21">
        <v>65</v>
      </c>
      <c r="B66" s="21">
        <v>66</v>
      </c>
      <c r="C66" s="21" t="s">
        <v>1280</v>
      </c>
      <c r="D66" s="21" t="s">
        <v>1193</v>
      </c>
      <c r="E66" s="21">
        <v>4</v>
      </c>
      <c r="F66" s="21">
        <v>213230</v>
      </c>
      <c r="G66" s="42">
        <v>5.1999999999999998E-2</v>
      </c>
      <c r="H66" s="21" t="s">
        <v>1281</v>
      </c>
      <c r="I66" s="39" t="str">
        <f ca="1">IFERROR(__xludf.DUMMYFUNCTION("IF(SUM(COUNTIF(artists!A:A, SPLIT(D66, "",""))) &gt; 0, ""UA"", 0)"),"UA")</f>
        <v>UA</v>
      </c>
      <c r="J66" s="40">
        <f ca="1">IFERROR(__xludf.DUMMYFUNCTION("IF(SUM(COUNTIF(artists!C:C, SPLIT(D66, "",""))) &gt; 0, ""RU"", 0)"),0)</f>
        <v>0</v>
      </c>
      <c r="K66" s="39">
        <f ca="1">IFERROR(__xludf.DUMMYFUNCTION("IF(SUM(COUNTIF(artists!E:E, SPLIT(D66, "",""))) &gt; 0, ""OTHER"", 0)"),0)</f>
        <v>0</v>
      </c>
    </row>
    <row r="67" spans="1:11" ht="14.25" customHeight="1">
      <c r="A67" s="21">
        <v>66</v>
      </c>
      <c r="B67" s="21">
        <v>54</v>
      </c>
      <c r="C67" s="21" t="s">
        <v>1323</v>
      </c>
      <c r="D67" s="21" t="s">
        <v>230</v>
      </c>
      <c r="E67" s="21">
        <v>7</v>
      </c>
      <c r="F67" s="21">
        <v>210905</v>
      </c>
      <c r="G67" s="42">
        <v>-0.187</v>
      </c>
      <c r="H67" s="21" t="s">
        <v>1324</v>
      </c>
      <c r="I67" s="39" t="str">
        <f ca="1">IFERROR(__xludf.DUMMYFUNCTION("IF(SUM(COUNTIF(artists!A:A, SPLIT(D67, "",""))) &gt; 0, ""UA"", 0)"),"UA")</f>
        <v>UA</v>
      </c>
      <c r="J67" s="40">
        <f ca="1">IFERROR(__xludf.DUMMYFUNCTION("IF(SUM(COUNTIF(artists!C:C, SPLIT(D67, "",""))) &gt; 0, ""RU"", 0)"),0)</f>
        <v>0</v>
      </c>
      <c r="K67" s="39">
        <f ca="1">IFERROR(__xludf.DUMMYFUNCTION("IF(SUM(COUNTIF(artists!E:E, SPLIT(D67, "",""))) &gt; 0, ""OTHER"", 0)"),0)</f>
        <v>0</v>
      </c>
    </row>
    <row r="68" spans="1:11" ht="14.25" customHeight="1">
      <c r="A68" s="21">
        <v>67</v>
      </c>
      <c r="B68" s="21">
        <v>65</v>
      </c>
      <c r="C68" s="21" t="s">
        <v>1249</v>
      </c>
      <c r="D68" s="21" t="s">
        <v>187</v>
      </c>
      <c r="E68" s="21">
        <v>7</v>
      </c>
      <c r="F68" s="21">
        <v>207870</v>
      </c>
      <c r="G68" s="42">
        <v>-2E-3</v>
      </c>
      <c r="H68" s="21" t="s">
        <v>1250</v>
      </c>
      <c r="I68" s="39" t="str">
        <f ca="1">IFERROR(__xludf.DUMMYFUNCTION("IF(SUM(COUNTIF(artists!A:A, SPLIT(D68, "",""))) &gt; 0, ""UA"", 0)"),"UA")</f>
        <v>UA</v>
      </c>
      <c r="J68" s="40">
        <f ca="1">IFERROR(__xludf.DUMMYFUNCTION("IF(SUM(COUNTIF(artists!C:C, SPLIT(D68, "",""))) &gt; 0, ""RU"", 0)"),0)</f>
        <v>0</v>
      </c>
      <c r="K68" s="39">
        <f ca="1">IFERROR(__xludf.DUMMYFUNCTION("IF(SUM(COUNTIF(artists!E:E, SPLIT(D68, "",""))) &gt; 0, ""OTHER"", 0)"),0)</f>
        <v>0</v>
      </c>
    </row>
    <row r="69" spans="1:11" ht="14.25" customHeight="1">
      <c r="A69" s="21">
        <v>68</v>
      </c>
      <c r="B69" s="21">
        <v>70</v>
      </c>
      <c r="C69" s="21" t="s">
        <v>1343</v>
      </c>
      <c r="D69" s="21" t="s">
        <v>1344</v>
      </c>
      <c r="E69" s="21">
        <v>10</v>
      </c>
      <c r="F69" s="21">
        <v>190567</v>
      </c>
      <c r="G69" s="42">
        <v>1.6E-2</v>
      </c>
      <c r="H69" s="21" t="s">
        <v>1345</v>
      </c>
      <c r="I69" s="39" t="str">
        <f ca="1">IFERROR(__xludf.DUMMYFUNCTION("IF(SUM(COUNTIF(artists!A:A, SPLIT(D69, "",""))) &gt; 0, ""UA"", 0)"),"UA")</f>
        <v>UA</v>
      </c>
      <c r="J69" s="40">
        <f ca="1">IFERROR(__xludf.DUMMYFUNCTION("IF(SUM(COUNTIF(artists!C:C, SPLIT(D69, "",""))) &gt; 0, ""RU"", 0)"),0)</f>
        <v>0</v>
      </c>
      <c r="K69" s="39">
        <f ca="1">IFERROR(__xludf.DUMMYFUNCTION("IF(SUM(COUNTIF(artists!E:E, SPLIT(D69, "",""))) &gt; 0, ""OTHER"", 0)"),0)</f>
        <v>0</v>
      </c>
    </row>
    <row r="70" spans="1:11" ht="14.25" customHeight="1">
      <c r="A70" s="21">
        <v>69</v>
      </c>
      <c r="B70" s="21">
        <v>63</v>
      </c>
      <c r="C70" s="21" t="s">
        <v>697</v>
      </c>
      <c r="D70" s="21" t="s">
        <v>698</v>
      </c>
      <c r="E70" s="21">
        <v>11</v>
      </c>
      <c r="F70" s="21">
        <v>190356</v>
      </c>
      <c r="G70" s="42">
        <v>-9.0999999999999998E-2</v>
      </c>
      <c r="H70" s="21" t="s">
        <v>699</v>
      </c>
      <c r="I70" s="39">
        <f ca="1">IFERROR(__xludf.DUMMYFUNCTION("IF(SUM(COUNTIF(artists!A:A, SPLIT(D70, "",""))) &gt; 0, ""UA"", 0)"),0)</f>
        <v>0</v>
      </c>
      <c r="J70" s="40" t="str">
        <f ca="1">IFERROR(__xludf.DUMMYFUNCTION("IF(SUM(COUNTIF(artists!C:C, SPLIT(D70, "",""))) &gt; 0, ""RU"", 0)"),"RU")</f>
        <v>RU</v>
      </c>
      <c r="K70" s="39">
        <f ca="1">IFERROR(__xludf.DUMMYFUNCTION("IF(SUM(COUNTIF(artists!E:E, SPLIT(D70, "",""))) &gt; 0, ""OTHER"", 0)"),0)</f>
        <v>0</v>
      </c>
    </row>
    <row r="71" spans="1:11" ht="14.25" customHeight="1">
      <c r="A71" s="21">
        <v>70</v>
      </c>
      <c r="B71" s="21">
        <v>52</v>
      </c>
      <c r="C71" s="21" t="s">
        <v>1398</v>
      </c>
      <c r="D71" s="21" t="s">
        <v>409</v>
      </c>
      <c r="E71" s="21">
        <v>4</v>
      </c>
      <c r="F71" s="21">
        <v>188527</v>
      </c>
      <c r="G71" s="43">
        <v>-0.28999999999999998</v>
      </c>
      <c r="H71" s="21" t="s">
        <v>1399</v>
      </c>
      <c r="I71" s="39" t="str">
        <f ca="1">IFERROR(__xludf.DUMMYFUNCTION("IF(SUM(COUNTIF(artists!A:A, SPLIT(D71, "",""))) &gt; 0, ""UA"", 0)"),"UA")</f>
        <v>UA</v>
      </c>
      <c r="J71" s="40">
        <f ca="1">IFERROR(__xludf.DUMMYFUNCTION("IF(SUM(COUNTIF(artists!C:C, SPLIT(D71, "",""))) &gt; 0, ""RU"", 0)"),0)</f>
        <v>0</v>
      </c>
      <c r="K71" s="39">
        <f ca="1">IFERROR(__xludf.DUMMYFUNCTION("IF(SUM(COUNTIF(artists!E:E, SPLIT(D71, "",""))) &gt; 0, ""OTHER"", 0)"),0)</f>
        <v>0</v>
      </c>
    </row>
    <row r="72" spans="1:11" ht="14.25" customHeight="1">
      <c r="A72" s="21">
        <v>71</v>
      </c>
      <c r="B72" s="21">
        <v>64</v>
      </c>
      <c r="C72" s="21" t="s">
        <v>1383</v>
      </c>
      <c r="D72" s="21" t="s">
        <v>463</v>
      </c>
      <c r="E72" s="21">
        <v>20</v>
      </c>
      <c r="F72" s="21">
        <v>187688</v>
      </c>
      <c r="G72" s="42">
        <v>-0.10100000000000001</v>
      </c>
      <c r="H72" s="21" t="s">
        <v>1384</v>
      </c>
      <c r="I72" s="39" t="str">
        <f ca="1">IFERROR(__xludf.DUMMYFUNCTION("IF(SUM(COUNTIF(artists!A:A, SPLIT(D72, "",""))) &gt; 0, ""UA"", 0)"),"UA")</f>
        <v>UA</v>
      </c>
      <c r="J72" s="40">
        <f ca="1">IFERROR(__xludf.DUMMYFUNCTION("IF(SUM(COUNTIF(artists!C:C, SPLIT(D72, "",""))) &gt; 0, ""RU"", 0)"),0)</f>
        <v>0</v>
      </c>
      <c r="K72" s="39">
        <f ca="1">IFERROR(__xludf.DUMMYFUNCTION("IF(SUM(COUNTIF(artists!E:E, SPLIT(D72, "",""))) &gt; 0, ""OTHER"", 0)"),0)</f>
        <v>0</v>
      </c>
    </row>
    <row r="73" spans="1:11" ht="14.25" customHeight="1">
      <c r="A73" s="21">
        <v>72</v>
      </c>
      <c r="B73" s="21">
        <v>68</v>
      </c>
      <c r="C73" s="21" t="s">
        <v>597</v>
      </c>
      <c r="D73" s="21" t="s">
        <v>598</v>
      </c>
      <c r="E73" s="21">
        <v>20</v>
      </c>
      <c r="F73" s="21">
        <v>186438</v>
      </c>
      <c r="G73" s="42">
        <v>-4.9000000000000002E-2</v>
      </c>
      <c r="H73" s="21" t="s">
        <v>600</v>
      </c>
      <c r="I73" s="39" t="str">
        <f ca="1">IFERROR(__xludf.DUMMYFUNCTION("IF(SUM(COUNTIF(artists!A:A, SPLIT(D73, "",""))) &gt; 0, ""UA"", 0)"),"UA")</f>
        <v>UA</v>
      </c>
      <c r="J73" s="40">
        <f ca="1">IFERROR(__xludf.DUMMYFUNCTION("IF(SUM(COUNTIF(artists!C:C, SPLIT(D73, "",""))) &gt; 0, ""RU"", 0)"),0)</f>
        <v>0</v>
      </c>
      <c r="K73" s="39">
        <f ca="1">IFERROR(__xludf.DUMMYFUNCTION("IF(SUM(COUNTIF(artists!E:E, SPLIT(D73, "",""))) &gt; 0, ""OTHER"", 0)"),0)</f>
        <v>0</v>
      </c>
    </row>
    <row r="74" spans="1:11" ht="14.25" customHeight="1">
      <c r="A74" s="21">
        <v>73</v>
      </c>
      <c r="C74" s="21" t="s">
        <v>1407</v>
      </c>
      <c r="D74" s="21" t="s">
        <v>1408</v>
      </c>
      <c r="E74" s="21">
        <v>1</v>
      </c>
      <c r="F74" s="21">
        <v>184202</v>
      </c>
      <c r="H74" s="21" t="s">
        <v>1409</v>
      </c>
      <c r="I74" s="39" t="str">
        <f ca="1">IFERROR(__xludf.DUMMYFUNCTION("IF(SUM(COUNTIF(artists!A:A, SPLIT(D74, "",""))) &gt; 0, ""UA"", 0)"),"UA")</f>
        <v>UA</v>
      </c>
      <c r="J74" s="40">
        <f ca="1">IFERROR(__xludf.DUMMYFUNCTION("IF(SUM(COUNTIF(artists!C:C, SPLIT(D74, "",""))) &gt; 0, ""RU"", 0)"),0)</f>
        <v>0</v>
      </c>
      <c r="K74" s="39">
        <f ca="1">IFERROR(__xludf.DUMMYFUNCTION("IF(SUM(COUNTIF(artists!E:E, SPLIT(D74, "",""))) &gt; 0, ""OTHER"", 0)"),0)</f>
        <v>0</v>
      </c>
    </row>
    <row r="75" spans="1:11" ht="14.25" customHeight="1">
      <c r="A75" s="21">
        <v>74</v>
      </c>
      <c r="B75" s="21">
        <v>69</v>
      </c>
      <c r="C75" s="21" t="s">
        <v>678</v>
      </c>
      <c r="D75" s="21" t="s">
        <v>89</v>
      </c>
      <c r="E75" s="21">
        <v>13</v>
      </c>
      <c r="F75" s="21">
        <v>183787</v>
      </c>
      <c r="G75" s="43">
        <v>-0.06</v>
      </c>
      <c r="H75" s="21" t="s">
        <v>679</v>
      </c>
      <c r="I75" s="39" t="str">
        <f ca="1">IFERROR(__xludf.DUMMYFUNCTION("IF(SUM(COUNTIF(artists!A:A, SPLIT(D75, "",""))) &gt; 0, ""UA"", 0)"),"UA")</f>
        <v>UA</v>
      </c>
      <c r="J75" s="40">
        <f ca="1">IFERROR(__xludf.DUMMYFUNCTION("IF(SUM(COUNTIF(artists!C:C, SPLIT(D75, "",""))) &gt; 0, ""RU"", 0)"),0)</f>
        <v>0</v>
      </c>
      <c r="K75" s="39">
        <f ca="1">IFERROR(__xludf.DUMMYFUNCTION("IF(SUM(COUNTIF(artists!E:E, SPLIT(D75, "",""))) &gt; 0, ""OTHER"", 0)"),0)</f>
        <v>0</v>
      </c>
    </row>
    <row r="76" spans="1:11" ht="14.25" customHeight="1">
      <c r="A76" s="21">
        <v>75</v>
      </c>
      <c r="C76" s="21" t="s">
        <v>1222</v>
      </c>
      <c r="D76" s="21" t="s">
        <v>1223</v>
      </c>
      <c r="E76" s="21">
        <v>22</v>
      </c>
      <c r="F76" s="21">
        <v>182208</v>
      </c>
      <c r="H76" s="21" t="s">
        <v>1224</v>
      </c>
      <c r="I76" s="39">
        <f ca="1">IFERROR(__xludf.DUMMYFUNCTION("IF(SUM(COUNTIF(artists!A:A, SPLIT(D76, "",""))) &gt; 0, ""UA"", 0)"),0)</f>
        <v>0</v>
      </c>
      <c r="J76" s="40" t="str">
        <f ca="1">IFERROR(__xludf.DUMMYFUNCTION("IF(SUM(COUNTIF(artists!C:C, SPLIT(D76, "",""))) &gt; 0, ""RU"", 0)"),"RU")</f>
        <v>RU</v>
      </c>
      <c r="K76" s="39">
        <f ca="1">IFERROR(__xludf.DUMMYFUNCTION("IF(SUM(COUNTIF(artists!E:E, SPLIT(D76, "",""))) &gt; 0, ""OTHER"", 0)"),0)</f>
        <v>0</v>
      </c>
    </row>
    <row r="77" spans="1:11" ht="14.25" customHeight="1">
      <c r="A77" s="21">
        <v>76</v>
      </c>
      <c r="B77" s="21">
        <v>80</v>
      </c>
      <c r="C77" s="21" t="s">
        <v>1385</v>
      </c>
      <c r="D77" s="21" t="s">
        <v>896</v>
      </c>
      <c r="E77" s="21">
        <v>12</v>
      </c>
      <c r="F77" s="21">
        <v>181993</v>
      </c>
      <c r="G77" s="42">
        <v>7.1999999999999995E-2</v>
      </c>
      <c r="H77" s="21" t="s">
        <v>1386</v>
      </c>
      <c r="I77" s="39" t="str">
        <f ca="1">IFERROR(__xludf.DUMMYFUNCTION("IF(SUM(COUNTIF(artists!A:A, SPLIT(D77, "",""))) &gt; 0, ""UA"", 0)"),"UA")</f>
        <v>UA</v>
      </c>
      <c r="J77" s="40">
        <f ca="1">IFERROR(__xludf.DUMMYFUNCTION("IF(SUM(COUNTIF(artists!C:C, SPLIT(D77, "",""))) &gt; 0, ""RU"", 0)"),0)</f>
        <v>0</v>
      </c>
      <c r="K77" s="39">
        <f ca="1">IFERROR(__xludf.DUMMYFUNCTION("IF(SUM(COUNTIF(artists!E:E, SPLIT(D77, "",""))) &gt; 0, ""OTHER"", 0)"),0)</f>
        <v>0</v>
      </c>
    </row>
    <row r="78" spans="1:11" ht="14.25" customHeight="1">
      <c r="A78" s="21">
        <v>77</v>
      </c>
      <c r="B78" s="21">
        <v>76</v>
      </c>
      <c r="C78" s="21" t="s">
        <v>1300</v>
      </c>
      <c r="D78" s="21" t="s">
        <v>1074</v>
      </c>
      <c r="E78" s="21">
        <v>6</v>
      </c>
      <c r="F78" s="21">
        <v>180602</v>
      </c>
      <c r="G78" s="42">
        <v>3.5000000000000003E-2</v>
      </c>
      <c r="H78" s="21" t="s">
        <v>1301</v>
      </c>
      <c r="I78" s="39" t="str">
        <f ca="1">IFERROR(__xludf.DUMMYFUNCTION("IF(SUM(COUNTIF(artists!A:A, SPLIT(D78, "",""))) &gt; 0, ""UA"", 0)"),"UA")</f>
        <v>UA</v>
      </c>
      <c r="J78" s="40">
        <f ca="1">IFERROR(__xludf.DUMMYFUNCTION("IF(SUM(COUNTIF(artists!C:C, SPLIT(D78, "",""))) &gt; 0, ""RU"", 0)"),0)</f>
        <v>0</v>
      </c>
      <c r="K78" s="39">
        <f ca="1">IFERROR(__xludf.DUMMYFUNCTION("IF(SUM(COUNTIF(artists!E:E, SPLIT(D78, "",""))) &gt; 0, ""OTHER"", 0)"),0)</f>
        <v>0</v>
      </c>
    </row>
    <row r="79" spans="1:11" ht="14.25" customHeight="1">
      <c r="A79" s="21">
        <v>78</v>
      </c>
      <c r="C79" s="21" t="s">
        <v>1234</v>
      </c>
      <c r="D79" s="21" t="s">
        <v>1193</v>
      </c>
      <c r="E79" s="21">
        <v>8</v>
      </c>
      <c r="F79" s="21">
        <v>179267</v>
      </c>
      <c r="H79" s="21" t="s">
        <v>1235</v>
      </c>
      <c r="I79" s="39" t="str">
        <f ca="1">IFERROR(__xludf.DUMMYFUNCTION("IF(SUM(COUNTIF(artists!A:A, SPLIT(D79, "",""))) &gt; 0, ""UA"", 0)"),"UA")</f>
        <v>UA</v>
      </c>
      <c r="J79" s="40">
        <f ca="1">IFERROR(__xludf.DUMMYFUNCTION("IF(SUM(COUNTIF(artists!C:C, SPLIT(D79, "",""))) &gt; 0, ""RU"", 0)"),0)</f>
        <v>0</v>
      </c>
      <c r="K79" s="39">
        <f ca="1">IFERROR(__xludf.DUMMYFUNCTION("IF(SUM(COUNTIF(artists!E:E, SPLIT(D79, "",""))) &gt; 0, ""OTHER"", 0)"),0)</f>
        <v>0</v>
      </c>
    </row>
    <row r="80" spans="1:11" ht="14.25" customHeight="1">
      <c r="A80" s="21">
        <v>79</v>
      </c>
      <c r="B80" s="21">
        <v>74</v>
      </c>
      <c r="C80" s="21" t="s">
        <v>1076</v>
      </c>
      <c r="D80" s="21" t="s">
        <v>1077</v>
      </c>
      <c r="E80" s="21">
        <v>6</v>
      </c>
      <c r="F80" s="21">
        <v>171092</v>
      </c>
      <c r="G80" s="42">
        <v>-4.7E-2</v>
      </c>
      <c r="H80" s="21" t="s">
        <v>1078</v>
      </c>
      <c r="I80" s="39" t="str">
        <f ca="1">IFERROR(__xludf.DUMMYFUNCTION("IF(SUM(COUNTIF(artists!A:A, SPLIT(D80, "",""))) &gt; 0, ""UA"", 0)"),"UA")</f>
        <v>UA</v>
      </c>
      <c r="J80" s="40">
        <f ca="1">IFERROR(__xludf.DUMMYFUNCTION("IF(SUM(COUNTIF(artists!C:C, SPLIT(D80, "",""))) &gt; 0, ""RU"", 0)"),0)</f>
        <v>0</v>
      </c>
      <c r="K80" s="39">
        <f ca="1">IFERROR(__xludf.DUMMYFUNCTION("IF(SUM(COUNTIF(artists!E:E, SPLIT(D80, "",""))) &gt; 0, ""OTHER"", 0)"),0)</f>
        <v>0</v>
      </c>
    </row>
    <row r="81" spans="1:11" ht="14.25" customHeight="1">
      <c r="A81" s="21">
        <v>80</v>
      </c>
      <c r="B81" s="21">
        <v>83</v>
      </c>
      <c r="C81" s="21" t="s">
        <v>971</v>
      </c>
      <c r="D81" s="21" t="s">
        <v>972</v>
      </c>
      <c r="E81" s="21">
        <v>3</v>
      </c>
      <c r="F81" s="21">
        <v>168947</v>
      </c>
      <c r="G81" s="42">
        <v>3.1E-2</v>
      </c>
      <c r="H81" s="21" t="s">
        <v>973</v>
      </c>
      <c r="I81" s="39">
        <f ca="1">IFERROR(__xludf.DUMMYFUNCTION("IF(SUM(COUNTIF(artists!A:A, SPLIT(D81, "",""))) &gt; 0, ""UA"", 0)"),0)</f>
        <v>0</v>
      </c>
      <c r="J81" s="40">
        <f ca="1">IFERROR(__xludf.DUMMYFUNCTION("IF(SUM(COUNTIF(artists!C:C, SPLIT(D81, "",""))) &gt; 0, ""RU"", 0)"),0)</f>
        <v>0</v>
      </c>
      <c r="K81" s="39" t="str">
        <f ca="1">IFERROR(__xludf.DUMMYFUNCTION("IF(SUM(COUNTIF(artists!E:E, SPLIT(D81, "",""))) &gt; 0, ""OTHER"", 0)"),"OTHER")</f>
        <v>OTHER</v>
      </c>
    </row>
    <row r="82" spans="1:11" ht="14.25" customHeight="1">
      <c r="A82" s="21">
        <v>81</v>
      </c>
      <c r="B82" s="21">
        <v>73</v>
      </c>
      <c r="C82" s="21" t="s">
        <v>1387</v>
      </c>
      <c r="D82" s="21" t="s">
        <v>1388</v>
      </c>
      <c r="E82" s="21">
        <v>19</v>
      </c>
      <c r="F82" s="21">
        <v>167938</v>
      </c>
      <c r="G82" s="42">
        <v>-8.5999999999999993E-2</v>
      </c>
      <c r="H82" s="21" t="s">
        <v>1389</v>
      </c>
      <c r="I82" s="39">
        <f ca="1">IFERROR(__xludf.DUMMYFUNCTION("IF(SUM(COUNTIF(artists!A:A, SPLIT(D82, "",""))) &gt; 0, ""UA"", 0)"),0)</f>
        <v>0</v>
      </c>
      <c r="J82" s="40">
        <f ca="1">IFERROR(__xludf.DUMMYFUNCTION("IF(SUM(COUNTIF(artists!C:C, SPLIT(D82, "",""))) &gt; 0, ""RU"", 0)"),0)</f>
        <v>0</v>
      </c>
      <c r="K82" s="39" t="str">
        <f ca="1">IFERROR(__xludf.DUMMYFUNCTION("IF(SUM(COUNTIF(artists!E:E, SPLIT(D82, "",""))) &gt; 0, ""OTHER"", 0)"),"OTHER")</f>
        <v>OTHER</v>
      </c>
    </row>
    <row r="83" spans="1:11" ht="14.25" customHeight="1">
      <c r="A83" s="21">
        <v>82</v>
      </c>
      <c r="C83" s="21" t="s">
        <v>1337</v>
      </c>
      <c r="D83" s="21" t="s">
        <v>1338</v>
      </c>
      <c r="E83" s="21">
        <v>16</v>
      </c>
      <c r="F83" s="21">
        <v>167748</v>
      </c>
      <c r="H83" s="21" t="s">
        <v>1339</v>
      </c>
      <c r="I83" s="39">
        <f ca="1">IFERROR(__xludf.DUMMYFUNCTION("IF(SUM(COUNTIF(artists!A:A, SPLIT(D83, "",""))) &gt; 0, ""UA"", 0)"),0)</f>
        <v>0</v>
      </c>
      <c r="J83" s="40">
        <f ca="1">IFERROR(__xludf.DUMMYFUNCTION("IF(SUM(COUNTIF(artists!C:C, SPLIT(D83, "",""))) &gt; 0, ""RU"", 0)"),0)</f>
        <v>0</v>
      </c>
      <c r="K83" s="39" t="str">
        <f ca="1">IFERROR(__xludf.DUMMYFUNCTION("IF(SUM(COUNTIF(artists!E:E, SPLIT(D83, "",""))) &gt; 0, ""OTHER"", 0)"),"OTHER")</f>
        <v>OTHER</v>
      </c>
    </row>
    <row r="84" spans="1:11" ht="14.25" customHeight="1">
      <c r="A84" s="21">
        <v>83</v>
      </c>
      <c r="C84" s="21" t="s">
        <v>1390</v>
      </c>
      <c r="D84" s="21" t="s">
        <v>259</v>
      </c>
      <c r="E84" s="21">
        <v>11</v>
      </c>
      <c r="F84" s="21">
        <v>167245</v>
      </c>
      <c r="H84" s="21" t="s">
        <v>1391</v>
      </c>
      <c r="I84" s="39" t="str">
        <f ca="1">IFERROR(__xludf.DUMMYFUNCTION("IF(SUM(COUNTIF(artists!A:A, SPLIT(D84, "",""))) &gt; 0, ""UA"", 0)"),"UA")</f>
        <v>UA</v>
      </c>
      <c r="J84" s="40">
        <f ca="1">IFERROR(__xludf.DUMMYFUNCTION("IF(SUM(COUNTIF(artists!C:C, SPLIT(D84, "",""))) &gt; 0, ""RU"", 0)"),0)</f>
        <v>0</v>
      </c>
      <c r="K84" s="39">
        <f ca="1">IFERROR(__xludf.DUMMYFUNCTION("IF(SUM(COUNTIF(artists!E:E, SPLIT(D84, "",""))) &gt; 0, ""OTHER"", 0)"),0)</f>
        <v>0</v>
      </c>
    </row>
    <row r="85" spans="1:11" ht="14.25" customHeight="1">
      <c r="A85" s="21">
        <v>84</v>
      </c>
      <c r="B85" s="21">
        <v>72</v>
      </c>
      <c r="C85" s="21" t="s">
        <v>1318</v>
      </c>
      <c r="D85" s="21" t="s">
        <v>1319</v>
      </c>
      <c r="E85" s="21">
        <v>12</v>
      </c>
      <c r="F85" s="21">
        <v>167239</v>
      </c>
      <c r="G85" s="43">
        <v>-0.1</v>
      </c>
      <c r="H85" s="21" t="s">
        <v>1320</v>
      </c>
      <c r="I85" s="39">
        <f ca="1">IFERROR(__xludf.DUMMYFUNCTION("IF(SUM(COUNTIF(artists!A:A, SPLIT(D85, "",""))) &gt; 0, ""UA"", 0)"),0)</f>
        <v>0</v>
      </c>
      <c r="J85" s="40" t="str">
        <f ca="1">IFERROR(__xludf.DUMMYFUNCTION("IF(SUM(COUNTIF(artists!C:C, SPLIT(D85, "",""))) &gt; 0, ""RU"", 0)"),"RU")</f>
        <v>RU</v>
      </c>
      <c r="K85" s="39">
        <f ca="1">IFERROR(__xludf.DUMMYFUNCTION("IF(SUM(COUNTIF(artists!E:E, SPLIT(D85, "",""))) &gt; 0, ""OTHER"", 0)"),0)</f>
        <v>0</v>
      </c>
    </row>
    <row r="86" spans="1:11" ht="14.25" customHeight="1">
      <c r="A86" s="21">
        <v>85</v>
      </c>
      <c r="B86" s="21">
        <v>75</v>
      </c>
      <c r="C86" s="21" t="s">
        <v>520</v>
      </c>
      <c r="D86" s="21" t="s">
        <v>521</v>
      </c>
      <c r="E86" s="21">
        <v>6</v>
      </c>
      <c r="F86" s="21">
        <v>167144</v>
      </c>
      <c r="G86" s="42">
        <v>-4.7E-2</v>
      </c>
      <c r="H86" s="21" t="s">
        <v>522</v>
      </c>
      <c r="I86" s="39" t="str">
        <f ca="1">IFERROR(__xludf.DUMMYFUNCTION("IF(SUM(COUNTIF(artists!A:A, SPLIT(D86, "",""))) &gt; 0, ""UA"", 0)"),"UA")</f>
        <v>UA</v>
      </c>
      <c r="J86" s="40">
        <f ca="1">IFERROR(__xludf.DUMMYFUNCTION("IF(SUM(COUNTIF(artists!C:C, SPLIT(D86, "",""))) &gt; 0, ""RU"", 0)"),0)</f>
        <v>0</v>
      </c>
      <c r="K86" s="39">
        <f ca="1">IFERROR(__xludf.DUMMYFUNCTION("IF(SUM(COUNTIF(artists!E:E, SPLIT(D86, "",""))) &gt; 0, ""OTHER"", 0)"),0)</f>
        <v>0</v>
      </c>
    </row>
    <row r="87" spans="1:11" ht="14.25" customHeight="1">
      <c r="A87" s="21">
        <v>86</v>
      </c>
      <c r="B87" s="21">
        <v>84</v>
      </c>
      <c r="C87" s="21" t="s">
        <v>1375</v>
      </c>
      <c r="D87" s="21" t="s">
        <v>907</v>
      </c>
      <c r="E87" s="21">
        <v>8</v>
      </c>
      <c r="F87" s="21">
        <v>162643</v>
      </c>
      <c r="G87" s="42">
        <v>-6.0000000000000001E-3</v>
      </c>
      <c r="H87" s="21" t="s">
        <v>1376</v>
      </c>
      <c r="I87" s="39">
        <f ca="1">IFERROR(__xludf.DUMMYFUNCTION("IF(SUM(COUNTIF(artists!A:A, SPLIT(D87, "",""))) &gt; 0, ""UA"", 0)"),0)</f>
        <v>0</v>
      </c>
      <c r="J87" s="40" t="str">
        <f ca="1">IFERROR(__xludf.DUMMYFUNCTION("IF(SUM(COUNTIF(artists!C:C, SPLIT(D87, "",""))) &gt; 0, ""RU"", 0)"),"RU")</f>
        <v>RU</v>
      </c>
      <c r="K87" s="39">
        <f ca="1">IFERROR(__xludf.DUMMYFUNCTION("IF(SUM(COUNTIF(artists!E:E, SPLIT(D87, "",""))) &gt; 0, ""OTHER"", 0)"),0)</f>
        <v>0</v>
      </c>
    </row>
    <row r="88" spans="1:11" ht="14.25" customHeight="1">
      <c r="A88" s="21">
        <v>87</v>
      </c>
      <c r="B88" s="21">
        <v>81</v>
      </c>
      <c r="C88" s="21" t="s">
        <v>1135</v>
      </c>
      <c r="D88" s="21" t="s">
        <v>85</v>
      </c>
      <c r="E88" s="21">
        <v>2</v>
      </c>
      <c r="F88" s="21">
        <v>161106</v>
      </c>
      <c r="G88" s="42">
        <v>-4.9000000000000002E-2</v>
      </c>
      <c r="H88" s="21" t="s">
        <v>1136</v>
      </c>
      <c r="I88" s="39" t="str">
        <f ca="1">IFERROR(__xludf.DUMMYFUNCTION("IF(SUM(COUNTIF(artists!A:A, SPLIT(D88, "",""))) &gt; 0, ""UA"", 0)"),"UA")</f>
        <v>UA</v>
      </c>
      <c r="J88" s="40">
        <f ca="1">IFERROR(__xludf.DUMMYFUNCTION("IF(SUM(COUNTIF(artists!C:C, SPLIT(D88, "",""))) &gt; 0, ""RU"", 0)"),0)</f>
        <v>0</v>
      </c>
      <c r="K88" s="39">
        <f ca="1">IFERROR(__xludf.DUMMYFUNCTION("IF(SUM(COUNTIF(artists!E:E, SPLIT(D88, "",""))) &gt; 0, ""OTHER"", 0)"),0)</f>
        <v>0</v>
      </c>
    </row>
    <row r="89" spans="1:11" ht="14.25" customHeight="1">
      <c r="A89" s="21">
        <v>88</v>
      </c>
      <c r="B89" s="21">
        <v>79</v>
      </c>
      <c r="C89" s="21" t="s">
        <v>1377</v>
      </c>
      <c r="D89" s="21" t="s">
        <v>463</v>
      </c>
      <c r="E89" s="21">
        <v>14</v>
      </c>
      <c r="F89" s="21">
        <v>160627</v>
      </c>
      <c r="G89" s="42">
        <v>-6.7000000000000004E-2</v>
      </c>
      <c r="H89" s="21" t="s">
        <v>1378</v>
      </c>
      <c r="I89" s="39" t="str">
        <f ca="1">IFERROR(__xludf.DUMMYFUNCTION("IF(SUM(COUNTIF(artists!A:A, SPLIT(D89, "",""))) &gt; 0, ""UA"", 0)"),"UA")</f>
        <v>UA</v>
      </c>
      <c r="J89" s="40">
        <f ca="1">IFERROR(__xludf.DUMMYFUNCTION("IF(SUM(COUNTIF(artists!C:C, SPLIT(D89, "",""))) &gt; 0, ""RU"", 0)"),0)</f>
        <v>0</v>
      </c>
      <c r="K89" s="39">
        <f ca="1">IFERROR(__xludf.DUMMYFUNCTION("IF(SUM(COUNTIF(artists!E:E, SPLIT(D89, "",""))) &gt; 0, ""OTHER"", 0)"),0)</f>
        <v>0</v>
      </c>
    </row>
    <row r="90" spans="1:11" ht="14.25" customHeight="1">
      <c r="A90" s="21">
        <v>89</v>
      </c>
      <c r="B90" s="21">
        <v>89</v>
      </c>
      <c r="C90" s="21" t="s">
        <v>1236</v>
      </c>
      <c r="D90" s="21" t="s">
        <v>1237</v>
      </c>
      <c r="E90" s="21">
        <v>7</v>
      </c>
      <c r="F90" s="21">
        <v>160245</v>
      </c>
      <c r="G90" s="42">
        <v>-8.0000000000000002E-3</v>
      </c>
      <c r="H90" s="21" t="s">
        <v>1238</v>
      </c>
      <c r="I90" s="39">
        <f ca="1">IFERROR(__xludf.DUMMYFUNCTION("IF(SUM(COUNTIF(artists!A:A, SPLIT(D90, "",""))) &gt; 0, ""UA"", 0)"),0)</f>
        <v>0</v>
      </c>
      <c r="J90" s="40" t="str">
        <f ca="1">IFERROR(__xludf.DUMMYFUNCTION("IF(SUM(COUNTIF(artists!C:C, SPLIT(D90, "",""))) &gt; 0, ""RU"", 0)"),"RU")</f>
        <v>RU</v>
      </c>
      <c r="K90" s="39">
        <f ca="1">IFERROR(__xludf.DUMMYFUNCTION("IF(SUM(COUNTIF(artists!E:E, SPLIT(D90, "",""))) &gt; 0, ""OTHER"", 0)"),0)</f>
        <v>0</v>
      </c>
    </row>
    <row r="91" spans="1:11" ht="14.25" customHeight="1">
      <c r="A91" s="21">
        <v>90</v>
      </c>
      <c r="B91" s="21">
        <v>85</v>
      </c>
      <c r="C91" s="21" t="s">
        <v>379</v>
      </c>
      <c r="D91" s="21" t="s">
        <v>380</v>
      </c>
      <c r="E91" s="21">
        <v>4</v>
      </c>
      <c r="F91" s="21">
        <v>159680</v>
      </c>
      <c r="G91" s="42">
        <v>-1.7999999999999999E-2</v>
      </c>
      <c r="H91" s="21" t="s">
        <v>382</v>
      </c>
      <c r="I91" s="39" t="str">
        <f ca="1">IFERROR(__xludf.DUMMYFUNCTION("IF(SUM(COUNTIF(artists!A:A, SPLIT(D91, "",""))) &gt; 0, ""UA"", 0)"),"UA")</f>
        <v>UA</v>
      </c>
      <c r="J91" s="40">
        <f ca="1">IFERROR(__xludf.DUMMYFUNCTION("IF(SUM(COUNTIF(artists!C:C, SPLIT(D91, "",""))) &gt; 0, ""RU"", 0)"),0)</f>
        <v>0</v>
      </c>
      <c r="K91" s="39">
        <f ca="1">IFERROR(__xludf.DUMMYFUNCTION("IF(SUM(COUNTIF(artists!E:E, SPLIT(D91, "",""))) &gt; 0, ""OTHER"", 0)"),0)</f>
        <v>0</v>
      </c>
    </row>
    <row r="92" spans="1:11" ht="14.25" customHeight="1">
      <c r="A92" s="21">
        <v>91</v>
      </c>
      <c r="C92" s="21" t="s">
        <v>1311</v>
      </c>
      <c r="D92" s="21" t="s">
        <v>1312</v>
      </c>
      <c r="E92" s="21">
        <v>1</v>
      </c>
      <c r="F92" s="21">
        <v>159235</v>
      </c>
      <c r="H92" s="21" t="s">
        <v>1313</v>
      </c>
      <c r="I92" s="39">
        <f ca="1">IFERROR(__xludf.DUMMYFUNCTION("IF(SUM(COUNTIF(artists!A:A, SPLIT(D92, "",""))) &gt; 0, ""UA"", 0)"),0)</f>
        <v>0</v>
      </c>
      <c r="J92" s="40" t="str">
        <f ca="1">IFERROR(__xludf.DUMMYFUNCTION("IF(SUM(COUNTIF(artists!C:C, SPLIT(D92, "",""))) &gt; 0, ""RU"", 0)"),"RU")</f>
        <v>RU</v>
      </c>
      <c r="K92" s="39">
        <f ca="1">IFERROR(__xludf.DUMMYFUNCTION("IF(SUM(COUNTIF(artists!E:E, SPLIT(D92, "",""))) &gt; 0, ""OTHER"", 0)"),0)</f>
        <v>0</v>
      </c>
    </row>
    <row r="93" spans="1:11" ht="14.25" customHeight="1">
      <c r="A93" s="21">
        <v>92</v>
      </c>
      <c r="B93" s="21">
        <v>78</v>
      </c>
      <c r="C93" s="21" t="s">
        <v>1410</v>
      </c>
      <c r="D93" s="21" t="s">
        <v>1411</v>
      </c>
      <c r="E93" s="21">
        <v>9</v>
      </c>
      <c r="F93" s="21">
        <v>157116</v>
      </c>
      <c r="G93" s="43">
        <v>-0.09</v>
      </c>
      <c r="H93" s="21" t="s">
        <v>1412</v>
      </c>
      <c r="I93" s="39">
        <f ca="1">IFERROR(__xludf.DUMMYFUNCTION("IF(SUM(COUNTIF(artists!A:A, SPLIT(D93, "",""))) &gt; 0, ""UA"", 0)"),0)</f>
        <v>0</v>
      </c>
      <c r="J93" s="40" t="str">
        <f ca="1">IFERROR(__xludf.DUMMYFUNCTION("IF(SUM(COUNTIF(artists!C:C, SPLIT(D93, "",""))) &gt; 0, ""RU"", 0)"),"RU")</f>
        <v>RU</v>
      </c>
      <c r="K93" s="39">
        <f ca="1">IFERROR(__xludf.DUMMYFUNCTION("IF(SUM(COUNTIF(artists!E:E, SPLIT(D93, "",""))) &gt; 0, ""OTHER"", 0)"),0)</f>
        <v>0</v>
      </c>
    </row>
    <row r="94" spans="1:11" ht="14.25" customHeight="1">
      <c r="A94" s="21">
        <v>93</v>
      </c>
      <c r="B94" s="21">
        <v>92</v>
      </c>
      <c r="C94" s="21" t="s">
        <v>579</v>
      </c>
      <c r="D94" s="21" t="s">
        <v>183</v>
      </c>
      <c r="E94" s="21">
        <v>6</v>
      </c>
      <c r="F94" s="21">
        <v>155461</v>
      </c>
      <c r="G94" s="42">
        <v>-5.0000000000000001E-3</v>
      </c>
      <c r="H94" s="21" t="s">
        <v>580</v>
      </c>
      <c r="I94" s="39" t="str">
        <f ca="1">IFERROR(__xludf.DUMMYFUNCTION("IF(SUM(COUNTIF(artists!A:A, SPLIT(D94, "",""))) &gt; 0, ""UA"", 0)"),"UA")</f>
        <v>UA</v>
      </c>
      <c r="J94" s="40">
        <f ca="1">IFERROR(__xludf.DUMMYFUNCTION("IF(SUM(COUNTIF(artists!C:C, SPLIT(D94, "",""))) &gt; 0, ""RU"", 0)"),0)</f>
        <v>0</v>
      </c>
      <c r="K94" s="39">
        <f ca="1">IFERROR(__xludf.DUMMYFUNCTION("IF(SUM(COUNTIF(artists!E:E, SPLIT(D94, "",""))) &gt; 0, ""OTHER"", 0)"),0)</f>
        <v>0</v>
      </c>
    </row>
    <row r="95" spans="1:11" ht="14.25" customHeight="1">
      <c r="A95" s="21">
        <v>94</v>
      </c>
      <c r="B95" s="21">
        <v>99</v>
      </c>
      <c r="C95" s="21" t="s">
        <v>1392</v>
      </c>
      <c r="D95" s="21" t="s">
        <v>1393</v>
      </c>
      <c r="E95" s="21">
        <v>19</v>
      </c>
      <c r="F95" s="21">
        <v>152627</v>
      </c>
      <c r="G95" s="42">
        <v>2.5000000000000001E-2</v>
      </c>
      <c r="H95" s="21" t="s">
        <v>1394</v>
      </c>
      <c r="I95" s="39">
        <f ca="1">IFERROR(__xludf.DUMMYFUNCTION("IF(SUM(COUNTIF(artists!A:A, SPLIT(D95, "",""))) &gt; 0, ""UA"", 0)"),0)</f>
        <v>0</v>
      </c>
      <c r="J95" s="40" t="str">
        <f ca="1">IFERROR(__xludf.DUMMYFUNCTION("IF(SUM(COUNTIF(artists!C:C, SPLIT(D95, "",""))) &gt; 0, ""RU"", 0)"),"RU")</f>
        <v>RU</v>
      </c>
      <c r="K95" s="39">
        <f ca="1">IFERROR(__xludf.DUMMYFUNCTION("IF(SUM(COUNTIF(artists!E:E, SPLIT(D95, "",""))) &gt; 0, ""OTHER"", 0)"),0)</f>
        <v>0</v>
      </c>
    </row>
    <row r="96" spans="1:11" ht="14.25" customHeight="1">
      <c r="A96" s="21">
        <v>95</v>
      </c>
      <c r="B96" s="21">
        <v>82</v>
      </c>
      <c r="C96" s="21" t="s">
        <v>1413</v>
      </c>
      <c r="D96" s="21" t="s">
        <v>1414</v>
      </c>
      <c r="E96" s="21">
        <v>9</v>
      </c>
      <c r="F96" s="21">
        <v>152023</v>
      </c>
      <c r="G96" s="42">
        <v>-7.4999999999999997E-2</v>
      </c>
      <c r="H96" s="21" t="s">
        <v>1415</v>
      </c>
      <c r="I96" s="39" t="str">
        <f ca="1">IFERROR(__xludf.DUMMYFUNCTION("IF(SUM(COUNTIF(artists!A:A, SPLIT(D96, "",""))) &gt; 0, ""UA"", 0)"),"UA")</f>
        <v>UA</v>
      </c>
      <c r="J96" s="40">
        <f ca="1">IFERROR(__xludf.DUMMYFUNCTION("IF(SUM(COUNTIF(artists!C:C, SPLIT(D96, "",""))) &gt; 0, ""RU"", 0)"),0)</f>
        <v>0</v>
      </c>
      <c r="K96" s="39">
        <f ca="1">IFERROR(__xludf.DUMMYFUNCTION("IF(SUM(COUNTIF(artists!E:E, SPLIT(D96, "",""))) &gt; 0, ""OTHER"", 0)"),0)</f>
        <v>0</v>
      </c>
    </row>
    <row r="97" spans="1:11" ht="14.25" customHeight="1">
      <c r="A97" s="21">
        <v>96</v>
      </c>
      <c r="B97" s="21">
        <v>95</v>
      </c>
      <c r="C97" s="21" t="s">
        <v>1403</v>
      </c>
      <c r="D97" s="21" t="s">
        <v>259</v>
      </c>
      <c r="E97" s="21">
        <v>6</v>
      </c>
      <c r="F97" s="21">
        <v>151863</v>
      </c>
      <c r="G97" s="43">
        <v>-0.02</v>
      </c>
      <c r="H97" s="21" t="s">
        <v>1404</v>
      </c>
      <c r="I97" s="39" t="str">
        <f ca="1">IFERROR(__xludf.DUMMYFUNCTION("IF(SUM(COUNTIF(artists!A:A, SPLIT(D97, "",""))) &gt; 0, ""UA"", 0)"),"UA")</f>
        <v>UA</v>
      </c>
      <c r="J97" s="40">
        <f ca="1">IFERROR(__xludf.DUMMYFUNCTION("IF(SUM(COUNTIF(artists!C:C, SPLIT(D97, "",""))) &gt; 0, ""RU"", 0)"),0)</f>
        <v>0</v>
      </c>
      <c r="K97" s="39">
        <f ca="1">IFERROR(__xludf.DUMMYFUNCTION("IF(SUM(COUNTIF(artists!E:E, SPLIT(D97, "",""))) &gt; 0, ""OTHER"", 0)"),0)</f>
        <v>0</v>
      </c>
    </row>
    <row r="98" spans="1:11" ht="14.25" customHeight="1">
      <c r="A98" s="21">
        <v>97</v>
      </c>
      <c r="B98" s="21">
        <v>91</v>
      </c>
      <c r="C98" s="21" t="s">
        <v>1308</v>
      </c>
      <c r="D98" s="21" t="s">
        <v>1309</v>
      </c>
      <c r="E98" s="21">
        <v>10</v>
      </c>
      <c r="F98" s="21">
        <v>151032</v>
      </c>
      <c r="G98" s="42">
        <v>-4.5999999999999999E-2</v>
      </c>
      <c r="H98" s="21" t="s">
        <v>1310</v>
      </c>
      <c r="I98" s="39" t="str">
        <f ca="1">IFERROR(__xludf.DUMMYFUNCTION("IF(SUM(COUNTIF(artists!A:A, SPLIT(D98, "",""))) &gt; 0, ""UA"", 0)"),"UA")</f>
        <v>UA</v>
      </c>
      <c r="J98" s="40">
        <f ca="1">IFERROR(__xludf.DUMMYFUNCTION("IF(SUM(COUNTIF(artists!C:C, SPLIT(D98, "",""))) &gt; 0, ""RU"", 0)"),0)</f>
        <v>0</v>
      </c>
      <c r="K98" s="39">
        <f ca="1">IFERROR(__xludf.DUMMYFUNCTION("IF(SUM(COUNTIF(artists!E:E, SPLIT(D98, "",""))) &gt; 0, ""OTHER"", 0)"),0)</f>
        <v>0</v>
      </c>
    </row>
    <row r="99" spans="1:11" ht="14.25" customHeight="1">
      <c r="A99" s="21">
        <v>98</v>
      </c>
      <c r="B99" s="21">
        <v>88</v>
      </c>
      <c r="C99" s="21" t="s">
        <v>1416</v>
      </c>
      <c r="D99" s="21" t="s">
        <v>137</v>
      </c>
      <c r="E99" s="21">
        <v>20</v>
      </c>
      <c r="F99" s="21">
        <v>150326</v>
      </c>
      <c r="G99" s="42">
        <v>-7.3999999999999996E-2</v>
      </c>
      <c r="H99" s="21" t="s">
        <v>1417</v>
      </c>
      <c r="I99" s="39" t="str">
        <f ca="1">IFERROR(__xludf.DUMMYFUNCTION("IF(SUM(COUNTIF(artists!A:A, SPLIT(D99, "",""))) &gt; 0, ""UA"", 0)"),"UA")</f>
        <v>UA</v>
      </c>
      <c r="J99" s="40">
        <f ca="1">IFERROR(__xludf.DUMMYFUNCTION("IF(SUM(COUNTIF(artists!C:C, SPLIT(D99, "",""))) &gt; 0, ""RU"", 0)"),0)</f>
        <v>0</v>
      </c>
      <c r="K99" s="39">
        <f ca="1">IFERROR(__xludf.DUMMYFUNCTION("IF(SUM(COUNTIF(artists!E:E, SPLIT(D99, "",""))) &gt; 0, ""OTHER"", 0)"),0)</f>
        <v>0</v>
      </c>
    </row>
    <row r="100" spans="1:11" ht="14.25" customHeight="1">
      <c r="A100" s="21">
        <v>99</v>
      </c>
      <c r="C100" s="21" t="s">
        <v>343</v>
      </c>
      <c r="D100" s="21" t="s">
        <v>344</v>
      </c>
      <c r="E100" s="21">
        <v>1</v>
      </c>
      <c r="F100" s="21">
        <v>150043</v>
      </c>
      <c r="H100" s="21" t="s">
        <v>346</v>
      </c>
      <c r="I100" s="39" t="str">
        <f ca="1">IFERROR(__xludf.DUMMYFUNCTION("IF(SUM(COUNTIF(artists!A:A, SPLIT(D100, "",""))) &gt; 0, ""UA"", 0)"),"UA")</f>
        <v>UA</v>
      </c>
      <c r="J100" s="40">
        <f ca="1">IFERROR(__xludf.DUMMYFUNCTION("IF(SUM(COUNTIF(artists!C:C, SPLIT(D100, "",""))) &gt; 0, ""RU"", 0)"),0)</f>
        <v>0</v>
      </c>
      <c r="K100" s="39">
        <f ca="1">IFERROR(__xludf.DUMMYFUNCTION("IF(SUM(COUNTIF(artists!E:E, SPLIT(D100, "",""))) &gt; 0, ""OTHER"", 0)"),0)</f>
        <v>0</v>
      </c>
    </row>
    <row r="101" spans="1:11" ht="14.25" customHeight="1">
      <c r="A101" s="21">
        <v>100</v>
      </c>
      <c r="B101" s="21">
        <v>87</v>
      </c>
      <c r="C101" s="21" t="s">
        <v>1418</v>
      </c>
      <c r="D101" s="21" t="s">
        <v>698</v>
      </c>
      <c r="E101" s="21">
        <v>9</v>
      </c>
      <c r="F101" s="21">
        <v>147893</v>
      </c>
      <c r="G101" s="43">
        <v>-0.09</v>
      </c>
      <c r="H101" s="21" t="s">
        <v>1419</v>
      </c>
      <c r="I101" s="39">
        <f ca="1">IFERROR(__xludf.DUMMYFUNCTION("IF(SUM(COUNTIF(artists!A:A, SPLIT(D101, "",""))) &gt; 0, ""UA"", 0)"),0)</f>
        <v>0</v>
      </c>
      <c r="J101" s="40" t="str">
        <f ca="1">IFERROR(__xludf.DUMMYFUNCTION("IF(SUM(COUNTIF(artists!C:C, SPLIT(D101, "",""))) &gt; 0, ""RU"", 0)"),"RU")</f>
        <v>RU</v>
      </c>
      <c r="K101" s="39">
        <f ca="1">IFERROR(__xludf.DUMMYFUNCTION("IF(SUM(COUNTIF(artists!E:E, SPLIT(D101, "",""))) &gt; 0, ""OTHER"", 0)"),0)</f>
        <v>0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65" priority="1">
      <formula>AND($I2=0, $J2=0, $K2=0)</formula>
    </cfRule>
    <cfRule type="expression" dxfId="64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Аркуш31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4" width="8.6640625" customWidth="1"/>
    <col min="5" max="5" width="8.6640625" hidden="1" customWidth="1"/>
    <col min="6" max="6" width="8.6640625" customWidth="1"/>
    <col min="7" max="7" width="13.10937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B2" s="21">
        <v>3</v>
      </c>
      <c r="C2" s="21" t="s">
        <v>88</v>
      </c>
      <c r="D2" s="21" t="s">
        <v>89</v>
      </c>
      <c r="E2" s="21">
        <v>2</v>
      </c>
      <c r="F2" s="21">
        <v>2719115</v>
      </c>
      <c r="G2" s="42">
        <v>0.88100000000000001</v>
      </c>
      <c r="H2" s="21" t="s">
        <v>90</v>
      </c>
      <c r="I2" s="39" t="str">
        <f ca="1">IFERROR(__xludf.DUMMYFUNCTION("IF(SUM(COUNTIF(artists!A:A, SPLIT(D2, "",""))) &gt; 0, ""UA"", 0)"),"UA")</f>
        <v>UA</v>
      </c>
      <c r="J2" s="40">
        <f ca="1">IFERROR(__xludf.DUMMYFUNCTION("IF(SUM(COUNTIF(artists!C:C, SPLIT(D2, "",""))) &gt; 0, ""RU"", 0)"),0)</f>
        <v>0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B3" s="21">
        <v>2</v>
      </c>
      <c r="C3" s="21" t="s">
        <v>145</v>
      </c>
      <c r="D3" s="21" t="s">
        <v>146</v>
      </c>
      <c r="E3" s="21">
        <v>8</v>
      </c>
      <c r="F3" s="21">
        <v>1527706</v>
      </c>
      <c r="G3" s="42">
        <v>1.4E-2</v>
      </c>
      <c r="H3" s="21" t="s">
        <v>148</v>
      </c>
      <c r="I3" s="39" t="str">
        <f ca="1">IFERROR(__xludf.DUMMYFUNCTION("IF(SUM(COUNTIF(artists!A:A, SPLIT(D3, "",""))) &gt; 0, ""UA"", 0)"),"UA")</f>
        <v>UA</v>
      </c>
      <c r="J3" s="40">
        <f ca="1">IFERROR(__xludf.DUMMYFUNCTION("IF(SUM(COUNTIF(artists!C:C, SPLIT(D3, "",""))) &gt; 0, ""RU"", 0)"),0)</f>
        <v>0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B4" s="21">
        <v>1</v>
      </c>
      <c r="C4" s="21" t="s">
        <v>202</v>
      </c>
      <c r="D4" s="21" t="s">
        <v>835</v>
      </c>
      <c r="E4" s="21">
        <v>4</v>
      </c>
      <c r="F4" s="21">
        <v>1441307</v>
      </c>
      <c r="G4" s="42">
        <v>-0.106</v>
      </c>
      <c r="H4" s="21" t="s">
        <v>204</v>
      </c>
      <c r="I4" s="39" t="str">
        <f ca="1">IFERROR(__xludf.DUMMYFUNCTION("IF(SUM(COUNTIF(artists!A:A, SPLIT(D4, "",""))) &gt; 0, ""UA"", 0)"),"UA")</f>
        <v>UA</v>
      </c>
      <c r="J4" s="40">
        <f ca="1">IFERROR(__xludf.DUMMYFUNCTION("IF(SUM(COUNTIF(artists!C:C, SPLIT(D4, "",""))) &gt; 0, ""RU"", 0)"),0)</f>
        <v>0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B5" s="21">
        <v>4</v>
      </c>
      <c r="C5" s="21" t="s">
        <v>115</v>
      </c>
      <c r="D5" s="21" t="s">
        <v>116</v>
      </c>
      <c r="E5" s="21">
        <v>4</v>
      </c>
      <c r="F5" s="21">
        <v>1432548</v>
      </c>
      <c r="G5" s="42">
        <v>4.7E-2</v>
      </c>
      <c r="H5" s="21" t="s">
        <v>117</v>
      </c>
      <c r="I5" s="39" t="str">
        <f ca="1">IFERROR(__xludf.DUMMYFUNCTION("IF(SUM(COUNTIF(artists!A:A, SPLIT(D5, "",""))) &gt; 0, ""UA"", 0)"),"UA")</f>
        <v>UA</v>
      </c>
      <c r="J5" s="40">
        <f ca="1">IFERROR(__xludf.DUMMYFUNCTION("IF(SUM(COUNTIF(artists!C:C, SPLIT(D5, "",""))) &gt; 0, ""RU"", 0)"),0)</f>
        <v>0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B6" s="21">
        <v>5</v>
      </c>
      <c r="C6" s="21" t="s">
        <v>128</v>
      </c>
      <c r="D6" s="21" t="s">
        <v>129</v>
      </c>
      <c r="E6" s="21">
        <v>10</v>
      </c>
      <c r="F6" s="21">
        <v>1248539</v>
      </c>
      <c r="G6" s="42">
        <v>6.0000000000000001E-3</v>
      </c>
      <c r="H6" s="21" t="s">
        <v>131</v>
      </c>
      <c r="I6" s="39" t="str">
        <f ca="1">IFERROR(__xludf.DUMMYFUNCTION("IF(SUM(COUNTIF(artists!A:A, SPLIT(D6, "",""))) &gt; 0, ""UA"", 0)"),"UA")</f>
        <v>UA</v>
      </c>
      <c r="J6" s="40">
        <f ca="1">IFERROR(__xludf.DUMMYFUNCTION("IF(SUM(COUNTIF(artists!C:C, SPLIT(D6, "",""))) &gt; 0, ""RU"", 0)"),0)</f>
        <v>0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B7" s="21">
        <v>6</v>
      </c>
      <c r="C7" s="21" t="s">
        <v>645</v>
      </c>
      <c r="D7" s="21" t="s">
        <v>352</v>
      </c>
      <c r="E7" s="21">
        <v>27</v>
      </c>
      <c r="F7" s="21">
        <v>1045876</v>
      </c>
      <c r="G7" s="42">
        <v>-5.2999999999999999E-2</v>
      </c>
      <c r="H7" s="21" t="s">
        <v>647</v>
      </c>
      <c r="I7" s="39" t="str">
        <f ca="1">IFERROR(__xludf.DUMMYFUNCTION("IF(SUM(COUNTIF(artists!A:A, SPLIT(D7, "",""))) &gt; 0, ""UA"", 0)"),"UA")</f>
        <v>UA</v>
      </c>
      <c r="J7" s="40">
        <f ca="1">IFERROR(__xludf.DUMMYFUNCTION("IF(SUM(COUNTIF(artists!C:C, SPLIT(D7, "",""))) &gt; 0, ""RU"", 0)"),0)</f>
        <v>0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B8" s="21">
        <v>13</v>
      </c>
      <c r="C8" s="21" t="s">
        <v>175</v>
      </c>
      <c r="D8" s="21" t="s">
        <v>89</v>
      </c>
      <c r="E8" s="21">
        <v>14</v>
      </c>
      <c r="F8" s="21">
        <v>823258</v>
      </c>
      <c r="G8" s="42">
        <v>0.29599999999999999</v>
      </c>
      <c r="H8" s="21" t="s">
        <v>177</v>
      </c>
      <c r="I8" s="39" t="str">
        <f ca="1">IFERROR(__xludf.DUMMYFUNCTION("IF(SUM(COUNTIF(artists!A:A, SPLIT(D8, "",""))) &gt; 0, ""UA"", 0)"),"UA")</f>
        <v>UA</v>
      </c>
      <c r="J8" s="40">
        <f ca="1">IFERROR(__xludf.DUMMYFUNCTION("IF(SUM(COUNTIF(artists!C:C, SPLIT(D8, "",""))) &gt; 0, ""RU"", 0)"),0)</f>
        <v>0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B9" s="21">
        <v>8</v>
      </c>
      <c r="C9" s="21" t="s">
        <v>132</v>
      </c>
      <c r="D9" s="21" t="s">
        <v>133</v>
      </c>
      <c r="E9" s="21">
        <v>14</v>
      </c>
      <c r="F9" s="21">
        <v>750081</v>
      </c>
      <c r="G9" s="42">
        <v>8.0000000000000002E-3</v>
      </c>
      <c r="H9" s="21" t="s">
        <v>135</v>
      </c>
      <c r="I9" s="39" t="str">
        <f ca="1">IFERROR(__xludf.DUMMYFUNCTION("IF(SUM(COUNTIF(artists!A:A, SPLIT(D9, "",""))) &gt; 0, ""UA"", 0)"),"UA")</f>
        <v>UA</v>
      </c>
      <c r="J9" s="40">
        <f ca="1">IFERROR(__xludf.DUMMYFUNCTION("IF(SUM(COUNTIF(artists!C:C, SPLIT(D9, "",""))) &gt; 0, ""RU"", 0)"),0)</f>
        <v>0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B10" s="21">
        <v>10</v>
      </c>
      <c r="C10" s="21" t="s">
        <v>209</v>
      </c>
      <c r="D10" s="21" t="s">
        <v>210</v>
      </c>
      <c r="E10" s="21">
        <v>7</v>
      </c>
      <c r="F10" s="21">
        <v>737565</v>
      </c>
      <c r="G10" s="42">
        <v>0.10100000000000001</v>
      </c>
      <c r="H10" s="21" t="s">
        <v>212</v>
      </c>
      <c r="I10" s="39" t="str">
        <f ca="1">IFERROR(__xludf.DUMMYFUNCTION("IF(SUM(COUNTIF(artists!A:A, SPLIT(D10, "",""))) &gt; 0, ""UA"", 0)"),"UA")</f>
        <v>UA</v>
      </c>
      <c r="J10" s="40">
        <f ca="1">IFERROR(__xludf.DUMMYFUNCTION("IF(SUM(COUNTIF(artists!C:C, SPLIT(D10, "",""))) &gt; 0, ""RU"", 0)"),0)</f>
        <v>0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B11" s="21">
        <v>12</v>
      </c>
      <c r="C11" s="21" t="s">
        <v>171</v>
      </c>
      <c r="D11" s="21" t="s">
        <v>172</v>
      </c>
      <c r="E11" s="21">
        <v>9</v>
      </c>
      <c r="F11" s="21">
        <v>734104</v>
      </c>
      <c r="G11" s="42">
        <v>0.125</v>
      </c>
      <c r="H11" s="21" t="s">
        <v>174</v>
      </c>
      <c r="I11" s="39">
        <f ca="1">IFERROR(__xludf.DUMMYFUNCTION("IF(SUM(COUNTIF(artists!A:A, SPLIT(D11, "",""))) &gt; 0, ""UA"", 0)"),0)</f>
        <v>0</v>
      </c>
      <c r="J11" s="40" t="str">
        <f ca="1">IFERROR(__xludf.DUMMYFUNCTION("IF(SUM(COUNTIF(artists!C:C, SPLIT(D11, "",""))) &gt; 0, ""RU"", 0)"),"RU")</f>
        <v>RU</v>
      </c>
      <c r="K11" s="39">
        <f ca="1">IFERROR(__xludf.DUMMYFUNCTION("IF(SUM(COUNTIF(artists!E:E, SPLIT(D11, "",""))) &gt; 0, ""OTHER"", 0)"),0)</f>
        <v>0</v>
      </c>
    </row>
    <row r="12" spans="1:11" ht="14.25" customHeight="1">
      <c r="A12" s="21">
        <v>11</v>
      </c>
      <c r="B12" s="21">
        <v>9</v>
      </c>
      <c r="C12" s="21" t="s">
        <v>194</v>
      </c>
      <c r="D12" s="21" t="s">
        <v>195</v>
      </c>
      <c r="E12" s="21">
        <v>17</v>
      </c>
      <c r="F12" s="21">
        <v>686808</v>
      </c>
      <c r="G12" s="42">
        <v>-2.7E-2</v>
      </c>
      <c r="H12" s="21" t="s">
        <v>197</v>
      </c>
      <c r="I12" s="39" t="str">
        <f ca="1">IFERROR(__xludf.DUMMYFUNCTION("IF(SUM(COUNTIF(artists!A:A, SPLIT(D12, "",""))) &gt; 0, ""UA"", 0)"),"UA")</f>
        <v>UA</v>
      </c>
      <c r="J12" s="40">
        <f ca="1">IFERROR(__xludf.DUMMYFUNCTION("IF(SUM(COUNTIF(artists!C:C, SPLIT(D12, "",""))) &gt; 0, ""RU"", 0)"),0)</f>
        <v>0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B13" s="21">
        <v>11</v>
      </c>
      <c r="C13" s="21" t="s">
        <v>462</v>
      </c>
      <c r="D13" s="21" t="s">
        <v>463</v>
      </c>
      <c r="E13" s="21">
        <v>5</v>
      </c>
      <c r="F13" s="21">
        <v>646073</v>
      </c>
      <c r="G13" s="42">
        <v>-1.2E-2</v>
      </c>
      <c r="H13" s="21" t="s">
        <v>465</v>
      </c>
      <c r="I13" s="39" t="str">
        <f ca="1">IFERROR(__xludf.DUMMYFUNCTION("IF(SUM(COUNTIF(artists!A:A, SPLIT(D13, "",""))) &gt; 0, ""UA"", 0)"),"UA")</f>
        <v>UA</v>
      </c>
      <c r="J13" s="40">
        <f ca="1">IFERROR(__xludf.DUMMYFUNCTION("IF(SUM(COUNTIF(artists!C:C, SPLIT(D13, "",""))) &gt; 0, ""RU"", 0)"),0)</f>
        <v>0</v>
      </c>
      <c r="K13" s="39">
        <f ca="1">IFERROR(__xludf.DUMMYFUNCTION("IF(SUM(COUNTIF(artists!E:E, SPLIT(D13, "",""))) &gt; 0, ""OTHER"", 0)"),0)</f>
        <v>0</v>
      </c>
    </row>
    <row r="14" spans="1:11" ht="14.25" customHeight="1">
      <c r="A14" s="21">
        <v>13</v>
      </c>
      <c r="B14" s="21">
        <v>7</v>
      </c>
      <c r="C14" s="21" t="s">
        <v>149</v>
      </c>
      <c r="D14" s="21" t="s">
        <v>150</v>
      </c>
      <c r="E14" s="21">
        <v>7</v>
      </c>
      <c r="F14" s="21">
        <v>629838</v>
      </c>
      <c r="G14" s="42">
        <v>-0.23300000000000001</v>
      </c>
      <c r="H14" s="21" t="s">
        <v>152</v>
      </c>
      <c r="I14" s="39" t="str">
        <f ca="1">IFERROR(__xludf.DUMMYFUNCTION("IF(SUM(COUNTIF(artists!A:A, SPLIT(D14, "",""))) &gt; 0, ""UA"", 0)"),"UA")</f>
        <v>UA</v>
      </c>
      <c r="J14" s="40">
        <f ca="1">IFERROR(__xludf.DUMMYFUNCTION("IF(SUM(COUNTIF(artists!C:C, SPLIT(D14, "",""))) &gt; 0, ""RU"", 0)"),0)</f>
        <v>0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B15" s="21">
        <v>18</v>
      </c>
      <c r="C15" s="21" t="s">
        <v>186</v>
      </c>
      <c r="D15" s="21" t="s">
        <v>187</v>
      </c>
      <c r="E15" s="21">
        <v>18</v>
      </c>
      <c r="F15" s="21">
        <v>593972</v>
      </c>
      <c r="G15" s="42">
        <v>8.6999999999999994E-2</v>
      </c>
      <c r="H15" s="21" t="s">
        <v>189</v>
      </c>
      <c r="I15" s="39" t="str">
        <f ca="1">IFERROR(__xludf.DUMMYFUNCTION("IF(SUM(COUNTIF(artists!A:A, SPLIT(D15, "",""))) &gt; 0, ""UA"", 0)"),"UA")</f>
        <v>UA</v>
      </c>
      <c r="J15" s="40">
        <f ca="1">IFERROR(__xludf.DUMMYFUNCTION("IF(SUM(COUNTIF(artists!C:C, SPLIT(D15, "",""))) &gt; 0, ""RU"", 0)"),0)</f>
        <v>0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B16" s="21">
        <v>16</v>
      </c>
      <c r="C16" s="21" t="s">
        <v>229</v>
      </c>
      <c r="D16" s="21" t="s">
        <v>230</v>
      </c>
      <c r="E16" s="21">
        <v>21</v>
      </c>
      <c r="F16" s="21">
        <v>562245</v>
      </c>
      <c r="G16" s="42">
        <v>1.4999999999999999E-2</v>
      </c>
      <c r="H16" s="21" t="s">
        <v>232</v>
      </c>
      <c r="I16" s="39" t="str">
        <f ca="1">IFERROR(__xludf.DUMMYFUNCTION("IF(SUM(COUNTIF(artists!A:A, SPLIT(D16, "",""))) &gt; 0, ""UA"", 0)"),"UA")</f>
        <v>UA</v>
      </c>
      <c r="J16" s="40">
        <f ca="1">IFERROR(__xludf.DUMMYFUNCTION("IF(SUM(COUNTIF(artists!C:C, SPLIT(D16, "",""))) &gt; 0, ""RU"", 0)"),0)</f>
        <v>0</v>
      </c>
      <c r="K16" s="39">
        <f ca="1">IFERROR(__xludf.DUMMYFUNCTION("IF(SUM(COUNTIF(artists!E:E, SPLIT(D16, "",""))) &gt; 0, ""OTHER"", 0)"),0)</f>
        <v>0</v>
      </c>
    </row>
    <row r="17" spans="1:11" ht="14.25" customHeight="1">
      <c r="A17" s="21">
        <v>16</v>
      </c>
      <c r="B17" s="21">
        <v>14</v>
      </c>
      <c r="C17" s="21" t="s">
        <v>921</v>
      </c>
      <c r="D17" s="21" t="s">
        <v>922</v>
      </c>
      <c r="E17" s="21">
        <v>6</v>
      </c>
      <c r="F17" s="21">
        <v>543061</v>
      </c>
      <c r="G17" s="42">
        <v>-8.5999999999999993E-2</v>
      </c>
      <c r="H17" s="21" t="s">
        <v>923</v>
      </c>
      <c r="I17" s="39" t="str">
        <f ca="1">IFERROR(__xludf.DUMMYFUNCTION("IF(SUM(COUNTIF(artists!A:A, SPLIT(D17, "",""))) &gt; 0, ""UA"", 0)"),"UA")</f>
        <v>UA</v>
      </c>
      <c r="J17" s="40">
        <f ca="1">IFERROR(__xludf.DUMMYFUNCTION("IF(SUM(COUNTIF(artists!C:C, SPLIT(D17, "",""))) &gt; 0, ""RU"", 0)"),0)</f>
        <v>0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B18" s="21">
        <v>20</v>
      </c>
      <c r="C18" s="21" t="s">
        <v>968</v>
      </c>
      <c r="D18" s="21" t="s">
        <v>969</v>
      </c>
      <c r="E18" s="21">
        <v>34</v>
      </c>
      <c r="F18" s="21">
        <v>512301</v>
      </c>
      <c r="G18" s="42">
        <v>3.7999999999999999E-2</v>
      </c>
      <c r="H18" s="21" t="s">
        <v>970</v>
      </c>
      <c r="I18" s="39" t="str">
        <f ca="1">IFERROR(__xludf.DUMMYFUNCTION("IF(SUM(COUNTIF(artists!A:A, SPLIT(D18, "",""))) &gt; 0, ""UA"", 0)"),"UA")</f>
        <v>UA</v>
      </c>
      <c r="J18" s="40">
        <f ca="1">IFERROR(__xludf.DUMMYFUNCTION("IF(SUM(COUNTIF(artists!C:C, SPLIT(D18, "",""))) &gt; 0, ""RU"", 0)"),0)</f>
        <v>0</v>
      </c>
      <c r="K18" s="39">
        <f ca="1">IFERROR(__xludf.DUMMYFUNCTION("IF(SUM(COUNTIF(artists!E:E, SPLIT(D18, "",""))) &gt; 0, ""OTHER"", 0)"),0)</f>
        <v>0</v>
      </c>
    </row>
    <row r="19" spans="1:11" ht="14.25" customHeight="1">
      <c r="A19" s="21">
        <v>18</v>
      </c>
      <c r="B19" s="21">
        <v>21</v>
      </c>
      <c r="C19" s="21" t="s">
        <v>799</v>
      </c>
      <c r="D19" s="21" t="s">
        <v>494</v>
      </c>
      <c r="E19" s="21">
        <v>23</v>
      </c>
      <c r="F19" s="21">
        <v>501446</v>
      </c>
      <c r="G19" s="42">
        <v>3.5999999999999997E-2</v>
      </c>
      <c r="H19" s="21" t="s">
        <v>800</v>
      </c>
      <c r="I19" s="39" t="str">
        <f ca="1">IFERROR(__xludf.DUMMYFUNCTION("IF(SUM(COUNTIF(artists!A:A, SPLIT(D19, "",""))) &gt; 0, ""UA"", 0)"),"UA")</f>
        <v>UA</v>
      </c>
      <c r="J19" s="40">
        <f ca="1">IFERROR(__xludf.DUMMYFUNCTION("IF(SUM(COUNTIF(artists!C:C, SPLIT(D19, "",""))) &gt; 0, ""RU"", 0)"),0)</f>
        <v>0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B20" s="21">
        <v>23</v>
      </c>
      <c r="C20" s="21" t="s">
        <v>706</v>
      </c>
      <c r="D20" s="21" t="s">
        <v>199</v>
      </c>
      <c r="E20" s="21">
        <v>10</v>
      </c>
      <c r="F20" s="21">
        <v>487238</v>
      </c>
      <c r="G20" s="42">
        <v>9.4E-2</v>
      </c>
      <c r="H20" s="21" t="s">
        <v>1126</v>
      </c>
      <c r="I20" s="39" t="str">
        <f ca="1">IFERROR(__xludf.DUMMYFUNCTION("IF(SUM(COUNTIF(artists!A:A, SPLIT(D20, "",""))) &gt; 0, ""UA"", 0)"),"UA")</f>
        <v>UA</v>
      </c>
      <c r="J20" s="40">
        <f ca="1">IFERROR(__xludf.DUMMYFUNCTION("IF(SUM(COUNTIF(artists!C:C, SPLIT(D20, "",""))) &gt; 0, ""RU"", 0)"),0)</f>
        <v>0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B21" s="21">
        <v>19</v>
      </c>
      <c r="C21" s="21" t="s">
        <v>255</v>
      </c>
      <c r="D21" s="21" t="s">
        <v>256</v>
      </c>
      <c r="E21" s="21">
        <v>4</v>
      </c>
      <c r="F21" s="21">
        <v>486597</v>
      </c>
      <c r="G21" s="42">
        <v>-5.0999999999999997E-2</v>
      </c>
      <c r="H21" s="21" t="s">
        <v>257</v>
      </c>
      <c r="I21" s="39" t="str">
        <f ca="1">IFERROR(__xludf.DUMMYFUNCTION("IF(SUM(COUNTIF(artists!A:A, SPLIT(D21, "",""))) &gt; 0, ""UA"", 0)"),"UA")</f>
        <v>UA</v>
      </c>
      <c r="J21" s="40">
        <f ca="1">IFERROR(__xludf.DUMMYFUNCTION("IF(SUM(COUNTIF(artists!C:C, SPLIT(D21, "",""))) &gt; 0, ""RU"", 0)"),0)</f>
        <v>0</v>
      </c>
      <c r="K21" s="39">
        <f ca="1">IFERROR(__xludf.DUMMYFUNCTION("IF(SUM(COUNTIF(artists!E:E, SPLIT(D21, "",""))) &gt; 0, ""OTHER"", 0)"),0)</f>
        <v>0</v>
      </c>
    </row>
    <row r="22" spans="1:11" ht="14.25" customHeight="1">
      <c r="A22" s="21">
        <v>21</v>
      </c>
      <c r="B22" s="21">
        <v>22</v>
      </c>
      <c r="C22" s="21" t="s">
        <v>182</v>
      </c>
      <c r="D22" s="21" t="s">
        <v>183</v>
      </c>
      <c r="E22" s="21">
        <v>10</v>
      </c>
      <c r="F22" s="21">
        <v>460130</v>
      </c>
      <c r="G22" s="42">
        <v>1.4E-2</v>
      </c>
      <c r="H22" s="21" t="s">
        <v>185</v>
      </c>
      <c r="I22" s="39" t="str">
        <f ca="1">IFERROR(__xludf.DUMMYFUNCTION("IF(SUM(COUNTIF(artists!A:A, SPLIT(D22, "",""))) &gt; 0, ""UA"", 0)"),"UA")</f>
        <v>UA</v>
      </c>
      <c r="J22" s="40">
        <f ca="1">IFERROR(__xludf.DUMMYFUNCTION("IF(SUM(COUNTIF(artists!C:C, SPLIT(D22, "",""))) &gt; 0, ""RU"", 0)"),0)</f>
        <v>0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B23" s="21">
        <v>25</v>
      </c>
      <c r="C23" s="21" t="s">
        <v>160</v>
      </c>
      <c r="D23" s="21" t="s">
        <v>161</v>
      </c>
      <c r="E23" s="21">
        <v>8</v>
      </c>
      <c r="F23" s="21">
        <v>457800</v>
      </c>
      <c r="G23" s="42">
        <v>6.8000000000000005E-2</v>
      </c>
      <c r="H23" s="21" t="s">
        <v>163</v>
      </c>
      <c r="I23" s="39" t="str">
        <f ca="1">IFERROR(__xludf.DUMMYFUNCTION("IF(SUM(COUNTIF(artists!A:A, SPLIT(D23, "",""))) &gt; 0, ""UA"", 0)"),"UA")</f>
        <v>UA</v>
      </c>
      <c r="J23" s="40">
        <f ca="1">IFERROR(__xludf.DUMMYFUNCTION("IF(SUM(COUNTIF(artists!C:C, SPLIT(D23, "",""))) &gt; 0, ""RU"", 0)"),0)</f>
        <v>0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B24" s="21">
        <v>24</v>
      </c>
      <c r="C24" s="21" t="s">
        <v>895</v>
      </c>
      <c r="D24" s="21" t="s">
        <v>896</v>
      </c>
      <c r="E24" s="21">
        <v>26</v>
      </c>
      <c r="F24" s="21">
        <v>441795</v>
      </c>
      <c r="G24" s="42">
        <v>3.0000000000000001E-3</v>
      </c>
      <c r="H24" s="21" t="s">
        <v>897</v>
      </c>
      <c r="I24" s="39" t="str">
        <f ca="1">IFERROR(__xludf.DUMMYFUNCTION("IF(SUM(COUNTIF(artists!A:A, SPLIT(D24, "",""))) &gt; 0, ""UA"", 0)"),"UA")</f>
        <v>UA</v>
      </c>
      <c r="J24" s="40">
        <f ca="1">IFERROR(__xludf.DUMMYFUNCTION("IF(SUM(COUNTIF(artists!C:C, SPLIT(D24, "",""))) &gt; 0, ""RU"", 0)"),0)</f>
        <v>0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B25" s="21">
        <v>26</v>
      </c>
      <c r="C25" s="21" t="s">
        <v>929</v>
      </c>
      <c r="D25" s="21" t="s">
        <v>930</v>
      </c>
      <c r="E25" s="21">
        <v>7</v>
      </c>
      <c r="F25" s="21">
        <v>423832</v>
      </c>
      <c r="G25" s="43">
        <v>0.01</v>
      </c>
      <c r="H25" s="21" t="s">
        <v>931</v>
      </c>
      <c r="I25" s="39" t="str">
        <f ca="1">IFERROR(__xludf.DUMMYFUNCTION("IF(SUM(COUNTIF(artists!A:A, SPLIT(D25, "",""))) &gt; 0, ""UA"", 0)"),"UA")</f>
        <v>UA</v>
      </c>
      <c r="J25" s="40">
        <f ca="1">IFERROR(__xludf.DUMMYFUNCTION("IF(SUM(COUNTIF(artists!C:C, SPLIT(D25, "",""))) &gt; 0, ""RU"", 0)"),0)</f>
        <v>0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B26" s="21">
        <v>29</v>
      </c>
      <c r="C26" s="21" t="s">
        <v>178</v>
      </c>
      <c r="D26" s="21" t="s">
        <v>179</v>
      </c>
      <c r="E26" s="21">
        <v>18</v>
      </c>
      <c r="F26" s="21">
        <v>417845</v>
      </c>
      <c r="G26" s="42">
        <v>9.1999999999999998E-2</v>
      </c>
      <c r="H26" s="21" t="s">
        <v>181</v>
      </c>
      <c r="I26" s="39" t="str">
        <f ca="1">IFERROR(__xludf.DUMMYFUNCTION("IF(SUM(COUNTIF(artists!A:A, SPLIT(D26, "",""))) &gt; 0, ""UA"", 0)"),"UA")</f>
        <v>UA</v>
      </c>
      <c r="J26" s="40">
        <f ca="1">IFERROR(__xludf.DUMMYFUNCTION("IF(SUM(COUNTIF(artists!C:C, SPLIT(D26, "",""))) &gt; 0, ""RU"", 0)"),0)</f>
        <v>0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C27" s="21" t="s">
        <v>1314</v>
      </c>
      <c r="D27" s="21" t="s">
        <v>1027</v>
      </c>
      <c r="E27" s="21">
        <v>1</v>
      </c>
      <c r="F27" s="21">
        <v>413870</v>
      </c>
      <c r="H27" s="21" t="s">
        <v>1315</v>
      </c>
      <c r="I27" s="39" t="str">
        <f ca="1">IFERROR(__xludf.DUMMYFUNCTION("IF(SUM(COUNTIF(artists!A:A, SPLIT(D27, "",""))) &gt; 0, ""UA"", 0)"),"UA")</f>
        <v>UA</v>
      </c>
      <c r="J27" s="40">
        <f ca="1">IFERROR(__xludf.DUMMYFUNCTION("IF(SUM(COUNTIF(artists!C:C, SPLIT(D27, "",""))) &gt; 0, ""RU"", 0)"),0)</f>
        <v>0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B28" s="21">
        <v>47</v>
      </c>
      <c r="C28" s="21" t="s">
        <v>1366</v>
      </c>
      <c r="D28" s="21" t="s">
        <v>1367</v>
      </c>
      <c r="E28" s="21">
        <v>3</v>
      </c>
      <c r="F28" s="21">
        <v>405080</v>
      </c>
      <c r="G28" s="43">
        <v>0.38</v>
      </c>
      <c r="H28" s="21" t="s">
        <v>1368</v>
      </c>
      <c r="I28" s="39">
        <f ca="1">IFERROR(__xludf.DUMMYFUNCTION("IF(SUM(COUNTIF(artists!A:A, SPLIT(D28, "",""))) &gt; 0, ""UA"", 0)"),0)</f>
        <v>0</v>
      </c>
      <c r="J28" s="40" t="str">
        <f ca="1">IFERROR(__xludf.DUMMYFUNCTION("IF(SUM(COUNTIF(artists!C:C, SPLIT(D28, "",""))) &gt; 0, ""RU"", 0)"),"RU")</f>
        <v>RU</v>
      </c>
      <c r="K28" s="39">
        <f ca="1">IFERROR(__xludf.DUMMYFUNCTION("IF(SUM(COUNTIF(artists!E:E, SPLIT(D28, "",""))) &gt; 0, ""OTHER"", 0)"),0)</f>
        <v>0</v>
      </c>
    </row>
    <row r="29" spans="1:11" ht="14.25" customHeight="1">
      <c r="A29" s="21">
        <v>28</v>
      </c>
      <c r="B29" s="21">
        <v>28</v>
      </c>
      <c r="C29" s="21" t="s">
        <v>168</v>
      </c>
      <c r="D29" s="21" t="s">
        <v>137</v>
      </c>
      <c r="E29" s="21">
        <v>5</v>
      </c>
      <c r="F29" s="21">
        <v>398400</v>
      </c>
      <c r="G29" s="42">
        <v>-2.4E-2</v>
      </c>
      <c r="H29" s="21" t="s">
        <v>170</v>
      </c>
      <c r="I29" s="39" t="str">
        <f ca="1">IFERROR(__xludf.DUMMYFUNCTION("IF(SUM(COUNTIF(artists!A:A, SPLIT(D29, "",""))) &gt; 0, ""UA"", 0)"),"UA")</f>
        <v>UA</v>
      </c>
      <c r="J29" s="40">
        <f ca="1">IFERROR(__xludf.DUMMYFUNCTION("IF(SUM(COUNTIF(artists!C:C, SPLIT(D29, "",""))) &gt; 0, ""RU"", 0)"),0)</f>
        <v>0</v>
      </c>
      <c r="K29" s="39">
        <f ca="1">IFERROR(__xludf.DUMMYFUNCTION("IF(SUM(COUNTIF(artists!E:E, SPLIT(D29, "",""))) &gt; 0, ""OTHER"", 0)"),0)</f>
        <v>0</v>
      </c>
    </row>
    <row r="30" spans="1:11" ht="14.25" customHeight="1">
      <c r="A30" s="21">
        <v>29</v>
      </c>
      <c r="B30" s="21">
        <v>63</v>
      </c>
      <c r="C30" s="21" t="s">
        <v>594</v>
      </c>
      <c r="D30" s="21" t="s">
        <v>595</v>
      </c>
      <c r="E30" s="21">
        <v>2</v>
      </c>
      <c r="F30" s="21">
        <v>385899</v>
      </c>
      <c r="G30" s="42">
        <v>0.82599999999999996</v>
      </c>
      <c r="H30" s="21" t="s">
        <v>596</v>
      </c>
      <c r="I30" s="39" t="str">
        <f ca="1">IFERROR(__xludf.DUMMYFUNCTION("IF(SUM(COUNTIF(artists!A:A, SPLIT(D30, "",""))) &gt; 0, ""UA"", 0)"),"UA")</f>
        <v>UA</v>
      </c>
      <c r="J30" s="40">
        <f ca="1">IFERROR(__xludf.DUMMYFUNCTION("IF(SUM(COUNTIF(artists!C:C, SPLIT(D30, "",""))) &gt; 0, ""RU"", 0)"),0)</f>
        <v>0</v>
      </c>
      <c r="K30" s="39">
        <f ca="1">IFERROR(__xludf.DUMMYFUNCTION("IF(SUM(COUNTIF(artists!E:E, SPLIT(D30, "",""))) &gt; 0, ""OTHER"", 0)"),0)</f>
        <v>0</v>
      </c>
    </row>
    <row r="31" spans="1:11" ht="14.25" customHeight="1">
      <c r="A31" s="21">
        <v>30</v>
      </c>
      <c r="B31" s="21">
        <v>39</v>
      </c>
      <c r="C31" s="21" t="s">
        <v>887</v>
      </c>
      <c r="D31" s="21" t="s">
        <v>89</v>
      </c>
      <c r="E31" s="21">
        <v>21</v>
      </c>
      <c r="F31" s="21">
        <v>385706</v>
      </c>
      <c r="G31" s="42">
        <v>0.217</v>
      </c>
      <c r="H31" s="21" t="s">
        <v>888</v>
      </c>
      <c r="I31" s="39" t="str">
        <f ca="1">IFERROR(__xludf.DUMMYFUNCTION("IF(SUM(COUNTIF(artists!A:A, SPLIT(D31, "",""))) &gt; 0, ""UA"", 0)"),"UA")</f>
        <v>UA</v>
      </c>
      <c r="J31" s="40">
        <f ca="1">IFERROR(__xludf.DUMMYFUNCTION("IF(SUM(COUNTIF(artists!C:C, SPLIT(D31, "",""))) &gt; 0, ""RU"", 0)"),0)</f>
        <v>0</v>
      </c>
      <c r="K31" s="39">
        <f ca="1">IFERROR(__xludf.DUMMYFUNCTION("IF(SUM(COUNTIF(artists!E:E, SPLIT(D31, "",""))) &gt; 0, ""OTHER"", 0)"),0)</f>
        <v>0</v>
      </c>
    </row>
    <row r="32" spans="1:11" ht="14.25" customHeight="1">
      <c r="A32" s="21">
        <v>31</v>
      </c>
      <c r="B32" s="21">
        <v>30</v>
      </c>
      <c r="C32" s="21" t="s">
        <v>1327</v>
      </c>
      <c r="D32" s="21" t="s">
        <v>89</v>
      </c>
      <c r="E32" s="21">
        <v>43</v>
      </c>
      <c r="F32" s="21">
        <v>383315</v>
      </c>
      <c r="G32" s="42">
        <v>2.1999999999999999E-2</v>
      </c>
      <c r="H32" s="21" t="s">
        <v>1328</v>
      </c>
      <c r="I32" s="39" t="str">
        <f ca="1">IFERROR(__xludf.DUMMYFUNCTION("IF(SUM(COUNTIF(artists!A:A, SPLIT(D32, "",""))) &gt; 0, ""UA"", 0)"),"UA")</f>
        <v>UA</v>
      </c>
      <c r="J32" s="40">
        <f ca="1">IFERROR(__xludf.DUMMYFUNCTION("IF(SUM(COUNTIF(artists!C:C, SPLIT(D32, "",""))) &gt; 0, ""RU"", 0)"),0)</f>
        <v>0</v>
      </c>
      <c r="K32" s="39">
        <f ca="1">IFERROR(__xludf.DUMMYFUNCTION("IF(SUM(COUNTIF(artists!E:E, SPLIT(D32, "",""))) &gt; 0, ""OTHER"", 0)"),0)</f>
        <v>0</v>
      </c>
    </row>
    <row r="33" spans="1:11" ht="14.25" customHeight="1">
      <c r="A33" s="21">
        <v>32</v>
      </c>
      <c r="B33" s="21">
        <v>27</v>
      </c>
      <c r="C33" s="21" t="s">
        <v>1089</v>
      </c>
      <c r="D33" s="21" t="s">
        <v>125</v>
      </c>
      <c r="E33" s="21">
        <v>4</v>
      </c>
      <c r="F33" s="21">
        <v>381852</v>
      </c>
      <c r="G33" s="42">
        <v>-7.2999999999999995E-2</v>
      </c>
      <c r="H33" s="21" t="s">
        <v>1090</v>
      </c>
      <c r="I33" s="39">
        <f ca="1">IFERROR(__xludf.DUMMYFUNCTION("IF(SUM(COUNTIF(artists!A:A, SPLIT(D33, "",""))) &gt; 0, ""UA"", 0)"),0)</f>
        <v>0</v>
      </c>
      <c r="J33" s="40" t="str">
        <f ca="1">IFERROR(__xludf.DUMMYFUNCTION("IF(SUM(COUNTIF(artists!C:C, SPLIT(D33, "",""))) &gt; 0, ""RU"", 0)"),"RU")</f>
        <v>RU</v>
      </c>
      <c r="K33" s="39">
        <f ca="1">IFERROR(__xludf.DUMMYFUNCTION("IF(SUM(COUNTIF(artists!E:E, SPLIT(D33, "",""))) &gt; 0, ""OTHER"", 0)"),0)</f>
        <v>0</v>
      </c>
    </row>
    <row r="34" spans="1:11" ht="14.25" customHeight="1">
      <c r="A34" s="21">
        <v>33</v>
      </c>
      <c r="B34" s="21">
        <v>31</v>
      </c>
      <c r="C34" s="21" t="s">
        <v>903</v>
      </c>
      <c r="D34" s="21" t="s">
        <v>904</v>
      </c>
      <c r="E34" s="21">
        <v>6</v>
      </c>
      <c r="F34" s="21">
        <v>378768</v>
      </c>
      <c r="G34" s="42">
        <v>3.6999999999999998E-2</v>
      </c>
      <c r="H34" s="21" t="s">
        <v>905</v>
      </c>
      <c r="I34" s="39" t="str">
        <f ca="1">IFERROR(__xludf.DUMMYFUNCTION("IF(SUM(COUNTIF(artists!A:A, SPLIT(D34, "",""))) &gt; 0, ""UA"", 0)"),"UA")</f>
        <v>UA</v>
      </c>
      <c r="J34" s="40">
        <f ca="1">IFERROR(__xludf.DUMMYFUNCTION("IF(SUM(COUNTIF(artists!C:C, SPLIT(D34, "",""))) &gt; 0, ""RU"", 0)"),0)</f>
        <v>0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B35" s="21">
        <v>43</v>
      </c>
      <c r="C35" s="21" t="s">
        <v>253</v>
      </c>
      <c r="D35" s="21" t="s">
        <v>89</v>
      </c>
      <c r="E35" s="21">
        <v>23</v>
      </c>
      <c r="F35" s="21">
        <v>363793</v>
      </c>
      <c r="G35" s="42">
        <v>0.189</v>
      </c>
      <c r="H35" s="21" t="s">
        <v>254</v>
      </c>
      <c r="I35" s="39" t="str">
        <f ca="1">IFERROR(__xludf.DUMMYFUNCTION("IF(SUM(COUNTIF(artists!A:A, SPLIT(D35, "",""))) &gt; 0, ""UA"", 0)"),"UA")</f>
        <v>UA</v>
      </c>
      <c r="J35" s="40">
        <f ca="1">IFERROR(__xludf.DUMMYFUNCTION("IF(SUM(COUNTIF(artists!C:C, SPLIT(D35, "",""))) &gt; 0, ""RU"", 0)"),0)</f>
        <v>0</v>
      </c>
      <c r="K35" s="39">
        <f ca="1">IFERROR(__xludf.DUMMYFUNCTION("IF(SUM(COUNTIF(artists!E:E, SPLIT(D35, "",""))) &gt; 0, ""OTHER"", 0)"),0)</f>
        <v>0</v>
      </c>
    </row>
    <row r="36" spans="1:11" ht="14.25" customHeight="1">
      <c r="A36" s="21">
        <v>35</v>
      </c>
      <c r="B36" s="21">
        <v>33</v>
      </c>
      <c r="C36" s="21" t="s">
        <v>1178</v>
      </c>
      <c r="D36" s="21" t="s">
        <v>1117</v>
      </c>
      <c r="E36" s="21">
        <v>10</v>
      </c>
      <c r="F36" s="21">
        <v>354825</v>
      </c>
      <c r="G36" s="42">
        <v>7.0000000000000001E-3</v>
      </c>
      <c r="H36" s="21" t="s">
        <v>1179</v>
      </c>
      <c r="I36" s="39">
        <f ca="1">IFERROR(__xludf.DUMMYFUNCTION("IF(SUM(COUNTIF(artists!A:A, SPLIT(D36, "",""))) &gt; 0, ""UA"", 0)"),0)</f>
        <v>0</v>
      </c>
      <c r="J36" s="40" t="str">
        <f ca="1">IFERROR(__xludf.DUMMYFUNCTION("IF(SUM(COUNTIF(artists!C:C, SPLIT(D36, "",""))) &gt; 0, ""RU"", 0)"),"RU")</f>
        <v>RU</v>
      </c>
      <c r="K36" s="39">
        <f ca="1">IFERROR(__xludf.DUMMYFUNCTION("IF(SUM(COUNTIF(artists!E:E, SPLIT(D36, "",""))) &gt; 0, ""OTHER"", 0)"),0)</f>
        <v>0</v>
      </c>
    </row>
    <row r="37" spans="1:11" ht="14.25" customHeight="1">
      <c r="A37" s="21">
        <v>36</v>
      </c>
      <c r="B37" s="21">
        <v>36</v>
      </c>
      <c r="C37" s="21" t="s">
        <v>1263</v>
      </c>
      <c r="D37" s="21" t="s">
        <v>1264</v>
      </c>
      <c r="E37" s="21">
        <v>40</v>
      </c>
      <c r="F37" s="21">
        <v>353693</v>
      </c>
      <c r="G37" s="42">
        <v>5.6000000000000001E-2</v>
      </c>
      <c r="H37" s="21" t="s">
        <v>1265</v>
      </c>
      <c r="I37" s="39">
        <f ca="1">IFERROR(__xludf.DUMMYFUNCTION("IF(SUM(COUNTIF(artists!A:A, SPLIT(D37, "",""))) &gt; 0, ""UA"", 0)"),0)</f>
        <v>0</v>
      </c>
      <c r="J37" s="40" t="str">
        <f ca="1">IFERROR(__xludf.DUMMYFUNCTION("IF(SUM(COUNTIF(artists!C:C, SPLIT(D37, "",""))) &gt; 0, ""RU"", 0)"),"RU")</f>
        <v>RU</v>
      </c>
      <c r="K37" s="39">
        <f ca="1">IFERROR(__xludf.DUMMYFUNCTION("IF(SUM(COUNTIF(artists!E:E, SPLIT(D37, "",""))) &gt; 0, ""OTHER"", 0)"),0)</f>
        <v>0</v>
      </c>
    </row>
    <row r="38" spans="1:11" ht="14.25" customHeight="1">
      <c r="A38" s="21">
        <v>37</v>
      </c>
      <c r="B38" s="21">
        <v>34</v>
      </c>
      <c r="C38" s="21" t="s">
        <v>1010</v>
      </c>
      <c r="D38" s="21" t="s">
        <v>1011</v>
      </c>
      <c r="E38" s="21">
        <v>15</v>
      </c>
      <c r="F38" s="21">
        <v>346580</v>
      </c>
      <c r="G38" s="42">
        <v>-5.0000000000000001E-3</v>
      </c>
      <c r="H38" s="21" t="s">
        <v>1012</v>
      </c>
      <c r="I38" s="39" t="str">
        <f ca="1">IFERROR(__xludf.DUMMYFUNCTION("IF(SUM(COUNTIF(artists!A:A, SPLIT(D38, "",""))) &gt; 0, ""UA"", 0)"),"UA")</f>
        <v>UA</v>
      </c>
      <c r="J38" s="40">
        <f ca="1">IFERROR(__xludf.DUMMYFUNCTION("IF(SUM(COUNTIF(artists!C:C, SPLIT(D38, "",""))) &gt; 0, ""RU"", 0)"),0)</f>
        <v>0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B39" s="21">
        <v>35</v>
      </c>
      <c r="C39" s="21" t="s">
        <v>1187</v>
      </c>
      <c r="D39" s="21" t="s">
        <v>1188</v>
      </c>
      <c r="E39" s="21">
        <v>5</v>
      </c>
      <c r="F39" s="21">
        <v>346314</v>
      </c>
      <c r="G39" s="42">
        <v>3.4000000000000002E-2</v>
      </c>
      <c r="H39" s="21" t="s">
        <v>1189</v>
      </c>
      <c r="I39" s="39" t="str">
        <f ca="1">IFERROR(__xludf.DUMMYFUNCTION("IF(SUM(COUNTIF(artists!A:A, SPLIT(D39, "",""))) &gt; 0, ""UA"", 0)"),"UA")</f>
        <v>UA</v>
      </c>
      <c r="J39" s="40">
        <f ca="1">IFERROR(__xludf.DUMMYFUNCTION("IF(SUM(COUNTIF(artists!C:C, SPLIT(D39, "",""))) &gt; 0, ""RU"", 0)"),0)</f>
        <v>0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C40" s="21" t="s">
        <v>284</v>
      </c>
      <c r="D40" s="21" t="s">
        <v>15</v>
      </c>
      <c r="E40" s="21">
        <v>1</v>
      </c>
      <c r="F40" s="21">
        <v>343126</v>
      </c>
      <c r="H40" s="21" t="s">
        <v>285</v>
      </c>
      <c r="I40" s="39">
        <f ca="1">IFERROR(__xludf.DUMMYFUNCTION("IF(SUM(COUNTIF(artists!A:A, SPLIT(D40, "",""))) &gt; 0, ""UA"", 0)"),0)</f>
        <v>0</v>
      </c>
      <c r="J40" s="40">
        <f ca="1">IFERROR(__xludf.DUMMYFUNCTION("IF(SUM(COUNTIF(artists!C:C, SPLIT(D40, "",""))) &gt; 0, ""RU"", 0)"),0)</f>
        <v>0</v>
      </c>
      <c r="K40" s="39" t="str">
        <f ca="1">IFERROR(__xludf.DUMMYFUNCTION("IF(SUM(COUNTIF(artists!E:E, SPLIT(D40, "",""))) &gt; 0, ""OTHER"", 0)"),"OTHER")</f>
        <v>OTHER</v>
      </c>
    </row>
    <row r="41" spans="1:11" ht="14.25" customHeight="1">
      <c r="A41" s="21">
        <v>40</v>
      </c>
      <c r="C41" s="21" t="s">
        <v>1364</v>
      </c>
      <c r="D41" s="21" t="s">
        <v>104</v>
      </c>
      <c r="E41" s="21">
        <v>4</v>
      </c>
      <c r="F41" s="21">
        <v>333333</v>
      </c>
      <c r="H41" s="21" t="s">
        <v>1365</v>
      </c>
      <c r="I41" s="39" t="str">
        <f ca="1">IFERROR(__xludf.DUMMYFUNCTION("IF(SUM(COUNTIF(artists!A:A, SPLIT(D41, "",""))) &gt; 0, ""UA"", 0)"),"UA")</f>
        <v>UA</v>
      </c>
      <c r="J41" s="40">
        <f ca="1">IFERROR(__xludf.DUMMYFUNCTION("IF(SUM(COUNTIF(artists!C:C, SPLIT(D41, "",""))) &gt; 0, ""RU"", 0)"),0)</f>
        <v>0</v>
      </c>
      <c r="K41" s="39">
        <f ca="1">IFERROR(__xludf.DUMMYFUNCTION("IF(SUM(COUNTIF(artists!E:E, SPLIT(D41, "",""))) &gt; 0, ""OTHER"", 0)"),0)</f>
        <v>0</v>
      </c>
    </row>
    <row r="42" spans="1:11" ht="14.25" customHeight="1">
      <c r="A42" s="21">
        <v>41</v>
      </c>
      <c r="B42" s="21">
        <v>37</v>
      </c>
      <c r="C42" s="21" t="s">
        <v>1055</v>
      </c>
      <c r="D42" s="21" t="s">
        <v>776</v>
      </c>
      <c r="E42" s="21">
        <v>11</v>
      </c>
      <c r="F42" s="21">
        <v>326592</v>
      </c>
      <c r="G42" s="42">
        <v>-5.0000000000000001E-3</v>
      </c>
      <c r="H42" s="21" t="s">
        <v>1056</v>
      </c>
      <c r="I42" s="39" t="str">
        <f ca="1">IFERROR(__xludf.DUMMYFUNCTION("IF(SUM(COUNTIF(artists!A:A, SPLIT(D42, "",""))) &gt; 0, ""UA"", 0)"),"UA")</f>
        <v>UA</v>
      </c>
      <c r="J42" s="40">
        <f ca="1">IFERROR(__xludf.DUMMYFUNCTION("IF(SUM(COUNTIF(artists!C:C, SPLIT(D42, "",""))) &gt; 0, ""RU"", 0)"),0)</f>
        <v>0</v>
      </c>
      <c r="K42" s="39">
        <f ca="1">IFERROR(__xludf.DUMMYFUNCTION("IF(SUM(COUNTIF(artists!E:E, SPLIT(D42, "",""))) &gt; 0, ""OTHER"", 0)"),0)</f>
        <v>0</v>
      </c>
    </row>
    <row r="43" spans="1:11" ht="14.25" customHeight="1">
      <c r="A43" s="21">
        <v>42</v>
      </c>
      <c r="B43" s="21">
        <v>46</v>
      </c>
      <c r="C43" s="21" t="s">
        <v>632</v>
      </c>
      <c r="D43" s="21" t="s">
        <v>633</v>
      </c>
      <c r="E43" s="21">
        <v>18</v>
      </c>
      <c r="F43" s="21">
        <v>321056</v>
      </c>
      <c r="G43" s="42">
        <v>8.5999999999999993E-2</v>
      </c>
      <c r="H43" s="21" t="s">
        <v>634</v>
      </c>
      <c r="I43" s="39" t="str">
        <f ca="1">IFERROR(__xludf.DUMMYFUNCTION("IF(SUM(COUNTIF(artists!A:A, SPLIT(D43, "",""))) &gt; 0, ""UA"", 0)"),"UA")</f>
        <v>UA</v>
      </c>
      <c r="J43" s="40">
        <f ca="1">IFERROR(__xludf.DUMMYFUNCTION("IF(SUM(COUNTIF(artists!C:C, SPLIT(D43, "",""))) &gt; 0, ""RU"", 0)"),0)</f>
        <v>0</v>
      </c>
      <c r="K43" s="39">
        <f ca="1">IFERROR(__xludf.DUMMYFUNCTION("IF(SUM(COUNTIF(artists!E:E, SPLIT(D43, "",""))) &gt; 0, ""OTHER"", 0)"),0)</f>
        <v>0</v>
      </c>
    </row>
    <row r="44" spans="1:11" ht="14.25" customHeight="1">
      <c r="A44" s="21">
        <v>43</v>
      </c>
      <c r="B44" s="21">
        <v>38</v>
      </c>
      <c r="C44" s="21" t="s">
        <v>1282</v>
      </c>
      <c r="D44" s="21" t="s">
        <v>108</v>
      </c>
      <c r="E44" s="21">
        <v>41</v>
      </c>
      <c r="F44" s="21">
        <v>315707</v>
      </c>
      <c r="G44" s="42">
        <v>-1.7000000000000001E-2</v>
      </c>
      <c r="H44" s="21" t="s">
        <v>1283</v>
      </c>
      <c r="I44" s="39" t="str">
        <f ca="1">IFERROR(__xludf.DUMMYFUNCTION("IF(SUM(COUNTIF(artists!A:A, SPLIT(D44, "",""))) &gt; 0, ""UA"", 0)"),"UA")</f>
        <v>UA</v>
      </c>
      <c r="J44" s="40">
        <f ca="1">IFERROR(__xludf.DUMMYFUNCTION("IF(SUM(COUNTIF(artists!C:C, SPLIT(D44, "",""))) &gt; 0, ""RU"", 0)"),0)</f>
        <v>0</v>
      </c>
      <c r="K44" s="39">
        <f ca="1">IFERROR(__xludf.DUMMYFUNCTION("IF(SUM(COUNTIF(artists!E:E, SPLIT(D44, "",""))) &gt; 0, ""OTHER"", 0)"),0)</f>
        <v>0</v>
      </c>
    </row>
    <row r="45" spans="1:11" ht="14.25" customHeight="1">
      <c r="A45" s="21">
        <v>44</v>
      </c>
      <c r="B45" s="21">
        <v>32</v>
      </c>
      <c r="C45" s="21" t="s">
        <v>1175</v>
      </c>
      <c r="D45" s="21" t="s">
        <v>1176</v>
      </c>
      <c r="E45" s="21">
        <v>5</v>
      </c>
      <c r="F45" s="21">
        <v>310865</v>
      </c>
      <c r="G45" s="42">
        <v>-0.14499999999999999</v>
      </c>
      <c r="H45" s="21" t="s">
        <v>1177</v>
      </c>
      <c r="I45" s="39">
        <f ca="1">IFERROR(__xludf.DUMMYFUNCTION("IF(SUM(COUNTIF(artists!A:A, SPLIT(D45, "",""))) &gt; 0, ""UA"", 0)"),0)</f>
        <v>0</v>
      </c>
      <c r="J45" s="40" t="str">
        <f ca="1">IFERROR(__xludf.DUMMYFUNCTION("IF(SUM(COUNTIF(artists!C:C, SPLIT(D45, "",""))) &gt; 0, ""RU"", 0)"),"RU")</f>
        <v>RU</v>
      </c>
      <c r="K45" s="39">
        <f ca="1">IFERROR(__xludf.DUMMYFUNCTION("IF(SUM(COUNTIF(artists!E:E, SPLIT(D45, "",""))) &gt; 0, ""OTHER"", 0)"),0)</f>
        <v>0</v>
      </c>
    </row>
    <row r="46" spans="1:11" ht="14.25" customHeight="1">
      <c r="A46" s="21">
        <v>45</v>
      </c>
      <c r="B46" s="21">
        <v>41</v>
      </c>
      <c r="C46" s="21" t="s">
        <v>1287</v>
      </c>
      <c r="D46" s="21" t="s">
        <v>1288</v>
      </c>
      <c r="E46" s="21">
        <v>15</v>
      </c>
      <c r="F46" s="21">
        <v>306904</v>
      </c>
      <c r="G46" s="43">
        <v>-0.03</v>
      </c>
      <c r="H46" s="21" t="s">
        <v>1289</v>
      </c>
      <c r="I46" s="39">
        <f ca="1">IFERROR(__xludf.DUMMYFUNCTION("IF(SUM(COUNTIF(artists!A:A, SPLIT(D46, "",""))) &gt; 0, ""UA"", 0)"),0)</f>
        <v>0</v>
      </c>
      <c r="J46" s="40">
        <f ca="1">IFERROR(__xludf.DUMMYFUNCTION("IF(SUM(COUNTIF(artists!C:C, SPLIT(D46, "",""))) &gt; 0, ""RU"", 0)"),0)</f>
        <v>0</v>
      </c>
      <c r="K46" s="39" t="str">
        <f ca="1">IFERROR(__xludf.DUMMYFUNCTION("IF(SUM(COUNTIF(artists!E:E, SPLIT(D46, "",""))) &gt; 0, ""OTHER"", 0)"),"OTHER")</f>
        <v>OTHER</v>
      </c>
    </row>
    <row r="47" spans="1:11" ht="14.25" customHeight="1">
      <c r="A47" s="21">
        <v>46</v>
      </c>
      <c r="B47" s="21">
        <v>48</v>
      </c>
      <c r="C47" s="21" t="s">
        <v>1214</v>
      </c>
      <c r="D47" s="21" t="s">
        <v>1117</v>
      </c>
      <c r="E47" s="21">
        <v>3</v>
      </c>
      <c r="F47" s="21">
        <v>297620</v>
      </c>
      <c r="G47" s="42">
        <v>1.4999999999999999E-2</v>
      </c>
      <c r="H47" s="21" t="s">
        <v>1215</v>
      </c>
      <c r="I47" s="39">
        <f ca="1">IFERROR(__xludf.DUMMYFUNCTION("IF(SUM(COUNTIF(artists!A:A, SPLIT(D47, "",""))) &gt; 0, ""UA"", 0)"),0)</f>
        <v>0</v>
      </c>
      <c r="J47" s="40" t="str">
        <f ca="1">IFERROR(__xludf.DUMMYFUNCTION("IF(SUM(COUNTIF(artists!C:C, SPLIT(D47, "",""))) &gt; 0, ""RU"", 0)"),"RU")</f>
        <v>RU</v>
      </c>
      <c r="K47" s="39">
        <f ca="1">IFERROR(__xludf.DUMMYFUNCTION("IF(SUM(COUNTIF(artists!E:E, SPLIT(D47, "",""))) &gt; 0, ""OTHER"", 0)"),0)</f>
        <v>0</v>
      </c>
    </row>
    <row r="48" spans="1:11" ht="14.25" customHeight="1">
      <c r="A48" s="21">
        <v>47</v>
      </c>
      <c r="B48" s="21">
        <v>44</v>
      </c>
      <c r="C48" s="21" t="s">
        <v>909</v>
      </c>
      <c r="D48" s="21" t="s">
        <v>910</v>
      </c>
      <c r="E48" s="21">
        <v>24</v>
      </c>
      <c r="F48" s="21">
        <v>292588</v>
      </c>
      <c r="G48" s="42">
        <v>-3.7999999999999999E-2</v>
      </c>
      <c r="H48" s="21" t="s">
        <v>911</v>
      </c>
      <c r="I48" s="39" t="str">
        <f ca="1">IFERROR(__xludf.DUMMYFUNCTION("IF(SUM(COUNTIF(artists!A:A, SPLIT(D48, "",""))) &gt; 0, ""UA"", 0)"),"UA")</f>
        <v>UA</v>
      </c>
      <c r="J48" s="40">
        <f ca="1">IFERROR(__xludf.DUMMYFUNCTION("IF(SUM(COUNTIF(artists!C:C, SPLIT(D48, "",""))) &gt; 0, ""RU"", 0)"),0)</f>
        <v>0</v>
      </c>
      <c r="K48" s="39">
        <f ca="1">IFERROR(__xludf.DUMMYFUNCTION("IF(SUM(COUNTIF(artists!E:E, SPLIT(D48, "",""))) &gt; 0, ""OTHER"", 0)"),0)</f>
        <v>0</v>
      </c>
    </row>
    <row r="49" spans="1:11" ht="14.25" customHeight="1">
      <c r="A49" s="21">
        <v>48</v>
      </c>
      <c r="B49" s="21">
        <v>40</v>
      </c>
      <c r="C49" s="21" t="s">
        <v>1354</v>
      </c>
      <c r="D49" s="21" t="s">
        <v>1355</v>
      </c>
      <c r="E49" s="21">
        <v>44</v>
      </c>
      <c r="F49" s="21">
        <v>291666</v>
      </c>
      <c r="G49" s="42">
        <v>-7.8E-2</v>
      </c>
      <c r="H49" s="21" t="s">
        <v>1356</v>
      </c>
      <c r="I49" s="39" t="str">
        <f ca="1">IFERROR(__xludf.DUMMYFUNCTION("IF(SUM(COUNTIF(artists!A:A, SPLIT(D49, "",""))) &gt; 0, ""UA"", 0)"),"UA")</f>
        <v>UA</v>
      </c>
      <c r="J49" s="40">
        <f ca="1">IFERROR(__xludf.DUMMYFUNCTION("IF(SUM(COUNTIF(artists!C:C, SPLIT(D49, "",""))) &gt; 0, ""RU"", 0)"),0)</f>
        <v>0</v>
      </c>
      <c r="K49" s="39">
        <f ca="1">IFERROR(__xludf.DUMMYFUNCTION("IF(SUM(COUNTIF(artists!E:E, SPLIT(D49, "",""))) &gt; 0, ""OTHER"", 0)"),0)</f>
        <v>0</v>
      </c>
    </row>
    <row r="50" spans="1:11" ht="14.25" customHeight="1">
      <c r="A50" s="21">
        <v>49</v>
      </c>
      <c r="B50" s="21">
        <v>50</v>
      </c>
      <c r="C50" s="21" t="s">
        <v>1261</v>
      </c>
      <c r="D50" s="21" t="s">
        <v>137</v>
      </c>
      <c r="E50" s="21">
        <v>31</v>
      </c>
      <c r="F50" s="21">
        <v>289041</v>
      </c>
      <c r="G50" s="42">
        <v>2.8000000000000001E-2</v>
      </c>
      <c r="H50" s="21" t="s">
        <v>1262</v>
      </c>
      <c r="I50" s="39" t="str">
        <f ca="1">IFERROR(__xludf.DUMMYFUNCTION("IF(SUM(COUNTIF(artists!A:A, SPLIT(D50, "",""))) &gt; 0, ""UA"", 0)"),"UA")</f>
        <v>UA</v>
      </c>
      <c r="J50" s="40">
        <f ca="1">IFERROR(__xludf.DUMMYFUNCTION("IF(SUM(COUNTIF(artists!C:C, SPLIT(D50, "",""))) &gt; 0, ""RU"", 0)"),0)</f>
        <v>0</v>
      </c>
      <c r="K50" s="39">
        <f ca="1">IFERROR(__xludf.DUMMYFUNCTION("IF(SUM(COUNTIF(artists!E:E, SPLIT(D50, "",""))) &gt; 0, ""OTHER"", 0)"),0)</f>
        <v>0</v>
      </c>
    </row>
    <row r="51" spans="1:11" ht="14.25" customHeight="1">
      <c r="A51" s="21">
        <v>50</v>
      </c>
      <c r="C51" s="21" t="s">
        <v>1116</v>
      </c>
      <c r="D51" s="21" t="s">
        <v>1117</v>
      </c>
      <c r="E51" s="21">
        <v>29</v>
      </c>
      <c r="F51" s="21">
        <v>286667</v>
      </c>
      <c r="H51" s="21" t="s">
        <v>1118</v>
      </c>
      <c r="I51" s="39">
        <f ca="1">IFERROR(__xludf.DUMMYFUNCTION("IF(SUM(COUNTIF(artists!A:A, SPLIT(D51, "",""))) &gt; 0, ""UA"", 0)"),0)</f>
        <v>0</v>
      </c>
      <c r="J51" s="40" t="str">
        <f ca="1">IFERROR(__xludf.DUMMYFUNCTION("IF(SUM(COUNTIF(artists!C:C, SPLIT(D51, "",""))) &gt; 0, ""RU"", 0)"),"RU")</f>
        <v>RU</v>
      </c>
      <c r="K51" s="39">
        <f ca="1">IFERROR(__xludf.DUMMYFUNCTION("IF(SUM(COUNTIF(artists!E:E, SPLIT(D51, "",""))) &gt; 0, ""OTHER"", 0)"),0)</f>
        <v>0</v>
      </c>
    </row>
    <row r="52" spans="1:11" ht="14.25" customHeight="1">
      <c r="A52" s="21">
        <v>51</v>
      </c>
      <c r="B52" s="21">
        <v>45</v>
      </c>
      <c r="C52" s="21" t="s">
        <v>1242</v>
      </c>
      <c r="D52" s="21" t="s">
        <v>969</v>
      </c>
      <c r="E52" s="21">
        <v>13</v>
      </c>
      <c r="F52" s="21">
        <v>281379</v>
      </c>
      <c r="G52" s="42">
        <v>-6.0999999999999999E-2</v>
      </c>
      <c r="H52" s="21" t="s">
        <v>1243</v>
      </c>
      <c r="I52" s="39" t="str">
        <f ca="1">IFERROR(__xludf.DUMMYFUNCTION("IF(SUM(COUNTIF(artists!A:A, SPLIT(D52, "",""))) &gt; 0, ""UA"", 0)"),"UA")</f>
        <v>UA</v>
      </c>
      <c r="J52" s="40">
        <f ca="1">IFERROR(__xludf.DUMMYFUNCTION("IF(SUM(COUNTIF(artists!C:C, SPLIT(D52, "",""))) &gt; 0, ""RU"", 0)"),0)</f>
        <v>0</v>
      </c>
      <c r="K52" s="39">
        <f ca="1">IFERROR(__xludf.DUMMYFUNCTION("IF(SUM(COUNTIF(artists!E:E, SPLIT(D52, "",""))) &gt; 0, ""OTHER"", 0)"),0)</f>
        <v>0</v>
      </c>
    </row>
    <row r="53" spans="1:11" ht="14.25" customHeight="1">
      <c r="A53" s="21">
        <v>52</v>
      </c>
      <c r="B53" s="21">
        <v>15</v>
      </c>
      <c r="C53" s="21" t="s">
        <v>1398</v>
      </c>
      <c r="D53" s="21" t="s">
        <v>409</v>
      </c>
      <c r="E53" s="21">
        <v>3</v>
      </c>
      <c r="F53" s="21">
        <v>265417</v>
      </c>
      <c r="G53" s="42">
        <v>-0.55200000000000005</v>
      </c>
      <c r="H53" s="21" t="s">
        <v>1399</v>
      </c>
      <c r="I53" s="39" t="str">
        <f ca="1">IFERROR(__xludf.DUMMYFUNCTION("IF(SUM(COUNTIF(artists!A:A, SPLIT(D53, "",""))) &gt; 0, ""UA"", 0)"),"UA")</f>
        <v>UA</v>
      </c>
      <c r="J53" s="40">
        <f ca="1">IFERROR(__xludf.DUMMYFUNCTION("IF(SUM(COUNTIF(artists!C:C, SPLIT(D53, "",""))) &gt; 0, ""RU"", 0)"),0)</f>
        <v>0</v>
      </c>
      <c r="K53" s="39">
        <f ca="1">IFERROR(__xludf.DUMMYFUNCTION("IF(SUM(COUNTIF(artists!E:E, SPLIT(D53, "",""))) &gt; 0, ""OTHER"", 0)"),0)</f>
        <v>0</v>
      </c>
    </row>
    <row r="54" spans="1:11" ht="14.25" customHeight="1">
      <c r="A54" s="21">
        <v>53</v>
      </c>
      <c r="B54" s="21">
        <v>53</v>
      </c>
      <c r="C54" s="21" t="s">
        <v>1332</v>
      </c>
      <c r="D54" s="21" t="s">
        <v>1333</v>
      </c>
      <c r="E54" s="21">
        <v>16</v>
      </c>
      <c r="F54" s="21">
        <v>264993</v>
      </c>
      <c r="G54" s="42">
        <v>5.8999999999999997E-2</v>
      </c>
      <c r="H54" s="21" t="s">
        <v>1334</v>
      </c>
      <c r="I54" s="39" t="str">
        <f ca="1">IFERROR(__xludf.DUMMYFUNCTION("IF(SUM(COUNTIF(artists!A:A, SPLIT(D54, "",""))) &gt; 0, ""UA"", 0)"),"UA")</f>
        <v>UA</v>
      </c>
      <c r="J54" s="40">
        <f ca="1">IFERROR(__xludf.DUMMYFUNCTION("IF(SUM(COUNTIF(artists!C:C, SPLIT(D54, "",""))) &gt; 0, ""RU"", 0)"),0)</f>
        <v>0</v>
      </c>
      <c r="K54" s="39">
        <f ca="1">IFERROR(__xludf.DUMMYFUNCTION("IF(SUM(COUNTIF(artists!E:E, SPLIT(D54, "",""))) &gt; 0, ""OTHER"", 0)"),0)</f>
        <v>0</v>
      </c>
    </row>
    <row r="55" spans="1:11" ht="14.25" customHeight="1">
      <c r="A55" s="21">
        <v>54</v>
      </c>
      <c r="B55" s="21">
        <v>49</v>
      </c>
      <c r="C55" s="21" t="s">
        <v>1323</v>
      </c>
      <c r="D55" s="21" t="s">
        <v>230</v>
      </c>
      <c r="E55" s="21">
        <v>6</v>
      </c>
      <c r="F55" s="21">
        <v>259351</v>
      </c>
      <c r="G55" s="42">
        <v>-0.10100000000000001</v>
      </c>
      <c r="H55" s="21" t="s">
        <v>1324</v>
      </c>
      <c r="I55" s="39" t="str">
        <f ca="1">IFERROR(__xludf.DUMMYFUNCTION("IF(SUM(COUNTIF(artists!A:A, SPLIT(D55, "",""))) &gt; 0, ""UA"", 0)"),"UA")</f>
        <v>UA</v>
      </c>
      <c r="J55" s="40">
        <f ca="1">IFERROR(__xludf.DUMMYFUNCTION("IF(SUM(COUNTIF(artists!C:C, SPLIT(D55, "",""))) &gt; 0, ""RU"", 0)"),0)</f>
        <v>0</v>
      </c>
      <c r="K55" s="39">
        <f ca="1">IFERROR(__xludf.DUMMYFUNCTION("IF(SUM(COUNTIF(artists!E:E, SPLIT(D55, "",""))) &gt; 0, ""OTHER"", 0)"),0)</f>
        <v>0</v>
      </c>
    </row>
    <row r="56" spans="1:11" ht="14.25" customHeight="1">
      <c r="A56" s="21">
        <v>55</v>
      </c>
      <c r="B56" s="21">
        <v>62</v>
      </c>
      <c r="C56" s="21" t="s">
        <v>636</v>
      </c>
      <c r="D56" s="21" t="s">
        <v>637</v>
      </c>
      <c r="E56" s="21">
        <v>14</v>
      </c>
      <c r="F56" s="21">
        <v>256620</v>
      </c>
      <c r="G56" s="42">
        <v>0.182</v>
      </c>
      <c r="H56" s="21" t="s">
        <v>638</v>
      </c>
      <c r="I56" s="39">
        <f ca="1">IFERROR(__xludf.DUMMYFUNCTION("IF(SUM(COUNTIF(artists!A:A, SPLIT(D56, "",""))) &gt; 0, ""UA"", 0)"),0)</f>
        <v>0</v>
      </c>
      <c r="J56" s="40">
        <f ca="1">IFERROR(__xludf.DUMMYFUNCTION("IF(SUM(COUNTIF(artists!C:C, SPLIT(D56, "",""))) &gt; 0, ""RU"", 0)"),0)</f>
        <v>0</v>
      </c>
      <c r="K56" s="39" t="str">
        <f ca="1">IFERROR(__xludf.DUMMYFUNCTION("IF(SUM(COUNTIF(artists!E:E, SPLIT(D56, "",""))) &gt; 0, ""OTHER"", 0)"),"OTHER")</f>
        <v>OTHER</v>
      </c>
    </row>
    <row r="57" spans="1:11" ht="14.25" customHeight="1">
      <c r="A57" s="21">
        <v>56</v>
      </c>
      <c r="B57" s="21">
        <v>54</v>
      </c>
      <c r="C57" s="21" t="s">
        <v>1284</v>
      </c>
      <c r="D57" s="21" t="s">
        <v>1285</v>
      </c>
      <c r="E57" s="21">
        <v>15</v>
      </c>
      <c r="F57" s="21">
        <v>254642</v>
      </c>
      <c r="G57" s="42">
        <v>1.9E-2</v>
      </c>
      <c r="H57" s="21" t="s">
        <v>1286</v>
      </c>
      <c r="I57" s="39">
        <f ca="1">IFERROR(__xludf.DUMMYFUNCTION("IF(SUM(COUNTIF(artists!A:A, SPLIT(D57, "",""))) &gt; 0, ""UA"", 0)"),0)</f>
        <v>0</v>
      </c>
      <c r="J57" s="40" t="str">
        <f ca="1">IFERROR(__xludf.DUMMYFUNCTION("IF(SUM(COUNTIF(artists!C:C, SPLIT(D57, "",""))) &gt; 0, ""RU"", 0)"),"RU")</f>
        <v>RU</v>
      </c>
      <c r="K57" s="39">
        <f ca="1">IFERROR(__xludf.DUMMYFUNCTION("IF(SUM(COUNTIF(artists!E:E, SPLIT(D57, "",""))) &gt; 0, ""OTHER"", 0)"),0)</f>
        <v>0</v>
      </c>
    </row>
    <row r="58" spans="1:11" ht="14.25" customHeight="1">
      <c r="A58" s="21">
        <v>57</v>
      </c>
      <c r="B58" s="21">
        <v>51</v>
      </c>
      <c r="C58" s="21" t="s">
        <v>874</v>
      </c>
      <c r="D58" s="21" t="s">
        <v>108</v>
      </c>
      <c r="E58" s="21">
        <v>4</v>
      </c>
      <c r="F58" s="21">
        <v>254465</v>
      </c>
      <c r="G58" s="42">
        <v>-4.4999999999999998E-2</v>
      </c>
      <c r="H58" s="21" t="s">
        <v>875</v>
      </c>
      <c r="I58" s="39" t="str">
        <f ca="1">IFERROR(__xludf.DUMMYFUNCTION("IF(SUM(COUNTIF(artists!A:A, SPLIT(D58, "",""))) &gt; 0, ""UA"", 0)"),"UA")</f>
        <v>UA</v>
      </c>
      <c r="J58" s="40">
        <f ca="1">IFERROR(__xludf.DUMMYFUNCTION("IF(SUM(COUNTIF(artists!C:C, SPLIT(D58, "",""))) &gt; 0, ""RU"", 0)"),0)</f>
        <v>0</v>
      </c>
      <c r="K58" s="39">
        <f ca="1">IFERROR(__xludf.DUMMYFUNCTION("IF(SUM(COUNTIF(artists!E:E, SPLIT(D58, "",""))) &gt; 0, ""OTHER"", 0)"),0)</f>
        <v>0</v>
      </c>
    </row>
    <row r="59" spans="1:11" ht="14.25" customHeight="1">
      <c r="A59" s="21">
        <v>58</v>
      </c>
      <c r="C59" s="21" t="s">
        <v>1211</v>
      </c>
      <c r="D59" s="21" t="s">
        <v>1212</v>
      </c>
      <c r="E59" s="21">
        <v>1</v>
      </c>
      <c r="F59" s="21">
        <v>242693</v>
      </c>
      <c r="H59" s="21" t="s">
        <v>1213</v>
      </c>
      <c r="I59" s="39">
        <f ca="1">IFERROR(__xludf.DUMMYFUNCTION("IF(SUM(COUNTIF(artists!A:A, SPLIT(D59, "",""))) &gt; 0, ""UA"", 0)"),0)</f>
        <v>0</v>
      </c>
      <c r="J59" s="40" t="str">
        <f ca="1">IFERROR(__xludf.DUMMYFUNCTION("IF(SUM(COUNTIF(artists!C:C, SPLIT(D59, "",""))) &gt; 0, ""RU"", 0)"),"RU")</f>
        <v>RU</v>
      </c>
      <c r="K59" s="39">
        <f ca="1">IFERROR(__xludf.DUMMYFUNCTION("IF(SUM(COUNTIF(artists!E:E, SPLIT(D59, "",""))) &gt; 0, ""OTHER"", 0)"),0)</f>
        <v>0</v>
      </c>
    </row>
    <row r="60" spans="1:11" ht="14.25" customHeight="1">
      <c r="A60" s="21">
        <v>59</v>
      </c>
      <c r="B60" s="21">
        <v>60</v>
      </c>
      <c r="C60" s="21" t="s">
        <v>616</v>
      </c>
      <c r="D60" s="21" t="s">
        <v>617</v>
      </c>
      <c r="E60" s="21">
        <v>4</v>
      </c>
      <c r="F60" s="21">
        <v>239928</v>
      </c>
      <c r="G60" s="42">
        <v>0.10299999999999999</v>
      </c>
      <c r="H60" s="21" t="s">
        <v>618</v>
      </c>
      <c r="I60" s="39">
        <f ca="1">IFERROR(__xludf.DUMMYFUNCTION("IF(SUM(COUNTIF(artists!A:A, SPLIT(D60, "",""))) &gt; 0, ""UA"", 0)"),0)</f>
        <v>0</v>
      </c>
      <c r="J60" s="40">
        <f ca="1">IFERROR(__xludf.DUMMYFUNCTION("IF(SUM(COUNTIF(artists!C:C, SPLIT(D60, "",""))) &gt; 0, ""RU"", 0)"),0)</f>
        <v>0</v>
      </c>
      <c r="K60" s="39" t="str">
        <f ca="1">IFERROR(__xludf.DUMMYFUNCTION("IF(SUM(COUNTIF(artists!E:E, SPLIT(D60, "",""))) &gt; 0, ""OTHER"", 0)"),"OTHER")</f>
        <v>OTHER</v>
      </c>
    </row>
    <row r="61" spans="1:11" ht="14.25" customHeight="1">
      <c r="A61" s="21">
        <v>60</v>
      </c>
      <c r="B61" s="21">
        <v>56</v>
      </c>
      <c r="C61" s="21" t="s">
        <v>516</v>
      </c>
      <c r="D61" s="21" t="s">
        <v>517</v>
      </c>
      <c r="E61" s="21">
        <v>12</v>
      </c>
      <c r="F61" s="21">
        <v>234938</v>
      </c>
      <c r="G61" s="42">
        <v>-4.0000000000000001E-3</v>
      </c>
      <c r="H61" s="21" t="s">
        <v>518</v>
      </c>
      <c r="I61" s="39">
        <f ca="1">IFERROR(__xludf.DUMMYFUNCTION("IF(SUM(COUNTIF(artists!A:A, SPLIT(D61, "",""))) &gt; 0, ""UA"", 0)"),0)</f>
        <v>0</v>
      </c>
      <c r="J61" s="40">
        <f ca="1">IFERROR(__xludf.DUMMYFUNCTION("IF(SUM(COUNTIF(artists!C:C, SPLIT(D61, "",""))) &gt; 0, ""RU"", 0)"),0)</f>
        <v>0</v>
      </c>
      <c r="K61" s="39" t="str">
        <f ca="1">IFERROR(__xludf.DUMMYFUNCTION("IF(SUM(COUNTIF(artists!E:E, SPLIT(D61, "",""))) &gt; 0, ""OTHER"", 0)"),"OTHER")</f>
        <v>OTHER</v>
      </c>
    </row>
    <row r="62" spans="1:11" ht="14.25" customHeight="1">
      <c r="A62" s="21">
        <v>61</v>
      </c>
      <c r="B62" s="21">
        <v>61</v>
      </c>
      <c r="C62" s="21" t="s">
        <v>1182</v>
      </c>
      <c r="D62" s="21" t="s">
        <v>466</v>
      </c>
      <c r="E62" s="21">
        <v>16</v>
      </c>
      <c r="F62" s="21">
        <v>227765</v>
      </c>
      <c r="G62" s="42">
        <v>4.8000000000000001E-2</v>
      </c>
      <c r="H62" s="21" t="s">
        <v>1183</v>
      </c>
      <c r="I62" s="39" t="str">
        <f ca="1">IFERROR(__xludf.DUMMYFUNCTION("IF(SUM(COUNTIF(artists!A:A, SPLIT(D62, "",""))) &gt; 0, ""UA"", 0)"),"UA")</f>
        <v>UA</v>
      </c>
      <c r="J62" s="40">
        <f ca="1">IFERROR(__xludf.DUMMYFUNCTION("IF(SUM(COUNTIF(artists!C:C, SPLIT(D62, "",""))) &gt; 0, ""RU"", 0)"),0)</f>
        <v>0</v>
      </c>
      <c r="K62" s="39">
        <f ca="1">IFERROR(__xludf.DUMMYFUNCTION("IF(SUM(COUNTIF(artists!E:E, SPLIT(D62, "",""))) &gt; 0, ""OTHER"", 0)"),0)</f>
        <v>0</v>
      </c>
    </row>
    <row r="63" spans="1:11" ht="14.25" customHeight="1">
      <c r="A63" s="21">
        <v>62</v>
      </c>
      <c r="B63" s="21">
        <v>68</v>
      </c>
      <c r="C63" s="21" t="s">
        <v>1290</v>
      </c>
      <c r="D63" s="21" t="s">
        <v>942</v>
      </c>
      <c r="E63" s="21">
        <v>18</v>
      </c>
      <c r="F63" s="21">
        <v>222919</v>
      </c>
      <c r="G63" s="42">
        <v>0.16600000000000001</v>
      </c>
      <c r="H63" s="21" t="s">
        <v>1291</v>
      </c>
      <c r="I63" s="39" t="str">
        <f ca="1">IFERROR(__xludf.DUMMYFUNCTION("IF(SUM(COUNTIF(artists!A:A, SPLIT(D63, "",""))) &gt; 0, ""UA"", 0)"),"UA")</f>
        <v>UA</v>
      </c>
      <c r="J63" s="40">
        <f ca="1">IFERROR(__xludf.DUMMYFUNCTION("IF(SUM(COUNTIF(artists!C:C, SPLIT(D63, "",""))) &gt; 0, ""RU"", 0)"),0)</f>
        <v>0</v>
      </c>
      <c r="K63" s="39">
        <f ca="1">IFERROR(__xludf.DUMMYFUNCTION("IF(SUM(COUNTIF(artists!E:E, SPLIT(D63, "",""))) &gt; 0, ""OTHER"", 0)"),0)</f>
        <v>0</v>
      </c>
    </row>
    <row r="64" spans="1:11" ht="14.25" customHeight="1">
      <c r="A64" s="21">
        <v>63</v>
      </c>
      <c r="B64" s="21">
        <v>59</v>
      </c>
      <c r="C64" s="21" t="s">
        <v>697</v>
      </c>
      <c r="D64" s="21" t="s">
        <v>698</v>
      </c>
      <c r="E64" s="21">
        <v>10</v>
      </c>
      <c r="F64" s="21">
        <v>209331</v>
      </c>
      <c r="G64" s="42">
        <v>-6.0999999999999999E-2</v>
      </c>
      <c r="H64" s="21" t="s">
        <v>699</v>
      </c>
      <c r="I64" s="39">
        <f ca="1">IFERROR(__xludf.DUMMYFUNCTION("IF(SUM(COUNTIF(artists!A:A, SPLIT(D64, "",""))) &gt; 0, ""UA"", 0)"),0)</f>
        <v>0</v>
      </c>
      <c r="J64" s="40" t="str">
        <f ca="1">IFERROR(__xludf.DUMMYFUNCTION("IF(SUM(COUNTIF(artists!C:C, SPLIT(D64, "",""))) &gt; 0, ""RU"", 0)"),"RU")</f>
        <v>RU</v>
      </c>
      <c r="K64" s="39">
        <f ca="1">IFERROR(__xludf.DUMMYFUNCTION("IF(SUM(COUNTIF(artists!E:E, SPLIT(D64, "",""))) &gt; 0, ""OTHER"", 0)"),0)</f>
        <v>0</v>
      </c>
    </row>
    <row r="65" spans="1:11" ht="14.25" customHeight="1">
      <c r="A65" s="21">
        <v>64</v>
      </c>
      <c r="B65" s="21">
        <v>57</v>
      </c>
      <c r="C65" s="21" t="s">
        <v>1383</v>
      </c>
      <c r="D65" s="21" t="s">
        <v>463</v>
      </c>
      <c r="E65" s="21">
        <v>19</v>
      </c>
      <c r="F65" s="21">
        <v>208769</v>
      </c>
      <c r="G65" s="42">
        <v>-8.3000000000000004E-2</v>
      </c>
      <c r="H65" s="21" t="s">
        <v>1384</v>
      </c>
      <c r="I65" s="39" t="str">
        <f ca="1">IFERROR(__xludf.DUMMYFUNCTION("IF(SUM(COUNTIF(artists!A:A, SPLIT(D65, "",""))) &gt; 0, ""UA"", 0)"),"UA")</f>
        <v>UA</v>
      </c>
      <c r="J65" s="40">
        <f ca="1">IFERROR(__xludf.DUMMYFUNCTION("IF(SUM(COUNTIF(artists!C:C, SPLIT(D65, "",""))) &gt; 0, ""RU"", 0)"),0)</f>
        <v>0</v>
      </c>
      <c r="K65" s="39">
        <f ca="1">IFERROR(__xludf.DUMMYFUNCTION("IF(SUM(COUNTIF(artists!E:E, SPLIT(D65, "",""))) &gt; 0, ""OTHER"", 0)"),0)</f>
        <v>0</v>
      </c>
    </row>
    <row r="66" spans="1:11" ht="14.25" customHeight="1">
      <c r="A66" s="21">
        <v>65</v>
      </c>
      <c r="B66" s="21">
        <v>55</v>
      </c>
      <c r="C66" s="21" t="s">
        <v>1249</v>
      </c>
      <c r="D66" s="21" t="s">
        <v>187</v>
      </c>
      <c r="E66" s="21">
        <v>6</v>
      </c>
      <c r="F66" s="21">
        <v>208217</v>
      </c>
      <c r="G66" s="42">
        <v>-0.126</v>
      </c>
      <c r="H66" s="21" t="s">
        <v>1250</v>
      </c>
      <c r="I66" s="39" t="str">
        <f ca="1">IFERROR(__xludf.DUMMYFUNCTION("IF(SUM(COUNTIF(artists!A:A, SPLIT(D66, "",""))) &gt; 0, ""UA"", 0)"),"UA")</f>
        <v>UA</v>
      </c>
      <c r="J66" s="40">
        <f ca="1">IFERROR(__xludf.DUMMYFUNCTION("IF(SUM(COUNTIF(artists!C:C, SPLIT(D66, "",""))) &gt; 0, ""RU"", 0)"),0)</f>
        <v>0</v>
      </c>
      <c r="K66" s="39">
        <f ca="1">IFERROR(__xludf.DUMMYFUNCTION("IF(SUM(COUNTIF(artists!E:E, SPLIT(D66, "",""))) &gt; 0, ""OTHER"", 0)"),0)</f>
        <v>0</v>
      </c>
    </row>
    <row r="67" spans="1:11" ht="14.25" customHeight="1">
      <c r="A67" s="21">
        <v>66</v>
      </c>
      <c r="B67" s="21">
        <v>71</v>
      </c>
      <c r="C67" s="21" t="s">
        <v>1280</v>
      </c>
      <c r="D67" s="21" t="s">
        <v>1193</v>
      </c>
      <c r="E67" s="21">
        <v>3</v>
      </c>
      <c r="F67" s="21">
        <v>202675</v>
      </c>
      <c r="G67" s="42">
        <v>0.124</v>
      </c>
      <c r="H67" s="21" t="s">
        <v>1281</v>
      </c>
      <c r="I67" s="39" t="str">
        <f ca="1">IFERROR(__xludf.DUMMYFUNCTION("IF(SUM(COUNTIF(artists!A:A, SPLIT(D67, "",""))) &gt; 0, ""UA"", 0)"),"UA")</f>
        <v>UA</v>
      </c>
      <c r="J67" s="40">
        <f ca="1">IFERROR(__xludf.DUMMYFUNCTION("IF(SUM(COUNTIF(artists!C:C, SPLIT(D67, "",""))) &gt; 0, ""RU"", 0)"),0)</f>
        <v>0</v>
      </c>
      <c r="K67" s="39">
        <f ca="1">IFERROR(__xludf.DUMMYFUNCTION("IF(SUM(COUNTIF(artists!E:E, SPLIT(D67, "",""))) &gt; 0, ""OTHER"", 0)"),0)</f>
        <v>0</v>
      </c>
    </row>
    <row r="68" spans="1:11" ht="14.25" customHeight="1">
      <c r="A68" s="21">
        <v>67</v>
      </c>
      <c r="B68" s="21">
        <v>85</v>
      </c>
      <c r="C68" s="21" t="s">
        <v>589</v>
      </c>
      <c r="D68" s="21" t="s">
        <v>590</v>
      </c>
      <c r="E68" s="21">
        <v>2</v>
      </c>
      <c r="F68" s="21">
        <v>197301</v>
      </c>
      <c r="G68" s="42">
        <v>0.25800000000000001</v>
      </c>
      <c r="H68" s="21" t="s">
        <v>591</v>
      </c>
      <c r="I68" s="39" t="str">
        <f ca="1">IFERROR(__xludf.DUMMYFUNCTION("IF(SUM(COUNTIF(artists!A:A, SPLIT(D68, "",""))) &gt; 0, ""UA"", 0)"),"UA")</f>
        <v>UA</v>
      </c>
      <c r="J68" s="40">
        <f ca="1">IFERROR(__xludf.DUMMYFUNCTION("IF(SUM(COUNTIF(artists!C:C, SPLIT(D68, "",""))) &gt; 0, ""RU"", 0)"),0)</f>
        <v>0</v>
      </c>
      <c r="K68" s="39">
        <f ca="1">IFERROR(__xludf.DUMMYFUNCTION("IF(SUM(COUNTIF(artists!E:E, SPLIT(D68, "",""))) &gt; 0, ""OTHER"", 0)"),0)</f>
        <v>0</v>
      </c>
    </row>
    <row r="69" spans="1:11" ht="14.25" customHeight="1">
      <c r="A69" s="21">
        <v>68</v>
      </c>
      <c r="B69" s="21">
        <v>65</v>
      </c>
      <c r="C69" s="21" t="s">
        <v>597</v>
      </c>
      <c r="D69" s="21" t="s">
        <v>598</v>
      </c>
      <c r="E69" s="21">
        <v>19</v>
      </c>
      <c r="F69" s="21">
        <v>196013</v>
      </c>
      <c r="G69" s="42">
        <v>6.0000000000000001E-3</v>
      </c>
      <c r="H69" s="21" t="s">
        <v>600</v>
      </c>
      <c r="I69" s="39" t="str">
        <f ca="1">IFERROR(__xludf.DUMMYFUNCTION("IF(SUM(COUNTIF(artists!A:A, SPLIT(D69, "",""))) &gt; 0, ""UA"", 0)"),"UA")</f>
        <v>UA</v>
      </c>
      <c r="J69" s="40">
        <f ca="1">IFERROR(__xludf.DUMMYFUNCTION("IF(SUM(COUNTIF(artists!C:C, SPLIT(D69, "",""))) &gt; 0, ""RU"", 0)"),0)</f>
        <v>0</v>
      </c>
      <c r="K69" s="39">
        <f ca="1">IFERROR(__xludf.DUMMYFUNCTION("IF(SUM(COUNTIF(artists!E:E, SPLIT(D69, "",""))) &gt; 0, ""OTHER"", 0)"),0)</f>
        <v>0</v>
      </c>
    </row>
    <row r="70" spans="1:11" ht="14.25" customHeight="1">
      <c r="A70" s="21">
        <v>69</v>
      </c>
      <c r="B70" s="21">
        <v>72</v>
      </c>
      <c r="C70" s="21" t="s">
        <v>678</v>
      </c>
      <c r="D70" s="21" t="s">
        <v>89</v>
      </c>
      <c r="E70" s="21">
        <v>12</v>
      </c>
      <c r="F70" s="21">
        <v>195464</v>
      </c>
      <c r="G70" s="42">
        <v>9.7000000000000003E-2</v>
      </c>
      <c r="H70" s="21" t="s">
        <v>679</v>
      </c>
      <c r="I70" s="39" t="str">
        <f ca="1">IFERROR(__xludf.DUMMYFUNCTION("IF(SUM(COUNTIF(artists!A:A, SPLIT(D70, "",""))) &gt; 0, ""UA"", 0)"),"UA")</f>
        <v>UA</v>
      </c>
      <c r="J70" s="40">
        <f ca="1">IFERROR(__xludf.DUMMYFUNCTION("IF(SUM(COUNTIF(artists!C:C, SPLIT(D70, "",""))) &gt; 0, ""RU"", 0)"),0)</f>
        <v>0</v>
      </c>
      <c r="K70" s="39">
        <f ca="1">IFERROR(__xludf.DUMMYFUNCTION("IF(SUM(COUNTIF(artists!E:E, SPLIT(D70, "",""))) &gt; 0, ""OTHER"", 0)"),0)</f>
        <v>0</v>
      </c>
    </row>
    <row r="71" spans="1:11" ht="14.25" customHeight="1">
      <c r="A71" s="21">
        <v>70</v>
      </c>
      <c r="B71" s="21">
        <v>73</v>
      </c>
      <c r="C71" s="21" t="s">
        <v>1343</v>
      </c>
      <c r="D71" s="21" t="s">
        <v>1344</v>
      </c>
      <c r="E71" s="21">
        <v>9</v>
      </c>
      <c r="F71" s="21">
        <v>187483</v>
      </c>
      <c r="G71" s="42">
        <v>5.8999999999999997E-2</v>
      </c>
      <c r="H71" s="21" t="s">
        <v>1345</v>
      </c>
      <c r="I71" s="39" t="str">
        <f ca="1">IFERROR(__xludf.DUMMYFUNCTION("IF(SUM(COUNTIF(artists!A:A, SPLIT(D71, "",""))) &gt; 0, ""UA"", 0)"),"UA")</f>
        <v>UA</v>
      </c>
      <c r="J71" s="40">
        <f ca="1">IFERROR(__xludf.DUMMYFUNCTION("IF(SUM(COUNTIF(artists!C:C, SPLIT(D71, "",""))) &gt; 0, ""RU"", 0)"),0)</f>
        <v>0</v>
      </c>
      <c r="K71" s="39">
        <f ca="1">IFERROR(__xludf.DUMMYFUNCTION("IF(SUM(COUNTIF(artists!E:E, SPLIT(D71, "",""))) &gt; 0, ""OTHER"", 0)"),0)</f>
        <v>0</v>
      </c>
    </row>
    <row r="72" spans="1:11" ht="14.25" customHeight="1">
      <c r="A72" s="21">
        <v>71</v>
      </c>
      <c r="C72" s="21" t="s">
        <v>1007</v>
      </c>
      <c r="D72" s="21" t="s">
        <v>1008</v>
      </c>
      <c r="E72" s="21">
        <v>21</v>
      </c>
      <c r="F72" s="21">
        <v>187097</v>
      </c>
      <c r="H72" s="21" t="s">
        <v>1009</v>
      </c>
      <c r="I72" s="39">
        <f ca="1">IFERROR(__xludf.DUMMYFUNCTION("IF(SUM(COUNTIF(artists!A:A, SPLIT(D72, "",""))) &gt; 0, ""UA"", 0)"),0)</f>
        <v>0</v>
      </c>
      <c r="J72" s="40" t="str">
        <f ca="1">IFERROR(__xludf.DUMMYFUNCTION("IF(SUM(COUNTIF(artists!C:C, SPLIT(D72, "",""))) &gt; 0, ""RU"", 0)"),"RU")</f>
        <v>RU</v>
      </c>
      <c r="K72" s="39">
        <f ca="1">IFERROR(__xludf.DUMMYFUNCTION("IF(SUM(COUNTIF(artists!E:E, SPLIT(D72, "",""))) &gt; 0, ""OTHER"", 0)"),0)</f>
        <v>0</v>
      </c>
    </row>
    <row r="73" spans="1:11" ht="14.25" customHeight="1">
      <c r="A73" s="21">
        <v>72</v>
      </c>
      <c r="B73" s="21">
        <v>64</v>
      </c>
      <c r="C73" s="21" t="s">
        <v>1318</v>
      </c>
      <c r="D73" s="21" t="s">
        <v>1319</v>
      </c>
      <c r="E73" s="21">
        <v>11</v>
      </c>
      <c r="F73" s="21">
        <v>185909</v>
      </c>
      <c r="G73" s="42">
        <v>-5.1999999999999998E-2</v>
      </c>
      <c r="H73" s="21" t="s">
        <v>1320</v>
      </c>
      <c r="I73" s="39">
        <f ca="1">IFERROR(__xludf.DUMMYFUNCTION("IF(SUM(COUNTIF(artists!A:A, SPLIT(D73, "",""))) &gt; 0, ""UA"", 0)"),0)</f>
        <v>0</v>
      </c>
      <c r="J73" s="40" t="str">
        <f ca="1">IFERROR(__xludf.DUMMYFUNCTION("IF(SUM(COUNTIF(artists!C:C, SPLIT(D73, "",""))) &gt; 0, ""RU"", 0)"),"RU")</f>
        <v>RU</v>
      </c>
      <c r="K73" s="39">
        <f ca="1">IFERROR(__xludf.DUMMYFUNCTION("IF(SUM(COUNTIF(artists!E:E, SPLIT(D73, "",""))) &gt; 0, ""OTHER"", 0)"),0)</f>
        <v>0</v>
      </c>
    </row>
    <row r="74" spans="1:11" ht="14.25" customHeight="1">
      <c r="A74" s="21">
        <v>73</v>
      </c>
      <c r="B74" s="21">
        <v>70</v>
      </c>
      <c r="C74" s="21" t="s">
        <v>1387</v>
      </c>
      <c r="D74" s="21" t="s">
        <v>1388</v>
      </c>
      <c r="E74" s="21">
        <v>18</v>
      </c>
      <c r="F74" s="21">
        <v>183681</v>
      </c>
      <c r="G74" s="43">
        <v>-0.01</v>
      </c>
      <c r="H74" s="21" t="s">
        <v>1389</v>
      </c>
      <c r="I74" s="39">
        <f ca="1">IFERROR(__xludf.DUMMYFUNCTION("IF(SUM(COUNTIF(artists!A:A, SPLIT(D74, "",""))) &gt; 0, ""UA"", 0)"),0)</f>
        <v>0</v>
      </c>
      <c r="J74" s="40">
        <f ca="1">IFERROR(__xludf.DUMMYFUNCTION("IF(SUM(COUNTIF(artists!C:C, SPLIT(D74, "",""))) &gt; 0, ""RU"", 0)"),0)</f>
        <v>0</v>
      </c>
      <c r="K74" s="39" t="str">
        <f ca="1">IFERROR(__xludf.DUMMYFUNCTION("IF(SUM(COUNTIF(artists!E:E, SPLIT(D74, "",""))) &gt; 0, ""OTHER"", 0)"),"OTHER")</f>
        <v>OTHER</v>
      </c>
    </row>
    <row r="75" spans="1:11" ht="14.25" customHeight="1">
      <c r="A75" s="21">
        <v>74</v>
      </c>
      <c r="B75" s="21">
        <v>80</v>
      </c>
      <c r="C75" s="21" t="s">
        <v>1076</v>
      </c>
      <c r="D75" s="21" t="s">
        <v>1077</v>
      </c>
      <c r="E75" s="21">
        <v>5</v>
      </c>
      <c r="F75" s="21">
        <v>179509</v>
      </c>
      <c r="G75" s="42">
        <v>0.13100000000000001</v>
      </c>
      <c r="H75" s="21" t="s">
        <v>1078</v>
      </c>
      <c r="I75" s="39" t="str">
        <f ca="1">IFERROR(__xludf.DUMMYFUNCTION("IF(SUM(COUNTIF(artists!A:A, SPLIT(D75, "",""))) &gt; 0, ""UA"", 0)"),"UA")</f>
        <v>UA</v>
      </c>
      <c r="J75" s="40">
        <f ca="1">IFERROR(__xludf.DUMMYFUNCTION("IF(SUM(COUNTIF(artists!C:C, SPLIT(D75, "",""))) &gt; 0, ""RU"", 0)"),0)</f>
        <v>0</v>
      </c>
      <c r="K75" s="39">
        <f ca="1">IFERROR(__xludf.DUMMYFUNCTION("IF(SUM(COUNTIF(artists!E:E, SPLIT(D75, "",""))) &gt; 0, ""OTHER"", 0)"),0)</f>
        <v>0</v>
      </c>
    </row>
    <row r="76" spans="1:11" ht="14.25" customHeight="1">
      <c r="A76" s="21">
        <v>75</v>
      </c>
      <c r="B76" s="21">
        <v>89</v>
      </c>
      <c r="C76" s="21" t="s">
        <v>520</v>
      </c>
      <c r="D76" s="21" t="s">
        <v>521</v>
      </c>
      <c r="E76" s="21">
        <v>5</v>
      </c>
      <c r="F76" s="21">
        <v>175366</v>
      </c>
      <c r="G76" s="42">
        <v>0.14099999999999999</v>
      </c>
      <c r="H76" s="21" t="s">
        <v>522</v>
      </c>
      <c r="I76" s="39" t="str">
        <f ca="1">IFERROR(__xludf.DUMMYFUNCTION("IF(SUM(COUNTIF(artists!A:A, SPLIT(D76, "",""))) &gt; 0, ""UA"", 0)"),"UA")</f>
        <v>UA</v>
      </c>
      <c r="J76" s="40">
        <f ca="1">IFERROR(__xludf.DUMMYFUNCTION("IF(SUM(COUNTIF(artists!C:C, SPLIT(D76, "",""))) &gt; 0, ""RU"", 0)"),0)</f>
        <v>0</v>
      </c>
      <c r="K76" s="39">
        <f ca="1">IFERROR(__xludf.DUMMYFUNCTION("IF(SUM(COUNTIF(artists!E:E, SPLIT(D76, "",""))) &gt; 0, ""OTHER"", 0)"),0)</f>
        <v>0</v>
      </c>
    </row>
    <row r="77" spans="1:11" ht="14.25" customHeight="1">
      <c r="A77" s="21">
        <v>76</v>
      </c>
      <c r="B77" s="21">
        <v>67</v>
      </c>
      <c r="C77" s="21" t="s">
        <v>1300</v>
      </c>
      <c r="D77" s="21" t="s">
        <v>1074</v>
      </c>
      <c r="E77" s="21">
        <v>5</v>
      </c>
      <c r="F77" s="21">
        <v>174578</v>
      </c>
      <c r="G77" s="42">
        <v>-9.7000000000000003E-2</v>
      </c>
      <c r="H77" s="21" t="s">
        <v>1301</v>
      </c>
      <c r="I77" s="39" t="str">
        <f ca="1">IFERROR(__xludf.DUMMYFUNCTION("IF(SUM(COUNTIF(artists!A:A, SPLIT(D77, "",""))) &gt; 0, ""UA"", 0)"),"UA")</f>
        <v>UA</v>
      </c>
      <c r="J77" s="40">
        <f ca="1">IFERROR(__xludf.DUMMYFUNCTION("IF(SUM(COUNTIF(artists!C:C, SPLIT(D77, "",""))) &gt; 0, ""RU"", 0)"),0)</f>
        <v>0</v>
      </c>
      <c r="K77" s="39">
        <f ca="1">IFERROR(__xludf.DUMMYFUNCTION("IF(SUM(COUNTIF(artists!E:E, SPLIT(D77, "",""))) &gt; 0, ""OTHER"", 0)"),0)</f>
        <v>0</v>
      </c>
    </row>
    <row r="78" spans="1:11" ht="14.25" customHeight="1">
      <c r="A78" s="21">
        <v>77</v>
      </c>
      <c r="B78" s="21">
        <v>92</v>
      </c>
      <c r="C78" s="21" t="s">
        <v>1298</v>
      </c>
      <c r="D78" s="21" t="s">
        <v>226</v>
      </c>
      <c r="E78" s="21">
        <v>20</v>
      </c>
      <c r="F78" s="21">
        <v>173681</v>
      </c>
      <c r="G78" s="42">
        <v>0.17100000000000001</v>
      </c>
      <c r="H78" s="21" t="s">
        <v>1299</v>
      </c>
      <c r="I78" s="39" t="str">
        <f ca="1">IFERROR(__xludf.DUMMYFUNCTION("IF(SUM(COUNTIF(artists!A:A, SPLIT(D78, "",""))) &gt; 0, ""UA"", 0)"),"UA")</f>
        <v>UA</v>
      </c>
      <c r="J78" s="40">
        <f ca="1">IFERROR(__xludf.DUMMYFUNCTION("IF(SUM(COUNTIF(artists!C:C, SPLIT(D78, "",""))) &gt; 0, ""RU"", 0)"),0)</f>
        <v>0</v>
      </c>
      <c r="K78" s="39">
        <f ca="1">IFERROR(__xludf.DUMMYFUNCTION("IF(SUM(COUNTIF(artists!E:E, SPLIT(D78, "",""))) &gt; 0, ""OTHER"", 0)"),0)</f>
        <v>0</v>
      </c>
    </row>
    <row r="79" spans="1:11" ht="14.25" customHeight="1">
      <c r="A79" s="21">
        <v>78</v>
      </c>
      <c r="B79" s="21">
        <v>66</v>
      </c>
      <c r="C79" s="21" t="s">
        <v>1410</v>
      </c>
      <c r="D79" s="21" t="s">
        <v>1411</v>
      </c>
      <c r="E79" s="21">
        <v>8</v>
      </c>
      <c r="F79" s="21">
        <v>172692</v>
      </c>
      <c r="G79" s="42">
        <v>-0.113</v>
      </c>
      <c r="H79" s="21" t="s">
        <v>1412</v>
      </c>
      <c r="I79" s="39">
        <f ca="1">IFERROR(__xludf.DUMMYFUNCTION("IF(SUM(COUNTIF(artists!A:A, SPLIT(D79, "",""))) &gt; 0, ""UA"", 0)"),0)</f>
        <v>0</v>
      </c>
      <c r="J79" s="40" t="str">
        <f ca="1">IFERROR(__xludf.DUMMYFUNCTION("IF(SUM(COUNTIF(artists!C:C, SPLIT(D79, "",""))) &gt; 0, ""RU"", 0)"),"RU")</f>
        <v>RU</v>
      </c>
      <c r="K79" s="39">
        <f ca="1">IFERROR(__xludf.DUMMYFUNCTION("IF(SUM(COUNTIF(artists!E:E, SPLIT(D79, "",""))) &gt; 0, ""OTHER"", 0)"),0)</f>
        <v>0</v>
      </c>
    </row>
    <row r="80" spans="1:11" ht="14.25" customHeight="1">
      <c r="A80" s="21">
        <v>79</v>
      </c>
      <c r="B80" s="21">
        <v>69</v>
      </c>
      <c r="C80" s="21" t="s">
        <v>1377</v>
      </c>
      <c r="D80" s="21" t="s">
        <v>463</v>
      </c>
      <c r="E80" s="21">
        <v>13</v>
      </c>
      <c r="F80" s="21">
        <v>172183</v>
      </c>
      <c r="G80" s="42">
        <v>-7.8E-2</v>
      </c>
      <c r="H80" s="21" t="s">
        <v>1378</v>
      </c>
      <c r="I80" s="39" t="str">
        <f ca="1">IFERROR(__xludf.DUMMYFUNCTION("IF(SUM(COUNTIF(artists!A:A, SPLIT(D80, "",""))) &gt; 0, ""UA"", 0)"),"UA")</f>
        <v>UA</v>
      </c>
      <c r="J80" s="40">
        <f ca="1">IFERROR(__xludf.DUMMYFUNCTION("IF(SUM(COUNTIF(artists!C:C, SPLIT(D80, "",""))) &gt; 0, ""RU"", 0)"),0)</f>
        <v>0</v>
      </c>
      <c r="K80" s="39">
        <f ca="1">IFERROR(__xludf.DUMMYFUNCTION("IF(SUM(COUNTIF(artists!E:E, SPLIT(D80, "",""))) &gt; 0, ""OTHER"", 0)"),0)</f>
        <v>0</v>
      </c>
    </row>
    <row r="81" spans="1:11" ht="14.25" customHeight="1">
      <c r="A81" s="21">
        <v>80</v>
      </c>
      <c r="B81" s="21">
        <v>74</v>
      </c>
      <c r="C81" s="21" t="s">
        <v>1385</v>
      </c>
      <c r="D81" s="21" t="s">
        <v>896</v>
      </c>
      <c r="E81" s="21">
        <v>11</v>
      </c>
      <c r="F81" s="21">
        <v>169801</v>
      </c>
      <c r="G81" s="42">
        <v>-3.6999999999999998E-2</v>
      </c>
      <c r="H81" s="21" t="s">
        <v>1386</v>
      </c>
      <c r="I81" s="39" t="str">
        <f ca="1">IFERROR(__xludf.DUMMYFUNCTION("IF(SUM(COUNTIF(artists!A:A, SPLIT(D81, "",""))) &gt; 0, ""UA"", 0)"),"UA")</f>
        <v>UA</v>
      </c>
      <c r="J81" s="40">
        <f ca="1">IFERROR(__xludf.DUMMYFUNCTION("IF(SUM(COUNTIF(artists!C:C, SPLIT(D81, "",""))) &gt; 0, ""RU"", 0)"),0)</f>
        <v>0</v>
      </c>
      <c r="K81" s="39">
        <f ca="1">IFERROR(__xludf.DUMMYFUNCTION("IF(SUM(COUNTIF(artists!E:E, SPLIT(D81, "",""))) &gt; 0, ""OTHER"", 0)"),0)</f>
        <v>0</v>
      </c>
    </row>
    <row r="82" spans="1:11" ht="14.25" customHeight="1">
      <c r="A82" s="21">
        <v>81</v>
      </c>
      <c r="C82" s="21" t="s">
        <v>1135</v>
      </c>
      <c r="D82" s="21" t="s">
        <v>85</v>
      </c>
      <c r="E82" s="21">
        <v>1</v>
      </c>
      <c r="F82" s="21">
        <v>169360</v>
      </c>
      <c r="H82" s="21" t="s">
        <v>1136</v>
      </c>
      <c r="I82" s="39" t="str">
        <f ca="1">IFERROR(__xludf.DUMMYFUNCTION("IF(SUM(COUNTIF(artists!A:A, SPLIT(D82, "",""))) &gt; 0, ""UA"", 0)"),"UA")</f>
        <v>UA</v>
      </c>
      <c r="J82" s="40">
        <f ca="1">IFERROR(__xludf.DUMMYFUNCTION("IF(SUM(COUNTIF(artists!C:C, SPLIT(D82, "",""))) &gt; 0, ""RU"", 0)"),0)</f>
        <v>0</v>
      </c>
      <c r="K82" s="39">
        <f ca="1">IFERROR(__xludf.DUMMYFUNCTION("IF(SUM(COUNTIF(artists!E:E, SPLIT(D82, "",""))) &gt; 0, ""OTHER"", 0)"),0)</f>
        <v>0</v>
      </c>
    </row>
    <row r="83" spans="1:11" ht="14.25" customHeight="1">
      <c r="A83" s="21">
        <v>82</v>
      </c>
      <c r="B83" s="21">
        <v>81</v>
      </c>
      <c r="C83" s="21" t="s">
        <v>1413</v>
      </c>
      <c r="D83" s="21" t="s">
        <v>1414</v>
      </c>
      <c r="E83" s="21">
        <v>8</v>
      </c>
      <c r="F83" s="21">
        <v>164336</v>
      </c>
      <c r="G83" s="42">
        <v>3.6999999999999998E-2</v>
      </c>
      <c r="H83" s="21" t="s">
        <v>1415</v>
      </c>
      <c r="I83" s="39" t="str">
        <f ca="1">IFERROR(__xludf.DUMMYFUNCTION("IF(SUM(COUNTIF(artists!A:A, SPLIT(D83, "",""))) &gt; 0, ""UA"", 0)"),"UA")</f>
        <v>UA</v>
      </c>
      <c r="J83" s="40">
        <f ca="1">IFERROR(__xludf.DUMMYFUNCTION("IF(SUM(COUNTIF(artists!C:C, SPLIT(D83, "",""))) &gt; 0, ""RU"", 0)"),0)</f>
        <v>0</v>
      </c>
      <c r="K83" s="39">
        <f ca="1">IFERROR(__xludf.DUMMYFUNCTION("IF(SUM(COUNTIF(artists!E:E, SPLIT(D83, "",""))) &gt; 0, ""OTHER"", 0)"),0)</f>
        <v>0</v>
      </c>
    </row>
    <row r="84" spans="1:11" ht="14.25" customHeight="1">
      <c r="A84" s="21">
        <v>83</v>
      </c>
      <c r="B84" s="21">
        <v>100</v>
      </c>
      <c r="C84" s="21" t="s">
        <v>971</v>
      </c>
      <c r="D84" s="21" t="s">
        <v>972</v>
      </c>
      <c r="E84" s="21">
        <v>2</v>
      </c>
      <c r="F84" s="21">
        <v>163870</v>
      </c>
      <c r="G84" s="42">
        <v>0.182</v>
      </c>
      <c r="H84" s="21" t="s">
        <v>973</v>
      </c>
      <c r="I84" s="39">
        <f ca="1">IFERROR(__xludf.DUMMYFUNCTION("IF(SUM(COUNTIF(artists!A:A, SPLIT(D84, "",""))) &gt; 0, ""UA"", 0)"),0)</f>
        <v>0</v>
      </c>
      <c r="J84" s="40">
        <f ca="1">IFERROR(__xludf.DUMMYFUNCTION("IF(SUM(COUNTIF(artists!C:C, SPLIT(D84, "",""))) &gt; 0, ""RU"", 0)"),0)</f>
        <v>0</v>
      </c>
      <c r="K84" s="39" t="str">
        <f ca="1">IFERROR(__xludf.DUMMYFUNCTION("IF(SUM(COUNTIF(artists!E:E, SPLIT(D84, "",""))) &gt; 0, ""OTHER"", 0)"),"OTHER")</f>
        <v>OTHER</v>
      </c>
    </row>
    <row r="85" spans="1:11" ht="14.25" customHeight="1">
      <c r="A85" s="21">
        <v>84</v>
      </c>
      <c r="B85" s="21">
        <v>87</v>
      </c>
      <c r="C85" s="21" t="s">
        <v>1375</v>
      </c>
      <c r="D85" s="21" t="s">
        <v>907</v>
      </c>
      <c r="E85" s="21">
        <v>7</v>
      </c>
      <c r="F85" s="21">
        <v>163660</v>
      </c>
      <c r="G85" s="43">
        <v>0.05</v>
      </c>
      <c r="H85" s="21" t="s">
        <v>1376</v>
      </c>
      <c r="I85" s="39">
        <f ca="1">IFERROR(__xludf.DUMMYFUNCTION("IF(SUM(COUNTIF(artists!A:A, SPLIT(D85, "",""))) &gt; 0, ""UA"", 0)"),0)</f>
        <v>0</v>
      </c>
      <c r="J85" s="40" t="str">
        <f ca="1">IFERROR(__xludf.DUMMYFUNCTION("IF(SUM(COUNTIF(artists!C:C, SPLIT(D85, "",""))) &gt; 0, ""RU"", 0)"),"RU")</f>
        <v>RU</v>
      </c>
      <c r="K85" s="39">
        <f ca="1">IFERROR(__xludf.DUMMYFUNCTION("IF(SUM(COUNTIF(artists!E:E, SPLIT(D85, "",""))) &gt; 0, ""OTHER"", 0)"),0)</f>
        <v>0</v>
      </c>
    </row>
    <row r="86" spans="1:11" ht="14.25" customHeight="1">
      <c r="A86" s="21">
        <v>85</v>
      </c>
      <c r="B86" s="21">
        <v>82</v>
      </c>
      <c r="C86" s="21" t="s">
        <v>379</v>
      </c>
      <c r="D86" s="21" t="s">
        <v>380</v>
      </c>
      <c r="E86" s="21">
        <v>3</v>
      </c>
      <c r="F86" s="21">
        <v>162578</v>
      </c>
      <c r="G86" s="42">
        <v>2.9000000000000001E-2</v>
      </c>
      <c r="H86" s="21" t="s">
        <v>382</v>
      </c>
      <c r="I86" s="39" t="str">
        <f ca="1">IFERROR(__xludf.DUMMYFUNCTION("IF(SUM(COUNTIF(artists!A:A, SPLIT(D86, "",""))) &gt; 0, ""UA"", 0)"),"UA")</f>
        <v>UA</v>
      </c>
      <c r="J86" s="40">
        <f ca="1">IFERROR(__xludf.DUMMYFUNCTION("IF(SUM(COUNTIF(artists!C:C, SPLIT(D86, "",""))) &gt; 0, ""RU"", 0)"),0)</f>
        <v>0</v>
      </c>
      <c r="K86" s="39">
        <f ca="1">IFERROR(__xludf.DUMMYFUNCTION("IF(SUM(COUNTIF(artists!E:E, SPLIT(D86, "",""))) &gt; 0, ""OTHER"", 0)"),0)</f>
        <v>0</v>
      </c>
    </row>
    <row r="87" spans="1:11" ht="14.25" customHeight="1">
      <c r="A87" s="21">
        <v>86</v>
      </c>
      <c r="C87" s="21" t="s">
        <v>1420</v>
      </c>
      <c r="D87" s="21" t="s">
        <v>1421</v>
      </c>
      <c r="E87" s="21">
        <v>1</v>
      </c>
      <c r="F87" s="21">
        <v>162548</v>
      </c>
      <c r="H87" s="21" t="s">
        <v>1422</v>
      </c>
      <c r="I87" s="39">
        <f ca="1">IFERROR(__xludf.DUMMYFUNCTION("IF(SUM(COUNTIF(artists!A:A, SPLIT(D87, "",""))) &gt; 0, ""UA"", 0)"),0)</f>
        <v>0</v>
      </c>
      <c r="J87" s="40" t="str">
        <f ca="1">IFERROR(__xludf.DUMMYFUNCTION("IF(SUM(COUNTIF(artists!C:C, SPLIT(D87, "",""))) &gt; 0, ""RU"", 0)"),"RU")</f>
        <v>RU</v>
      </c>
      <c r="K87" s="39">
        <f ca="1">IFERROR(__xludf.DUMMYFUNCTION("IF(SUM(COUNTIF(artists!E:E, SPLIT(D87, "",""))) &gt; 0, ""OTHER"", 0)"),0)</f>
        <v>0</v>
      </c>
    </row>
    <row r="88" spans="1:11" ht="14.25" customHeight="1">
      <c r="A88" s="21">
        <v>87</v>
      </c>
      <c r="B88" s="21">
        <v>77</v>
      </c>
      <c r="C88" s="21" t="s">
        <v>1418</v>
      </c>
      <c r="D88" s="21" t="s">
        <v>698</v>
      </c>
      <c r="E88" s="21">
        <v>8</v>
      </c>
      <c r="F88" s="21">
        <v>162482</v>
      </c>
      <c r="G88" s="42">
        <v>8.0000000000000002E-3</v>
      </c>
      <c r="H88" s="21" t="s">
        <v>1419</v>
      </c>
      <c r="I88" s="39">
        <f ca="1">IFERROR(__xludf.DUMMYFUNCTION("IF(SUM(COUNTIF(artists!A:A, SPLIT(D88, "",""))) &gt; 0, ""UA"", 0)"),0)</f>
        <v>0</v>
      </c>
      <c r="J88" s="40" t="str">
        <f ca="1">IFERROR(__xludf.DUMMYFUNCTION("IF(SUM(COUNTIF(artists!C:C, SPLIT(D88, "",""))) &gt; 0, ""RU"", 0)"),"RU")</f>
        <v>RU</v>
      </c>
      <c r="K88" s="39">
        <f ca="1">IFERROR(__xludf.DUMMYFUNCTION("IF(SUM(COUNTIF(artists!E:E, SPLIT(D88, "",""))) &gt; 0, ""OTHER"", 0)"),0)</f>
        <v>0</v>
      </c>
    </row>
    <row r="89" spans="1:11" ht="14.25" customHeight="1">
      <c r="A89" s="21">
        <v>88</v>
      </c>
      <c r="B89" s="21">
        <v>86</v>
      </c>
      <c r="C89" s="21" t="s">
        <v>1416</v>
      </c>
      <c r="D89" s="21" t="s">
        <v>137</v>
      </c>
      <c r="E89" s="21">
        <v>19</v>
      </c>
      <c r="F89" s="21">
        <v>162294</v>
      </c>
      <c r="G89" s="43">
        <v>0.04</v>
      </c>
      <c r="H89" s="21" t="s">
        <v>1417</v>
      </c>
      <c r="I89" s="39" t="str">
        <f ca="1">IFERROR(__xludf.DUMMYFUNCTION("IF(SUM(COUNTIF(artists!A:A, SPLIT(D89, "",""))) &gt; 0, ""UA"", 0)"),"UA")</f>
        <v>UA</v>
      </c>
      <c r="J89" s="40">
        <f ca="1">IFERROR(__xludf.DUMMYFUNCTION("IF(SUM(COUNTIF(artists!C:C, SPLIT(D89, "",""))) &gt; 0, ""RU"", 0)"),0)</f>
        <v>0</v>
      </c>
      <c r="K89" s="39">
        <f ca="1">IFERROR(__xludf.DUMMYFUNCTION("IF(SUM(COUNTIF(artists!E:E, SPLIT(D89, "",""))) &gt; 0, ""OTHER"", 0)"),0)</f>
        <v>0</v>
      </c>
    </row>
    <row r="90" spans="1:11" ht="14.25" customHeight="1">
      <c r="A90" s="21">
        <v>89</v>
      </c>
      <c r="B90" s="21">
        <v>76</v>
      </c>
      <c r="C90" s="21" t="s">
        <v>1236</v>
      </c>
      <c r="D90" s="21" t="s">
        <v>1237</v>
      </c>
      <c r="E90" s="21">
        <v>6</v>
      </c>
      <c r="F90" s="21">
        <v>161541</v>
      </c>
      <c r="G90" s="42">
        <v>-2.4E-2</v>
      </c>
      <c r="H90" s="21" t="s">
        <v>1238</v>
      </c>
      <c r="I90" s="39">
        <f ca="1">IFERROR(__xludf.DUMMYFUNCTION("IF(SUM(COUNTIF(artists!A:A, SPLIT(D90, "",""))) &gt; 0, ""UA"", 0)"),0)</f>
        <v>0</v>
      </c>
      <c r="J90" s="40" t="str">
        <f ca="1">IFERROR(__xludf.DUMMYFUNCTION("IF(SUM(COUNTIF(artists!C:C, SPLIT(D90, "",""))) &gt; 0, ""RU"", 0)"),"RU")</f>
        <v>RU</v>
      </c>
      <c r="K90" s="39">
        <f ca="1">IFERROR(__xludf.DUMMYFUNCTION("IF(SUM(COUNTIF(artists!E:E, SPLIT(D90, "",""))) &gt; 0, ""OTHER"", 0)"),0)</f>
        <v>0</v>
      </c>
    </row>
    <row r="91" spans="1:11" ht="14.25" customHeight="1">
      <c r="A91" s="21">
        <v>90</v>
      </c>
      <c r="B91" s="21">
        <v>58</v>
      </c>
      <c r="C91" s="21" t="s">
        <v>1423</v>
      </c>
      <c r="D91" s="21" t="s">
        <v>1296</v>
      </c>
      <c r="E91" s="21">
        <v>3</v>
      </c>
      <c r="F91" s="21">
        <v>161108</v>
      </c>
      <c r="G91" s="42">
        <v>-0.28699999999999998</v>
      </c>
      <c r="H91" s="21" t="s">
        <v>1424</v>
      </c>
      <c r="I91" s="39">
        <f ca="1">IFERROR(__xludf.DUMMYFUNCTION("IF(SUM(COUNTIF(artists!A:A, SPLIT(D91, "",""))) &gt; 0, ""UA"", 0)"),0)</f>
        <v>0</v>
      </c>
      <c r="J91" s="40" t="str">
        <f ca="1">IFERROR(__xludf.DUMMYFUNCTION("IF(SUM(COUNTIF(artists!C:C, SPLIT(D91, "",""))) &gt; 0, ""RU"", 0)"),"RU")</f>
        <v>RU</v>
      </c>
      <c r="K91" s="39">
        <f ca="1">IFERROR(__xludf.DUMMYFUNCTION("IF(SUM(COUNTIF(artists!E:E, SPLIT(D91, "",""))) &gt; 0, ""OTHER"", 0)"),0)</f>
        <v>0</v>
      </c>
    </row>
    <row r="92" spans="1:11" ht="14.25" customHeight="1">
      <c r="A92" s="21">
        <v>91</v>
      </c>
      <c r="B92" s="21">
        <v>91</v>
      </c>
      <c r="C92" s="21" t="s">
        <v>1308</v>
      </c>
      <c r="D92" s="21" t="s">
        <v>1309</v>
      </c>
      <c r="E92" s="21">
        <v>9</v>
      </c>
      <c r="F92" s="21">
        <v>158308</v>
      </c>
      <c r="G92" s="42">
        <v>5.7000000000000002E-2</v>
      </c>
      <c r="H92" s="21" t="s">
        <v>1310</v>
      </c>
      <c r="I92" s="39" t="str">
        <f ca="1">IFERROR(__xludf.DUMMYFUNCTION("IF(SUM(COUNTIF(artists!A:A, SPLIT(D92, "",""))) &gt; 0, ""UA"", 0)"),"UA")</f>
        <v>UA</v>
      </c>
      <c r="J92" s="40">
        <f ca="1">IFERROR(__xludf.DUMMYFUNCTION("IF(SUM(COUNTIF(artists!C:C, SPLIT(D92, "",""))) &gt; 0, ""RU"", 0)"),0)</f>
        <v>0</v>
      </c>
      <c r="K92" s="39">
        <f ca="1">IFERROR(__xludf.DUMMYFUNCTION("IF(SUM(COUNTIF(artists!E:E, SPLIT(D92, "",""))) &gt; 0, ""OTHER"", 0)"),0)</f>
        <v>0</v>
      </c>
    </row>
    <row r="93" spans="1:11" ht="14.25" customHeight="1">
      <c r="A93" s="21">
        <v>92</v>
      </c>
      <c r="B93" s="21">
        <v>78</v>
      </c>
      <c r="C93" s="21" t="s">
        <v>579</v>
      </c>
      <c r="D93" s="21" t="s">
        <v>183</v>
      </c>
      <c r="E93" s="21">
        <v>5</v>
      </c>
      <c r="F93" s="21">
        <v>156212</v>
      </c>
      <c r="G93" s="42">
        <v>-3.1E-2</v>
      </c>
      <c r="H93" s="21" t="s">
        <v>580</v>
      </c>
      <c r="I93" s="39" t="str">
        <f ca="1">IFERROR(__xludf.DUMMYFUNCTION("IF(SUM(COUNTIF(artists!A:A, SPLIT(D93, "",""))) &gt; 0, ""UA"", 0)"),"UA")</f>
        <v>UA</v>
      </c>
      <c r="J93" s="40">
        <f ca="1">IFERROR(__xludf.DUMMYFUNCTION("IF(SUM(COUNTIF(artists!C:C, SPLIT(D93, "",""))) &gt; 0, ""RU"", 0)"),0)</f>
        <v>0</v>
      </c>
      <c r="K93" s="39">
        <f ca="1">IFERROR(__xludf.DUMMYFUNCTION("IF(SUM(COUNTIF(artists!E:E, SPLIT(D93, "",""))) &gt; 0, ""OTHER"", 0)"),0)</f>
        <v>0</v>
      </c>
    </row>
    <row r="94" spans="1:11" ht="14.25" customHeight="1">
      <c r="A94" s="21">
        <v>93</v>
      </c>
      <c r="B94" s="21">
        <v>84</v>
      </c>
      <c r="C94" s="21" t="s">
        <v>1425</v>
      </c>
      <c r="D94" s="21" t="s">
        <v>1426</v>
      </c>
      <c r="E94" s="21">
        <v>5</v>
      </c>
      <c r="F94" s="21">
        <v>156066</v>
      </c>
      <c r="G94" s="42">
        <v>-8.9999999999999993E-3</v>
      </c>
      <c r="H94" s="21" t="s">
        <v>1427</v>
      </c>
      <c r="I94" s="39" t="str">
        <f ca="1">IFERROR(__xludf.DUMMYFUNCTION("IF(SUM(COUNTIF(artists!A:A, SPLIT(D94, "",""))) &gt; 0, ""UA"", 0)"),"UA")</f>
        <v>UA</v>
      </c>
      <c r="J94" s="40">
        <f ca="1">IFERROR(__xludf.DUMMYFUNCTION("IF(SUM(COUNTIF(artists!C:C, SPLIT(D94, "",""))) &gt; 0, ""RU"", 0)"),0)</f>
        <v>0</v>
      </c>
      <c r="K94" s="39">
        <f ca="1">IFERROR(__xludf.DUMMYFUNCTION("IF(SUM(COUNTIF(artists!E:E, SPLIT(D94, "",""))) &gt; 0, ""OTHER"", 0)"),0)</f>
        <v>0</v>
      </c>
    </row>
    <row r="95" spans="1:11" ht="14.25" customHeight="1">
      <c r="A95" s="21">
        <v>94</v>
      </c>
      <c r="C95" s="21" t="s">
        <v>1247</v>
      </c>
      <c r="D95" s="21" t="s">
        <v>853</v>
      </c>
      <c r="E95" s="21">
        <v>24</v>
      </c>
      <c r="F95" s="21">
        <v>155414</v>
      </c>
      <c r="H95" s="21" t="s">
        <v>1248</v>
      </c>
      <c r="I95" s="39" t="str">
        <f ca="1">IFERROR(__xludf.DUMMYFUNCTION("IF(SUM(COUNTIF(artists!A:A, SPLIT(D95, "",""))) &gt; 0, ""UA"", 0)"),"UA")</f>
        <v>UA</v>
      </c>
      <c r="J95" s="40">
        <f ca="1">IFERROR(__xludf.DUMMYFUNCTION("IF(SUM(COUNTIF(artists!C:C, SPLIT(D95, "",""))) &gt; 0, ""RU"", 0)"),0)</f>
        <v>0</v>
      </c>
      <c r="K95" s="39">
        <f ca="1">IFERROR(__xludf.DUMMYFUNCTION("IF(SUM(COUNTIF(artists!E:E, SPLIT(D95, "",""))) &gt; 0, ""OTHER"", 0)"),0)</f>
        <v>0</v>
      </c>
    </row>
    <row r="96" spans="1:11" ht="14.25" customHeight="1">
      <c r="A96" s="21">
        <v>95</v>
      </c>
      <c r="B96" s="21">
        <v>95</v>
      </c>
      <c r="C96" s="21" t="s">
        <v>1403</v>
      </c>
      <c r="D96" s="21" t="s">
        <v>259</v>
      </c>
      <c r="E96" s="21">
        <v>5</v>
      </c>
      <c r="F96" s="21">
        <v>154928</v>
      </c>
      <c r="G96" s="43">
        <v>7.0000000000000007E-2</v>
      </c>
      <c r="H96" s="21" t="s">
        <v>1404</v>
      </c>
      <c r="I96" s="39" t="str">
        <f ca="1">IFERROR(__xludf.DUMMYFUNCTION("IF(SUM(COUNTIF(artists!A:A, SPLIT(D96, "",""))) &gt; 0, ""UA"", 0)"),"UA")</f>
        <v>UA</v>
      </c>
      <c r="J96" s="40">
        <f ca="1">IFERROR(__xludf.DUMMYFUNCTION("IF(SUM(COUNTIF(artists!C:C, SPLIT(D96, "",""))) &gt; 0, ""RU"", 0)"),0)</f>
        <v>0</v>
      </c>
      <c r="K96" s="39">
        <f ca="1">IFERROR(__xludf.DUMMYFUNCTION("IF(SUM(COUNTIF(artists!E:E, SPLIT(D96, "",""))) &gt; 0, ""OTHER"", 0)"),0)</f>
        <v>0</v>
      </c>
    </row>
    <row r="97" spans="1:11" ht="14.25" customHeight="1">
      <c r="A97" s="21">
        <v>96</v>
      </c>
      <c r="B97" s="21">
        <v>88</v>
      </c>
      <c r="C97" s="21" t="s">
        <v>1428</v>
      </c>
      <c r="D97" s="21" t="s">
        <v>1429</v>
      </c>
      <c r="E97" s="21">
        <v>3</v>
      </c>
      <c r="F97" s="21">
        <v>154008</v>
      </c>
      <c r="G97" s="42">
        <v>-8.0000000000000002E-3</v>
      </c>
      <c r="H97" s="21" t="s">
        <v>1430</v>
      </c>
      <c r="I97" s="39" t="str">
        <f ca="1">IFERROR(__xludf.DUMMYFUNCTION("IF(SUM(COUNTIF(artists!A:A, SPLIT(D97, "",""))) &gt; 0, ""UA"", 0)"),"UA")</f>
        <v>UA</v>
      </c>
      <c r="J97" s="40">
        <f ca="1">IFERROR(__xludf.DUMMYFUNCTION("IF(SUM(COUNTIF(artists!C:C, SPLIT(D97, "",""))) &gt; 0, ""RU"", 0)"),0)</f>
        <v>0</v>
      </c>
      <c r="K97" s="39">
        <f ca="1">IFERROR(__xludf.DUMMYFUNCTION("IF(SUM(COUNTIF(artists!E:E, SPLIT(D97, "",""))) &gt; 0, ""OTHER"", 0)"),0)</f>
        <v>0</v>
      </c>
    </row>
    <row r="98" spans="1:11" ht="14.25" customHeight="1">
      <c r="A98" s="21">
        <v>97</v>
      </c>
      <c r="B98" s="21">
        <v>98</v>
      </c>
      <c r="C98" s="21" t="s">
        <v>1133</v>
      </c>
      <c r="D98" s="21" t="s">
        <v>89</v>
      </c>
      <c r="E98" s="21">
        <v>5</v>
      </c>
      <c r="F98" s="21">
        <v>152755</v>
      </c>
      <c r="G98" s="42">
        <v>7.1999999999999995E-2</v>
      </c>
      <c r="H98" s="21" t="s">
        <v>1134</v>
      </c>
      <c r="I98" s="39" t="str">
        <f ca="1">IFERROR(__xludf.DUMMYFUNCTION("IF(SUM(COUNTIF(artists!A:A, SPLIT(D98, "",""))) &gt; 0, ""UA"", 0)"),"UA")</f>
        <v>UA</v>
      </c>
      <c r="J98" s="40">
        <f ca="1">IFERROR(__xludf.DUMMYFUNCTION("IF(SUM(COUNTIF(artists!C:C, SPLIT(D98, "",""))) &gt; 0, ""RU"", 0)"),0)</f>
        <v>0</v>
      </c>
      <c r="K98" s="39">
        <f ca="1">IFERROR(__xludf.DUMMYFUNCTION("IF(SUM(COUNTIF(artists!E:E, SPLIT(D98, "",""))) &gt; 0, ""OTHER"", 0)"),0)</f>
        <v>0</v>
      </c>
    </row>
    <row r="99" spans="1:11" ht="14.25" customHeight="1">
      <c r="A99" s="21">
        <v>98</v>
      </c>
      <c r="C99" s="21" t="s">
        <v>1316</v>
      </c>
      <c r="D99" s="21" t="s">
        <v>494</v>
      </c>
      <c r="E99" s="21">
        <v>1</v>
      </c>
      <c r="F99" s="21">
        <v>149824</v>
      </c>
      <c r="H99" s="21" t="s">
        <v>1317</v>
      </c>
      <c r="I99" s="39" t="str">
        <f ca="1">IFERROR(__xludf.DUMMYFUNCTION("IF(SUM(COUNTIF(artists!A:A, SPLIT(D99, "",""))) &gt; 0, ""UA"", 0)"),"UA")</f>
        <v>UA</v>
      </c>
      <c r="J99" s="40">
        <f ca="1">IFERROR(__xludf.DUMMYFUNCTION("IF(SUM(COUNTIF(artists!C:C, SPLIT(D99, "",""))) &gt; 0, ""RU"", 0)"),0)</f>
        <v>0</v>
      </c>
      <c r="K99" s="39">
        <f ca="1">IFERROR(__xludf.DUMMYFUNCTION("IF(SUM(COUNTIF(artists!E:E, SPLIT(D99, "",""))) &gt; 0, ""OTHER"", 0)"),0)</f>
        <v>0</v>
      </c>
    </row>
    <row r="100" spans="1:11" ht="14.25" customHeight="1">
      <c r="A100" s="21">
        <v>99</v>
      </c>
      <c r="B100" s="21">
        <v>94</v>
      </c>
      <c r="C100" s="21" t="s">
        <v>1392</v>
      </c>
      <c r="D100" s="21" t="s">
        <v>1393</v>
      </c>
      <c r="E100" s="21">
        <v>18</v>
      </c>
      <c r="F100" s="21">
        <v>148932</v>
      </c>
      <c r="G100" s="42">
        <v>2.1000000000000001E-2</v>
      </c>
      <c r="H100" s="21" t="s">
        <v>1394</v>
      </c>
      <c r="I100" s="39">
        <f ca="1">IFERROR(__xludf.DUMMYFUNCTION("IF(SUM(COUNTIF(artists!A:A, SPLIT(D100, "",""))) &gt; 0, ""UA"", 0)"),0)</f>
        <v>0</v>
      </c>
      <c r="J100" s="40" t="str">
        <f ca="1">IFERROR(__xludf.DUMMYFUNCTION("IF(SUM(COUNTIF(artists!C:C, SPLIT(D100, "",""))) &gt; 0, ""RU"", 0)"),"RU")</f>
        <v>RU</v>
      </c>
      <c r="K100" s="39">
        <f ca="1">IFERROR(__xludf.DUMMYFUNCTION("IF(SUM(COUNTIF(artists!E:E, SPLIT(D100, "",""))) &gt; 0, ""OTHER"", 0)"),0)</f>
        <v>0</v>
      </c>
    </row>
    <row r="101" spans="1:11" ht="14.25" customHeight="1">
      <c r="A101" s="21">
        <v>100</v>
      </c>
      <c r="C101" s="21" t="s">
        <v>505</v>
      </c>
      <c r="D101" s="21" t="s">
        <v>506</v>
      </c>
      <c r="E101" s="21">
        <v>21</v>
      </c>
      <c r="F101" s="21">
        <v>146693</v>
      </c>
      <c r="H101" s="21" t="s">
        <v>507</v>
      </c>
      <c r="I101" s="39">
        <f ca="1">IFERROR(__xludf.DUMMYFUNCTION("IF(SUM(COUNTIF(artists!A:A, SPLIT(D101, "",""))) &gt; 0, ""UA"", 0)"),0)</f>
        <v>0</v>
      </c>
      <c r="J101" s="40">
        <f ca="1">IFERROR(__xludf.DUMMYFUNCTION("IF(SUM(COUNTIF(artists!C:C, SPLIT(D101, "",""))) &gt; 0, ""RU"", 0)"),0)</f>
        <v>0</v>
      </c>
      <c r="K101" s="39" t="str">
        <f ca="1">IFERROR(__xludf.DUMMYFUNCTION("IF(SUM(COUNTIF(artists!E:E, SPLIT(D101, "",""))) &gt; 0, ""OTHER"", 0)"),"OTHER")</f>
        <v>OTHER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63" priority="1">
      <formula>AND($I2=0, $J2=0, $K2=0)</formula>
    </cfRule>
    <cfRule type="expression" dxfId="62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Аркуш32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4" width="8.6640625" customWidth="1"/>
    <col min="5" max="5" width="8.6640625" hidden="1" customWidth="1"/>
    <col min="6" max="6" width="8.6640625" customWidth="1"/>
    <col min="7" max="7" width="13.10937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B2" s="21">
        <v>3</v>
      </c>
      <c r="C2" s="21" t="s">
        <v>202</v>
      </c>
      <c r="D2" s="21" t="s">
        <v>835</v>
      </c>
      <c r="E2" s="21">
        <v>3</v>
      </c>
      <c r="F2" s="21">
        <v>1612773</v>
      </c>
      <c r="G2" s="42">
        <v>0.24199999999999999</v>
      </c>
      <c r="H2" s="21" t="s">
        <v>204</v>
      </c>
      <c r="I2" s="39" t="str">
        <f ca="1">IFERROR(__xludf.DUMMYFUNCTION("IF(SUM(COUNTIF(artists!A:A, SPLIT(D2, "",""))) &gt; 0, ""UA"", 0)"),"UA")</f>
        <v>UA</v>
      </c>
      <c r="J2" s="40">
        <f ca="1">IFERROR(__xludf.DUMMYFUNCTION("IF(SUM(COUNTIF(artists!C:C, SPLIT(D2, "",""))) &gt; 0, ""RU"", 0)"),0)</f>
        <v>0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B3" s="21">
        <v>1</v>
      </c>
      <c r="C3" s="21" t="s">
        <v>145</v>
      </c>
      <c r="D3" s="21" t="s">
        <v>146</v>
      </c>
      <c r="E3" s="21">
        <v>7</v>
      </c>
      <c r="F3" s="21">
        <v>1505960</v>
      </c>
      <c r="G3" s="42">
        <v>-7.1999999999999995E-2</v>
      </c>
      <c r="H3" s="21" t="s">
        <v>148</v>
      </c>
      <c r="I3" s="39" t="str">
        <f ca="1">IFERROR(__xludf.DUMMYFUNCTION("IF(SUM(COUNTIF(artists!A:A, SPLIT(D3, "",""))) &gt; 0, ""UA"", 0)"),"UA")</f>
        <v>UA</v>
      </c>
      <c r="J3" s="40">
        <f ca="1">IFERROR(__xludf.DUMMYFUNCTION("IF(SUM(COUNTIF(artists!C:C, SPLIT(D3, "",""))) &gt; 0, ""RU"", 0)"),0)</f>
        <v>0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C4" s="21" t="s">
        <v>88</v>
      </c>
      <c r="D4" s="21" t="s">
        <v>89</v>
      </c>
      <c r="E4" s="21">
        <v>1</v>
      </c>
      <c r="F4" s="21">
        <v>1445428</v>
      </c>
      <c r="H4" s="21" t="s">
        <v>90</v>
      </c>
      <c r="I4" s="39" t="str">
        <f ca="1">IFERROR(__xludf.DUMMYFUNCTION("IF(SUM(COUNTIF(artists!A:A, SPLIT(D4, "",""))) &gt; 0, ""UA"", 0)"),"UA")</f>
        <v>UA</v>
      </c>
      <c r="J4" s="40">
        <f ca="1">IFERROR(__xludf.DUMMYFUNCTION("IF(SUM(COUNTIF(artists!C:C, SPLIT(D4, "",""))) &gt; 0, ""RU"", 0)"),0)</f>
        <v>0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B5" s="21">
        <v>2</v>
      </c>
      <c r="C5" s="21" t="s">
        <v>115</v>
      </c>
      <c r="D5" s="21" t="s">
        <v>116</v>
      </c>
      <c r="E5" s="21">
        <v>3</v>
      </c>
      <c r="F5" s="21">
        <v>1368862</v>
      </c>
      <c r="G5" s="42">
        <v>-8.6999999999999994E-2</v>
      </c>
      <c r="H5" s="21" t="s">
        <v>117</v>
      </c>
      <c r="I5" s="39" t="str">
        <f ca="1">IFERROR(__xludf.DUMMYFUNCTION("IF(SUM(COUNTIF(artists!A:A, SPLIT(D5, "",""))) &gt; 0, ""UA"", 0)"),"UA")</f>
        <v>UA</v>
      </c>
      <c r="J5" s="40">
        <f ca="1">IFERROR(__xludf.DUMMYFUNCTION("IF(SUM(COUNTIF(artists!C:C, SPLIT(D5, "",""))) &gt; 0, ""RU"", 0)"),0)</f>
        <v>0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B6" s="21">
        <v>5</v>
      </c>
      <c r="C6" s="21" t="s">
        <v>128</v>
      </c>
      <c r="D6" s="21" t="s">
        <v>129</v>
      </c>
      <c r="E6" s="21">
        <v>9</v>
      </c>
      <c r="F6" s="21">
        <v>1240622</v>
      </c>
      <c r="G6" s="42">
        <v>1.6E-2</v>
      </c>
      <c r="H6" s="21" t="s">
        <v>131</v>
      </c>
      <c r="I6" s="39" t="str">
        <f ca="1">IFERROR(__xludf.DUMMYFUNCTION("IF(SUM(COUNTIF(artists!A:A, SPLIT(D6, "",""))) &gt; 0, ""UA"", 0)"),"UA")</f>
        <v>UA</v>
      </c>
      <c r="J6" s="40">
        <f ca="1">IFERROR(__xludf.DUMMYFUNCTION("IF(SUM(COUNTIF(artists!C:C, SPLIT(D6, "",""))) &gt; 0, ""RU"", 0)"),0)</f>
        <v>0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B7" s="21">
        <v>4</v>
      </c>
      <c r="C7" s="21" t="s">
        <v>645</v>
      </c>
      <c r="D7" s="21" t="s">
        <v>352</v>
      </c>
      <c r="E7" s="21">
        <v>26</v>
      </c>
      <c r="F7" s="21">
        <v>1103924</v>
      </c>
      <c r="G7" s="42">
        <v>-9.6000000000000002E-2</v>
      </c>
      <c r="H7" s="21" t="s">
        <v>647</v>
      </c>
      <c r="I7" s="39" t="str">
        <f ca="1">IFERROR(__xludf.DUMMYFUNCTION("IF(SUM(COUNTIF(artists!A:A, SPLIT(D7, "",""))) &gt; 0, ""UA"", 0)"),"UA")</f>
        <v>UA</v>
      </c>
      <c r="J7" s="40">
        <f ca="1">IFERROR(__xludf.DUMMYFUNCTION("IF(SUM(COUNTIF(artists!C:C, SPLIT(D7, "",""))) &gt; 0, ""RU"", 0)"),0)</f>
        <v>0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B8" s="21">
        <v>10</v>
      </c>
      <c r="C8" s="21" t="s">
        <v>149</v>
      </c>
      <c r="D8" s="21" t="s">
        <v>150</v>
      </c>
      <c r="E8" s="21">
        <v>6</v>
      </c>
      <c r="F8" s="21">
        <v>820794</v>
      </c>
      <c r="G8" s="42">
        <v>0.23100000000000001</v>
      </c>
      <c r="H8" s="21" t="s">
        <v>152</v>
      </c>
      <c r="I8" s="39" t="str">
        <f ca="1">IFERROR(__xludf.DUMMYFUNCTION("IF(SUM(COUNTIF(artists!A:A, SPLIT(D8, "",""))) &gt; 0, ""UA"", 0)"),"UA")</f>
        <v>UA</v>
      </c>
      <c r="J8" s="40">
        <f ca="1">IFERROR(__xludf.DUMMYFUNCTION("IF(SUM(COUNTIF(artists!C:C, SPLIT(D8, "",""))) &gt; 0, ""RU"", 0)"),0)</f>
        <v>0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B9" s="21">
        <v>6</v>
      </c>
      <c r="C9" s="21" t="s">
        <v>132</v>
      </c>
      <c r="D9" s="21" t="s">
        <v>133</v>
      </c>
      <c r="E9" s="21">
        <v>13</v>
      </c>
      <c r="F9" s="21">
        <v>744161</v>
      </c>
      <c r="G9" s="42">
        <v>-5.7000000000000002E-2</v>
      </c>
      <c r="H9" s="21" t="s">
        <v>135</v>
      </c>
      <c r="I9" s="39" t="str">
        <f ca="1">IFERROR(__xludf.DUMMYFUNCTION("IF(SUM(COUNTIF(artists!A:A, SPLIT(D9, "",""))) &gt; 0, ""UA"", 0)"),"UA")</f>
        <v>UA</v>
      </c>
      <c r="J9" s="40">
        <f ca="1">IFERROR(__xludf.DUMMYFUNCTION("IF(SUM(COUNTIF(artists!C:C, SPLIT(D9, "",""))) &gt; 0, ""RU"", 0)"),0)</f>
        <v>0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B10" s="21">
        <v>8</v>
      </c>
      <c r="C10" s="21" t="s">
        <v>194</v>
      </c>
      <c r="D10" s="21" t="s">
        <v>195</v>
      </c>
      <c r="E10" s="21">
        <v>16</v>
      </c>
      <c r="F10" s="21">
        <v>705734</v>
      </c>
      <c r="G10" s="42">
        <v>-1.7000000000000001E-2</v>
      </c>
      <c r="H10" s="21" t="s">
        <v>197</v>
      </c>
      <c r="I10" s="39" t="str">
        <f ca="1">IFERROR(__xludf.DUMMYFUNCTION("IF(SUM(COUNTIF(artists!A:A, SPLIT(D10, "",""))) &gt; 0, ""UA"", 0)"),"UA")</f>
        <v>UA</v>
      </c>
      <c r="J10" s="40">
        <f ca="1">IFERROR(__xludf.DUMMYFUNCTION("IF(SUM(COUNTIF(artists!C:C, SPLIT(D10, "",""))) &gt; 0, ""RU"", 0)"),0)</f>
        <v>0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B11" s="21">
        <v>9</v>
      </c>
      <c r="C11" s="21" t="s">
        <v>209</v>
      </c>
      <c r="D11" s="21" t="s">
        <v>210</v>
      </c>
      <c r="E11" s="21">
        <v>6</v>
      </c>
      <c r="F11" s="21">
        <v>669990</v>
      </c>
      <c r="G11" s="42">
        <v>-3.7999999999999999E-2</v>
      </c>
      <c r="H11" s="21" t="s">
        <v>212</v>
      </c>
      <c r="I11" s="39" t="str">
        <f ca="1">IFERROR(__xludf.DUMMYFUNCTION("IF(SUM(COUNTIF(artists!A:A, SPLIT(D11, "",""))) &gt; 0, ""UA"", 0)"),"UA")</f>
        <v>UA</v>
      </c>
      <c r="J11" s="40">
        <f ca="1">IFERROR(__xludf.DUMMYFUNCTION("IF(SUM(COUNTIF(artists!C:C, SPLIT(D11, "",""))) &gt; 0, ""RU"", 0)"),0)</f>
        <v>0</v>
      </c>
      <c r="K11" s="39">
        <f ca="1">IFERROR(__xludf.DUMMYFUNCTION("IF(SUM(COUNTIF(artists!E:E, SPLIT(D11, "",""))) &gt; 0, ""OTHER"", 0)"),0)</f>
        <v>0</v>
      </c>
    </row>
    <row r="12" spans="1:11" ht="14.25" customHeight="1">
      <c r="A12" s="21">
        <v>11</v>
      </c>
      <c r="B12" s="21">
        <v>13</v>
      </c>
      <c r="C12" s="21" t="s">
        <v>462</v>
      </c>
      <c r="D12" s="21" t="s">
        <v>463</v>
      </c>
      <c r="E12" s="21">
        <v>4</v>
      </c>
      <c r="F12" s="21">
        <v>654102</v>
      </c>
      <c r="G12" s="42">
        <v>4.7E-2</v>
      </c>
      <c r="H12" s="21" t="s">
        <v>465</v>
      </c>
      <c r="I12" s="39" t="str">
        <f ca="1">IFERROR(__xludf.DUMMYFUNCTION("IF(SUM(COUNTIF(artists!A:A, SPLIT(D12, "",""))) &gt; 0, ""UA"", 0)"),"UA")</f>
        <v>UA</v>
      </c>
      <c r="J12" s="40">
        <f ca="1">IFERROR(__xludf.DUMMYFUNCTION("IF(SUM(COUNTIF(artists!C:C, SPLIT(D12, "",""))) &gt; 0, ""RU"", 0)"),0)</f>
        <v>0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B13" s="21">
        <v>11</v>
      </c>
      <c r="C13" s="21" t="s">
        <v>171</v>
      </c>
      <c r="D13" s="21" t="s">
        <v>172</v>
      </c>
      <c r="E13" s="21">
        <v>8</v>
      </c>
      <c r="F13" s="21">
        <v>652251</v>
      </c>
      <c r="G13" s="42">
        <v>-8.0000000000000002E-3</v>
      </c>
      <c r="H13" s="21" t="s">
        <v>174</v>
      </c>
      <c r="I13" s="39">
        <f ca="1">IFERROR(__xludf.DUMMYFUNCTION("IF(SUM(COUNTIF(artists!A:A, SPLIT(D13, "",""))) &gt; 0, ""UA"", 0)"),0)</f>
        <v>0</v>
      </c>
      <c r="J13" s="40" t="str">
        <f ca="1">IFERROR(__xludf.DUMMYFUNCTION("IF(SUM(COUNTIF(artists!C:C, SPLIT(D13, "",""))) &gt; 0, ""RU"", 0)"),"RU")</f>
        <v>RU</v>
      </c>
      <c r="K13" s="39">
        <f ca="1">IFERROR(__xludf.DUMMYFUNCTION("IF(SUM(COUNTIF(artists!E:E, SPLIT(D13, "",""))) &gt; 0, ""OTHER"", 0)"),0)</f>
        <v>0</v>
      </c>
    </row>
    <row r="14" spans="1:11" ht="14.25" customHeight="1">
      <c r="A14" s="21">
        <v>13</v>
      </c>
      <c r="B14" s="21">
        <v>16</v>
      </c>
      <c r="C14" s="21" t="s">
        <v>175</v>
      </c>
      <c r="D14" s="21" t="s">
        <v>89</v>
      </c>
      <c r="E14" s="21">
        <v>13</v>
      </c>
      <c r="F14" s="21">
        <v>635102</v>
      </c>
      <c r="G14" s="42">
        <v>0.14699999999999999</v>
      </c>
      <c r="H14" s="21" t="s">
        <v>177</v>
      </c>
      <c r="I14" s="39" t="str">
        <f ca="1">IFERROR(__xludf.DUMMYFUNCTION("IF(SUM(COUNTIF(artists!A:A, SPLIT(D14, "",""))) &gt; 0, ""UA"", 0)"),"UA")</f>
        <v>UA</v>
      </c>
      <c r="J14" s="40">
        <f ca="1">IFERROR(__xludf.DUMMYFUNCTION("IF(SUM(COUNTIF(artists!C:C, SPLIT(D14, "",""))) &gt; 0, ""RU"", 0)"),0)</f>
        <v>0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B15" s="21">
        <v>7</v>
      </c>
      <c r="C15" s="21" t="s">
        <v>921</v>
      </c>
      <c r="D15" s="21" t="s">
        <v>922</v>
      </c>
      <c r="E15" s="21">
        <v>5</v>
      </c>
      <c r="F15" s="21">
        <v>594367</v>
      </c>
      <c r="G15" s="42">
        <v>-0.18099999999999999</v>
      </c>
      <c r="H15" s="21" t="s">
        <v>923</v>
      </c>
      <c r="I15" s="39" t="str">
        <f ca="1">IFERROR(__xludf.DUMMYFUNCTION("IF(SUM(COUNTIF(artists!A:A, SPLIT(D15, "",""))) &gt; 0, ""UA"", 0)"),"UA")</f>
        <v>UA</v>
      </c>
      <c r="J15" s="40">
        <f ca="1">IFERROR(__xludf.DUMMYFUNCTION("IF(SUM(COUNTIF(artists!C:C, SPLIT(D15, "",""))) &gt; 0, ""RU"", 0)"),0)</f>
        <v>0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B16" s="21">
        <v>31</v>
      </c>
      <c r="C16" s="21" t="s">
        <v>1398</v>
      </c>
      <c r="D16" s="21" t="s">
        <v>409</v>
      </c>
      <c r="E16" s="21">
        <v>2</v>
      </c>
      <c r="F16" s="21">
        <v>592478</v>
      </c>
      <c r="G16" s="42">
        <v>0.63500000000000001</v>
      </c>
      <c r="H16" s="21" t="s">
        <v>1399</v>
      </c>
      <c r="I16" s="39" t="str">
        <f ca="1">IFERROR(__xludf.DUMMYFUNCTION("IF(SUM(COUNTIF(artists!A:A, SPLIT(D16, "",""))) &gt; 0, ""UA"", 0)"),"UA")</f>
        <v>UA</v>
      </c>
      <c r="J16" s="40">
        <f ca="1">IFERROR(__xludf.DUMMYFUNCTION("IF(SUM(COUNTIF(artists!C:C, SPLIT(D16, "",""))) &gt; 0, ""RU"", 0)"),0)</f>
        <v>0</v>
      </c>
      <c r="K16" s="39">
        <f ca="1">IFERROR(__xludf.DUMMYFUNCTION("IF(SUM(COUNTIF(artists!E:E, SPLIT(D16, "",""))) &gt; 0, ""OTHER"", 0)"),0)</f>
        <v>0</v>
      </c>
    </row>
    <row r="17" spans="1:11" ht="14.25" customHeight="1">
      <c r="A17" s="21">
        <v>16</v>
      </c>
      <c r="B17" s="21">
        <v>14</v>
      </c>
      <c r="C17" s="21" t="s">
        <v>229</v>
      </c>
      <c r="D17" s="21" t="s">
        <v>230</v>
      </c>
      <c r="E17" s="21">
        <v>20</v>
      </c>
      <c r="F17" s="21">
        <v>553942</v>
      </c>
      <c r="G17" s="42">
        <v>-5.2999999999999999E-2</v>
      </c>
      <c r="H17" s="21" t="s">
        <v>232</v>
      </c>
      <c r="I17" s="39" t="str">
        <f ca="1">IFERROR(__xludf.DUMMYFUNCTION("IF(SUM(COUNTIF(artists!A:A, SPLIT(D17, "",""))) &gt; 0, ""UA"", 0)"),"UA")</f>
        <v>UA</v>
      </c>
      <c r="J17" s="40">
        <f ca="1">IFERROR(__xludf.DUMMYFUNCTION("IF(SUM(COUNTIF(artists!C:C, SPLIT(D17, "",""))) &gt; 0, ""RU"", 0)"),0)</f>
        <v>0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B18" s="21">
        <v>17</v>
      </c>
      <c r="C18" s="21" t="s">
        <v>1431</v>
      </c>
      <c r="D18" s="21" t="s">
        <v>969</v>
      </c>
      <c r="E18" s="21">
        <v>41</v>
      </c>
      <c r="F18" s="21">
        <v>548402</v>
      </c>
      <c r="G18" s="42">
        <v>1.7000000000000001E-2</v>
      </c>
      <c r="H18" s="21" t="s">
        <v>1432</v>
      </c>
      <c r="I18" s="39" t="str">
        <f ca="1">IFERROR(__xludf.DUMMYFUNCTION("IF(SUM(COUNTIF(artists!A:A, SPLIT(D18, "",""))) &gt; 0, ""UA"", 0)"),"UA")</f>
        <v>UA</v>
      </c>
      <c r="J18" s="40">
        <f ca="1">IFERROR(__xludf.DUMMYFUNCTION("IF(SUM(COUNTIF(artists!C:C, SPLIT(D18, "",""))) &gt; 0, ""RU"", 0)"),0)</f>
        <v>0</v>
      </c>
      <c r="K18" s="39">
        <f ca="1">IFERROR(__xludf.DUMMYFUNCTION("IF(SUM(COUNTIF(artists!E:E, SPLIT(D18, "",""))) &gt; 0, ""OTHER"", 0)"),0)</f>
        <v>0</v>
      </c>
    </row>
    <row r="19" spans="1:11" ht="14.25" customHeight="1">
      <c r="A19" s="21">
        <v>18</v>
      </c>
      <c r="B19" s="21">
        <v>19</v>
      </c>
      <c r="C19" s="21" t="s">
        <v>186</v>
      </c>
      <c r="D19" s="21" t="s">
        <v>187</v>
      </c>
      <c r="E19" s="21">
        <v>17</v>
      </c>
      <c r="F19" s="21">
        <v>546211</v>
      </c>
      <c r="G19" s="43">
        <v>0.08</v>
      </c>
      <c r="H19" s="21" t="s">
        <v>189</v>
      </c>
      <c r="I19" s="39" t="str">
        <f ca="1">IFERROR(__xludf.DUMMYFUNCTION("IF(SUM(COUNTIF(artists!A:A, SPLIT(D19, "",""))) &gt; 0, ""UA"", 0)"),"UA")</f>
        <v>UA</v>
      </c>
      <c r="J19" s="40">
        <f ca="1">IFERROR(__xludf.DUMMYFUNCTION("IF(SUM(COUNTIF(artists!C:C, SPLIT(D19, "",""))) &gt; 0, ""RU"", 0)"),0)</f>
        <v>0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B20" s="21">
        <v>12</v>
      </c>
      <c r="C20" s="21" t="s">
        <v>255</v>
      </c>
      <c r="D20" s="21" t="s">
        <v>256</v>
      </c>
      <c r="E20" s="21">
        <v>3</v>
      </c>
      <c r="F20" s="21">
        <v>512742</v>
      </c>
      <c r="G20" s="42">
        <v>-0.20300000000000001</v>
      </c>
      <c r="H20" s="21" t="s">
        <v>257</v>
      </c>
      <c r="I20" s="39" t="str">
        <f ca="1">IFERROR(__xludf.DUMMYFUNCTION("IF(SUM(COUNTIF(artists!A:A, SPLIT(D20, "",""))) &gt; 0, ""UA"", 0)"),"UA")</f>
        <v>UA</v>
      </c>
      <c r="J20" s="40">
        <f ca="1">IFERROR(__xludf.DUMMYFUNCTION("IF(SUM(COUNTIF(artists!C:C, SPLIT(D20, "",""))) &gt; 0, ""RU"", 0)"),0)</f>
        <v>0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B21" s="21">
        <v>21</v>
      </c>
      <c r="C21" s="21" t="s">
        <v>968</v>
      </c>
      <c r="D21" s="21" t="s">
        <v>969</v>
      </c>
      <c r="E21" s="21">
        <v>33</v>
      </c>
      <c r="F21" s="21">
        <v>493756</v>
      </c>
      <c r="G21" s="42">
        <v>6.0999999999999999E-2</v>
      </c>
      <c r="H21" s="21" t="s">
        <v>970</v>
      </c>
      <c r="I21" s="39" t="str">
        <f ca="1">IFERROR(__xludf.DUMMYFUNCTION("IF(SUM(COUNTIF(artists!A:A, SPLIT(D21, "",""))) &gt; 0, ""UA"", 0)"),"UA")</f>
        <v>UA</v>
      </c>
      <c r="J21" s="40">
        <f ca="1">IFERROR(__xludf.DUMMYFUNCTION("IF(SUM(COUNTIF(artists!C:C, SPLIT(D21, "",""))) &gt; 0, ""RU"", 0)"),0)</f>
        <v>0</v>
      </c>
      <c r="K21" s="39">
        <f ca="1">IFERROR(__xludf.DUMMYFUNCTION("IF(SUM(COUNTIF(artists!E:E, SPLIT(D21, "",""))) &gt; 0, ""OTHER"", 0)"),0)</f>
        <v>0</v>
      </c>
    </row>
    <row r="22" spans="1:11" ht="14.25" customHeight="1">
      <c r="A22" s="21">
        <v>21</v>
      </c>
      <c r="B22" s="21">
        <v>23</v>
      </c>
      <c r="C22" s="21" t="s">
        <v>799</v>
      </c>
      <c r="D22" s="21" t="s">
        <v>494</v>
      </c>
      <c r="E22" s="21">
        <v>22</v>
      </c>
      <c r="F22" s="21">
        <v>484043</v>
      </c>
      <c r="G22" s="42">
        <v>5.2999999999999999E-2</v>
      </c>
      <c r="H22" s="21" t="s">
        <v>800</v>
      </c>
      <c r="I22" s="39" t="str">
        <f ca="1">IFERROR(__xludf.DUMMYFUNCTION("IF(SUM(COUNTIF(artists!A:A, SPLIT(D22, "",""))) &gt; 0, ""UA"", 0)"),"UA")</f>
        <v>UA</v>
      </c>
      <c r="J22" s="40">
        <f ca="1">IFERROR(__xludf.DUMMYFUNCTION("IF(SUM(COUNTIF(artists!C:C, SPLIT(D22, "",""))) &gt; 0, ""RU"", 0)"),0)</f>
        <v>0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B23" s="21">
        <v>18</v>
      </c>
      <c r="C23" s="21" t="s">
        <v>182</v>
      </c>
      <c r="D23" s="21" t="s">
        <v>183</v>
      </c>
      <c r="E23" s="21">
        <v>9</v>
      </c>
      <c r="F23" s="21">
        <v>453934</v>
      </c>
      <c r="G23" s="42">
        <v>-0.10299999999999999</v>
      </c>
      <c r="H23" s="21" t="s">
        <v>185</v>
      </c>
      <c r="I23" s="39" t="str">
        <f ca="1">IFERROR(__xludf.DUMMYFUNCTION("IF(SUM(COUNTIF(artists!A:A, SPLIT(D23, "",""))) &gt; 0, ""UA"", 0)"),"UA")</f>
        <v>UA</v>
      </c>
      <c r="J23" s="40">
        <f ca="1">IFERROR(__xludf.DUMMYFUNCTION("IF(SUM(COUNTIF(artists!C:C, SPLIT(D23, "",""))) &gt; 0, ""RU"", 0)"),0)</f>
        <v>0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B24" s="21">
        <v>15</v>
      </c>
      <c r="C24" s="21" t="s">
        <v>706</v>
      </c>
      <c r="D24" s="21" t="s">
        <v>199</v>
      </c>
      <c r="E24" s="21">
        <v>9</v>
      </c>
      <c r="F24" s="21">
        <v>445341</v>
      </c>
      <c r="G24" s="42">
        <v>-0.20599999999999999</v>
      </c>
      <c r="H24" s="21" t="s">
        <v>1126</v>
      </c>
      <c r="I24" s="39" t="str">
        <f ca="1">IFERROR(__xludf.DUMMYFUNCTION("IF(SUM(COUNTIF(artists!A:A, SPLIT(D24, "",""))) &gt; 0, ""UA"", 0)"),"UA")</f>
        <v>UA</v>
      </c>
      <c r="J24" s="40">
        <f ca="1">IFERROR(__xludf.DUMMYFUNCTION("IF(SUM(COUNTIF(artists!C:C, SPLIT(D24, "",""))) &gt; 0, ""RU"", 0)"),0)</f>
        <v>0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B25" s="21">
        <v>22</v>
      </c>
      <c r="C25" s="21" t="s">
        <v>895</v>
      </c>
      <c r="D25" s="21" t="s">
        <v>896</v>
      </c>
      <c r="E25" s="21">
        <v>25</v>
      </c>
      <c r="F25" s="21">
        <v>440666</v>
      </c>
      <c r="G25" s="42">
        <v>-5.0999999999999997E-2</v>
      </c>
      <c r="H25" s="21" t="s">
        <v>897</v>
      </c>
      <c r="I25" s="39" t="str">
        <f ca="1">IFERROR(__xludf.DUMMYFUNCTION("IF(SUM(COUNTIF(artists!A:A, SPLIT(D25, "",""))) &gt; 0, ""UA"", 0)"),"UA")</f>
        <v>UA</v>
      </c>
      <c r="J25" s="40">
        <f ca="1">IFERROR(__xludf.DUMMYFUNCTION("IF(SUM(COUNTIF(artists!C:C, SPLIT(D25, "",""))) &gt; 0, ""RU"", 0)"),0)</f>
        <v>0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B26" s="21">
        <v>29</v>
      </c>
      <c r="C26" s="21" t="s">
        <v>160</v>
      </c>
      <c r="D26" s="21" t="s">
        <v>161</v>
      </c>
      <c r="E26" s="21">
        <v>7</v>
      </c>
      <c r="F26" s="21">
        <v>428698</v>
      </c>
      <c r="G26" s="42">
        <v>0.13200000000000001</v>
      </c>
      <c r="H26" s="21" t="s">
        <v>163</v>
      </c>
      <c r="I26" s="39" t="str">
        <f ca="1">IFERROR(__xludf.DUMMYFUNCTION("IF(SUM(COUNTIF(artists!A:A, SPLIT(D26, "",""))) &gt; 0, ""UA"", 0)"),"UA")</f>
        <v>UA</v>
      </c>
      <c r="J26" s="40">
        <f ca="1">IFERROR(__xludf.DUMMYFUNCTION("IF(SUM(COUNTIF(artists!C:C, SPLIT(D26, "",""))) &gt; 0, ""RU"", 0)"),0)</f>
        <v>0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B27" s="21">
        <v>20</v>
      </c>
      <c r="C27" s="21" t="s">
        <v>929</v>
      </c>
      <c r="D27" s="21" t="s">
        <v>930</v>
      </c>
      <c r="E27" s="21">
        <v>6</v>
      </c>
      <c r="F27" s="21">
        <v>419752</v>
      </c>
      <c r="G27" s="42">
        <v>-0.14499999999999999</v>
      </c>
      <c r="H27" s="21" t="s">
        <v>931</v>
      </c>
      <c r="I27" s="39" t="str">
        <f ca="1">IFERROR(__xludf.DUMMYFUNCTION("IF(SUM(COUNTIF(artists!A:A, SPLIT(D27, "",""))) &gt; 0, ""UA"", 0)"),"UA")</f>
        <v>UA</v>
      </c>
      <c r="J27" s="40">
        <f ca="1">IFERROR(__xludf.DUMMYFUNCTION("IF(SUM(COUNTIF(artists!C:C, SPLIT(D27, "",""))) &gt; 0, ""RU"", 0)"),0)</f>
        <v>0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B28" s="21">
        <v>25</v>
      </c>
      <c r="C28" s="21" t="s">
        <v>1089</v>
      </c>
      <c r="D28" s="21" t="s">
        <v>125</v>
      </c>
      <c r="E28" s="21">
        <v>3</v>
      </c>
      <c r="F28" s="21">
        <v>412128</v>
      </c>
      <c r="G28" s="42">
        <v>1.7999999999999999E-2</v>
      </c>
      <c r="H28" s="21" t="s">
        <v>1090</v>
      </c>
      <c r="I28" s="39">
        <f ca="1">IFERROR(__xludf.DUMMYFUNCTION("IF(SUM(COUNTIF(artists!A:A, SPLIT(D28, "",""))) &gt; 0, ""UA"", 0)"),0)</f>
        <v>0</v>
      </c>
      <c r="J28" s="40" t="str">
        <f ca="1">IFERROR(__xludf.DUMMYFUNCTION("IF(SUM(COUNTIF(artists!C:C, SPLIT(D28, "",""))) &gt; 0, ""RU"", 0)"),"RU")</f>
        <v>RU</v>
      </c>
      <c r="K28" s="39">
        <f ca="1">IFERROR(__xludf.DUMMYFUNCTION("IF(SUM(COUNTIF(artists!E:E, SPLIT(D28, "",""))) &gt; 0, ""OTHER"", 0)"),0)</f>
        <v>0</v>
      </c>
    </row>
    <row r="29" spans="1:11" ht="14.25" customHeight="1">
      <c r="A29" s="21">
        <v>28</v>
      </c>
      <c r="B29" s="21">
        <v>24</v>
      </c>
      <c r="C29" s="21" t="s">
        <v>168</v>
      </c>
      <c r="D29" s="21" t="s">
        <v>137</v>
      </c>
      <c r="E29" s="21">
        <v>4</v>
      </c>
      <c r="F29" s="21">
        <v>408252</v>
      </c>
      <c r="G29" s="42">
        <v>-6.3E-2</v>
      </c>
      <c r="H29" s="21" t="s">
        <v>170</v>
      </c>
      <c r="I29" s="39" t="str">
        <f ca="1">IFERROR(__xludf.DUMMYFUNCTION("IF(SUM(COUNTIF(artists!A:A, SPLIT(D29, "",""))) &gt; 0, ""UA"", 0)"),"UA")</f>
        <v>UA</v>
      </c>
      <c r="J29" s="40">
        <f ca="1">IFERROR(__xludf.DUMMYFUNCTION("IF(SUM(COUNTIF(artists!C:C, SPLIT(D29, "",""))) &gt; 0, ""RU"", 0)"),0)</f>
        <v>0</v>
      </c>
      <c r="K29" s="39">
        <f ca="1">IFERROR(__xludf.DUMMYFUNCTION("IF(SUM(COUNTIF(artists!E:E, SPLIT(D29, "",""))) &gt; 0, ""OTHER"", 0)"),0)</f>
        <v>0</v>
      </c>
    </row>
    <row r="30" spans="1:11" ht="14.25" customHeight="1">
      <c r="A30" s="21">
        <v>29</v>
      </c>
      <c r="B30" s="21">
        <v>26</v>
      </c>
      <c r="C30" s="21" t="s">
        <v>178</v>
      </c>
      <c r="D30" s="21" t="s">
        <v>179</v>
      </c>
      <c r="E30" s="21">
        <v>17</v>
      </c>
      <c r="F30" s="21">
        <v>382705</v>
      </c>
      <c r="G30" s="42">
        <v>-3.5999999999999997E-2</v>
      </c>
      <c r="H30" s="21" t="s">
        <v>181</v>
      </c>
      <c r="I30" s="39" t="str">
        <f ca="1">IFERROR(__xludf.DUMMYFUNCTION("IF(SUM(COUNTIF(artists!A:A, SPLIT(D30, "",""))) &gt; 0, ""UA"", 0)"),"UA")</f>
        <v>UA</v>
      </c>
      <c r="J30" s="40">
        <f ca="1">IFERROR(__xludf.DUMMYFUNCTION("IF(SUM(COUNTIF(artists!C:C, SPLIT(D30, "",""))) &gt; 0, ""RU"", 0)"),0)</f>
        <v>0</v>
      </c>
      <c r="K30" s="39">
        <f ca="1">IFERROR(__xludf.DUMMYFUNCTION("IF(SUM(COUNTIF(artists!E:E, SPLIT(D30, "",""))) &gt; 0, ""OTHER"", 0)"),0)</f>
        <v>0</v>
      </c>
    </row>
    <row r="31" spans="1:11" ht="14.25" customHeight="1">
      <c r="A31" s="21">
        <v>30</v>
      </c>
      <c r="B31" s="21">
        <v>33</v>
      </c>
      <c r="C31" s="21" t="s">
        <v>1327</v>
      </c>
      <c r="D31" s="21" t="s">
        <v>89</v>
      </c>
      <c r="E31" s="21">
        <v>42</v>
      </c>
      <c r="F31" s="21">
        <v>375127</v>
      </c>
      <c r="G31" s="42">
        <v>5.1999999999999998E-2</v>
      </c>
      <c r="H31" s="21" t="s">
        <v>1328</v>
      </c>
      <c r="I31" s="39" t="str">
        <f ca="1">IFERROR(__xludf.DUMMYFUNCTION("IF(SUM(COUNTIF(artists!A:A, SPLIT(D31, "",""))) &gt; 0, ""UA"", 0)"),"UA")</f>
        <v>UA</v>
      </c>
      <c r="J31" s="40">
        <f ca="1">IFERROR(__xludf.DUMMYFUNCTION("IF(SUM(COUNTIF(artists!C:C, SPLIT(D31, "",""))) &gt; 0, ""RU"", 0)"),0)</f>
        <v>0</v>
      </c>
      <c r="K31" s="39">
        <f ca="1">IFERROR(__xludf.DUMMYFUNCTION("IF(SUM(COUNTIF(artists!E:E, SPLIT(D31, "",""))) &gt; 0, ""OTHER"", 0)"),0)</f>
        <v>0</v>
      </c>
    </row>
    <row r="32" spans="1:11" ht="14.25" customHeight="1">
      <c r="A32" s="21">
        <v>31</v>
      </c>
      <c r="B32" s="21">
        <v>66</v>
      </c>
      <c r="C32" s="21" t="s">
        <v>903</v>
      </c>
      <c r="D32" s="21" t="s">
        <v>904</v>
      </c>
      <c r="E32" s="21">
        <v>5</v>
      </c>
      <c r="F32" s="21">
        <v>365306</v>
      </c>
      <c r="G32" s="42">
        <v>0.80300000000000005</v>
      </c>
      <c r="H32" s="21" t="s">
        <v>905</v>
      </c>
      <c r="I32" s="39" t="str">
        <f ca="1">IFERROR(__xludf.DUMMYFUNCTION("IF(SUM(COUNTIF(artists!A:A, SPLIT(D32, "",""))) &gt; 0, ""UA"", 0)"),"UA")</f>
        <v>UA</v>
      </c>
      <c r="J32" s="40">
        <f ca="1">IFERROR(__xludf.DUMMYFUNCTION("IF(SUM(COUNTIF(artists!C:C, SPLIT(D32, "",""))) &gt; 0, ""RU"", 0)"),0)</f>
        <v>0</v>
      </c>
      <c r="K32" s="39">
        <f ca="1">IFERROR(__xludf.DUMMYFUNCTION("IF(SUM(COUNTIF(artists!E:E, SPLIT(D32, "",""))) &gt; 0, ""OTHER"", 0)"),0)</f>
        <v>0</v>
      </c>
    </row>
    <row r="33" spans="1:11" ht="14.25" customHeight="1">
      <c r="A33" s="21">
        <v>32</v>
      </c>
      <c r="B33" s="21">
        <v>28</v>
      </c>
      <c r="C33" s="21" t="s">
        <v>1175</v>
      </c>
      <c r="D33" s="21" t="s">
        <v>1176</v>
      </c>
      <c r="E33" s="21">
        <v>4</v>
      </c>
      <c r="F33" s="21">
        <v>363761</v>
      </c>
      <c r="G33" s="42">
        <v>-4.4999999999999998E-2</v>
      </c>
      <c r="H33" s="21" t="s">
        <v>1177</v>
      </c>
      <c r="I33" s="39">
        <f ca="1">IFERROR(__xludf.DUMMYFUNCTION("IF(SUM(COUNTIF(artists!A:A, SPLIT(D33, "",""))) &gt; 0, ""UA"", 0)"),0)</f>
        <v>0</v>
      </c>
      <c r="J33" s="40" t="str">
        <f ca="1">IFERROR(__xludf.DUMMYFUNCTION("IF(SUM(COUNTIF(artists!C:C, SPLIT(D33, "",""))) &gt; 0, ""RU"", 0)"),"RU")</f>
        <v>RU</v>
      </c>
      <c r="K33" s="39">
        <f ca="1">IFERROR(__xludf.DUMMYFUNCTION("IF(SUM(COUNTIF(artists!E:E, SPLIT(D33, "",""))) &gt; 0, ""OTHER"", 0)"),0)</f>
        <v>0</v>
      </c>
    </row>
    <row r="34" spans="1:11" ht="14.25" customHeight="1">
      <c r="A34" s="21">
        <v>33</v>
      </c>
      <c r="B34" s="21">
        <v>27</v>
      </c>
      <c r="C34" s="21" t="s">
        <v>1178</v>
      </c>
      <c r="D34" s="21" t="s">
        <v>1117</v>
      </c>
      <c r="E34" s="21">
        <v>9</v>
      </c>
      <c r="F34" s="21">
        <v>352428</v>
      </c>
      <c r="G34" s="42">
        <v>-8.5000000000000006E-2</v>
      </c>
      <c r="H34" s="21" t="s">
        <v>1179</v>
      </c>
      <c r="I34" s="39">
        <f ca="1">IFERROR(__xludf.DUMMYFUNCTION("IF(SUM(COUNTIF(artists!A:A, SPLIT(D34, "",""))) &gt; 0, ""UA"", 0)"),0)</f>
        <v>0</v>
      </c>
      <c r="J34" s="40" t="str">
        <f ca="1">IFERROR(__xludf.DUMMYFUNCTION("IF(SUM(COUNTIF(artists!C:C, SPLIT(D34, "",""))) &gt; 0, ""RU"", 0)"),"RU")</f>
        <v>RU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B35" s="21">
        <v>30</v>
      </c>
      <c r="C35" s="21" t="s">
        <v>1010</v>
      </c>
      <c r="D35" s="21" t="s">
        <v>1011</v>
      </c>
      <c r="E35" s="21">
        <v>14</v>
      </c>
      <c r="F35" s="21">
        <v>348197</v>
      </c>
      <c r="G35" s="42">
        <v>-6.0999999999999999E-2</v>
      </c>
      <c r="H35" s="21" t="s">
        <v>1012</v>
      </c>
      <c r="I35" s="39" t="str">
        <f ca="1">IFERROR(__xludf.DUMMYFUNCTION("IF(SUM(COUNTIF(artists!A:A, SPLIT(D35, "",""))) &gt; 0, ""UA"", 0)"),"UA")</f>
        <v>UA</v>
      </c>
      <c r="J35" s="40">
        <f ca="1">IFERROR(__xludf.DUMMYFUNCTION("IF(SUM(COUNTIF(artists!C:C, SPLIT(D35, "",""))) &gt; 0, ""RU"", 0)"),0)</f>
        <v>0</v>
      </c>
      <c r="K35" s="39">
        <f ca="1">IFERROR(__xludf.DUMMYFUNCTION("IF(SUM(COUNTIF(artists!E:E, SPLIT(D35, "",""))) &gt; 0, ""OTHER"", 0)"),0)</f>
        <v>0</v>
      </c>
    </row>
    <row r="36" spans="1:11" ht="14.25" customHeight="1">
      <c r="A36" s="21">
        <v>35</v>
      </c>
      <c r="B36" s="21">
        <v>32</v>
      </c>
      <c r="C36" s="21" t="s">
        <v>1187</v>
      </c>
      <c r="D36" s="21" t="s">
        <v>1188</v>
      </c>
      <c r="E36" s="21">
        <v>4</v>
      </c>
      <c r="F36" s="21">
        <v>335074</v>
      </c>
      <c r="G36" s="42">
        <v>-6.4000000000000001E-2</v>
      </c>
      <c r="H36" s="21" t="s">
        <v>1189</v>
      </c>
      <c r="I36" s="39" t="str">
        <f ca="1">IFERROR(__xludf.DUMMYFUNCTION("IF(SUM(COUNTIF(artists!A:A, SPLIT(D36, "",""))) &gt; 0, ""UA"", 0)"),"UA")</f>
        <v>UA</v>
      </c>
      <c r="J36" s="40">
        <f ca="1">IFERROR(__xludf.DUMMYFUNCTION("IF(SUM(COUNTIF(artists!C:C, SPLIT(D36, "",""))) &gt; 0, ""RU"", 0)"),0)</f>
        <v>0</v>
      </c>
      <c r="K36" s="39">
        <f ca="1">IFERROR(__xludf.DUMMYFUNCTION("IF(SUM(COUNTIF(artists!E:E, SPLIT(D36, "",""))) &gt; 0, ""OTHER"", 0)"),0)</f>
        <v>0</v>
      </c>
    </row>
    <row r="37" spans="1:11" ht="14.25" customHeight="1">
      <c r="A37" s="21">
        <v>36</v>
      </c>
      <c r="B37" s="21">
        <v>34</v>
      </c>
      <c r="C37" s="21" t="s">
        <v>1263</v>
      </c>
      <c r="D37" s="21" t="s">
        <v>1264</v>
      </c>
      <c r="E37" s="21">
        <v>39</v>
      </c>
      <c r="F37" s="21">
        <v>334986</v>
      </c>
      <c r="G37" s="43">
        <v>-0.06</v>
      </c>
      <c r="H37" s="21" t="s">
        <v>1265</v>
      </c>
      <c r="I37" s="39">
        <f ca="1">IFERROR(__xludf.DUMMYFUNCTION("IF(SUM(COUNTIF(artists!A:A, SPLIT(D37, "",""))) &gt; 0, ""UA"", 0)"),0)</f>
        <v>0</v>
      </c>
      <c r="J37" s="40" t="str">
        <f ca="1">IFERROR(__xludf.DUMMYFUNCTION("IF(SUM(COUNTIF(artists!C:C, SPLIT(D37, "",""))) &gt; 0, ""RU"", 0)"),"RU")</f>
        <v>RU</v>
      </c>
      <c r="K37" s="39">
        <f ca="1">IFERROR(__xludf.DUMMYFUNCTION("IF(SUM(COUNTIF(artists!E:E, SPLIT(D37, "",""))) &gt; 0, ""OTHER"", 0)"),0)</f>
        <v>0</v>
      </c>
    </row>
    <row r="38" spans="1:11" ht="14.25" customHeight="1">
      <c r="A38" s="21">
        <v>37</v>
      </c>
      <c r="B38" s="21">
        <v>35</v>
      </c>
      <c r="C38" s="21" t="s">
        <v>1055</v>
      </c>
      <c r="D38" s="21" t="s">
        <v>776</v>
      </c>
      <c r="E38" s="21">
        <v>10</v>
      </c>
      <c r="F38" s="21">
        <v>328172</v>
      </c>
      <c r="G38" s="42">
        <v>-7.6999999999999999E-2</v>
      </c>
      <c r="H38" s="21" t="s">
        <v>1056</v>
      </c>
      <c r="I38" s="39" t="str">
        <f ca="1">IFERROR(__xludf.DUMMYFUNCTION("IF(SUM(COUNTIF(artists!A:A, SPLIT(D38, "",""))) &gt; 0, ""UA"", 0)"),"UA")</f>
        <v>UA</v>
      </c>
      <c r="J38" s="40">
        <f ca="1">IFERROR(__xludf.DUMMYFUNCTION("IF(SUM(COUNTIF(artists!C:C, SPLIT(D38, "",""))) &gt; 0, ""RU"", 0)"),0)</f>
        <v>0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B39" s="21">
        <v>38</v>
      </c>
      <c r="C39" s="21" t="s">
        <v>1282</v>
      </c>
      <c r="D39" s="21" t="s">
        <v>108</v>
      </c>
      <c r="E39" s="21">
        <v>40</v>
      </c>
      <c r="F39" s="21">
        <v>321320</v>
      </c>
      <c r="G39" s="42">
        <v>-3.5999999999999997E-2</v>
      </c>
      <c r="H39" s="21" t="s">
        <v>1283</v>
      </c>
      <c r="I39" s="39" t="str">
        <f ca="1">IFERROR(__xludf.DUMMYFUNCTION("IF(SUM(COUNTIF(artists!A:A, SPLIT(D39, "",""))) &gt; 0, ""UA"", 0)"),"UA")</f>
        <v>UA</v>
      </c>
      <c r="J39" s="40">
        <f ca="1">IFERROR(__xludf.DUMMYFUNCTION("IF(SUM(COUNTIF(artists!C:C, SPLIT(D39, "",""))) &gt; 0, ""RU"", 0)"),0)</f>
        <v>0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B40" s="21">
        <v>45</v>
      </c>
      <c r="C40" s="21" t="s">
        <v>887</v>
      </c>
      <c r="D40" s="21" t="s">
        <v>89</v>
      </c>
      <c r="E40" s="21">
        <v>20</v>
      </c>
      <c r="F40" s="21">
        <v>316976</v>
      </c>
      <c r="G40" s="42">
        <v>8.1000000000000003E-2</v>
      </c>
      <c r="H40" s="21" t="s">
        <v>888</v>
      </c>
      <c r="I40" s="39" t="str">
        <f ca="1">IFERROR(__xludf.DUMMYFUNCTION("IF(SUM(COUNTIF(artists!A:A, SPLIT(D40, "",""))) &gt; 0, ""UA"", 0)"),"UA")</f>
        <v>UA</v>
      </c>
      <c r="J40" s="40">
        <f ca="1">IFERROR(__xludf.DUMMYFUNCTION("IF(SUM(COUNTIF(artists!C:C, SPLIT(D40, "",""))) &gt; 0, ""RU"", 0)"),0)</f>
        <v>0</v>
      </c>
      <c r="K40" s="39">
        <f ca="1">IFERROR(__xludf.DUMMYFUNCTION("IF(SUM(COUNTIF(artists!E:E, SPLIT(D40, "",""))) &gt; 0, ""OTHER"", 0)"),0)</f>
        <v>0</v>
      </c>
    </row>
    <row r="41" spans="1:11" ht="14.25" customHeight="1">
      <c r="A41" s="21">
        <v>40</v>
      </c>
      <c r="B41" s="21">
        <v>39</v>
      </c>
      <c r="C41" s="21" t="s">
        <v>1354</v>
      </c>
      <c r="D41" s="21" t="s">
        <v>1355</v>
      </c>
      <c r="E41" s="21">
        <v>43</v>
      </c>
      <c r="F41" s="21">
        <v>316439</v>
      </c>
      <c r="G41" s="42">
        <v>-5.0999999999999997E-2</v>
      </c>
      <c r="H41" s="21" t="s">
        <v>1356</v>
      </c>
      <c r="I41" s="39" t="str">
        <f ca="1">IFERROR(__xludf.DUMMYFUNCTION("IF(SUM(COUNTIF(artists!A:A, SPLIT(D41, "",""))) &gt; 0, ""UA"", 0)"),"UA")</f>
        <v>UA</v>
      </c>
      <c r="J41" s="40">
        <f ca="1">IFERROR(__xludf.DUMMYFUNCTION("IF(SUM(COUNTIF(artists!C:C, SPLIT(D41, "",""))) &gt; 0, ""RU"", 0)"),0)</f>
        <v>0</v>
      </c>
      <c r="K41" s="39">
        <f ca="1">IFERROR(__xludf.DUMMYFUNCTION("IF(SUM(COUNTIF(artists!E:E, SPLIT(D41, "",""))) &gt; 0, ""OTHER"", 0)"),0)</f>
        <v>0</v>
      </c>
    </row>
    <row r="42" spans="1:11" ht="14.25" customHeight="1">
      <c r="A42" s="21">
        <v>41</v>
      </c>
      <c r="B42" s="21">
        <v>37</v>
      </c>
      <c r="C42" s="21" t="s">
        <v>1287</v>
      </c>
      <c r="D42" s="21" t="s">
        <v>1288</v>
      </c>
      <c r="E42" s="21">
        <v>14</v>
      </c>
      <c r="F42" s="21">
        <v>316392</v>
      </c>
      <c r="G42" s="42">
        <v>-7.2999999999999995E-2</v>
      </c>
      <c r="H42" s="21" t="s">
        <v>1289</v>
      </c>
      <c r="I42" s="39">
        <f ca="1">IFERROR(__xludf.DUMMYFUNCTION("IF(SUM(COUNTIF(artists!A:A, SPLIT(D42, "",""))) &gt; 0, ""UA"", 0)"),0)</f>
        <v>0</v>
      </c>
      <c r="J42" s="40">
        <f ca="1">IFERROR(__xludf.DUMMYFUNCTION("IF(SUM(COUNTIF(artists!C:C, SPLIT(D42, "",""))) &gt; 0, ""RU"", 0)"),0)</f>
        <v>0</v>
      </c>
      <c r="K42" s="39" t="str">
        <f ca="1">IFERROR(__xludf.DUMMYFUNCTION("IF(SUM(COUNTIF(artists!E:E, SPLIT(D42, "",""))) &gt; 0, ""OTHER"", 0)"),"OTHER")</f>
        <v>OTHER</v>
      </c>
    </row>
    <row r="43" spans="1:11" ht="14.25" customHeight="1">
      <c r="A43" s="21">
        <v>42</v>
      </c>
      <c r="C43" s="21" t="s">
        <v>1433</v>
      </c>
      <c r="D43" s="21" t="s">
        <v>1434</v>
      </c>
      <c r="E43" s="21">
        <v>1</v>
      </c>
      <c r="F43" s="21">
        <v>307051</v>
      </c>
      <c r="H43" s="21" t="s">
        <v>1435</v>
      </c>
      <c r="I43" s="39" t="str">
        <f ca="1">IFERROR(__xludf.DUMMYFUNCTION("IF(SUM(COUNTIF(artists!A:A, SPLIT(D43, "",""))) &gt; 0, ""UA"", 0)"),"UA")</f>
        <v>UA</v>
      </c>
      <c r="J43" s="40">
        <f ca="1">IFERROR(__xludf.DUMMYFUNCTION("IF(SUM(COUNTIF(artists!C:C, SPLIT(D43, "",""))) &gt; 0, ""RU"", 0)"),0)</f>
        <v>0</v>
      </c>
      <c r="K43" s="39">
        <f ca="1">IFERROR(__xludf.DUMMYFUNCTION("IF(SUM(COUNTIF(artists!E:E, SPLIT(D43, "",""))) &gt; 0, ""OTHER"", 0)"),0)</f>
        <v>0</v>
      </c>
    </row>
    <row r="44" spans="1:11" ht="14.25" customHeight="1">
      <c r="A44" s="21">
        <v>43</v>
      </c>
      <c r="B44" s="21">
        <v>47</v>
      </c>
      <c r="C44" s="21" t="s">
        <v>253</v>
      </c>
      <c r="D44" s="21" t="s">
        <v>89</v>
      </c>
      <c r="E44" s="21">
        <v>22</v>
      </c>
      <c r="F44" s="21">
        <v>306083</v>
      </c>
      <c r="G44" s="42">
        <v>4.9000000000000002E-2</v>
      </c>
      <c r="H44" s="21" t="s">
        <v>254</v>
      </c>
      <c r="I44" s="39" t="str">
        <f ca="1">IFERROR(__xludf.DUMMYFUNCTION("IF(SUM(COUNTIF(artists!A:A, SPLIT(D44, "",""))) &gt; 0, ""UA"", 0)"),"UA")</f>
        <v>UA</v>
      </c>
      <c r="J44" s="40">
        <f ca="1">IFERROR(__xludf.DUMMYFUNCTION("IF(SUM(COUNTIF(artists!C:C, SPLIT(D44, "",""))) &gt; 0, ""RU"", 0)"),0)</f>
        <v>0</v>
      </c>
      <c r="K44" s="39">
        <f ca="1">IFERROR(__xludf.DUMMYFUNCTION("IF(SUM(COUNTIF(artists!E:E, SPLIT(D44, "",""))) &gt; 0, ""OTHER"", 0)"),0)</f>
        <v>0</v>
      </c>
    </row>
    <row r="45" spans="1:11" ht="14.25" customHeight="1">
      <c r="A45" s="21">
        <v>44</v>
      </c>
      <c r="B45" s="21">
        <v>36</v>
      </c>
      <c r="C45" s="21" t="s">
        <v>909</v>
      </c>
      <c r="D45" s="21" t="s">
        <v>910</v>
      </c>
      <c r="E45" s="21">
        <v>23</v>
      </c>
      <c r="F45" s="21">
        <v>304290</v>
      </c>
      <c r="G45" s="43">
        <v>-0.13</v>
      </c>
      <c r="H45" s="21" t="s">
        <v>911</v>
      </c>
      <c r="I45" s="39" t="str">
        <f ca="1">IFERROR(__xludf.DUMMYFUNCTION("IF(SUM(COUNTIF(artists!A:A, SPLIT(D45, "",""))) &gt; 0, ""UA"", 0)"),"UA")</f>
        <v>UA</v>
      </c>
      <c r="J45" s="40">
        <f ca="1">IFERROR(__xludf.DUMMYFUNCTION("IF(SUM(COUNTIF(artists!C:C, SPLIT(D45, "",""))) &gt; 0, ""RU"", 0)"),0)</f>
        <v>0</v>
      </c>
      <c r="K45" s="39">
        <f ca="1">IFERROR(__xludf.DUMMYFUNCTION("IF(SUM(COUNTIF(artists!E:E, SPLIT(D45, "",""))) &gt; 0, ""OTHER"", 0)"),0)</f>
        <v>0</v>
      </c>
    </row>
    <row r="46" spans="1:11" ht="14.25" customHeight="1">
      <c r="A46" s="21">
        <v>45</v>
      </c>
      <c r="B46" s="21">
        <v>44</v>
      </c>
      <c r="C46" s="21" t="s">
        <v>1242</v>
      </c>
      <c r="D46" s="21" t="s">
        <v>969</v>
      </c>
      <c r="E46" s="21">
        <v>12</v>
      </c>
      <c r="F46" s="21">
        <v>299774</v>
      </c>
      <c r="G46" s="42">
        <v>1.0999999999999999E-2</v>
      </c>
      <c r="H46" s="21" t="s">
        <v>1243</v>
      </c>
      <c r="I46" s="39" t="str">
        <f ca="1">IFERROR(__xludf.DUMMYFUNCTION("IF(SUM(COUNTIF(artists!A:A, SPLIT(D46, "",""))) &gt; 0, ""UA"", 0)"),"UA")</f>
        <v>UA</v>
      </c>
      <c r="J46" s="40">
        <f ca="1">IFERROR(__xludf.DUMMYFUNCTION("IF(SUM(COUNTIF(artists!C:C, SPLIT(D46, "",""))) &gt; 0, ""RU"", 0)"),0)</f>
        <v>0</v>
      </c>
      <c r="K46" s="39">
        <f ca="1">IFERROR(__xludf.DUMMYFUNCTION("IF(SUM(COUNTIF(artists!E:E, SPLIT(D46, "",""))) &gt; 0, ""OTHER"", 0)"),0)</f>
        <v>0</v>
      </c>
    </row>
    <row r="47" spans="1:11" ht="14.25" customHeight="1">
      <c r="A47" s="21">
        <v>46</v>
      </c>
      <c r="B47" s="21">
        <v>46</v>
      </c>
      <c r="C47" s="21" t="s">
        <v>632</v>
      </c>
      <c r="D47" s="21" t="s">
        <v>633</v>
      </c>
      <c r="E47" s="21">
        <v>17</v>
      </c>
      <c r="F47" s="21">
        <v>295544</v>
      </c>
      <c r="G47" s="42">
        <v>1.2E-2</v>
      </c>
      <c r="H47" s="21" t="s">
        <v>634</v>
      </c>
      <c r="I47" s="39" t="str">
        <f ca="1">IFERROR(__xludf.DUMMYFUNCTION("IF(SUM(COUNTIF(artists!A:A, SPLIT(D47, "",""))) &gt; 0, ""UA"", 0)"),"UA")</f>
        <v>UA</v>
      </c>
      <c r="J47" s="40">
        <f ca="1">IFERROR(__xludf.DUMMYFUNCTION("IF(SUM(COUNTIF(artists!C:C, SPLIT(D47, "",""))) &gt; 0, ""RU"", 0)"),0)</f>
        <v>0</v>
      </c>
      <c r="K47" s="39">
        <f ca="1">IFERROR(__xludf.DUMMYFUNCTION("IF(SUM(COUNTIF(artists!E:E, SPLIT(D47, "",""))) &gt; 0, ""OTHER"", 0)"),0)</f>
        <v>0</v>
      </c>
    </row>
    <row r="48" spans="1:11" ht="14.25" customHeight="1">
      <c r="A48" s="21">
        <v>47</v>
      </c>
      <c r="B48" s="21">
        <v>73</v>
      </c>
      <c r="C48" s="21" t="s">
        <v>1366</v>
      </c>
      <c r="D48" s="21" t="s">
        <v>1367</v>
      </c>
      <c r="E48" s="21">
        <v>2</v>
      </c>
      <c r="F48" s="21">
        <v>293567</v>
      </c>
      <c r="G48" s="42">
        <v>0.56799999999999995</v>
      </c>
      <c r="H48" s="21" t="s">
        <v>1368</v>
      </c>
      <c r="I48" s="39">
        <f ca="1">IFERROR(__xludf.DUMMYFUNCTION("IF(SUM(COUNTIF(artists!A:A, SPLIT(D48, "",""))) &gt; 0, ""UA"", 0)"),0)</f>
        <v>0</v>
      </c>
      <c r="J48" s="40" t="str">
        <f ca="1">IFERROR(__xludf.DUMMYFUNCTION("IF(SUM(COUNTIF(artists!C:C, SPLIT(D48, "",""))) &gt; 0, ""RU"", 0)"),"RU")</f>
        <v>RU</v>
      </c>
      <c r="K48" s="39">
        <f ca="1">IFERROR(__xludf.DUMMYFUNCTION("IF(SUM(COUNTIF(artists!E:E, SPLIT(D48, "",""))) &gt; 0, ""OTHER"", 0)"),0)</f>
        <v>0</v>
      </c>
    </row>
    <row r="49" spans="1:11" ht="14.25" customHeight="1">
      <c r="A49" s="21">
        <v>48</v>
      </c>
      <c r="B49" s="21">
        <v>55</v>
      </c>
      <c r="C49" s="21" t="s">
        <v>1214</v>
      </c>
      <c r="D49" s="21" t="s">
        <v>1117</v>
      </c>
      <c r="E49" s="21">
        <v>2</v>
      </c>
      <c r="F49" s="21">
        <v>293294</v>
      </c>
      <c r="G49" s="42">
        <v>0.16900000000000001</v>
      </c>
      <c r="H49" s="21" t="s">
        <v>1215</v>
      </c>
      <c r="I49" s="39">
        <f ca="1">IFERROR(__xludf.DUMMYFUNCTION("IF(SUM(COUNTIF(artists!A:A, SPLIT(D49, "",""))) &gt; 0, ""UA"", 0)"),0)</f>
        <v>0</v>
      </c>
      <c r="J49" s="40" t="str">
        <f ca="1">IFERROR(__xludf.DUMMYFUNCTION("IF(SUM(COUNTIF(artists!C:C, SPLIT(D49, "",""))) &gt; 0, ""RU"", 0)"),"RU")</f>
        <v>RU</v>
      </c>
      <c r="K49" s="39">
        <f ca="1">IFERROR(__xludf.DUMMYFUNCTION("IF(SUM(COUNTIF(artists!E:E, SPLIT(D49, "",""))) &gt; 0, ""OTHER"", 0)"),0)</f>
        <v>0</v>
      </c>
    </row>
    <row r="50" spans="1:11" ht="14.25" customHeight="1">
      <c r="A50" s="21">
        <v>49</v>
      </c>
      <c r="B50" s="21">
        <v>42</v>
      </c>
      <c r="C50" s="21" t="s">
        <v>1323</v>
      </c>
      <c r="D50" s="21" t="s">
        <v>230</v>
      </c>
      <c r="E50" s="21">
        <v>5</v>
      </c>
      <c r="F50" s="21">
        <v>288569</v>
      </c>
      <c r="G50" s="42">
        <v>-5.5E-2</v>
      </c>
      <c r="H50" s="21" t="s">
        <v>1324</v>
      </c>
      <c r="I50" s="39" t="str">
        <f ca="1">IFERROR(__xludf.DUMMYFUNCTION("IF(SUM(COUNTIF(artists!A:A, SPLIT(D50, "",""))) &gt; 0, ""UA"", 0)"),"UA")</f>
        <v>UA</v>
      </c>
      <c r="J50" s="40">
        <f ca="1">IFERROR(__xludf.DUMMYFUNCTION("IF(SUM(COUNTIF(artists!C:C, SPLIT(D50, "",""))) &gt; 0, ""RU"", 0)"),0)</f>
        <v>0</v>
      </c>
      <c r="K50" s="39">
        <f ca="1">IFERROR(__xludf.DUMMYFUNCTION("IF(SUM(COUNTIF(artists!E:E, SPLIT(D50, "",""))) &gt; 0, ""OTHER"", 0)"),0)</f>
        <v>0</v>
      </c>
    </row>
    <row r="51" spans="1:11" ht="14.25" customHeight="1">
      <c r="A51" s="21">
        <v>50</v>
      </c>
      <c r="B51" s="21">
        <v>50</v>
      </c>
      <c r="C51" s="21" t="s">
        <v>1261</v>
      </c>
      <c r="D51" s="21" t="s">
        <v>137</v>
      </c>
      <c r="E51" s="21">
        <v>30</v>
      </c>
      <c r="F51" s="21">
        <v>281255</v>
      </c>
      <c r="G51" s="42">
        <v>8.0000000000000002E-3</v>
      </c>
      <c r="H51" s="21" t="s">
        <v>1262</v>
      </c>
      <c r="I51" s="39" t="str">
        <f ca="1">IFERROR(__xludf.DUMMYFUNCTION("IF(SUM(COUNTIF(artists!A:A, SPLIT(D51, "",""))) &gt; 0, ""UA"", 0)"),"UA")</f>
        <v>UA</v>
      </c>
      <c r="J51" s="40">
        <f ca="1">IFERROR(__xludf.DUMMYFUNCTION("IF(SUM(COUNTIF(artists!C:C, SPLIT(D51, "",""))) &gt; 0, ""RU"", 0)"),0)</f>
        <v>0</v>
      </c>
      <c r="K51" s="39">
        <f ca="1">IFERROR(__xludf.DUMMYFUNCTION("IF(SUM(COUNTIF(artists!E:E, SPLIT(D51, "",""))) &gt; 0, ""OTHER"", 0)"),0)</f>
        <v>0</v>
      </c>
    </row>
    <row r="52" spans="1:11" ht="14.25" customHeight="1">
      <c r="A52" s="21">
        <v>51</v>
      </c>
      <c r="B52" s="21">
        <v>40</v>
      </c>
      <c r="C52" s="21" t="s">
        <v>874</v>
      </c>
      <c r="D52" s="21" t="s">
        <v>108</v>
      </c>
      <c r="E52" s="21">
        <v>3</v>
      </c>
      <c r="F52" s="21">
        <v>266498</v>
      </c>
      <c r="G52" s="42">
        <v>-0.191</v>
      </c>
      <c r="H52" s="21" t="s">
        <v>875</v>
      </c>
      <c r="I52" s="39" t="str">
        <f ca="1">IFERROR(__xludf.DUMMYFUNCTION("IF(SUM(COUNTIF(artists!A:A, SPLIT(D52, "",""))) &gt; 0, ""UA"", 0)"),"UA")</f>
        <v>UA</v>
      </c>
      <c r="J52" s="40">
        <f ca="1">IFERROR(__xludf.DUMMYFUNCTION("IF(SUM(COUNTIF(artists!C:C, SPLIT(D52, "",""))) &gt; 0, ""RU"", 0)"),0)</f>
        <v>0</v>
      </c>
      <c r="K52" s="39">
        <f ca="1">IFERROR(__xludf.DUMMYFUNCTION("IF(SUM(COUNTIF(artists!E:E, SPLIT(D52, "",""))) &gt; 0, ""OTHER"", 0)"),0)</f>
        <v>0</v>
      </c>
    </row>
    <row r="53" spans="1:11" ht="14.25" customHeight="1">
      <c r="A53" s="21">
        <v>52</v>
      </c>
      <c r="B53" s="21">
        <v>57</v>
      </c>
      <c r="C53" s="21" t="s">
        <v>1436</v>
      </c>
      <c r="D53" s="21" t="s">
        <v>896</v>
      </c>
      <c r="E53" s="21">
        <v>20</v>
      </c>
      <c r="F53" s="21">
        <v>253291</v>
      </c>
      <c r="G53" s="42">
        <v>3.1E-2</v>
      </c>
      <c r="H53" s="21" t="s">
        <v>1437</v>
      </c>
      <c r="I53" s="39" t="str">
        <f ca="1">IFERROR(__xludf.DUMMYFUNCTION("IF(SUM(COUNTIF(artists!A:A, SPLIT(D53, "",""))) &gt; 0, ""UA"", 0)"),"UA")</f>
        <v>UA</v>
      </c>
      <c r="J53" s="40">
        <f ca="1">IFERROR(__xludf.DUMMYFUNCTION("IF(SUM(COUNTIF(artists!C:C, SPLIT(D53, "",""))) &gt; 0, ""RU"", 0)"),0)</f>
        <v>0</v>
      </c>
      <c r="K53" s="39">
        <f ca="1">IFERROR(__xludf.DUMMYFUNCTION("IF(SUM(COUNTIF(artists!E:E, SPLIT(D53, "",""))) &gt; 0, ""OTHER"", 0)"),0)</f>
        <v>0</v>
      </c>
    </row>
    <row r="54" spans="1:11" ht="14.25" customHeight="1">
      <c r="A54" s="21">
        <v>53</v>
      </c>
      <c r="B54" s="21">
        <v>54</v>
      </c>
      <c r="C54" s="21" t="s">
        <v>1332</v>
      </c>
      <c r="D54" s="21" t="s">
        <v>1333</v>
      </c>
      <c r="E54" s="21">
        <v>15</v>
      </c>
      <c r="F54" s="21">
        <v>250336</v>
      </c>
      <c r="G54" s="42">
        <v>-1.9E-2</v>
      </c>
      <c r="H54" s="21" t="s">
        <v>1334</v>
      </c>
      <c r="I54" s="39" t="str">
        <f ca="1">IFERROR(__xludf.DUMMYFUNCTION("IF(SUM(COUNTIF(artists!A:A, SPLIT(D54, "",""))) &gt; 0, ""UA"", 0)"),"UA")</f>
        <v>UA</v>
      </c>
      <c r="J54" s="40">
        <f ca="1">IFERROR(__xludf.DUMMYFUNCTION("IF(SUM(COUNTIF(artists!C:C, SPLIT(D54, "",""))) &gt; 0, ""RU"", 0)"),0)</f>
        <v>0</v>
      </c>
      <c r="K54" s="39">
        <f ca="1">IFERROR(__xludf.DUMMYFUNCTION("IF(SUM(COUNTIF(artists!E:E, SPLIT(D54, "",""))) &gt; 0, ""OTHER"", 0)"),0)</f>
        <v>0</v>
      </c>
    </row>
    <row r="55" spans="1:11" ht="14.25" customHeight="1">
      <c r="A55" s="21">
        <v>54</v>
      </c>
      <c r="B55" s="21">
        <v>52</v>
      </c>
      <c r="C55" s="21" t="s">
        <v>1284</v>
      </c>
      <c r="D55" s="21" t="s">
        <v>1285</v>
      </c>
      <c r="E55" s="21">
        <v>14</v>
      </c>
      <c r="F55" s="21">
        <v>249959</v>
      </c>
      <c r="G55" s="42">
        <v>-4.7E-2</v>
      </c>
      <c r="H55" s="21" t="s">
        <v>1286</v>
      </c>
      <c r="I55" s="39">
        <f ca="1">IFERROR(__xludf.DUMMYFUNCTION("IF(SUM(COUNTIF(artists!A:A, SPLIT(D55, "",""))) &gt; 0, ""UA"", 0)"),0)</f>
        <v>0</v>
      </c>
      <c r="J55" s="40" t="str">
        <f ca="1">IFERROR(__xludf.DUMMYFUNCTION("IF(SUM(COUNTIF(artists!C:C, SPLIT(D55, "",""))) &gt; 0, ""RU"", 0)"),"RU")</f>
        <v>RU</v>
      </c>
      <c r="K55" s="39">
        <f ca="1">IFERROR(__xludf.DUMMYFUNCTION("IF(SUM(COUNTIF(artists!E:E, SPLIT(D55, "",""))) &gt; 0, ""OTHER"", 0)"),0)</f>
        <v>0</v>
      </c>
    </row>
    <row r="56" spans="1:11" ht="14.25" customHeight="1">
      <c r="A56" s="21">
        <v>55</v>
      </c>
      <c r="B56" s="21">
        <v>43</v>
      </c>
      <c r="C56" s="21" t="s">
        <v>1249</v>
      </c>
      <c r="D56" s="21" t="s">
        <v>187</v>
      </c>
      <c r="E56" s="21">
        <v>5</v>
      </c>
      <c r="F56" s="21">
        <v>238317</v>
      </c>
      <c r="G56" s="42">
        <v>-0.20100000000000001</v>
      </c>
      <c r="H56" s="21" t="s">
        <v>1250</v>
      </c>
      <c r="I56" s="39" t="str">
        <f ca="1">IFERROR(__xludf.DUMMYFUNCTION("IF(SUM(COUNTIF(artists!A:A, SPLIT(D56, "",""))) &gt; 0, ""UA"", 0)"),"UA")</f>
        <v>UA</v>
      </c>
      <c r="J56" s="40">
        <f ca="1">IFERROR(__xludf.DUMMYFUNCTION("IF(SUM(COUNTIF(artists!C:C, SPLIT(D56, "",""))) &gt; 0, ""RU"", 0)"),0)</f>
        <v>0</v>
      </c>
      <c r="K56" s="39">
        <f ca="1">IFERROR(__xludf.DUMMYFUNCTION("IF(SUM(COUNTIF(artists!E:E, SPLIT(D56, "",""))) &gt; 0, ""OTHER"", 0)"),0)</f>
        <v>0</v>
      </c>
    </row>
    <row r="57" spans="1:11" ht="14.25" customHeight="1">
      <c r="A57" s="21">
        <v>56</v>
      </c>
      <c r="B57" s="21">
        <v>51</v>
      </c>
      <c r="C57" s="21" t="s">
        <v>516</v>
      </c>
      <c r="D57" s="21" t="s">
        <v>517</v>
      </c>
      <c r="E57" s="21">
        <v>11</v>
      </c>
      <c r="F57" s="21">
        <v>235946</v>
      </c>
      <c r="G57" s="42">
        <v>-0.121</v>
      </c>
      <c r="H57" s="21" t="s">
        <v>518</v>
      </c>
      <c r="I57" s="39">
        <f ca="1">IFERROR(__xludf.DUMMYFUNCTION("IF(SUM(COUNTIF(artists!A:A, SPLIT(D57, "",""))) &gt; 0, ""UA"", 0)"),0)</f>
        <v>0</v>
      </c>
      <c r="J57" s="40">
        <f ca="1">IFERROR(__xludf.DUMMYFUNCTION("IF(SUM(COUNTIF(artists!C:C, SPLIT(D57, "",""))) &gt; 0, ""RU"", 0)"),0)</f>
        <v>0</v>
      </c>
      <c r="K57" s="39" t="str">
        <f ca="1">IFERROR(__xludf.DUMMYFUNCTION("IF(SUM(COUNTIF(artists!E:E, SPLIT(D57, "",""))) &gt; 0, ""OTHER"", 0)"),"OTHER")</f>
        <v>OTHER</v>
      </c>
    </row>
    <row r="58" spans="1:11" ht="14.25" customHeight="1">
      <c r="A58" s="21">
        <v>57</v>
      </c>
      <c r="B58" s="21">
        <v>59</v>
      </c>
      <c r="C58" s="21" t="s">
        <v>1383</v>
      </c>
      <c r="D58" s="21" t="s">
        <v>463</v>
      </c>
      <c r="E58" s="21">
        <v>18</v>
      </c>
      <c r="F58" s="21">
        <v>227637</v>
      </c>
      <c r="G58" s="42">
        <v>-8.9999999999999993E-3</v>
      </c>
      <c r="H58" s="21" t="s">
        <v>1384</v>
      </c>
      <c r="I58" s="39" t="str">
        <f ca="1">IFERROR(__xludf.DUMMYFUNCTION("IF(SUM(COUNTIF(artists!A:A, SPLIT(D58, "",""))) &gt; 0, ""UA"", 0)"),"UA")</f>
        <v>UA</v>
      </c>
      <c r="J58" s="40">
        <f ca="1">IFERROR(__xludf.DUMMYFUNCTION("IF(SUM(COUNTIF(artists!C:C, SPLIT(D58, "",""))) &gt; 0, ""RU"", 0)"),0)</f>
        <v>0</v>
      </c>
      <c r="K58" s="39">
        <f ca="1">IFERROR(__xludf.DUMMYFUNCTION("IF(SUM(COUNTIF(artists!E:E, SPLIT(D58, "",""))) &gt; 0, ""OTHER"", 0)"),0)</f>
        <v>0</v>
      </c>
    </row>
    <row r="59" spans="1:11" ht="14.25" customHeight="1">
      <c r="A59" s="21">
        <v>58</v>
      </c>
      <c r="B59" s="21">
        <v>41</v>
      </c>
      <c r="C59" s="21" t="s">
        <v>1423</v>
      </c>
      <c r="D59" s="21" t="s">
        <v>1296</v>
      </c>
      <c r="E59" s="21">
        <v>2</v>
      </c>
      <c r="F59" s="21">
        <v>225804</v>
      </c>
      <c r="G59" s="42">
        <v>-0.30199999999999999</v>
      </c>
      <c r="H59" s="21" t="s">
        <v>1424</v>
      </c>
      <c r="I59" s="39">
        <f ca="1">IFERROR(__xludf.DUMMYFUNCTION("IF(SUM(COUNTIF(artists!A:A, SPLIT(D59, "",""))) &gt; 0, ""UA"", 0)"),0)</f>
        <v>0</v>
      </c>
      <c r="J59" s="40" t="str">
        <f ca="1">IFERROR(__xludf.DUMMYFUNCTION("IF(SUM(COUNTIF(artists!C:C, SPLIT(D59, "",""))) &gt; 0, ""RU"", 0)"),"RU")</f>
        <v>RU</v>
      </c>
      <c r="K59" s="39">
        <f ca="1">IFERROR(__xludf.DUMMYFUNCTION("IF(SUM(COUNTIF(artists!E:E, SPLIT(D59, "",""))) &gt; 0, ""OTHER"", 0)"),0)</f>
        <v>0</v>
      </c>
    </row>
    <row r="60" spans="1:11" ht="14.25" customHeight="1">
      <c r="A60" s="21">
        <v>59</v>
      </c>
      <c r="B60" s="21">
        <v>56</v>
      </c>
      <c r="C60" s="21" t="s">
        <v>697</v>
      </c>
      <c r="D60" s="21" t="s">
        <v>698</v>
      </c>
      <c r="E60" s="21">
        <v>9</v>
      </c>
      <c r="F60" s="21">
        <v>223029</v>
      </c>
      <c r="G60" s="42">
        <v>-0.10299999999999999</v>
      </c>
      <c r="H60" s="21" t="s">
        <v>699</v>
      </c>
      <c r="I60" s="39">
        <f ca="1">IFERROR(__xludf.DUMMYFUNCTION("IF(SUM(COUNTIF(artists!A:A, SPLIT(D60, "",""))) &gt; 0, ""UA"", 0)"),0)</f>
        <v>0</v>
      </c>
      <c r="J60" s="40" t="str">
        <f ca="1">IFERROR(__xludf.DUMMYFUNCTION("IF(SUM(COUNTIF(artists!C:C, SPLIT(D60, "",""))) &gt; 0, ""RU"", 0)"),"RU")</f>
        <v>RU</v>
      </c>
      <c r="K60" s="39">
        <f ca="1">IFERROR(__xludf.DUMMYFUNCTION("IF(SUM(COUNTIF(artists!E:E, SPLIT(D60, "",""))) &gt; 0, ""OTHER"", 0)"),0)</f>
        <v>0</v>
      </c>
    </row>
    <row r="61" spans="1:11" ht="14.25" customHeight="1">
      <c r="A61" s="21">
        <v>60</v>
      </c>
      <c r="B61" s="21">
        <v>71</v>
      </c>
      <c r="C61" s="21" t="s">
        <v>616</v>
      </c>
      <c r="D61" s="21" t="s">
        <v>617</v>
      </c>
      <c r="E61" s="21">
        <v>3</v>
      </c>
      <c r="F61" s="21">
        <v>217593</v>
      </c>
      <c r="G61" s="42">
        <v>0.126</v>
      </c>
      <c r="H61" s="21" t="s">
        <v>618</v>
      </c>
      <c r="I61" s="39">
        <f ca="1">IFERROR(__xludf.DUMMYFUNCTION("IF(SUM(COUNTIF(artists!A:A, SPLIT(D61, "",""))) &gt; 0, ""UA"", 0)"),0)</f>
        <v>0</v>
      </c>
      <c r="J61" s="40">
        <f ca="1">IFERROR(__xludf.DUMMYFUNCTION("IF(SUM(COUNTIF(artists!C:C, SPLIT(D61, "",""))) &gt; 0, ""RU"", 0)"),0)</f>
        <v>0</v>
      </c>
      <c r="K61" s="39" t="str">
        <f ca="1">IFERROR(__xludf.DUMMYFUNCTION("IF(SUM(COUNTIF(artists!E:E, SPLIT(D61, "",""))) &gt; 0, ""OTHER"", 0)"),"OTHER")</f>
        <v>OTHER</v>
      </c>
    </row>
    <row r="62" spans="1:11" ht="14.25" customHeight="1">
      <c r="A62" s="21">
        <v>61</v>
      </c>
      <c r="B62" s="21">
        <v>58</v>
      </c>
      <c r="C62" s="21" t="s">
        <v>1182</v>
      </c>
      <c r="D62" s="21" t="s">
        <v>466</v>
      </c>
      <c r="E62" s="21">
        <v>15</v>
      </c>
      <c r="F62" s="21">
        <v>217295</v>
      </c>
      <c r="G62" s="42">
        <v>-8.3000000000000004E-2</v>
      </c>
      <c r="H62" s="21" t="s">
        <v>1183</v>
      </c>
      <c r="I62" s="39" t="str">
        <f ca="1">IFERROR(__xludf.DUMMYFUNCTION("IF(SUM(COUNTIF(artists!A:A, SPLIT(D62, "",""))) &gt; 0, ""UA"", 0)"),"UA")</f>
        <v>UA</v>
      </c>
      <c r="J62" s="40">
        <f ca="1">IFERROR(__xludf.DUMMYFUNCTION("IF(SUM(COUNTIF(artists!C:C, SPLIT(D62, "",""))) &gt; 0, ""RU"", 0)"),0)</f>
        <v>0</v>
      </c>
      <c r="K62" s="39">
        <f ca="1">IFERROR(__xludf.DUMMYFUNCTION("IF(SUM(COUNTIF(artists!E:E, SPLIT(D62, "",""))) &gt; 0, ""OTHER"", 0)"),0)</f>
        <v>0</v>
      </c>
    </row>
    <row r="63" spans="1:11" ht="14.25" customHeight="1">
      <c r="A63" s="21">
        <v>62</v>
      </c>
      <c r="B63" s="21">
        <v>53</v>
      </c>
      <c r="C63" s="21" t="s">
        <v>636</v>
      </c>
      <c r="D63" s="21" t="s">
        <v>637</v>
      </c>
      <c r="E63" s="21">
        <v>13</v>
      </c>
      <c r="F63" s="21">
        <v>217104</v>
      </c>
      <c r="G63" s="42">
        <v>-0.155</v>
      </c>
      <c r="H63" s="21" t="s">
        <v>638</v>
      </c>
      <c r="I63" s="39">
        <f ca="1">IFERROR(__xludf.DUMMYFUNCTION("IF(SUM(COUNTIF(artists!A:A, SPLIT(D63, "",""))) &gt; 0, ""UA"", 0)"),0)</f>
        <v>0</v>
      </c>
      <c r="J63" s="40">
        <f ca="1">IFERROR(__xludf.DUMMYFUNCTION("IF(SUM(COUNTIF(artists!C:C, SPLIT(D63, "",""))) &gt; 0, ""RU"", 0)"),0)</f>
        <v>0</v>
      </c>
      <c r="K63" s="39" t="str">
        <f ca="1">IFERROR(__xludf.DUMMYFUNCTION("IF(SUM(COUNTIF(artists!E:E, SPLIT(D63, "",""))) &gt; 0, ""OTHER"", 0)"),"OTHER")</f>
        <v>OTHER</v>
      </c>
    </row>
    <row r="64" spans="1:11" ht="14.25" customHeight="1">
      <c r="A64" s="21">
        <v>63</v>
      </c>
      <c r="C64" s="21" t="s">
        <v>594</v>
      </c>
      <c r="D64" s="21" t="s">
        <v>595</v>
      </c>
      <c r="E64" s="21">
        <v>1</v>
      </c>
      <c r="F64" s="21">
        <v>211313</v>
      </c>
      <c r="H64" s="21" t="s">
        <v>596</v>
      </c>
      <c r="I64" s="39" t="str">
        <f ca="1">IFERROR(__xludf.DUMMYFUNCTION("IF(SUM(COUNTIF(artists!A:A, SPLIT(D64, "",""))) &gt; 0, ""UA"", 0)"),"UA")</f>
        <v>UA</v>
      </c>
      <c r="J64" s="40">
        <f ca="1">IFERROR(__xludf.DUMMYFUNCTION("IF(SUM(COUNTIF(artists!C:C, SPLIT(D64, "",""))) &gt; 0, ""RU"", 0)"),0)</f>
        <v>0</v>
      </c>
      <c r="K64" s="39">
        <f ca="1">IFERROR(__xludf.DUMMYFUNCTION("IF(SUM(COUNTIF(artists!E:E, SPLIT(D64, "",""))) &gt; 0, ""OTHER"", 0)"),0)</f>
        <v>0</v>
      </c>
    </row>
    <row r="65" spans="1:11" ht="14.25" customHeight="1">
      <c r="A65" s="21">
        <v>64</v>
      </c>
      <c r="B65" s="21">
        <v>64</v>
      </c>
      <c r="C65" s="21" t="s">
        <v>1318</v>
      </c>
      <c r="D65" s="21" t="s">
        <v>1319</v>
      </c>
      <c r="E65" s="21">
        <v>10</v>
      </c>
      <c r="F65" s="21">
        <v>196085</v>
      </c>
      <c r="G65" s="42">
        <v>-0.10100000000000001</v>
      </c>
      <c r="H65" s="21" t="s">
        <v>1320</v>
      </c>
      <c r="I65" s="39">
        <f ca="1">IFERROR(__xludf.DUMMYFUNCTION("IF(SUM(COUNTIF(artists!A:A, SPLIT(D65, "",""))) &gt; 0, ""UA"", 0)"),0)</f>
        <v>0</v>
      </c>
      <c r="J65" s="40" t="str">
        <f ca="1">IFERROR(__xludf.DUMMYFUNCTION("IF(SUM(COUNTIF(artists!C:C, SPLIT(D65, "",""))) &gt; 0, ""RU"", 0)"),"RU")</f>
        <v>RU</v>
      </c>
      <c r="K65" s="39">
        <f ca="1">IFERROR(__xludf.DUMMYFUNCTION("IF(SUM(COUNTIF(artists!E:E, SPLIT(D65, "",""))) &gt; 0, ""OTHER"", 0)"),0)</f>
        <v>0</v>
      </c>
    </row>
    <row r="66" spans="1:11" ht="14.25" customHeight="1">
      <c r="A66" s="21">
        <v>65</v>
      </c>
      <c r="B66" s="21">
        <v>65</v>
      </c>
      <c r="C66" s="21" t="s">
        <v>597</v>
      </c>
      <c r="D66" s="21" t="s">
        <v>598</v>
      </c>
      <c r="E66" s="21">
        <v>18</v>
      </c>
      <c r="F66" s="21">
        <v>194779</v>
      </c>
      <c r="G66" s="42">
        <v>-9.6000000000000002E-2</v>
      </c>
      <c r="H66" s="21" t="s">
        <v>600</v>
      </c>
      <c r="I66" s="39" t="str">
        <f ca="1">IFERROR(__xludf.DUMMYFUNCTION("IF(SUM(COUNTIF(artists!A:A, SPLIT(D66, "",""))) &gt; 0, ""UA"", 0)"),"UA")</f>
        <v>UA</v>
      </c>
      <c r="J66" s="40">
        <f ca="1">IFERROR(__xludf.DUMMYFUNCTION("IF(SUM(COUNTIF(artists!C:C, SPLIT(D66, "",""))) &gt; 0, ""RU"", 0)"),0)</f>
        <v>0</v>
      </c>
      <c r="K66" s="39">
        <f ca="1">IFERROR(__xludf.DUMMYFUNCTION("IF(SUM(COUNTIF(artists!E:E, SPLIT(D66, "",""))) &gt; 0, ""OTHER"", 0)"),0)</f>
        <v>0</v>
      </c>
    </row>
    <row r="67" spans="1:11" ht="14.25" customHeight="1">
      <c r="A67" s="21">
        <v>66</v>
      </c>
      <c r="B67" s="21">
        <v>62</v>
      </c>
      <c r="C67" s="21" t="s">
        <v>1410</v>
      </c>
      <c r="D67" s="21" t="s">
        <v>1411</v>
      </c>
      <c r="E67" s="21">
        <v>7</v>
      </c>
      <c r="F67" s="21">
        <v>194663</v>
      </c>
      <c r="G67" s="42">
        <v>-0.14399999999999999</v>
      </c>
      <c r="H67" s="21" t="s">
        <v>1412</v>
      </c>
      <c r="I67" s="39">
        <f ca="1">IFERROR(__xludf.DUMMYFUNCTION("IF(SUM(COUNTIF(artists!A:A, SPLIT(D67, "",""))) &gt; 0, ""UA"", 0)"),0)</f>
        <v>0</v>
      </c>
      <c r="J67" s="40" t="str">
        <f ca="1">IFERROR(__xludf.DUMMYFUNCTION("IF(SUM(COUNTIF(artists!C:C, SPLIT(D67, "",""))) &gt; 0, ""RU"", 0)"),"RU")</f>
        <v>RU</v>
      </c>
      <c r="K67" s="39">
        <f ca="1">IFERROR(__xludf.DUMMYFUNCTION("IF(SUM(COUNTIF(artists!E:E, SPLIT(D67, "",""))) &gt; 0, ""OTHER"", 0)"),0)</f>
        <v>0</v>
      </c>
    </row>
    <row r="68" spans="1:11" ht="14.25" customHeight="1">
      <c r="A68" s="21">
        <v>67</v>
      </c>
      <c r="B68" s="21">
        <v>61</v>
      </c>
      <c r="C68" s="21" t="s">
        <v>1300</v>
      </c>
      <c r="D68" s="21" t="s">
        <v>1074</v>
      </c>
      <c r="E68" s="21">
        <v>4</v>
      </c>
      <c r="F68" s="21">
        <v>193281</v>
      </c>
      <c r="G68" s="42">
        <v>-0.153</v>
      </c>
      <c r="H68" s="21" t="s">
        <v>1301</v>
      </c>
      <c r="I68" s="39" t="str">
        <f ca="1">IFERROR(__xludf.DUMMYFUNCTION("IF(SUM(COUNTIF(artists!A:A, SPLIT(D68, "",""))) &gt; 0, ""UA"", 0)"),"UA")</f>
        <v>UA</v>
      </c>
      <c r="J68" s="40">
        <f ca="1">IFERROR(__xludf.DUMMYFUNCTION("IF(SUM(COUNTIF(artists!C:C, SPLIT(D68, "",""))) &gt; 0, ""RU"", 0)"),0)</f>
        <v>0</v>
      </c>
      <c r="K68" s="39">
        <f ca="1">IFERROR(__xludf.DUMMYFUNCTION("IF(SUM(COUNTIF(artists!E:E, SPLIT(D68, "",""))) &gt; 0, ""OTHER"", 0)"),0)</f>
        <v>0</v>
      </c>
    </row>
    <row r="69" spans="1:11" ht="14.25" customHeight="1">
      <c r="A69" s="21">
        <v>68</v>
      </c>
      <c r="B69" s="21">
        <v>79</v>
      </c>
      <c r="C69" s="21" t="s">
        <v>1290</v>
      </c>
      <c r="D69" s="21" t="s">
        <v>942</v>
      </c>
      <c r="E69" s="21">
        <v>17</v>
      </c>
      <c r="F69" s="21">
        <v>191218</v>
      </c>
      <c r="G69" s="42">
        <v>9.5000000000000001E-2</v>
      </c>
      <c r="H69" s="21" t="s">
        <v>1291</v>
      </c>
      <c r="I69" s="39" t="str">
        <f ca="1">IFERROR(__xludf.DUMMYFUNCTION("IF(SUM(COUNTIF(artists!A:A, SPLIT(D69, "",""))) &gt; 0, ""UA"", 0)"),"UA")</f>
        <v>UA</v>
      </c>
      <c r="J69" s="40">
        <f ca="1">IFERROR(__xludf.DUMMYFUNCTION("IF(SUM(COUNTIF(artists!C:C, SPLIT(D69, "",""))) &gt; 0, ""RU"", 0)"),0)</f>
        <v>0</v>
      </c>
      <c r="K69" s="39">
        <f ca="1">IFERROR(__xludf.DUMMYFUNCTION("IF(SUM(COUNTIF(artists!E:E, SPLIT(D69, "",""))) &gt; 0, ""OTHER"", 0)"),0)</f>
        <v>0</v>
      </c>
    </row>
    <row r="70" spans="1:11" ht="14.25" customHeight="1">
      <c r="A70" s="21">
        <v>69</v>
      </c>
      <c r="B70" s="21">
        <v>68</v>
      </c>
      <c r="C70" s="21" t="s">
        <v>1377</v>
      </c>
      <c r="D70" s="21" t="s">
        <v>463</v>
      </c>
      <c r="E70" s="21">
        <v>12</v>
      </c>
      <c r="F70" s="21">
        <v>186813</v>
      </c>
      <c r="G70" s="42">
        <v>-6.9000000000000006E-2</v>
      </c>
      <c r="H70" s="21" t="s">
        <v>1378</v>
      </c>
      <c r="I70" s="39" t="str">
        <f ca="1">IFERROR(__xludf.DUMMYFUNCTION("IF(SUM(COUNTIF(artists!A:A, SPLIT(D70, "",""))) &gt; 0, ""UA"", 0)"),"UA")</f>
        <v>UA</v>
      </c>
      <c r="J70" s="40">
        <f ca="1">IFERROR(__xludf.DUMMYFUNCTION("IF(SUM(COUNTIF(artists!C:C, SPLIT(D70, "",""))) &gt; 0, ""RU"", 0)"),0)</f>
        <v>0</v>
      </c>
      <c r="K70" s="39">
        <f ca="1">IFERROR(__xludf.DUMMYFUNCTION("IF(SUM(COUNTIF(artists!E:E, SPLIT(D70, "",""))) &gt; 0, ""OTHER"", 0)"),0)</f>
        <v>0</v>
      </c>
    </row>
    <row r="71" spans="1:11" ht="14.25" customHeight="1">
      <c r="A71" s="21">
        <v>70</v>
      </c>
      <c r="B71" s="21">
        <v>76</v>
      </c>
      <c r="C71" s="21" t="s">
        <v>1387</v>
      </c>
      <c r="D71" s="21" t="s">
        <v>1388</v>
      </c>
      <c r="E71" s="21">
        <v>17</v>
      </c>
      <c r="F71" s="21">
        <v>185578</v>
      </c>
      <c r="G71" s="43">
        <v>0.01</v>
      </c>
      <c r="H71" s="21" t="s">
        <v>1389</v>
      </c>
      <c r="I71" s="39">
        <f ca="1">IFERROR(__xludf.DUMMYFUNCTION("IF(SUM(COUNTIF(artists!A:A, SPLIT(D71, "",""))) &gt; 0, ""UA"", 0)"),0)</f>
        <v>0</v>
      </c>
      <c r="J71" s="40">
        <f ca="1">IFERROR(__xludf.DUMMYFUNCTION("IF(SUM(COUNTIF(artists!C:C, SPLIT(D71, "",""))) &gt; 0, ""RU"", 0)"),0)</f>
        <v>0</v>
      </c>
      <c r="K71" s="39" t="str">
        <f ca="1">IFERROR(__xludf.DUMMYFUNCTION("IF(SUM(COUNTIF(artists!E:E, SPLIT(D71, "",""))) &gt; 0, ""OTHER"", 0)"),"OTHER")</f>
        <v>OTHER</v>
      </c>
    </row>
    <row r="72" spans="1:11" ht="14.25" customHeight="1">
      <c r="A72" s="21">
        <v>71</v>
      </c>
      <c r="B72" s="21">
        <v>63</v>
      </c>
      <c r="C72" s="21" t="s">
        <v>1280</v>
      </c>
      <c r="D72" s="21" t="s">
        <v>1193</v>
      </c>
      <c r="E72" s="21">
        <v>2</v>
      </c>
      <c r="F72" s="21">
        <v>180363</v>
      </c>
      <c r="G72" s="42">
        <v>-0.17499999999999999</v>
      </c>
      <c r="H72" s="21" t="s">
        <v>1281</v>
      </c>
      <c r="I72" s="39" t="str">
        <f ca="1">IFERROR(__xludf.DUMMYFUNCTION("IF(SUM(COUNTIF(artists!A:A, SPLIT(D72, "",""))) &gt; 0, ""UA"", 0)"),"UA")</f>
        <v>UA</v>
      </c>
      <c r="J72" s="40">
        <f ca="1">IFERROR(__xludf.DUMMYFUNCTION("IF(SUM(COUNTIF(artists!C:C, SPLIT(D72, "",""))) &gt; 0, ""RU"", 0)"),0)</f>
        <v>0</v>
      </c>
      <c r="K72" s="39">
        <f ca="1">IFERROR(__xludf.DUMMYFUNCTION("IF(SUM(COUNTIF(artists!E:E, SPLIT(D72, "",""))) &gt; 0, ""OTHER"", 0)"),0)</f>
        <v>0</v>
      </c>
    </row>
    <row r="73" spans="1:11" ht="14.25" customHeight="1">
      <c r="A73" s="21">
        <v>72</v>
      </c>
      <c r="B73" s="21">
        <v>97</v>
      </c>
      <c r="C73" s="21" t="s">
        <v>678</v>
      </c>
      <c r="D73" s="21" t="s">
        <v>89</v>
      </c>
      <c r="E73" s="21">
        <v>11</v>
      </c>
      <c r="F73" s="21">
        <v>178116</v>
      </c>
      <c r="G73" s="42">
        <v>0.17599999999999999</v>
      </c>
      <c r="H73" s="21" t="s">
        <v>679</v>
      </c>
      <c r="I73" s="39" t="str">
        <f ca="1">IFERROR(__xludf.DUMMYFUNCTION("IF(SUM(COUNTIF(artists!A:A, SPLIT(D73, "",""))) &gt; 0, ""UA"", 0)"),"UA")</f>
        <v>UA</v>
      </c>
      <c r="J73" s="40">
        <f ca="1">IFERROR(__xludf.DUMMYFUNCTION("IF(SUM(COUNTIF(artists!C:C, SPLIT(D73, "",""))) &gt; 0, ""RU"", 0)"),0)</f>
        <v>0</v>
      </c>
      <c r="K73" s="39">
        <f ca="1">IFERROR(__xludf.DUMMYFUNCTION("IF(SUM(COUNTIF(artists!E:E, SPLIT(D73, "",""))) &gt; 0, ""OTHER"", 0)"),0)</f>
        <v>0</v>
      </c>
    </row>
    <row r="74" spans="1:11" ht="14.25" customHeight="1">
      <c r="A74" s="21">
        <v>73</v>
      </c>
      <c r="B74" s="21">
        <v>67</v>
      </c>
      <c r="C74" s="21" t="s">
        <v>1343</v>
      </c>
      <c r="D74" s="21" t="s">
        <v>1344</v>
      </c>
      <c r="E74" s="21">
        <v>8</v>
      </c>
      <c r="F74" s="21">
        <v>176989</v>
      </c>
      <c r="G74" s="42">
        <v>-0.123</v>
      </c>
      <c r="H74" s="21" t="s">
        <v>1345</v>
      </c>
      <c r="I74" s="39" t="str">
        <f ca="1">IFERROR(__xludf.DUMMYFUNCTION("IF(SUM(COUNTIF(artists!A:A, SPLIT(D74, "",""))) &gt; 0, ""UA"", 0)"),"UA")</f>
        <v>UA</v>
      </c>
      <c r="J74" s="40">
        <f ca="1">IFERROR(__xludf.DUMMYFUNCTION("IF(SUM(COUNTIF(artists!C:C, SPLIT(D74, "",""))) &gt; 0, ""RU"", 0)"),0)</f>
        <v>0</v>
      </c>
      <c r="K74" s="39">
        <f ca="1">IFERROR(__xludf.DUMMYFUNCTION("IF(SUM(COUNTIF(artists!E:E, SPLIT(D74, "",""))) &gt; 0, ""OTHER"", 0)"),0)</f>
        <v>0</v>
      </c>
    </row>
    <row r="75" spans="1:11" ht="14.25" customHeight="1">
      <c r="A75" s="21">
        <v>74</v>
      </c>
      <c r="B75" s="21">
        <v>70</v>
      </c>
      <c r="C75" s="21" t="s">
        <v>1385</v>
      </c>
      <c r="D75" s="21" t="s">
        <v>896</v>
      </c>
      <c r="E75" s="21">
        <v>10</v>
      </c>
      <c r="F75" s="21">
        <v>176382</v>
      </c>
      <c r="G75" s="42">
        <v>-9.7000000000000003E-2</v>
      </c>
      <c r="H75" s="21" t="s">
        <v>1386</v>
      </c>
      <c r="I75" s="39" t="str">
        <f ca="1">IFERROR(__xludf.DUMMYFUNCTION("IF(SUM(COUNTIF(artists!A:A, SPLIT(D75, "",""))) &gt; 0, ""UA"", 0)"),"UA")</f>
        <v>UA</v>
      </c>
      <c r="J75" s="40">
        <f ca="1">IFERROR(__xludf.DUMMYFUNCTION("IF(SUM(COUNTIF(artists!C:C, SPLIT(D75, "",""))) &gt; 0, ""RU"", 0)"),0)</f>
        <v>0</v>
      </c>
      <c r="K75" s="39">
        <f ca="1">IFERROR(__xludf.DUMMYFUNCTION("IF(SUM(COUNTIF(artists!E:E, SPLIT(D75, "",""))) &gt; 0, ""OTHER"", 0)"),0)</f>
        <v>0</v>
      </c>
    </row>
    <row r="76" spans="1:11" ht="14.25" customHeight="1">
      <c r="A76" s="21">
        <v>75</v>
      </c>
      <c r="C76" s="21" t="s">
        <v>748</v>
      </c>
      <c r="D76" s="21" t="s">
        <v>586</v>
      </c>
      <c r="E76" s="21">
        <v>21</v>
      </c>
      <c r="F76" s="21">
        <v>173892</v>
      </c>
      <c r="H76" s="21" t="s">
        <v>749</v>
      </c>
      <c r="I76" s="39" t="str">
        <f ca="1">IFERROR(__xludf.DUMMYFUNCTION("IF(SUM(COUNTIF(artists!A:A, SPLIT(D76, "",""))) &gt; 0, ""UA"", 0)"),"UA")</f>
        <v>UA</v>
      </c>
      <c r="J76" s="40">
        <f ca="1">IFERROR(__xludf.DUMMYFUNCTION("IF(SUM(COUNTIF(artists!C:C, SPLIT(D76, "",""))) &gt; 0, ""RU"", 0)"),0)</f>
        <v>0</v>
      </c>
      <c r="K76" s="39">
        <f ca="1">IFERROR(__xludf.DUMMYFUNCTION("IF(SUM(COUNTIF(artists!E:E, SPLIT(D76, "",""))) &gt; 0, ""OTHER"", 0)"),0)</f>
        <v>0</v>
      </c>
    </row>
    <row r="77" spans="1:11" ht="14.25" customHeight="1">
      <c r="A77" s="21">
        <v>76</v>
      </c>
      <c r="B77" s="21">
        <v>90</v>
      </c>
      <c r="C77" s="21" t="s">
        <v>1236</v>
      </c>
      <c r="D77" s="21" t="s">
        <v>1237</v>
      </c>
      <c r="E77" s="21">
        <v>5</v>
      </c>
      <c r="F77" s="21">
        <v>165542</v>
      </c>
      <c r="G77" s="42">
        <v>1.0999999999999999E-2</v>
      </c>
      <c r="H77" s="21" t="s">
        <v>1238</v>
      </c>
      <c r="I77" s="39">
        <f ca="1">IFERROR(__xludf.DUMMYFUNCTION("IF(SUM(COUNTIF(artists!A:A, SPLIT(D77, "",""))) &gt; 0, ""UA"", 0)"),0)</f>
        <v>0</v>
      </c>
      <c r="J77" s="40" t="str">
        <f ca="1">IFERROR(__xludf.DUMMYFUNCTION("IF(SUM(COUNTIF(artists!C:C, SPLIT(D77, "",""))) &gt; 0, ""RU"", 0)"),"RU")</f>
        <v>RU</v>
      </c>
      <c r="K77" s="39">
        <f ca="1">IFERROR(__xludf.DUMMYFUNCTION("IF(SUM(COUNTIF(artists!E:E, SPLIT(D77, "",""))) &gt; 0, ""OTHER"", 0)"),0)</f>
        <v>0</v>
      </c>
    </row>
    <row r="78" spans="1:11" ht="14.25" customHeight="1">
      <c r="A78" s="21">
        <v>77</v>
      </c>
      <c r="B78" s="21">
        <v>74</v>
      </c>
      <c r="C78" s="21" t="s">
        <v>1418</v>
      </c>
      <c r="D78" s="21" t="s">
        <v>698</v>
      </c>
      <c r="E78" s="21">
        <v>7</v>
      </c>
      <c r="F78" s="21">
        <v>161221</v>
      </c>
      <c r="G78" s="43">
        <v>-0.13</v>
      </c>
      <c r="H78" s="21" t="s">
        <v>1419</v>
      </c>
      <c r="I78" s="39">
        <f ca="1">IFERROR(__xludf.DUMMYFUNCTION("IF(SUM(COUNTIF(artists!A:A, SPLIT(D78, "",""))) &gt; 0, ""UA"", 0)"),0)</f>
        <v>0</v>
      </c>
      <c r="J78" s="40" t="str">
        <f ca="1">IFERROR(__xludf.DUMMYFUNCTION("IF(SUM(COUNTIF(artists!C:C, SPLIT(D78, "",""))) &gt; 0, ""RU"", 0)"),"RU")</f>
        <v>RU</v>
      </c>
      <c r="K78" s="39">
        <f ca="1">IFERROR(__xludf.DUMMYFUNCTION("IF(SUM(COUNTIF(artists!E:E, SPLIT(D78, "",""))) &gt; 0, ""OTHER"", 0)"),0)</f>
        <v>0</v>
      </c>
    </row>
    <row r="79" spans="1:11" ht="14.25" customHeight="1">
      <c r="A79" s="21">
        <v>78</v>
      </c>
      <c r="B79" s="21">
        <v>96</v>
      </c>
      <c r="C79" s="21" t="s">
        <v>579</v>
      </c>
      <c r="D79" s="21" t="s">
        <v>183</v>
      </c>
      <c r="E79" s="21">
        <v>4</v>
      </c>
      <c r="F79" s="21">
        <v>161200</v>
      </c>
      <c r="G79" s="42">
        <v>5.3999999999999999E-2</v>
      </c>
      <c r="H79" s="21" t="s">
        <v>580</v>
      </c>
      <c r="I79" s="39" t="str">
        <f ca="1">IFERROR(__xludf.DUMMYFUNCTION("IF(SUM(COUNTIF(artists!A:A, SPLIT(D79, "",""))) &gt; 0, ""UA"", 0)"),"UA")</f>
        <v>UA</v>
      </c>
      <c r="J79" s="40">
        <f ca="1">IFERROR(__xludf.DUMMYFUNCTION("IF(SUM(COUNTIF(artists!C:C, SPLIT(D79, "",""))) &gt; 0, ""RU"", 0)"),0)</f>
        <v>0</v>
      </c>
      <c r="K79" s="39">
        <f ca="1">IFERROR(__xludf.DUMMYFUNCTION("IF(SUM(COUNTIF(artists!E:E, SPLIT(D79, "",""))) &gt; 0, ""OTHER"", 0)"),0)</f>
        <v>0</v>
      </c>
    </row>
    <row r="80" spans="1:11" ht="14.25" customHeight="1">
      <c r="A80" s="21">
        <v>79</v>
      </c>
      <c r="C80" s="21" t="s">
        <v>1438</v>
      </c>
      <c r="D80" s="21" t="s">
        <v>1439</v>
      </c>
      <c r="E80" s="21">
        <v>1</v>
      </c>
      <c r="F80" s="21">
        <v>160068</v>
      </c>
      <c r="H80" s="21" t="s">
        <v>1440</v>
      </c>
      <c r="I80" s="39" t="str">
        <f ca="1">IFERROR(__xludf.DUMMYFUNCTION("IF(SUM(COUNTIF(artists!A:A, SPLIT(D80, "",""))) &gt; 0, ""UA"", 0)"),"UA")</f>
        <v>UA</v>
      </c>
      <c r="J80" s="40">
        <f ca="1">IFERROR(__xludf.DUMMYFUNCTION("IF(SUM(COUNTIF(artists!C:C, SPLIT(D80, "",""))) &gt; 0, ""RU"", 0)"),0)</f>
        <v>0</v>
      </c>
      <c r="K80" s="39">
        <f ca="1">IFERROR(__xludf.DUMMYFUNCTION("IF(SUM(COUNTIF(artists!E:E, SPLIT(D80, "",""))) &gt; 0, ""OTHER"", 0)"),0)</f>
        <v>0</v>
      </c>
    </row>
    <row r="81" spans="1:11" ht="14.25" customHeight="1">
      <c r="A81" s="21">
        <v>80</v>
      </c>
      <c r="B81" s="21">
        <v>87</v>
      </c>
      <c r="C81" s="21" t="s">
        <v>1076</v>
      </c>
      <c r="D81" s="21" t="s">
        <v>1077</v>
      </c>
      <c r="E81" s="21">
        <v>4</v>
      </c>
      <c r="F81" s="21">
        <v>158669</v>
      </c>
      <c r="G81" s="42">
        <v>-3.7999999999999999E-2</v>
      </c>
      <c r="H81" s="21" t="s">
        <v>1078</v>
      </c>
      <c r="I81" s="39" t="str">
        <f ca="1">IFERROR(__xludf.DUMMYFUNCTION("IF(SUM(COUNTIF(artists!A:A, SPLIT(D81, "",""))) &gt; 0, ""UA"", 0)"),"UA")</f>
        <v>UA</v>
      </c>
      <c r="J81" s="40">
        <f ca="1">IFERROR(__xludf.DUMMYFUNCTION("IF(SUM(COUNTIF(artists!C:C, SPLIT(D81, "",""))) &gt; 0, ""RU"", 0)"),0)</f>
        <v>0</v>
      </c>
      <c r="K81" s="39">
        <f ca="1">IFERROR(__xludf.DUMMYFUNCTION("IF(SUM(COUNTIF(artists!E:E, SPLIT(D81, "",""))) &gt; 0, ""OTHER"", 0)"),0)</f>
        <v>0</v>
      </c>
    </row>
    <row r="82" spans="1:11" ht="14.25" customHeight="1">
      <c r="A82" s="21">
        <v>81</v>
      </c>
      <c r="B82" s="21">
        <v>86</v>
      </c>
      <c r="C82" s="21" t="s">
        <v>1413</v>
      </c>
      <c r="D82" s="21" t="s">
        <v>1414</v>
      </c>
      <c r="E82" s="21">
        <v>7</v>
      </c>
      <c r="F82" s="21">
        <v>158528</v>
      </c>
      <c r="G82" s="42">
        <v>-4.3999999999999997E-2</v>
      </c>
      <c r="H82" s="21" t="s">
        <v>1415</v>
      </c>
      <c r="I82" s="39" t="str">
        <f ca="1">IFERROR(__xludf.DUMMYFUNCTION("IF(SUM(COUNTIF(artists!A:A, SPLIT(D82, "",""))) &gt; 0, ""UA"", 0)"),"UA")</f>
        <v>UA</v>
      </c>
      <c r="J82" s="40">
        <f ca="1">IFERROR(__xludf.DUMMYFUNCTION("IF(SUM(COUNTIF(artists!C:C, SPLIT(D82, "",""))) &gt; 0, ""RU"", 0)"),0)</f>
        <v>0</v>
      </c>
      <c r="K82" s="39">
        <f ca="1">IFERROR(__xludf.DUMMYFUNCTION("IF(SUM(COUNTIF(artists!E:E, SPLIT(D82, "",""))) &gt; 0, ""OTHER"", 0)"),0)</f>
        <v>0</v>
      </c>
    </row>
    <row r="83" spans="1:11" ht="14.25" customHeight="1">
      <c r="A83" s="21">
        <v>82</v>
      </c>
      <c r="B83" s="21">
        <v>88</v>
      </c>
      <c r="C83" s="21" t="s">
        <v>379</v>
      </c>
      <c r="D83" s="21" t="s">
        <v>380</v>
      </c>
      <c r="E83" s="21">
        <v>2</v>
      </c>
      <c r="F83" s="21">
        <v>158066</v>
      </c>
      <c r="G83" s="42">
        <v>-4.1000000000000002E-2</v>
      </c>
      <c r="H83" s="21" t="s">
        <v>382</v>
      </c>
      <c r="I83" s="39" t="str">
        <f ca="1">IFERROR(__xludf.DUMMYFUNCTION("IF(SUM(COUNTIF(artists!A:A, SPLIT(D83, "",""))) &gt; 0, ""UA"", 0)"),"UA")</f>
        <v>UA</v>
      </c>
      <c r="J83" s="40">
        <f ca="1">IFERROR(__xludf.DUMMYFUNCTION("IF(SUM(COUNTIF(artists!C:C, SPLIT(D83, "",""))) &gt; 0, ""RU"", 0)"),0)</f>
        <v>0</v>
      </c>
      <c r="K83" s="39">
        <f ca="1">IFERROR(__xludf.DUMMYFUNCTION("IF(SUM(COUNTIF(artists!E:E, SPLIT(D83, "",""))) &gt; 0, ""OTHER"", 0)"),0)</f>
        <v>0</v>
      </c>
    </row>
    <row r="84" spans="1:11" ht="14.25" customHeight="1">
      <c r="A84" s="21">
        <v>83</v>
      </c>
      <c r="C84" s="21" t="s">
        <v>1441</v>
      </c>
      <c r="D84" s="21" t="s">
        <v>1093</v>
      </c>
      <c r="E84" s="21">
        <v>1</v>
      </c>
      <c r="F84" s="21">
        <v>157639</v>
      </c>
      <c r="H84" s="21" t="s">
        <v>1442</v>
      </c>
      <c r="I84" s="39">
        <f ca="1">IFERROR(__xludf.DUMMYFUNCTION("IF(SUM(COUNTIF(artists!A:A, SPLIT(D84, "",""))) &gt; 0, ""UA"", 0)"),0)</f>
        <v>0</v>
      </c>
      <c r="J84" s="40" t="str">
        <f ca="1">IFERROR(__xludf.DUMMYFUNCTION("IF(SUM(COUNTIF(artists!C:C, SPLIT(D84, "",""))) &gt; 0, ""RU"", 0)"),"RU")</f>
        <v>RU</v>
      </c>
      <c r="K84" s="39">
        <f ca="1">IFERROR(__xludf.DUMMYFUNCTION("IF(SUM(COUNTIF(artists!E:E, SPLIT(D84, "",""))) &gt; 0, ""OTHER"", 0)"),0)</f>
        <v>0</v>
      </c>
    </row>
    <row r="85" spans="1:11" ht="14.25" customHeight="1">
      <c r="A85" s="21">
        <v>84</v>
      </c>
      <c r="B85" s="21">
        <v>72</v>
      </c>
      <c r="C85" s="21" t="s">
        <v>1425</v>
      </c>
      <c r="D85" s="21" t="s">
        <v>1426</v>
      </c>
      <c r="E85" s="21">
        <v>4</v>
      </c>
      <c r="F85" s="21">
        <v>157413</v>
      </c>
      <c r="G85" s="42">
        <v>-0.17599999999999999</v>
      </c>
      <c r="H85" s="21" t="s">
        <v>1427</v>
      </c>
      <c r="I85" s="39" t="str">
        <f ca="1">IFERROR(__xludf.DUMMYFUNCTION("IF(SUM(COUNTIF(artists!A:A, SPLIT(D85, "",""))) &gt; 0, ""UA"", 0)"),"UA")</f>
        <v>UA</v>
      </c>
      <c r="J85" s="40">
        <f ca="1">IFERROR(__xludf.DUMMYFUNCTION("IF(SUM(COUNTIF(artists!C:C, SPLIT(D85, "",""))) &gt; 0, ""RU"", 0)"),0)</f>
        <v>0</v>
      </c>
      <c r="K85" s="39">
        <f ca="1">IFERROR(__xludf.DUMMYFUNCTION("IF(SUM(COUNTIF(artists!E:E, SPLIT(D85, "",""))) &gt; 0, ""OTHER"", 0)"),0)</f>
        <v>0</v>
      </c>
    </row>
    <row r="86" spans="1:11" ht="14.25" customHeight="1">
      <c r="A86" s="21">
        <v>85</v>
      </c>
      <c r="C86" s="21" t="s">
        <v>589</v>
      </c>
      <c r="D86" s="21" t="s">
        <v>590</v>
      </c>
      <c r="E86" s="21">
        <v>1</v>
      </c>
      <c r="F86" s="21">
        <v>156871</v>
      </c>
      <c r="H86" s="21" t="s">
        <v>591</v>
      </c>
      <c r="I86" s="39" t="str">
        <f ca="1">IFERROR(__xludf.DUMMYFUNCTION("IF(SUM(COUNTIF(artists!A:A, SPLIT(D86, "",""))) &gt; 0, ""UA"", 0)"),"UA")</f>
        <v>UA</v>
      </c>
      <c r="J86" s="40">
        <f ca="1">IFERROR(__xludf.DUMMYFUNCTION("IF(SUM(COUNTIF(artists!C:C, SPLIT(D86, "",""))) &gt; 0, ""RU"", 0)"),0)</f>
        <v>0</v>
      </c>
      <c r="K86" s="39">
        <f ca="1">IFERROR(__xludf.DUMMYFUNCTION("IF(SUM(COUNTIF(artists!E:E, SPLIT(D86, "",""))) &gt; 0, ""OTHER"", 0)"),0)</f>
        <v>0</v>
      </c>
    </row>
    <row r="87" spans="1:11" ht="14.25" customHeight="1">
      <c r="A87" s="21">
        <v>86</v>
      </c>
      <c r="B87" s="21">
        <v>85</v>
      </c>
      <c r="C87" s="21" t="s">
        <v>1416</v>
      </c>
      <c r="D87" s="21" t="s">
        <v>137</v>
      </c>
      <c r="E87" s="21">
        <v>18</v>
      </c>
      <c r="F87" s="21">
        <v>156049</v>
      </c>
      <c r="G87" s="42">
        <v>-7.0999999999999994E-2</v>
      </c>
      <c r="H87" s="21" t="s">
        <v>1417</v>
      </c>
      <c r="I87" s="39" t="str">
        <f ca="1">IFERROR(__xludf.DUMMYFUNCTION("IF(SUM(COUNTIF(artists!A:A, SPLIT(D87, "",""))) &gt; 0, ""UA"", 0)"),"UA")</f>
        <v>UA</v>
      </c>
      <c r="J87" s="40">
        <f ca="1">IFERROR(__xludf.DUMMYFUNCTION("IF(SUM(COUNTIF(artists!C:C, SPLIT(D87, "",""))) &gt; 0, ""RU"", 0)"),0)</f>
        <v>0</v>
      </c>
      <c r="K87" s="39">
        <f ca="1">IFERROR(__xludf.DUMMYFUNCTION("IF(SUM(COUNTIF(artists!E:E, SPLIT(D87, "",""))) &gt; 0, ""OTHER"", 0)"),0)</f>
        <v>0</v>
      </c>
    </row>
    <row r="88" spans="1:11" ht="14.25" customHeight="1">
      <c r="A88" s="21">
        <v>87</v>
      </c>
      <c r="B88" s="21">
        <v>93</v>
      </c>
      <c r="C88" s="21" t="s">
        <v>1375</v>
      </c>
      <c r="D88" s="21" t="s">
        <v>907</v>
      </c>
      <c r="E88" s="21">
        <v>6</v>
      </c>
      <c r="F88" s="21">
        <v>155822</v>
      </c>
      <c r="G88" s="42">
        <v>-3.5000000000000003E-2</v>
      </c>
      <c r="H88" s="21" t="s">
        <v>1376</v>
      </c>
      <c r="I88" s="39">
        <f ca="1">IFERROR(__xludf.DUMMYFUNCTION("IF(SUM(COUNTIF(artists!A:A, SPLIT(D88, "",""))) &gt; 0, ""UA"", 0)"),0)</f>
        <v>0</v>
      </c>
      <c r="J88" s="40" t="str">
        <f ca="1">IFERROR(__xludf.DUMMYFUNCTION("IF(SUM(COUNTIF(artists!C:C, SPLIT(D88, "",""))) &gt; 0, ""RU"", 0)"),"RU")</f>
        <v>RU</v>
      </c>
      <c r="K88" s="39">
        <f ca="1">IFERROR(__xludf.DUMMYFUNCTION("IF(SUM(COUNTIF(artists!E:E, SPLIT(D88, "",""))) &gt; 0, ""OTHER"", 0)"),0)</f>
        <v>0</v>
      </c>
    </row>
    <row r="89" spans="1:11" ht="14.25" customHeight="1">
      <c r="A89" s="21">
        <v>88</v>
      </c>
      <c r="B89" s="21">
        <v>92</v>
      </c>
      <c r="C89" s="21" t="s">
        <v>1428</v>
      </c>
      <c r="D89" s="21" t="s">
        <v>1429</v>
      </c>
      <c r="E89" s="21">
        <v>2</v>
      </c>
      <c r="F89" s="21">
        <v>155280</v>
      </c>
      <c r="G89" s="42">
        <v>-4.5999999999999999E-2</v>
      </c>
      <c r="H89" s="21" t="s">
        <v>1430</v>
      </c>
      <c r="I89" s="39" t="str">
        <f ca="1">IFERROR(__xludf.DUMMYFUNCTION("IF(SUM(COUNTIF(artists!A:A, SPLIT(D89, "",""))) &gt; 0, ""UA"", 0)"),"UA")</f>
        <v>UA</v>
      </c>
      <c r="J89" s="40">
        <f ca="1">IFERROR(__xludf.DUMMYFUNCTION("IF(SUM(COUNTIF(artists!C:C, SPLIT(D89, "",""))) &gt; 0, ""RU"", 0)"),0)</f>
        <v>0</v>
      </c>
      <c r="K89" s="39">
        <f ca="1">IFERROR(__xludf.DUMMYFUNCTION("IF(SUM(COUNTIF(artists!E:E, SPLIT(D89, "",""))) &gt; 0, ""OTHER"", 0)"),0)</f>
        <v>0</v>
      </c>
    </row>
    <row r="90" spans="1:11" ht="14.25" customHeight="1">
      <c r="A90" s="21">
        <v>89</v>
      </c>
      <c r="C90" s="21" t="s">
        <v>520</v>
      </c>
      <c r="D90" s="21" t="s">
        <v>521</v>
      </c>
      <c r="E90" s="21">
        <v>4</v>
      </c>
      <c r="F90" s="21">
        <v>153744</v>
      </c>
      <c r="H90" s="21" t="s">
        <v>522</v>
      </c>
      <c r="I90" s="39" t="str">
        <f ca="1">IFERROR(__xludf.DUMMYFUNCTION("IF(SUM(COUNTIF(artists!A:A, SPLIT(D90, "",""))) &gt; 0, ""UA"", 0)"),"UA")</f>
        <v>UA</v>
      </c>
      <c r="J90" s="40">
        <f ca="1">IFERROR(__xludf.DUMMYFUNCTION("IF(SUM(COUNTIF(artists!C:C, SPLIT(D90, "",""))) &gt; 0, ""RU"", 0)"),0)</f>
        <v>0</v>
      </c>
      <c r="K90" s="39">
        <f ca="1">IFERROR(__xludf.DUMMYFUNCTION("IF(SUM(COUNTIF(artists!E:E, SPLIT(D90, "",""))) &gt; 0, ""OTHER"", 0)"),0)</f>
        <v>0</v>
      </c>
    </row>
    <row r="91" spans="1:11" ht="14.25" customHeight="1">
      <c r="A91" s="21">
        <v>90</v>
      </c>
      <c r="C91" s="21" t="s">
        <v>1443</v>
      </c>
      <c r="D91" s="21" t="s">
        <v>1025</v>
      </c>
      <c r="E91" s="21">
        <v>1</v>
      </c>
      <c r="F91" s="21">
        <v>151189</v>
      </c>
      <c r="H91" s="21" t="s">
        <v>1444</v>
      </c>
      <c r="I91" s="39" t="str">
        <f ca="1">IFERROR(__xludf.DUMMYFUNCTION("IF(SUM(COUNTIF(artists!A:A, SPLIT(D91, "",""))) &gt; 0, ""UA"", 0)"),"UA")</f>
        <v>UA</v>
      </c>
      <c r="J91" s="40">
        <f ca="1">IFERROR(__xludf.DUMMYFUNCTION("IF(SUM(COUNTIF(artists!C:C, SPLIT(D91, "",""))) &gt; 0, ""RU"", 0)"),0)</f>
        <v>0</v>
      </c>
      <c r="K91" s="39">
        <f ca="1">IFERROR(__xludf.DUMMYFUNCTION("IF(SUM(COUNTIF(artists!E:E, SPLIT(D91, "",""))) &gt; 0, ""OTHER"", 0)"),0)</f>
        <v>0</v>
      </c>
    </row>
    <row r="92" spans="1:11" ht="14.25" customHeight="1">
      <c r="A92" s="21">
        <v>91</v>
      </c>
      <c r="B92" s="21">
        <v>81</v>
      </c>
      <c r="C92" s="21" t="s">
        <v>1308</v>
      </c>
      <c r="D92" s="21" t="s">
        <v>1309</v>
      </c>
      <c r="E92" s="21">
        <v>8</v>
      </c>
      <c r="F92" s="21">
        <v>149721</v>
      </c>
      <c r="G92" s="42">
        <v>-0.122</v>
      </c>
      <c r="H92" s="21" t="s">
        <v>1310</v>
      </c>
      <c r="I92" s="39" t="str">
        <f ca="1">IFERROR(__xludf.DUMMYFUNCTION("IF(SUM(COUNTIF(artists!A:A, SPLIT(D92, "",""))) &gt; 0, ""UA"", 0)"),"UA")</f>
        <v>UA</v>
      </c>
      <c r="J92" s="40">
        <f ca="1">IFERROR(__xludf.DUMMYFUNCTION("IF(SUM(COUNTIF(artists!C:C, SPLIT(D92, "",""))) &gt; 0, ""RU"", 0)"),0)</f>
        <v>0</v>
      </c>
      <c r="K92" s="39">
        <f ca="1">IFERROR(__xludf.DUMMYFUNCTION("IF(SUM(COUNTIF(artists!E:E, SPLIT(D92, "",""))) &gt; 0, ""OTHER"", 0)"),0)</f>
        <v>0</v>
      </c>
    </row>
    <row r="93" spans="1:11" ht="14.25" customHeight="1">
      <c r="A93" s="21">
        <v>92</v>
      </c>
      <c r="B93" s="21">
        <v>89</v>
      </c>
      <c r="C93" s="21" t="s">
        <v>1298</v>
      </c>
      <c r="D93" s="21" t="s">
        <v>226</v>
      </c>
      <c r="E93" s="21">
        <v>19</v>
      </c>
      <c r="F93" s="21">
        <v>148261</v>
      </c>
      <c r="G93" s="42">
        <v>-9.8000000000000004E-2</v>
      </c>
      <c r="H93" s="21" t="s">
        <v>1299</v>
      </c>
      <c r="I93" s="39" t="str">
        <f ca="1">IFERROR(__xludf.DUMMYFUNCTION("IF(SUM(COUNTIF(artists!A:A, SPLIT(D93, "",""))) &gt; 0, ""UA"", 0)"),"UA")</f>
        <v>UA</v>
      </c>
      <c r="J93" s="40">
        <f ca="1">IFERROR(__xludf.DUMMYFUNCTION("IF(SUM(COUNTIF(artists!C:C, SPLIT(D93, "",""))) &gt; 0, ""RU"", 0)"),0)</f>
        <v>0</v>
      </c>
      <c r="K93" s="39">
        <f ca="1">IFERROR(__xludf.DUMMYFUNCTION("IF(SUM(COUNTIF(artists!E:E, SPLIT(D93, "",""))) &gt; 0, ""OTHER"", 0)"),0)</f>
        <v>0</v>
      </c>
    </row>
    <row r="94" spans="1:11" ht="14.25" customHeight="1">
      <c r="A94" s="21">
        <v>93</v>
      </c>
      <c r="B94" s="21">
        <v>83</v>
      </c>
      <c r="C94" s="21" t="s">
        <v>1379</v>
      </c>
      <c r="D94" s="21" t="s">
        <v>598</v>
      </c>
      <c r="E94" s="21">
        <v>10</v>
      </c>
      <c r="F94" s="21">
        <v>145904</v>
      </c>
      <c r="G94" s="42">
        <v>-0.13800000000000001</v>
      </c>
      <c r="H94" s="21" t="s">
        <v>1380</v>
      </c>
      <c r="I94" s="39" t="str">
        <f ca="1">IFERROR(__xludf.DUMMYFUNCTION("IF(SUM(COUNTIF(artists!A:A, SPLIT(D94, "",""))) &gt; 0, ""UA"", 0)"),"UA")</f>
        <v>UA</v>
      </c>
      <c r="J94" s="40">
        <f ca="1">IFERROR(__xludf.DUMMYFUNCTION("IF(SUM(COUNTIF(artists!C:C, SPLIT(D94, "",""))) &gt; 0, ""RU"", 0)"),0)</f>
        <v>0</v>
      </c>
      <c r="K94" s="39">
        <f ca="1">IFERROR(__xludf.DUMMYFUNCTION("IF(SUM(COUNTIF(artists!E:E, SPLIT(D94, "",""))) &gt; 0, ""OTHER"", 0)"),0)</f>
        <v>0</v>
      </c>
    </row>
    <row r="95" spans="1:11" ht="14.25" customHeight="1">
      <c r="A95" s="21">
        <v>94</v>
      </c>
      <c r="B95" s="21">
        <v>99</v>
      </c>
      <c r="C95" s="21" t="s">
        <v>1392</v>
      </c>
      <c r="D95" s="21" t="s">
        <v>1393</v>
      </c>
      <c r="E95" s="21">
        <v>17</v>
      </c>
      <c r="F95" s="21">
        <v>145822</v>
      </c>
      <c r="G95" s="42">
        <v>-2.4E-2</v>
      </c>
      <c r="H95" s="21" t="s">
        <v>1394</v>
      </c>
      <c r="I95" s="39">
        <f ca="1">IFERROR(__xludf.DUMMYFUNCTION("IF(SUM(COUNTIF(artists!A:A, SPLIT(D95, "",""))) &gt; 0, ""UA"", 0)"),0)</f>
        <v>0</v>
      </c>
      <c r="J95" s="40" t="str">
        <f ca="1">IFERROR(__xludf.DUMMYFUNCTION("IF(SUM(COUNTIF(artists!C:C, SPLIT(D95, "",""))) &gt; 0, ""RU"", 0)"),"RU")</f>
        <v>RU</v>
      </c>
      <c r="K95" s="39">
        <f ca="1">IFERROR(__xludf.DUMMYFUNCTION("IF(SUM(COUNTIF(artists!E:E, SPLIT(D95, "",""))) &gt; 0, ""OTHER"", 0)"),0)</f>
        <v>0</v>
      </c>
    </row>
    <row r="96" spans="1:11" ht="14.25" customHeight="1">
      <c r="A96" s="21">
        <v>95</v>
      </c>
      <c r="B96" s="21">
        <v>69</v>
      </c>
      <c r="C96" s="21" t="s">
        <v>1403</v>
      </c>
      <c r="D96" s="21" t="s">
        <v>259</v>
      </c>
      <c r="E96" s="21">
        <v>4</v>
      </c>
      <c r="F96" s="21">
        <v>144785</v>
      </c>
      <c r="G96" s="42">
        <v>-0.26500000000000001</v>
      </c>
      <c r="H96" s="21" t="s">
        <v>1404</v>
      </c>
      <c r="I96" s="39" t="str">
        <f ca="1">IFERROR(__xludf.DUMMYFUNCTION("IF(SUM(COUNTIF(artists!A:A, SPLIT(D96, "",""))) &gt; 0, ""UA"", 0)"),"UA")</f>
        <v>UA</v>
      </c>
      <c r="J96" s="40">
        <f ca="1">IFERROR(__xludf.DUMMYFUNCTION("IF(SUM(COUNTIF(artists!C:C, SPLIT(D96, "",""))) &gt; 0, ""RU"", 0)"),0)</f>
        <v>0</v>
      </c>
      <c r="K96" s="39">
        <f ca="1">IFERROR(__xludf.DUMMYFUNCTION("IF(SUM(COUNTIF(artists!E:E, SPLIT(D96, "",""))) &gt; 0, ""OTHER"", 0)"),0)</f>
        <v>0</v>
      </c>
    </row>
    <row r="97" spans="1:11" ht="14.25" customHeight="1">
      <c r="A97" s="21">
        <v>96</v>
      </c>
      <c r="B97" s="21">
        <v>100</v>
      </c>
      <c r="C97" s="21" t="s">
        <v>355</v>
      </c>
      <c r="D97" s="21" t="s">
        <v>356</v>
      </c>
      <c r="E97" s="21">
        <v>11</v>
      </c>
      <c r="F97" s="21">
        <v>143064</v>
      </c>
      <c r="G97" s="42">
        <v>-3.2000000000000001E-2</v>
      </c>
      <c r="H97" s="21" t="s">
        <v>357</v>
      </c>
      <c r="I97" s="39">
        <f ca="1">IFERROR(__xludf.DUMMYFUNCTION("IF(SUM(COUNTIF(artists!A:A, SPLIT(D97, "",""))) &gt; 0, ""UA"", 0)"),0)</f>
        <v>0</v>
      </c>
      <c r="J97" s="40">
        <f ca="1">IFERROR(__xludf.DUMMYFUNCTION("IF(SUM(COUNTIF(artists!C:C, SPLIT(D97, "",""))) &gt; 0, ""RU"", 0)"),0)</f>
        <v>0</v>
      </c>
      <c r="K97" s="39" t="str">
        <f ca="1">IFERROR(__xludf.DUMMYFUNCTION("IF(SUM(COUNTIF(artists!E:E, SPLIT(D97, "",""))) &gt; 0, ""OTHER"", 0)"),"OTHER")</f>
        <v>OTHER</v>
      </c>
    </row>
    <row r="98" spans="1:11" ht="14.25" customHeight="1">
      <c r="A98" s="21">
        <v>97</v>
      </c>
      <c r="C98" s="21" t="s">
        <v>1445</v>
      </c>
      <c r="D98" s="21" t="s">
        <v>81</v>
      </c>
      <c r="E98" s="21">
        <v>9</v>
      </c>
      <c r="F98" s="21">
        <v>142583</v>
      </c>
      <c r="H98" s="21" t="s">
        <v>1446</v>
      </c>
      <c r="I98" s="39" t="str">
        <f ca="1">IFERROR(__xludf.DUMMYFUNCTION("IF(SUM(COUNTIF(artists!A:A, SPLIT(D98, "",""))) &gt; 0, ""UA"", 0)"),"UA")</f>
        <v>UA</v>
      </c>
      <c r="J98" s="40">
        <f ca="1">IFERROR(__xludf.DUMMYFUNCTION("IF(SUM(COUNTIF(artists!C:C, SPLIT(D98, "",""))) &gt; 0, ""RU"", 0)"),0)</f>
        <v>0</v>
      </c>
      <c r="K98" s="39">
        <f ca="1">IFERROR(__xludf.DUMMYFUNCTION("IF(SUM(COUNTIF(artists!E:E, SPLIT(D98, "",""))) &gt; 0, ""OTHER"", 0)"),0)</f>
        <v>0</v>
      </c>
    </row>
    <row r="99" spans="1:11" ht="14.25" customHeight="1">
      <c r="A99" s="21">
        <v>98</v>
      </c>
      <c r="C99" s="21" t="s">
        <v>1133</v>
      </c>
      <c r="D99" s="21" t="s">
        <v>89</v>
      </c>
      <c r="E99" s="21">
        <v>4</v>
      </c>
      <c r="F99" s="21">
        <v>142471</v>
      </c>
      <c r="H99" s="21" t="s">
        <v>1134</v>
      </c>
      <c r="I99" s="39" t="str">
        <f ca="1">IFERROR(__xludf.DUMMYFUNCTION("IF(SUM(COUNTIF(artists!A:A, SPLIT(D99, "",""))) &gt; 0, ""UA"", 0)"),"UA")</f>
        <v>UA</v>
      </c>
      <c r="J99" s="40">
        <f ca="1">IFERROR(__xludf.DUMMYFUNCTION("IF(SUM(COUNTIF(artists!C:C, SPLIT(D99, "",""))) &gt; 0, ""RU"", 0)"),0)</f>
        <v>0</v>
      </c>
      <c r="K99" s="39">
        <f ca="1">IFERROR(__xludf.DUMMYFUNCTION("IF(SUM(COUNTIF(artists!E:E, SPLIT(D99, "",""))) &gt; 0, ""OTHER"", 0)"),0)</f>
        <v>0</v>
      </c>
    </row>
    <row r="100" spans="1:11" ht="14.25" customHeight="1">
      <c r="A100" s="21">
        <v>99</v>
      </c>
      <c r="C100" s="21" t="s">
        <v>390</v>
      </c>
      <c r="D100" s="21" t="s">
        <v>391</v>
      </c>
      <c r="E100" s="21">
        <v>1</v>
      </c>
      <c r="F100" s="21">
        <v>140503</v>
      </c>
      <c r="H100" s="21" t="s">
        <v>393</v>
      </c>
      <c r="I100" s="39">
        <f ca="1">IFERROR(__xludf.DUMMYFUNCTION("IF(SUM(COUNTIF(artists!A:A, SPLIT(D100, "",""))) &gt; 0, ""UA"", 0)"),0)</f>
        <v>0</v>
      </c>
      <c r="J100" s="40" t="str">
        <f ca="1">IFERROR(__xludf.DUMMYFUNCTION("IF(SUM(COUNTIF(artists!C:C, SPLIT(D100, "",""))) &gt; 0, ""RU"", 0)"),"RU")</f>
        <v>RU</v>
      </c>
      <c r="K100" s="39">
        <f ca="1">IFERROR(__xludf.DUMMYFUNCTION("IF(SUM(COUNTIF(artists!E:E, SPLIT(D100, "",""))) &gt; 0, ""OTHER"", 0)"),0)</f>
        <v>0</v>
      </c>
    </row>
    <row r="101" spans="1:11" ht="14.25" customHeight="1">
      <c r="A101" s="21">
        <v>100</v>
      </c>
      <c r="C101" s="21" t="s">
        <v>971</v>
      </c>
      <c r="D101" s="21" t="s">
        <v>972</v>
      </c>
      <c r="E101" s="21">
        <v>1</v>
      </c>
      <c r="F101" s="21">
        <v>138658</v>
      </c>
      <c r="H101" s="21" t="s">
        <v>973</v>
      </c>
      <c r="I101" s="39">
        <f ca="1">IFERROR(__xludf.DUMMYFUNCTION("IF(SUM(COUNTIF(artists!A:A, SPLIT(D101, "",""))) &gt; 0, ""UA"", 0)"),0)</f>
        <v>0</v>
      </c>
      <c r="J101" s="40">
        <f ca="1">IFERROR(__xludf.DUMMYFUNCTION("IF(SUM(COUNTIF(artists!C:C, SPLIT(D101, "",""))) &gt; 0, ""RU"", 0)"),0)</f>
        <v>0</v>
      </c>
      <c r="K101" s="39" t="str">
        <f ca="1">IFERROR(__xludf.DUMMYFUNCTION("IF(SUM(COUNTIF(artists!E:E, SPLIT(D101, "",""))) &gt; 0, ""OTHER"", 0)"),"OTHER")</f>
        <v>OTHER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61" priority="1">
      <formula>AND($I2=0, $J2=0, $K2=0)</formula>
    </cfRule>
    <cfRule type="expression" dxfId="60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Аркуш33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4" width="8.6640625" customWidth="1"/>
    <col min="5" max="5" width="8.6640625" hidden="1" customWidth="1"/>
    <col min="6" max="6" width="8.6640625" customWidth="1"/>
    <col min="7" max="7" width="13.10937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B2" s="21">
        <v>1</v>
      </c>
      <c r="C2" s="21" t="s">
        <v>145</v>
      </c>
      <c r="D2" s="21" t="s">
        <v>146</v>
      </c>
      <c r="E2" s="21">
        <v>6</v>
      </c>
      <c r="F2" s="21">
        <v>1622764</v>
      </c>
      <c r="G2" s="42">
        <v>-3.6999999999999998E-2</v>
      </c>
      <c r="H2" s="21" t="s">
        <v>148</v>
      </c>
      <c r="I2" s="39" t="str">
        <f ca="1">IFERROR(__xludf.DUMMYFUNCTION("IF(SUM(COUNTIF(artists!A:A, SPLIT(D2, "",""))) &gt; 0, ""UA"", 0)"),"UA")</f>
        <v>UA</v>
      </c>
      <c r="J2" s="40">
        <f ca="1">IFERROR(__xludf.DUMMYFUNCTION("IF(SUM(COUNTIF(artists!C:C, SPLIT(D2, "",""))) &gt; 0, ""RU"", 0)"),0)</f>
        <v>0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B3" s="21">
        <v>4</v>
      </c>
      <c r="C3" s="21" t="s">
        <v>115</v>
      </c>
      <c r="D3" s="21" t="s">
        <v>116</v>
      </c>
      <c r="E3" s="21">
        <v>2</v>
      </c>
      <c r="F3" s="21">
        <v>1498999</v>
      </c>
      <c r="G3" s="42">
        <v>0.41399999999999998</v>
      </c>
      <c r="H3" s="21" t="s">
        <v>117</v>
      </c>
      <c r="I3" s="39" t="str">
        <f ca="1">IFERROR(__xludf.DUMMYFUNCTION("IF(SUM(COUNTIF(artists!A:A, SPLIT(D3, "",""))) &gt; 0, ""UA"", 0)"),"UA")</f>
        <v>UA</v>
      </c>
      <c r="J3" s="40">
        <f ca="1">IFERROR(__xludf.DUMMYFUNCTION("IF(SUM(COUNTIF(artists!C:C, SPLIT(D3, "",""))) &gt; 0, ""RU"", 0)"),0)</f>
        <v>0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B4" s="21">
        <v>12</v>
      </c>
      <c r="C4" s="21" t="s">
        <v>202</v>
      </c>
      <c r="D4" s="21" t="s">
        <v>835</v>
      </c>
      <c r="E4" s="21">
        <v>2</v>
      </c>
      <c r="F4" s="21">
        <v>1298989</v>
      </c>
      <c r="G4" s="42">
        <v>1.0509999999999999</v>
      </c>
      <c r="H4" s="21" t="s">
        <v>204</v>
      </c>
      <c r="I4" s="39" t="str">
        <f ca="1">IFERROR(__xludf.DUMMYFUNCTION("IF(SUM(COUNTIF(artists!A:A, SPLIT(D4, "",""))) &gt; 0, ""UA"", 0)"),"UA")</f>
        <v>UA</v>
      </c>
      <c r="J4" s="40">
        <f ca="1">IFERROR(__xludf.DUMMYFUNCTION("IF(SUM(COUNTIF(artists!C:C, SPLIT(D4, "",""))) &gt; 0, ""RU"", 0)"),0)</f>
        <v>0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B5" s="21">
        <v>2</v>
      </c>
      <c r="C5" s="21" t="s">
        <v>645</v>
      </c>
      <c r="D5" s="21" t="s">
        <v>352</v>
      </c>
      <c r="E5" s="21">
        <v>25</v>
      </c>
      <c r="F5" s="21">
        <v>1221344</v>
      </c>
      <c r="G5" s="42">
        <v>-0.108</v>
      </c>
      <c r="H5" s="21" t="s">
        <v>647</v>
      </c>
      <c r="I5" s="39" t="str">
        <f ca="1">IFERROR(__xludf.DUMMYFUNCTION("IF(SUM(COUNTIF(artists!A:A, SPLIT(D5, "",""))) &gt; 0, ""UA"", 0)"),"UA")</f>
        <v>UA</v>
      </c>
      <c r="J5" s="40">
        <f ca="1">IFERROR(__xludf.DUMMYFUNCTION("IF(SUM(COUNTIF(artists!C:C, SPLIT(D5, "",""))) &gt; 0, ""RU"", 0)"),0)</f>
        <v>0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B6" s="21">
        <v>3</v>
      </c>
      <c r="C6" s="21" t="s">
        <v>128</v>
      </c>
      <c r="D6" s="21" t="s">
        <v>129</v>
      </c>
      <c r="E6" s="21">
        <v>8</v>
      </c>
      <c r="F6" s="21">
        <v>1221293</v>
      </c>
      <c r="G6" s="42">
        <v>-8.5999999999999993E-2</v>
      </c>
      <c r="H6" s="21" t="s">
        <v>131</v>
      </c>
      <c r="I6" s="39" t="str">
        <f ca="1">IFERROR(__xludf.DUMMYFUNCTION("IF(SUM(COUNTIF(artists!A:A, SPLIT(D6, "",""))) &gt; 0, ""UA"", 0)"),"UA")</f>
        <v>UA</v>
      </c>
      <c r="J6" s="40">
        <f ca="1">IFERROR(__xludf.DUMMYFUNCTION("IF(SUM(COUNTIF(artists!C:C, SPLIT(D6, "",""))) &gt; 0, ""RU"", 0)"),0)</f>
        <v>0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B7" s="21">
        <v>7</v>
      </c>
      <c r="C7" s="21" t="s">
        <v>132</v>
      </c>
      <c r="D7" s="21" t="s">
        <v>133</v>
      </c>
      <c r="E7" s="21">
        <v>12</v>
      </c>
      <c r="F7" s="21">
        <v>789136</v>
      </c>
      <c r="G7" s="42">
        <v>4.0000000000000001E-3</v>
      </c>
      <c r="H7" s="21" t="s">
        <v>135</v>
      </c>
      <c r="I7" s="39" t="str">
        <f ca="1">IFERROR(__xludf.DUMMYFUNCTION("IF(SUM(COUNTIF(artists!A:A, SPLIT(D7, "",""))) &gt; 0, ""UA"", 0)"),"UA")</f>
        <v>UA</v>
      </c>
      <c r="J7" s="40">
        <f ca="1">IFERROR(__xludf.DUMMYFUNCTION("IF(SUM(COUNTIF(artists!C:C, SPLIT(D7, "",""))) &gt; 0, ""RU"", 0)"),0)</f>
        <v>0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B8" s="21">
        <v>5</v>
      </c>
      <c r="C8" s="21" t="s">
        <v>921</v>
      </c>
      <c r="D8" s="21" t="s">
        <v>922</v>
      </c>
      <c r="E8" s="21">
        <v>4</v>
      </c>
      <c r="F8" s="21">
        <v>725658</v>
      </c>
      <c r="G8" s="42">
        <v>-0.23100000000000001</v>
      </c>
      <c r="H8" s="21" t="s">
        <v>923</v>
      </c>
      <c r="I8" s="39" t="str">
        <f ca="1">IFERROR(__xludf.DUMMYFUNCTION("IF(SUM(COUNTIF(artists!A:A, SPLIT(D8, "",""))) &gt; 0, ""UA"", 0)"),"UA")</f>
        <v>UA</v>
      </c>
      <c r="J8" s="40">
        <f ca="1">IFERROR(__xludf.DUMMYFUNCTION("IF(SUM(COUNTIF(artists!C:C, SPLIT(D8, "",""))) &gt; 0, ""RU"", 0)"),0)</f>
        <v>0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B9" s="21">
        <v>8</v>
      </c>
      <c r="C9" s="21" t="s">
        <v>194</v>
      </c>
      <c r="D9" s="21" t="s">
        <v>195</v>
      </c>
      <c r="E9" s="21">
        <v>15</v>
      </c>
      <c r="F9" s="21">
        <v>718080</v>
      </c>
      <c r="G9" s="42">
        <v>-5.5E-2</v>
      </c>
      <c r="H9" s="21" t="s">
        <v>197</v>
      </c>
      <c r="I9" s="39" t="str">
        <f ca="1">IFERROR(__xludf.DUMMYFUNCTION("IF(SUM(COUNTIF(artists!A:A, SPLIT(D9, "",""))) &gt; 0, ""UA"", 0)"),"UA")</f>
        <v>UA</v>
      </c>
      <c r="J9" s="40">
        <f ca="1">IFERROR(__xludf.DUMMYFUNCTION("IF(SUM(COUNTIF(artists!C:C, SPLIT(D9, "",""))) &gt; 0, ""RU"", 0)"),0)</f>
        <v>0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B10" s="21">
        <v>6</v>
      </c>
      <c r="C10" s="21" t="s">
        <v>209</v>
      </c>
      <c r="D10" s="21" t="s">
        <v>210</v>
      </c>
      <c r="E10" s="21">
        <v>5</v>
      </c>
      <c r="F10" s="21">
        <v>696118</v>
      </c>
      <c r="G10" s="42">
        <v>-0.122</v>
      </c>
      <c r="H10" s="21" t="s">
        <v>212</v>
      </c>
      <c r="I10" s="39" t="str">
        <f ca="1">IFERROR(__xludf.DUMMYFUNCTION("IF(SUM(COUNTIF(artists!A:A, SPLIT(D10, "",""))) &gt; 0, ""UA"", 0)"),"UA")</f>
        <v>UA</v>
      </c>
      <c r="J10" s="40">
        <f ca="1">IFERROR(__xludf.DUMMYFUNCTION("IF(SUM(COUNTIF(artists!C:C, SPLIT(D10, "",""))) &gt; 0, ""RU"", 0)"),0)</f>
        <v>0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B11" s="21">
        <v>24</v>
      </c>
      <c r="C11" s="21" t="s">
        <v>149</v>
      </c>
      <c r="D11" s="21" t="s">
        <v>150</v>
      </c>
      <c r="E11" s="21">
        <v>5</v>
      </c>
      <c r="F11" s="21">
        <v>666551</v>
      </c>
      <c r="G11" s="42">
        <v>0.504</v>
      </c>
      <c r="H11" s="21" t="s">
        <v>152</v>
      </c>
      <c r="I11" s="39" t="str">
        <f ca="1">IFERROR(__xludf.DUMMYFUNCTION("IF(SUM(COUNTIF(artists!A:A, SPLIT(D11, "",""))) &gt; 0, ""UA"", 0)"),"UA")</f>
        <v>UA</v>
      </c>
      <c r="J11" s="40">
        <f ca="1">IFERROR(__xludf.DUMMYFUNCTION("IF(SUM(COUNTIF(artists!C:C, SPLIT(D11, "",""))) &gt; 0, ""RU"", 0)"),0)</f>
        <v>0</v>
      </c>
      <c r="K11" s="39">
        <f ca="1">IFERROR(__xludf.DUMMYFUNCTION("IF(SUM(COUNTIF(artists!E:E, SPLIT(D11, "",""))) &gt; 0, ""OTHER"", 0)"),0)</f>
        <v>0</v>
      </c>
    </row>
    <row r="12" spans="1:11" ht="14.25" customHeight="1">
      <c r="A12" s="21">
        <v>11</v>
      </c>
      <c r="B12" s="21">
        <v>9</v>
      </c>
      <c r="C12" s="21" t="s">
        <v>171</v>
      </c>
      <c r="D12" s="21" t="s">
        <v>172</v>
      </c>
      <c r="E12" s="21">
        <v>7</v>
      </c>
      <c r="F12" s="21">
        <v>657820</v>
      </c>
      <c r="G12" s="42">
        <v>-5.7000000000000002E-2</v>
      </c>
      <c r="H12" s="21" t="s">
        <v>174</v>
      </c>
      <c r="I12" s="39">
        <f ca="1">IFERROR(__xludf.DUMMYFUNCTION("IF(SUM(COUNTIF(artists!A:A, SPLIT(D12, "",""))) &gt; 0, ""UA"", 0)"),0)</f>
        <v>0</v>
      </c>
      <c r="J12" s="40" t="str">
        <f ca="1">IFERROR(__xludf.DUMMYFUNCTION("IF(SUM(COUNTIF(artists!C:C, SPLIT(D12, "",""))) &gt; 0, ""RU"", 0)"),"RU")</f>
        <v>RU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B13" s="21">
        <v>23</v>
      </c>
      <c r="C13" s="21" t="s">
        <v>255</v>
      </c>
      <c r="D13" s="21" t="s">
        <v>256</v>
      </c>
      <c r="E13" s="21">
        <v>2</v>
      </c>
      <c r="F13" s="21">
        <v>643187</v>
      </c>
      <c r="G13" s="42">
        <v>0.39200000000000002</v>
      </c>
      <c r="H13" s="21" t="s">
        <v>257</v>
      </c>
      <c r="I13" s="39" t="str">
        <f ca="1">IFERROR(__xludf.DUMMYFUNCTION("IF(SUM(COUNTIF(artists!A:A, SPLIT(D13, "",""))) &gt; 0, ""UA"", 0)"),"UA")</f>
        <v>UA</v>
      </c>
      <c r="J13" s="40">
        <f ca="1">IFERROR(__xludf.DUMMYFUNCTION("IF(SUM(COUNTIF(artists!C:C, SPLIT(D13, "",""))) &gt; 0, ""RU"", 0)"),0)</f>
        <v>0</v>
      </c>
      <c r="K13" s="39">
        <f ca="1">IFERROR(__xludf.DUMMYFUNCTION("IF(SUM(COUNTIF(artists!E:E, SPLIT(D13, "",""))) &gt; 0, ""OTHER"", 0)"),0)</f>
        <v>0</v>
      </c>
    </row>
    <row r="14" spans="1:11" ht="14.25" customHeight="1">
      <c r="A14" s="21">
        <v>13</v>
      </c>
      <c r="B14" s="21">
        <v>13</v>
      </c>
      <c r="C14" s="21" t="s">
        <v>462</v>
      </c>
      <c r="D14" s="21" t="s">
        <v>463</v>
      </c>
      <c r="E14" s="21">
        <v>3</v>
      </c>
      <c r="F14" s="21">
        <v>624562</v>
      </c>
      <c r="G14" s="42">
        <v>3.9E-2</v>
      </c>
      <c r="H14" s="21" t="s">
        <v>465</v>
      </c>
      <c r="I14" s="39" t="str">
        <f ca="1">IFERROR(__xludf.DUMMYFUNCTION("IF(SUM(COUNTIF(artists!A:A, SPLIT(D14, "",""))) &gt; 0, ""UA"", 0)"),"UA")</f>
        <v>UA</v>
      </c>
      <c r="J14" s="40">
        <f ca="1">IFERROR(__xludf.DUMMYFUNCTION("IF(SUM(COUNTIF(artists!C:C, SPLIT(D14, "",""))) &gt; 0, ""RU"", 0)"),0)</f>
        <v>0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B15" s="21">
        <v>10</v>
      </c>
      <c r="C15" s="21" t="s">
        <v>229</v>
      </c>
      <c r="D15" s="21" t="s">
        <v>230</v>
      </c>
      <c r="E15" s="21">
        <v>19</v>
      </c>
      <c r="F15" s="21">
        <v>585030</v>
      </c>
      <c r="G15" s="42">
        <v>-9.6000000000000002E-2</v>
      </c>
      <c r="H15" s="21" t="s">
        <v>232</v>
      </c>
      <c r="I15" s="39" t="str">
        <f ca="1">IFERROR(__xludf.DUMMYFUNCTION("IF(SUM(COUNTIF(artists!A:A, SPLIT(D15, "",""))) &gt; 0, ""UA"", 0)"),"UA")</f>
        <v>UA</v>
      </c>
      <c r="J15" s="40">
        <f ca="1">IFERROR(__xludf.DUMMYFUNCTION("IF(SUM(COUNTIF(artists!C:C, SPLIT(D15, "",""))) &gt; 0, ""RU"", 0)"),0)</f>
        <v>0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B16" s="21">
        <v>19</v>
      </c>
      <c r="C16" s="21" t="s">
        <v>706</v>
      </c>
      <c r="D16" s="21" t="s">
        <v>199</v>
      </c>
      <c r="E16" s="21">
        <v>8</v>
      </c>
      <c r="F16" s="21">
        <v>561059</v>
      </c>
      <c r="G16" s="42">
        <v>7.9000000000000001E-2</v>
      </c>
      <c r="H16" s="21" t="s">
        <v>1126</v>
      </c>
      <c r="I16" s="39" t="str">
        <f ca="1">IFERROR(__xludf.DUMMYFUNCTION("IF(SUM(COUNTIF(artists!A:A, SPLIT(D16, "",""))) &gt; 0, ""UA"", 0)"),"UA")</f>
        <v>UA</v>
      </c>
      <c r="J16" s="40">
        <f ca="1">IFERROR(__xludf.DUMMYFUNCTION("IF(SUM(COUNTIF(artists!C:C, SPLIT(D16, "",""))) &gt; 0, ""RU"", 0)"),0)</f>
        <v>0</v>
      </c>
      <c r="K16" s="39">
        <f ca="1">IFERROR(__xludf.DUMMYFUNCTION("IF(SUM(COUNTIF(artists!E:E, SPLIT(D16, "",""))) &gt; 0, ""OTHER"", 0)"),0)</f>
        <v>0</v>
      </c>
    </row>
    <row r="17" spans="1:11" ht="14.25" customHeight="1">
      <c r="A17" s="21">
        <v>16</v>
      </c>
      <c r="B17" s="21">
        <v>11</v>
      </c>
      <c r="C17" s="21" t="s">
        <v>175</v>
      </c>
      <c r="D17" s="21" t="s">
        <v>89</v>
      </c>
      <c r="E17" s="21">
        <v>12</v>
      </c>
      <c r="F17" s="21">
        <v>553713</v>
      </c>
      <c r="G17" s="42">
        <v>-0.129</v>
      </c>
      <c r="H17" s="21" t="s">
        <v>177</v>
      </c>
      <c r="I17" s="39" t="str">
        <f ca="1">IFERROR(__xludf.DUMMYFUNCTION("IF(SUM(COUNTIF(artists!A:A, SPLIT(D17, "",""))) &gt; 0, ""UA"", 0)"),"UA")</f>
        <v>UA</v>
      </c>
      <c r="J17" s="40">
        <f ca="1">IFERROR(__xludf.DUMMYFUNCTION("IF(SUM(COUNTIF(artists!C:C, SPLIT(D17, "",""))) &gt; 0, ""RU"", 0)"),0)</f>
        <v>0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B18" s="21">
        <v>14</v>
      </c>
      <c r="C18" s="21" t="s">
        <v>1431</v>
      </c>
      <c r="D18" s="21" t="s">
        <v>969</v>
      </c>
      <c r="E18" s="21">
        <v>40</v>
      </c>
      <c r="F18" s="21">
        <v>539479</v>
      </c>
      <c r="G18" s="43">
        <v>-0.06</v>
      </c>
      <c r="H18" s="21" t="s">
        <v>1432</v>
      </c>
      <c r="I18" s="39" t="str">
        <f ca="1">IFERROR(__xludf.DUMMYFUNCTION("IF(SUM(COUNTIF(artists!A:A, SPLIT(D18, "",""))) &gt; 0, ""UA"", 0)"),"UA")</f>
        <v>UA</v>
      </c>
      <c r="J18" s="40">
        <f ca="1">IFERROR(__xludf.DUMMYFUNCTION("IF(SUM(COUNTIF(artists!C:C, SPLIT(D18, "",""))) &gt; 0, ""RU"", 0)"),0)</f>
        <v>0</v>
      </c>
      <c r="K18" s="39">
        <f ca="1">IFERROR(__xludf.DUMMYFUNCTION("IF(SUM(COUNTIF(artists!E:E, SPLIT(D18, "",""))) &gt; 0, ""OTHER"", 0)"),0)</f>
        <v>0</v>
      </c>
    </row>
    <row r="19" spans="1:11" ht="14.25" customHeight="1">
      <c r="A19" s="21">
        <v>18</v>
      </c>
      <c r="B19" s="21">
        <v>16</v>
      </c>
      <c r="C19" s="21" t="s">
        <v>182</v>
      </c>
      <c r="D19" s="21" t="s">
        <v>183</v>
      </c>
      <c r="E19" s="21">
        <v>8</v>
      </c>
      <c r="F19" s="21">
        <v>506059</v>
      </c>
      <c r="G19" s="42">
        <v>-6.8000000000000005E-2</v>
      </c>
      <c r="H19" s="21" t="s">
        <v>185</v>
      </c>
      <c r="I19" s="39" t="str">
        <f ca="1">IFERROR(__xludf.DUMMYFUNCTION("IF(SUM(COUNTIF(artists!A:A, SPLIT(D19, "",""))) &gt; 0, ""UA"", 0)"),"UA")</f>
        <v>UA</v>
      </c>
      <c r="J19" s="40">
        <f ca="1">IFERROR(__xludf.DUMMYFUNCTION("IF(SUM(COUNTIF(artists!C:C, SPLIT(D19, "",""))) &gt; 0, ""RU"", 0)"),0)</f>
        <v>0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B20" s="21">
        <v>22</v>
      </c>
      <c r="C20" s="21" t="s">
        <v>186</v>
      </c>
      <c r="D20" s="21" t="s">
        <v>187</v>
      </c>
      <c r="E20" s="21">
        <v>16</v>
      </c>
      <c r="F20" s="21">
        <v>505760</v>
      </c>
      <c r="G20" s="42">
        <v>6.0999999999999999E-2</v>
      </c>
      <c r="H20" s="21" t="s">
        <v>189</v>
      </c>
      <c r="I20" s="39" t="str">
        <f ca="1">IFERROR(__xludf.DUMMYFUNCTION("IF(SUM(COUNTIF(artists!A:A, SPLIT(D20, "",""))) &gt; 0, ""UA"", 0)"),"UA")</f>
        <v>UA</v>
      </c>
      <c r="J20" s="40">
        <f ca="1">IFERROR(__xludf.DUMMYFUNCTION("IF(SUM(COUNTIF(artists!C:C, SPLIT(D20, "",""))) &gt; 0, ""RU"", 0)"),0)</f>
        <v>0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B21" s="21">
        <v>17</v>
      </c>
      <c r="C21" s="21" t="s">
        <v>929</v>
      </c>
      <c r="D21" s="21" t="s">
        <v>930</v>
      </c>
      <c r="E21" s="21">
        <v>5</v>
      </c>
      <c r="F21" s="21">
        <v>490936</v>
      </c>
      <c r="G21" s="42">
        <v>-8.8999999999999996E-2</v>
      </c>
      <c r="H21" s="21" t="s">
        <v>931</v>
      </c>
      <c r="I21" s="39" t="str">
        <f ca="1">IFERROR(__xludf.DUMMYFUNCTION("IF(SUM(COUNTIF(artists!A:A, SPLIT(D21, "",""))) &gt; 0, ""UA"", 0)"),"UA")</f>
        <v>UA</v>
      </c>
      <c r="J21" s="40">
        <f ca="1">IFERROR(__xludf.DUMMYFUNCTION("IF(SUM(COUNTIF(artists!C:C, SPLIT(D21, "",""))) &gt; 0, ""RU"", 0)"),0)</f>
        <v>0</v>
      </c>
      <c r="K21" s="39">
        <f ca="1">IFERROR(__xludf.DUMMYFUNCTION("IF(SUM(COUNTIF(artists!E:E, SPLIT(D21, "",""))) &gt; 0, ""OTHER"", 0)"),0)</f>
        <v>0</v>
      </c>
    </row>
    <row r="22" spans="1:11" ht="14.25" customHeight="1">
      <c r="A22" s="21">
        <v>21</v>
      </c>
      <c r="B22" s="21">
        <v>25</v>
      </c>
      <c r="C22" s="21" t="s">
        <v>968</v>
      </c>
      <c r="D22" s="21" t="s">
        <v>969</v>
      </c>
      <c r="E22" s="21">
        <v>32</v>
      </c>
      <c r="F22" s="21">
        <v>465211</v>
      </c>
      <c r="G22" s="42">
        <v>5.7000000000000002E-2</v>
      </c>
      <c r="H22" s="21" t="s">
        <v>970</v>
      </c>
      <c r="I22" s="39" t="str">
        <f ca="1">IFERROR(__xludf.DUMMYFUNCTION("IF(SUM(COUNTIF(artists!A:A, SPLIT(D22, "",""))) &gt; 0, ""UA"", 0)"),"UA")</f>
        <v>UA</v>
      </c>
      <c r="J22" s="40">
        <f ca="1">IFERROR(__xludf.DUMMYFUNCTION("IF(SUM(COUNTIF(artists!C:C, SPLIT(D22, "",""))) &gt; 0, ""RU"", 0)"),0)</f>
        <v>0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B23" s="21">
        <v>21</v>
      </c>
      <c r="C23" s="21" t="s">
        <v>895</v>
      </c>
      <c r="D23" s="21" t="s">
        <v>896</v>
      </c>
      <c r="E23" s="21">
        <v>24</v>
      </c>
      <c r="F23" s="21">
        <v>464127</v>
      </c>
      <c r="G23" s="42">
        <v>-4.2000000000000003E-2</v>
      </c>
      <c r="H23" s="21" t="s">
        <v>897</v>
      </c>
      <c r="I23" s="39" t="str">
        <f ca="1">IFERROR(__xludf.DUMMYFUNCTION("IF(SUM(COUNTIF(artists!A:A, SPLIT(D23, "",""))) &gt; 0, ""UA"", 0)"),"UA")</f>
        <v>UA</v>
      </c>
      <c r="J23" s="40">
        <f ca="1">IFERROR(__xludf.DUMMYFUNCTION("IF(SUM(COUNTIF(artists!C:C, SPLIT(D23, "",""))) &gt; 0, ""RU"", 0)"),0)</f>
        <v>0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B24" s="21">
        <v>20</v>
      </c>
      <c r="C24" s="21" t="s">
        <v>799</v>
      </c>
      <c r="D24" s="21" t="s">
        <v>494</v>
      </c>
      <c r="E24" s="21">
        <v>21</v>
      </c>
      <c r="F24" s="21">
        <v>459690</v>
      </c>
      <c r="G24" s="42">
        <v>-0.10299999999999999</v>
      </c>
      <c r="H24" s="21" t="s">
        <v>800</v>
      </c>
      <c r="I24" s="39" t="str">
        <f ca="1">IFERROR(__xludf.DUMMYFUNCTION("IF(SUM(COUNTIF(artists!A:A, SPLIT(D24, "",""))) &gt; 0, ""UA"", 0)"),"UA")</f>
        <v>UA</v>
      </c>
      <c r="J24" s="40">
        <f ca="1">IFERROR(__xludf.DUMMYFUNCTION("IF(SUM(COUNTIF(artists!C:C, SPLIT(D24, "",""))) &gt; 0, ""RU"", 0)"),0)</f>
        <v>0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B25" s="21">
        <v>15</v>
      </c>
      <c r="C25" s="21" t="s">
        <v>168</v>
      </c>
      <c r="D25" s="21" t="s">
        <v>137</v>
      </c>
      <c r="E25" s="21">
        <v>3</v>
      </c>
      <c r="F25" s="21">
        <v>435870</v>
      </c>
      <c r="G25" s="42">
        <v>-0.22600000000000001</v>
      </c>
      <c r="H25" s="21" t="s">
        <v>170</v>
      </c>
      <c r="I25" s="39" t="str">
        <f ca="1">IFERROR(__xludf.DUMMYFUNCTION("IF(SUM(COUNTIF(artists!A:A, SPLIT(D25, "",""))) &gt; 0, ""UA"", 0)"),"UA")</f>
        <v>UA</v>
      </c>
      <c r="J25" s="40">
        <f ca="1">IFERROR(__xludf.DUMMYFUNCTION("IF(SUM(COUNTIF(artists!C:C, SPLIT(D25, "",""))) &gt; 0, ""RU"", 0)"),0)</f>
        <v>0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B26" s="21">
        <v>39</v>
      </c>
      <c r="C26" s="21" t="s">
        <v>1089</v>
      </c>
      <c r="D26" s="21" t="s">
        <v>125</v>
      </c>
      <c r="E26" s="21">
        <v>2</v>
      </c>
      <c r="F26" s="21">
        <v>404753</v>
      </c>
      <c r="G26" s="42">
        <v>0.20799999999999999</v>
      </c>
      <c r="H26" s="21" t="s">
        <v>1090</v>
      </c>
      <c r="I26" s="39">
        <f ca="1">IFERROR(__xludf.DUMMYFUNCTION("IF(SUM(COUNTIF(artists!A:A, SPLIT(D26, "",""))) &gt; 0, ""UA"", 0)"),0)</f>
        <v>0</v>
      </c>
      <c r="J26" s="40" t="str">
        <f ca="1">IFERROR(__xludf.DUMMYFUNCTION("IF(SUM(COUNTIF(artists!C:C, SPLIT(D26, "",""))) &gt; 0, ""RU"", 0)"),"RU")</f>
        <v>RU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B27" s="21">
        <v>26</v>
      </c>
      <c r="C27" s="21" t="s">
        <v>178</v>
      </c>
      <c r="D27" s="21" t="s">
        <v>179</v>
      </c>
      <c r="E27" s="21">
        <v>16</v>
      </c>
      <c r="F27" s="21">
        <v>396870</v>
      </c>
      <c r="G27" s="43">
        <v>-0.03</v>
      </c>
      <c r="H27" s="21" t="s">
        <v>181</v>
      </c>
      <c r="I27" s="39" t="str">
        <f ca="1">IFERROR(__xludf.DUMMYFUNCTION("IF(SUM(COUNTIF(artists!A:A, SPLIT(D27, "",""))) &gt; 0, ""UA"", 0)"),"UA")</f>
        <v>UA</v>
      </c>
      <c r="J27" s="40">
        <f ca="1">IFERROR(__xludf.DUMMYFUNCTION("IF(SUM(COUNTIF(artists!C:C, SPLIT(D27, "",""))) &gt; 0, ""RU"", 0)"),0)</f>
        <v>0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B28" s="21">
        <v>34</v>
      </c>
      <c r="C28" s="21" t="s">
        <v>1178</v>
      </c>
      <c r="D28" s="21" t="s">
        <v>1117</v>
      </c>
      <c r="E28" s="21">
        <v>8</v>
      </c>
      <c r="F28" s="21">
        <v>385146</v>
      </c>
      <c r="G28" s="42">
        <v>2.1999999999999999E-2</v>
      </c>
      <c r="H28" s="21" t="s">
        <v>1179</v>
      </c>
      <c r="I28" s="39">
        <f ca="1">IFERROR(__xludf.DUMMYFUNCTION("IF(SUM(COUNTIF(artists!A:A, SPLIT(D28, "",""))) &gt; 0, ""UA"", 0)"),0)</f>
        <v>0</v>
      </c>
      <c r="J28" s="40" t="str">
        <f ca="1">IFERROR(__xludf.DUMMYFUNCTION("IF(SUM(COUNTIF(artists!C:C, SPLIT(D28, "",""))) &gt; 0, ""RU"", 0)"),"RU")</f>
        <v>RU</v>
      </c>
      <c r="K28" s="39">
        <f ca="1">IFERROR(__xludf.DUMMYFUNCTION("IF(SUM(COUNTIF(artists!E:E, SPLIT(D28, "",""))) &gt; 0, ""OTHER"", 0)"),0)</f>
        <v>0</v>
      </c>
    </row>
    <row r="29" spans="1:11" ht="14.25" customHeight="1">
      <c r="A29" s="21">
        <v>28</v>
      </c>
      <c r="B29" s="21">
        <v>29</v>
      </c>
      <c r="C29" s="21" t="s">
        <v>1175</v>
      </c>
      <c r="D29" s="21" t="s">
        <v>1176</v>
      </c>
      <c r="E29" s="21">
        <v>3</v>
      </c>
      <c r="F29" s="21">
        <v>381080</v>
      </c>
      <c r="G29" s="42">
        <v>-2.5000000000000001E-2</v>
      </c>
      <c r="H29" s="21" t="s">
        <v>1177</v>
      </c>
      <c r="I29" s="39">
        <f ca="1">IFERROR(__xludf.DUMMYFUNCTION("IF(SUM(COUNTIF(artists!A:A, SPLIT(D29, "",""))) &gt; 0, ""UA"", 0)"),0)</f>
        <v>0</v>
      </c>
      <c r="J29" s="40" t="str">
        <f ca="1">IFERROR(__xludf.DUMMYFUNCTION("IF(SUM(COUNTIF(artists!C:C, SPLIT(D29, "",""))) &gt; 0, ""RU"", 0)"),"RU")</f>
        <v>RU</v>
      </c>
      <c r="K29" s="39">
        <f ca="1">IFERROR(__xludf.DUMMYFUNCTION("IF(SUM(COUNTIF(artists!E:E, SPLIT(D29, "",""))) &gt; 0, ""OTHER"", 0)"),0)</f>
        <v>0</v>
      </c>
    </row>
    <row r="30" spans="1:11" ht="14.25" customHeight="1">
      <c r="A30" s="21">
        <v>29</v>
      </c>
      <c r="B30" s="21">
        <v>43</v>
      </c>
      <c r="C30" s="21" t="s">
        <v>160</v>
      </c>
      <c r="D30" s="21" t="s">
        <v>161</v>
      </c>
      <c r="E30" s="21">
        <v>6</v>
      </c>
      <c r="F30" s="21">
        <v>378790</v>
      </c>
      <c r="G30" s="42">
        <v>0.245</v>
      </c>
      <c r="H30" s="21" t="s">
        <v>163</v>
      </c>
      <c r="I30" s="39" t="str">
        <f ca="1">IFERROR(__xludf.DUMMYFUNCTION("IF(SUM(COUNTIF(artists!A:A, SPLIT(D30, "",""))) &gt; 0, ""UA"", 0)"),"UA")</f>
        <v>UA</v>
      </c>
      <c r="J30" s="40">
        <f ca="1">IFERROR(__xludf.DUMMYFUNCTION("IF(SUM(COUNTIF(artists!C:C, SPLIT(D30, "",""))) &gt; 0, ""RU"", 0)"),0)</f>
        <v>0</v>
      </c>
      <c r="K30" s="39">
        <f ca="1">IFERROR(__xludf.DUMMYFUNCTION("IF(SUM(COUNTIF(artists!E:E, SPLIT(D30, "",""))) &gt; 0, ""OTHER"", 0)"),0)</f>
        <v>0</v>
      </c>
    </row>
    <row r="31" spans="1:11" ht="14.25" customHeight="1">
      <c r="A31" s="21">
        <v>30</v>
      </c>
      <c r="B31" s="21">
        <v>30</v>
      </c>
      <c r="C31" s="21" t="s">
        <v>1010</v>
      </c>
      <c r="D31" s="21" t="s">
        <v>1011</v>
      </c>
      <c r="E31" s="21">
        <v>13</v>
      </c>
      <c r="F31" s="21">
        <v>370890</v>
      </c>
      <c r="G31" s="42">
        <v>-5.0999999999999997E-2</v>
      </c>
      <c r="H31" s="21" t="s">
        <v>1012</v>
      </c>
      <c r="I31" s="39" t="str">
        <f ca="1">IFERROR(__xludf.DUMMYFUNCTION("IF(SUM(COUNTIF(artists!A:A, SPLIT(D31, "",""))) &gt; 0, ""UA"", 0)"),"UA")</f>
        <v>UA</v>
      </c>
      <c r="J31" s="40">
        <f ca="1">IFERROR(__xludf.DUMMYFUNCTION("IF(SUM(COUNTIF(artists!C:C, SPLIT(D31, "",""))) &gt; 0, ""RU"", 0)"),0)</f>
        <v>0</v>
      </c>
      <c r="K31" s="39">
        <f ca="1">IFERROR(__xludf.DUMMYFUNCTION("IF(SUM(COUNTIF(artists!E:E, SPLIT(D31, "",""))) &gt; 0, ""OTHER"", 0)"),0)</f>
        <v>0</v>
      </c>
    </row>
    <row r="32" spans="1:11" ht="14.25" customHeight="1">
      <c r="A32" s="21">
        <v>31</v>
      </c>
      <c r="C32" s="21" t="s">
        <v>1398</v>
      </c>
      <c r="D32" s="21" t="s">
        <v>409</v>
      </c>
      <c r="E32" s="21">
        <v>1</v>
      </c>
      <c r="F32" s="21">
        <v>362414</v>
      </c>
      <c r="H32" s="21" t="s">
        <v>1399</v>
      </c>
      <c r="I32" s="39" t="str">
        <f ca="1">IFERROR(__xludf.DUMMYFUNCTION("IF(SUM(COUNTIF(artists!A:A, SPLIT(D32, "",""))) &gt; 0, ""UA"", 0)"),"UA")</f>
        <v>UA</v>
      </c>
      <c r="J32" s="40">
        <f ca="1">IFERROR(__xludf.DUMMYFUNCTION("IF(SUM(COUNTIF(artists!C:C, SPLIT(D32, "",""))) &gt; 0, ""RU"", 0)"),0)</f>
        <v>0</v>
      </c>
      <c r="K32" s="39">
        <f ca="1">IFERROR(__xludf.DUMMYFUNCTION("IF(SUM(COUNTIF(artists!E:E, SPLIT(D32, "",""))) &gt; 0, ""OTHER"", 0)"),0)</f>
        <v>0</v>
      </c>
    </row>
    <row r="33" spans="1:11" ht="14.25" customHeight="1">
      <c r="A33" s="21">
        <v>32</v>
      </c>
      <c r="B33" s="21">
        <v>18</v>
      </c>
      <c r="C33" s="21" t="s">
        <v>1187</v>
      </c>
      <c r="D33" s="21" t="s">
        <v>1188</v>
      </c>
      <c r="E33" s="21">
        <v>3</v>
      </c>
      <c r="F33" s="21">
        <v>358161</v>
      </c>
      <c r="G33" s="42">
        <v>-0.32800000000000001</v>
      </c>
      <c r="H33" s="21" t="s">
        <v>1189</v>
      </c>
      <c r="I33" s="39" t="str">
        <f ca="1">IFERROR(__xludf.DUMMYFUNCTION("IF(SUM(COUNTIF(artists!A:A, SPLIT(D33, "",""))) &gt; 0, ""UA"", 0)"),"UA")</f>
        <v>UA</v>
      </c>
      <c r="J33" s="40">
        <f ca="1">IFERROR(__xludf.DUMMYFUNCTION("IF(SUM(COUNTIF(artists!C:C, SPLIT(D33, "",""))) &gt; 0, ""RU"", 0)"),0)</f>
        <v>0</v>
      </c>
      <c r="K33" s="39">
        <f ca="1">IFERROR(__xludf.DUMMYFUNCTION("IF(SUM(COUNTIF(artists!E:E, SPLIT(D33, "",""))) &gt; 0, ""OTHER"", 0)"),0)</f>
        <v>0</v>
      </c>
    </row>
    <row r="34" spans="1:11" ht="14.25" customHeight="1">
      <c r="A34" s="21">
        <v>33</v>
      </c>
      <c r="B34" s="21">
        <v>36</v>
      </c>
      <c r="C34" s="21" t="s">
        <v>1327</v>
      </c>
      <c r="D34" s="21" t="s">
        <v>89</v>
      </c>
      <c r="E34" s="21">
        <v>41</v>
      </c>
      <c r="F34" s="21">
        <v>356686</v>
      </c>
      <c r="G34" s="42">
        <v>1.4999999999999999E-2</v>
      </c>
      <c r="H34" s="21" t="s">
        <v>1328</v>
      </c>
      <c r="I34" s="39" t="str">
        <f ca="1">IFERROR(__xludf.DUMMYFUNCTION("IF(SUM(COUNTIF(artists!A:A, SPLIT(D34, "",""))) &gt; 0, ""UA"", 0)"),"UA")</f>
        <v>UA</v>
      </c>
      <c r="J34" s="40">
        <f ca="1">IFERROR(__xludf.DUMMYFUNCTION("IF(SUM(COUNTIF(artists!C:C, SPLIT(D34, "",""))) &gt; 0, ""RU"", 0)"),0)</f>
        <v>0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B35" s="21">
        <v>32</v>
      </c>
      <c r="C35" s="21" t="s">
        <v>1263</v>
      </c>
      <c r="D35" s="21" t="s">
        <v>1264</v>
      </c>
      <c r="E35" s="21">
        <v>38</v>
      </c>
      <c r="F35" s="21">
        <v>356283</v>
      </c>
      <c r="G35" s="43">
        <v>-7.0000000000000007E-2</v>
      </c>
      <c r="H35" s="21" t="s">
        <v>1265</v>
      </c>
      <c r="I35" s="39">
        <f ca="1">IFERROR(__xludf.DUMMYFUNCTION("IF(SUM(COUNTIF(artists!A:A, SPLIT(D35, "",""))) &gt; 0, ""UA"", 0)"),0)</f>
        <v>0</v>
      </c>
      <c r="J35" s="40" t="str">
        <f ca="1">IFERROR(__xludf.DUMMYFUNCTION("IF(SUM(COUNTIF(artists!C:C, SPLIT(D35, "",""))) &gt; 0, ""RU"", 0)"),"RU")</f>
        <v>RU</v>
      </c>
      <c r="K35" s="39">
        <f ca="1">IFERROR(__xludf.DUMMYFUNCTION("IF(SUM(COUNTIF(artists!E:E, SPLIT(D35, "",""))) &gt; 0, ""OTHER"", 0)"),0)</f>
        <v>0</v>
      </c>
    </row>
    <row r="36" spans="1:11" ht="14.25" customHeight="1">
      <c r="A36" s="21">
        <v>35</v>
      </c>
      <c r="B36" s="21">
        <v>28</v>
      </c>
      <c r="C36" s="21" t="s">
        <v>1055</v>
      </c>
      <c r="D36" s="21" t="s">
        <v>776</v>
      </c>
      <c r="E36" s="21">
        <v>9</v>
      </c>
      <c r="F36" s="21">
        <v>355612</v>
      </c>
      <c r="G36" s="42">
        <v>-0.10299999999999999</v>
      </c>
      <c r="H36" s="21" t="s">
        <v>1056</v>
      </c>
      <c r="I36" s="39" t="str">
        <f ca="1">IFERROR(__xludf.DUMMYFUNCTION("IF(SUM(COUNTIF(artists!A:A, SPLIT(D36, "",""))) &gt; 0, ""UA"", 0)"),"UA")</f>
        <v>UA</v>
      </c>
      <c r="J36" s="40">
        <f ca="1">IFERROR(__xludf.DUMMYFUNCTION("IF(SUM(COUNTIF(artists!C:C, SPLIT(D36, "",""))) &gt; 0, ""RU"", 0)"),0)</f>
        <v>0</v>
      </c>
      <c r="K36" s="39">
        <f ca="1">IFERROR(__xludf.DUMMYFUNCTION("IF(SUM(COUNTIF(artists!E:E, SPLIT(D36, "",""))) &gt; 0, ""OTHER"", 0)"),0)</f>
        <v>0</v>
      </c>
    </row>
    <row r="37" spans="1:11" ht="14.25" customHeight="1">
      <c r="A37" s="21">
        <v>36</v>
      </c>
      <c r="B37" s="21">
        <v>35</v>
      </c>
      <c r="C37" s="21" t="s">
        <v>909</v>
      </c>
      <c r="D37" s="21" t="s">
        <v>910</v>
      </c>
      <c r="E37" s="21">
        <v>22</v>
      </c>
      <c r="F37" s="21">
        <v>349626</v>
      </c>
      <c r="G37" s="42">
        <v>-4.4999999999999998E-2</v>
      </c>
      <c r="H37" s="21" t="s">
        <v>911</v>
      </c>
      <c r="I37" s="39" t="str">
        <f ca="1">IFERROR(__xludf.DUMMYFUNCTION("IF(SUM(COUNTIF(artists!A:A, SPLIT(D37, "",""))) &gt; 0, ""UA"", 0)"),"UA")</f>
        <v>UA</v>
      </c>
      <c r="J37" s="40">
        <f ca="1">IFERROR(__xludf.DUMMYFUNCTION("IF(SUM(COUNTIF(artists!C:C, SPLIT(D37, "",""))) &gt; 0, ""RU"", 0)"),0)</f>
        <v>0</v>
      </c>
      <c r="K37" s="39">
        <f ca="1">IFERROR(__xludf.DUMMYFUNCTION("IF(SUM(COUNTIF(artists!E:E, SPLIT(D37, "",""))) &gt; 0, ""OTHER"", 0)"),0)</f>
        <v>0</v>
      </c>
    </row>
    <row r="38" spans="1:11" ht="14.25" customHeight="1">
      <c r="A38" s="21">
        <v>37</v>
      </c>
      <c r="B38" s="21">
        <v>33</v>
      </c>
      <c r="C38" s="21" t="s">
        <v>1287</v>
      </c>
      <c r="D38" s="21" t="s">
        <v>1288</v>
      </c>
      <c r="E38" s="21">
        <v>13</v>
      </c>
      <c r="F38" s="21">
        <v>341401</v>
      </c>
      <c r="G38" s="42">
        <v>-0.10199999999999999</v>
      </c>
      <c r="H38" s="21" t="s">
        <v>1289</v>
      </c>
      <c r="I38" s="39">
        <f ca="1">IFERROR(__xludf.DUMMYFUNCTION("IF(SUM(COUNTIF(artists!A:A, SPLIT(D38, "",""))) &gt; 0, ""UA"", 0)"),0)</f>
        <v>0</v>
      </c>
      <c r="J38" s="40">
        <f ca="1">IFERROR(__xludf.DUMMYFUNCTION("IF(SUM(COUNTIF(artists!C:C, SPLIT(D38, "",""))) &gt; 0, ""RU"", 0)"),0)</f>
        <v>0</v>
      </c>
      <c r="K38" s="39" t="str">
        <f ca="1">IFERROR(__xludf.DUMMYFUNCTION("IF(SUM(COUNTIF(artists!E:E, SPLIT(D38, "",""))) &gt; 0, ""OTHER"", 0)"),"OTHER")</f>
        <v>OTHER</v>
      </c>
    </row>
    <row r="39" spans="1:11" ht="14.25" customHeight="1">
      <c r="A39" s="21">
        <v>38</v>
      </c>
      <c r="B39" s="21">
        <v>31</v>
      </c>
      <c r="C39" s="21" t="s">
        <v>1282</v>
      </c>
      <c r="D39" s="21" t="s">
        <v>108</v>
      </c>
      <c r="E39" s="21">
        <v>39</v>
      </c>
      <c r="F39" s="21">
        <v>333463</v>
      </c>
      <c r="G39" s="42">
        <v>-0.13500000000000001</v>
      </c>
      <c r="H39" s="21" t="s">
        <v>1283</v>
      </c>
      <c r="I39" s="39" t="str">
        <f ca="1">IFERROR(__xludf.DUMMYFUNCTION("IF(SUM(COUNTIF(artists!A:A, SPLIT(D39, "",""))) &gt; 0, ""UA"", 0)"),"UA")</f>
        <v>UA</v>
      </c>
      <c r="J39" s="40">
        <f ca="1">IFERROR(__xludf.DUMMYFUNCTION("IF(SUM(COUNTIF(artists!C:C, SPLIT(D39, "",""))) &gt; 0, ""RU"", 0)"),0)</f>
        <v>0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B40" s="21">
        <v>38</v>
      </c>
      <c r="C40" s="21" t="s">
        <v>1354</v>
      </c>
      <c r="D40" s="21" t="s">
        <v>1355</v>
      </c>
      <c r="E40" s="21">
        <v>42</v>
      </c>
      <c r="F40" s="21">
        <v>333397</v>
      </c>
      <c r="G40" s="42">
        <v>-4.2999999999999997E-2</v>
      </c>
      <c r="H40" s="21" t="s">
        <v>1356</v>
      </c>
      <c r="I40" s="39" t="str">
        <f ca="1">IFERROR(__xludf.DUMMYFUNCTION("IF(SUM(COUNTIF(artists!A:A, SPLIT(D40, "",""))) &gt; 0, ""UA"", 0)"),"UA")</f>
        <v>UA</v>
      </c>
      <c r="J40" s="40">
        <f ca="1">IFERROR(__xludf.DUMMYFUNCTION("IF(SUM(COUNTIF(artists!C:C, SPLIT(D40, "",""))) &gt; 0, ""RU"", 0)"),0)</f>
        <v>0</v>
      </c>
      <c r="K40" s="39">
        <f ca="1">IFERROR(__xludf.DUMMYFUNCTION("IF(SUM(COUNTIF(artists!E:E, SPLIT(D40, "",""))) &gt; 0, ""OTHER"", 0)"),0)</f>
        <v>0</v>
      </c>
    </row>
    <row r="41" spans="1:11" ht="14.25" customHeight="1">
      <c r="A41" s="21">
        <v>40</v>
      </c>
      <c r="B41" s="21">
        <v>27</v>
      </c>
      <c r="C41" s="21" t="s">
        <v>874</v>
      </c>
      <c r="D41" s="21" t="s">
        <v>108</v>
      </c>
      <c r="E41" s="21">
        <v>2</v>
      </c>
      <c r="F41" s="21">
        <v>329341</v>
      </c>
      <c r="G41" s="42">
        <v>-0.187</v>
      </c>
      <c r="H41" s="21" t="s">
        <v>875</v>
      </c>
      <c r="I41" s="39" t="str">
        <f ca="1">IFERROR(__xludf.DUMMYFUNCTION("IF(SUM(COUNTIF(artists!A:A, SPLIT(D41, "",""))) &gt; 0, ""UA"", 0)"),"UA")</f>
        <v>UA</v>
      </c>
      <c r="J41" s="40">
        <f ca="1">IFERROR(__xludf.DUMMYFUNCTION("IF(SUM(COUNTIF(artists!C:C, SPLIT(D41, "",""))) &gt; 0, ""RU"", 0)"),0)</f>
        <v>0</v>
      </c>
      <c r="K41" s="39">
        <f ca="1">IFERROR(__xludf.DUMMYFUNCTION("IF(SUM(COUNTIF(artists!E:E, SPLIT(D41, "",""))) &gt; 0, ""OTHER"", 0)"),0)</f>
        <v>0</v>
      </c>
    </row>
    <row r="42" spans="1:11" ht="14.25" customHeight="1">
      <c r="A42" s="21">
        <v>41</v>
      </c>
      <c r="C42" s="21" t="s">
        <v>1423</v>
      </c>
      <c r="D42" s="21" t="s">
        <v>1296</v>
      </c>
      <c r="E42" s="21">
        <v>1</v>
      </c>
      <c r="F42" s="21">
        <v>323582</v>
      </c>
      <c r="H42" s="21" t="s">
        <v>1424</v>
      </c>
      <c r="I42" s="39">
        <f ca="1">IFERROR(__xludf.DUMMYFUNCTION("IF(SUM(COUNTIF(artists!A:A, SPLIT(D42, "",""))) &gt; 0, ""UA"", 0)"),0)</f>
        <v>0</v>
      </c>
      <c r="J42" s="40" t="str">
        <f ca="1">IFERROR(__xludf.DUMMYFUNCTION("IF(SUM(COUNTIF(artists!C:C, SPLIT(D42, "",""))) &gt; 0, ""RU"", 0)"),"RU")</f>
        <v>RU</v>
      </c>
      <c r="K42" s="39">
        <f ca="1">IFERROR(__xludf.DUMMYFUNCTION("IF(SUM(COUNTIF(artists!E:E, SPLIT(D42, "",""))) &gt; 0, ""OTHER"", 0)"),0)</f>
        <v>0</v>
      </c>
    </row>
    <row r="43" spans="1:11" ht="14.25" customHeight="1">
      <c r="A43" s="21">
        <v>42</v>
      </c>
      <c r="B43" s="21">
        <v>53</v>
      </c>
      <c r="C43" s="21" t="s">
        <v>1323</v>
      </c>
      <c r="D43" s="21" t="s">
        <v>230</v>
      </c>
      <c r="E43" s="21">
        <v>4</v>
      </c>
      <c r="F43" s="21">
        <v>305456</v>
      </c>
      <c r="G43" s="42">
        <v>7.3999999999999996E-2</v>
      </c>
      <c r="H43" s="21" t="s">
        <v>1324</v>
      </c>
      <c r="I43" s="39" t="str">
        <f ca="1">IFERROR(__xludf.DUMMYFUNCTION("IF(SUM(COUNTIF(artists!A:A, SPLIT(D43, "",""))) &gt; 0, ""UA"", 0)"),"UA")</f>
        <v>UA</v>
      </c>
      <c r="J43" s="40">
        <f ca="1">IFERROR(__xludf.DUMMYFUNCTION("IF(SUM(COUNTIF(artists!C:C, SPLIT(D43, "",""))) &gt; 0, ""RU"", 0)"),0)</f>
        <v>0</v>
      </c>
      <c r="K43" s="39">
        <f ca="1">IFERROR(__xludf.DUMMYFUNCTION("IF(SUM(COUNTIF(artists!E:E, SPLIT(D43, "",""))) &gt; 0, ""OTHER"", 0)"),0)</f>
        <v>0</v>
      </c>
    </row>
    <row r="44" spans="1:11" ht="14.25" customHeight="1">
      <c r="A44" s="21">
        <v>43</v>
      </c>
      <c r="B44" s="21">
        <v>37</v>
      </c>
      <c r="C44" s="21" t="s">
        <v>1249</v>
      </c>
      <c r="D44" s="21" t="s">
        <v>187</v>
      </c>
      <c r="E44" s="21">
        <v>4</v>
      </c>
      <c r="F44" s="21">
        <v>298191</v>
      </c>
      <c r="G44" s="42">
        <v>-0.14499999999999999</v>
      </c>
      <c r="H44" s="21" t="s">
        <v>1250</v>
      </c>
      <c r="I44" s="39" t="str">
        <f ca="1">IFERROR(__xludf.DUMMYFUNCTION("IF(SUM(COUNTIF(artists!A:A, SPLIT(D44, "",""))) &gt; 0, ""UA"", 0)"),"UA")</f>
        <v>UA</v>
      </c>
      <c r="J44" s="40">
        <f ca="1">IFERROR(__xludf.DUMMYFUNCTION("IF(SUM(COUNTIF(artists!C:C, SPLIT(D44, "",""))) &gt; 0, ""RU"", 0)"),0)</f>
        <v>0</v>
      </c>
      <c r="K44" s="39">
        <f ca="1">IFERROR(__xludf.DUMMYFUNCTION("IF(SUM(COUNTIF(artists!E:E, SPLIT(D44, "",""))) &gt; 0, ""OTHER"", 0)"),0)</f>
        <v>0</v>
      </c>
    </row>
    <row r="45" spans="1:11" ht="14.25" customHeight="1">
      <c r="A45" s="21">
        <v>44</v>
      </c>
      <c r="B45" s="21">
        <v>42</v>
      </c>
      <c r="C45" s="21" t="s">
        <v>1242</v>
      </c>
      <c r="D45" s="21" t="s">
        <v>969</v>
      </c>
      <c r="E45" s="21">
        <v>11</v>
      </c>
      <c r="F45" s="21">
        <v>296443</v>
      </c>
      <c r="G45" s="42">
        <v>-2.5999999999999999E-2</v>
      </c>
      <c r="H45" s="21" t="s">
        <v>1243</v>
      </c>
      <c r="I45" s="39" t="str">
        <f ca="1">IFERROR(__xludf.DUMMYFUNCTION("IF(SUM(COUNTIF(artists!A:A, SPLIT(D45, "",""))) &gt; 0, ""UA"", 0)"),"UA")</f>
        <v>UA</v>
      </c>
      <c r="J45" s="40">
        <f ca="1">IFERROR(__xludf.DUMMYFUNCTION("IF(SUM(COUNTIF(artists!C:C, SPLIT(D45, "",""))) &gt; 0, ""RU"", 0)"),0)</f>
        <v>0</v>
      </c>
      <c r="K45" s="39">
        <f ca="1">IFERROR(__xludf.DUMMYFUNCTION("IF(SUM(COUNTIF(artists!E:E, SPLIT(D45, "",""))) &gt; 0, ""OTHER"", 0)"),0)</f>
        <v>0</v>
      </c>
    </row>
    <row r="46" spans="1:11" ht="14.25" customHeight="1">
      <c r="A46" s="21">
        <v>45</v>
      </c>
      <c r="B46" s="21">
        <v>44</v>
      </c>
      <c r="C46" s="21" t="s">
        <v>887</v>
      </c>
      <c r="D46" s="21" t="s">
        <v>89</v>
      </c>
      <c r="E46" s="21">
        <v>19</v>
      </c>
      <c r="F46" s="21">
        <v>293253</v>
      </c>
      <c r="G46" s="42">
        <v>-3.4000000000000002E-2</v>
      </c>
      <c r="H46" s="21" t="s">
        <v>888</v>
      </c>
      <c r="I46" s="39" t="str">
        <f ca="1">IFERROR(__xludf.DUMMYFUNCTION("IF(SUM(COUNTIF(artists!A:A, SPLIT(D46, "",""))) &gt; 0, ""UA"", 0)"),"UA")</f>
        <v>UA</v>
      </c>
      <c r="J46" s="40">
        <f ca="1">IFERROR(__xludf.DUMMYFUNCTION("IF(SUM(COUNTIF(artists!C:C, SPLIT(D46, "",""))) &gt; 0, ""RU"", 0)"),0)</f>
        <v>0</v>
      </c>
      <c r="K46" s="39">
        <f ca="1">IFERROR(__xludf.DUMMYFUNCTION("IF(SUM(COUNTIF(artists!E:E, SPLIT(D46, "",""))) &gt; 0, ""OTHER"", 0)"),0)</f>
        <v>0</v>
      </c>
    </row>
    <row r="47" spans="1:11" ht="14.25" customHeight="1">
      <c r="A47" s="21">
        <v>46</v>
      </c>
      <c r="B47" s="21">
        <v>56</v>
      </c>
      <c r="C47" s="21" t="s">
        <v>632</v>
      </c>
      <c r="D47" s="21" t="s">
        <v>633</v>
      </c>
      <c r="E47" s="21">
        <v>16</v>
      </c>
      <c r="F47" s="21">
        <v>292027</v>
      </c>
      <c r="G47" s="42">
        <v>9.7000000000000003E-2</v>
      </c>
      <c r="H47" s="21" t="s">
        <v>634</v>
      </c>
      <c r="I47" s="39" t="str">
        <f ca="1">IFERROR(__xludf.DUMMYFUNCTION("IF(SUM(COUNTIF(artists!A:A, SPLIT(D47, "",""))) &gt; 0, ""UA"", 0)"),"UA")</f>
        <v>UA</v>
      </c>
      <c r="J47" s="40">
        <f ca="1">IFERROR(__xludf.DUMMYFUNCTION("IF(SUM(COUNTIF(artists!C:C, SPLIT(D47, "",""))) &gt; 0, ""RU"", 0)"),0)</f>
        <v>0</v>
      </c>
      <c r="K47" s="39">
        <f ca="1">IFERROR(__xludf.DUMMYFUNCTION("IF(SUM(COUNTIF(artists!E:E, SPLIT(D47, "",""))) &gt; 0, ""OTHER"", 0)"),0)</f>
        <v>0</v>
      </c>
    </row>
    <row r="48" spans="1:11" ht="14.25" customHeight="1">
      <c r="A48" s="21">
        <v>47</v>
      </c>
      <c r="B48" s="21">
        <v>52</v>
      </c>
      <c r="C48" s="21" t="s">
        <v>253</v>
      </c>
      <c r="D48" s="21" t="s">
        <v>89</v>
      </c>
      <c r="E48" s="21">
        <v>21</v>
      </c>
      <c r="F48" s="21">
        <v>291848</v>
      </c>
      <c r="G48" s="42">
        <v>2.3E-2</v>
      </c>
      <c r="H48" s="21" t="s">
        <v>254</v>
      </c>
      <c r="I48" s="39" t="str">
        <f ca="1">IFERROR(__xludf.DUMMYFUNCTION("IF(SUM(COUNTIF(artists!A:A, SPLIT(D48, "",""))) &gt; 0, ""UA"", 0)"),"UA")</f>
        <v>UA</v>
      </c>
      <c r="J48" s="40">
        <f ca="1">IFERROR(__xludf.DUMMYFUNCTION("IF(SUM(COUNTIF(artists!C:C, SPLIT(D48, "",""))) &gt; 0, ""RU"", 0)"),0)</f>
        <v>0</v>
      </c>
      <c r="K48" s="39">
        <f ca="1">IFERROR(__xludf.DUMMYFUNCTION("IF(SUM(COUNTIF(artists!E:E, SPLIT(D48, "",""))) &gt; 0, ""OTHER"", 0)"),0)</f>
        <v>0</v>
      </c>
    </row>
    <row r="49" spans="1:11" ht="14.25" customHeight="1">
      <c r="A49" s="21">
        <v>48</v>
      </c>
      <c r="B49" s="21">
        <v>41</v>
      </c>
      <c r="C49" s="21" t="s">
        <v>1447</v>
      </c>
      <c r="D49" s="21" t="s">
        <v>969</v>
      </c>
      <c r="E49" s="21">
        <v>31</v>
      </c>
      <c r="F49" s="21">
        <v>287943</v>
      </c>
      <c r="G49" s="42">
        <v>-6.5000000000000002E-2</v>
      </c>
      <c r="H49" s="21" t="s">
        <v>1448</v>
      </c>
      <c r="I49" s="39" t="str">
        <f ca="1">IFERROR(__xludf.DUMMYFUNCTION("IF(SUM(COUNTIF(artists!A:A, SPLIT(D49, "",""))) &gt; 0, ""UA"", 0)"),"UA")</f>
        <v>UA</v>
      </c>
      <c r="J49" s="40">
        <f ca="1">IFERROR(__xludf.DUMMYFUNCTION("IF(SUM(COUNTIF(artists!C:C, SPLIT(D49, "",""))) &gt; 0, ""RU"", 0)"),0)</f>
        <v>0</v>
      </c>
      <c r="K49" s="39">
        <f ca="1">IFERROR(__xludf.DUMMYFUNCTION("IF(SUM(COUNTIF(artists!E:E, SPLIT(D49, "",""))) &gt; 0, ""OTHER"", 0)"),0)</f>
        <v>0</v>
      </c>
    </row>
    <row r="50" spans="1:11" ht="14.25" customHeight="1">
      <c r="A50" s="21">
        <v>49</v>
      </c>
      <c r="B50" s="21">
        <v>48</v>
      </c>
      <c r="C50" s="21" t="s">
        <v>935</v>
      </c>
      <c r="D50" s="21" t="s">
        <v>936</v>
      </c>
      <c r="E50" s="21">
        <v>39</v>
      </c>
      <c r="F50" s="21">
        <v>281689</v>
      </c>
      <c r="G50" s="43">
        <v>-0.04</v>
      </c>
      <c r="H50" s="21" t="s">
        <v>937</v>
      </c>
      <c r="I50" s="39">
        <f ca="1">IFERROR(__xludf.DUMMYFUNCTION("IF(SUM(COUNTIF(artists!A:A, SPLIT(D50, "",""))) &gt; 0, ""UA"", 0)"),0)</f>
        <v>0</v>
      </c>
      <c r="J50" s="40" t="str">
        <f ca="1">IFERROR(__xludf.DUMMYFUNCTION("IF(SUM(COUNTIF(artists!C:C, SPLIT(D50, "",""))) &gt; 0, ""RU"", 0)"),"RU")</f>
        <v>RU</v>
      </c>
      <c r="K50" s="39">
        <f ca="1">IFERROR(__xludf.DUMMYFUNCTION("IF(SUM(COUNTIF(artists!E:E, SPLIT(D50, "",""))) &gt; 0, ""OTHER"", 0)"),0)</f>
        <v>0</v>
      </c>
    </row>
    <row r="51" spans="1:11" ht="14.25" customHeight="1">
      <c r="A51" s="21">
        <v>50</v>
      </c>
      <c r="B51" s="21">
        <v>45</v>
      </c>
      <c r="C51" s="21" t="s">
        <v>1261</v>
      </c>
      <c r="D51" s="21" t="s">
        <v>137</v>
      </c>
      <c r="E51" s="21">
        <v>29</v>
      </c>
      <c r="F51" s="21">
        <v>278944</v>
      </c>
      <c r="G51" s="42">
        <v>-6.8000000000000005E-2</v>
      </c>
      <c r="H51" s="21" t="s">
        <v>1262</v>
      </c>
      <c r="I51" s="39" t="str">
        <f ca="1">IFERROR(__xludf.DUMMYFUNCTION("IF(SUM(COUNTIF(artists!A:A, SPLIT(D51, "",""))) &gt; 0, ""UA"", 0)"),"UA")</f>
        <v>UA</v>
      </c>
      <c r="J51" s="40">
        <f ca="1">IFERROR(__xludf.DUMMYFUNCTION("IF(SUM(COUNTIF(artists!C:C, SPLIT(D51, "",""))) &gt; 0, ""RU"", 0)"),0)</f>
        <v>0</v>
      </c>
      <c r="K51" s="39">
        <f ca="1">IFERROR(__xludf.DUMMYFUNCTION("IF(SUM(COUNTIF(artists!E:E, SPLIT(D51, "",""))) &gt; 0, ""OTHER"", 0)"),0)</f>
        <v>0</v>
      </c>
    </row>
    <row r="52" spans="1:11" ht="14.25" customHeight="1">
      <c r="A52" s="21">
        <v>51</v>
      </c>
      <c r="B52" s="21">
        <v>54</v>
      </c>
      <c r="C52" s="21" t="s">
        <v>516</v>
      </c>
      <c r="D52" s="21" t="s">
        <v>517</v>
      </c>
      <c r="E52" s="21">
        <v>10</v>
      </c>
      <c r="F52" s="21">
        <v>268365</v>
      </c>
      <c r="G52" s="42">
        <v>-4.5999999999999999E-2</v>
      </c>
      <c r="H52" s="21" t="s">
        <v>518</v>
      </c>
      <c r="I52" s="39">
        <f ca="1">IFERROR(__xludf.DUMMYFUNCTION("IF(SUM(COUNTIF(artists!A:A, SPLIT(D52, "",""))) &gt; 0, ""UA"", 0)"),0)</f>
        <v>0</v>
      </c>
      <c r="J52" s="40">
        <f ca="1">IFERROR(__xludf.DUMMYFUNCTION("IF(SUM(COUNTIF(artists!C:C, SPLIT(D52, "",""))) &gt; 0, ""RU"", 0)"),0)</f>
        <v>0</v>
      </c>
      <c r="K52" s="39" t="str">
        <f ca="1">IFERROR(__xludf.DUMMYFUNCTION("IF(SUM(COUNTIF(artists!E:E, SPLIT(D52, "",""))) &gt; 0, ""OTHER"", 0)"),"OTHER")</f>
        <v>OTHER</v>
      </c>
    </row>
    <row r="53" spans="1:11" ht="14.25" customHeight="1">
      <c r="A53" s="21">
        <v>52</v>
      </c>
      <c r="B53" s="21">
        <v>50</v>
      </c>
      <c r="C53" s="21" t="s">
        <v>1284</v>
      </c>
      <c r="D53" s="21" t="s">
        <v>1285</v>
      </c>
      <c r="E53" s="21">
        <v>13</v>
      </c>
      <c r="F53" s="21">
        <v>262221</v>
      </c>
      <c r="G53" s="43">
        <v>-0.09</v>
      </c>
      <c r="H53" s="21" t="s">
        <v>1286</v>
      </c>
      <c r="I53" s="39">
        <f ca="1">IFERROR(__xludf.DUMMYFUNCTION("IF(SUM(COUNTIF(artists!A:A, SPLIT(D53, "",""))) &gt; 0, ""UA"", 0)"),0)</f>
        <v>0</v>
      </c>
      <c r="J53" s="40" t="str">
        <f ca="1">IFERROR(__xludf.DUMMYFUNCTION("IF(SUM(COUNTIF(artists!C:C, SPLIT(D53, "",""))) &gt; 0, ""RU"", 0)"),"RU")</f>
        <v>RU</v>
      </c>
      <c r="K53" s="39">
        <f ca="1">IFERROR(__xludf.DUMMYFUNCTION("IF(SUM(COUNTIF(artists!E:E, SPLIT(D53, "",""))) &gt; 0, ""OTHER"", 0)"),0)</f>
        <v>0</v>
      </c>
    </row>
    <row r="54" spans="1:11" ht="14.25" customHeight="1">
      <c r="A54" s="21">
        <v>53</v>
      </c>
      <c r="B54" s="21">
        <v>46</v>
      </c>
      <c r="C54" s="21" t="s">
        <v>636</v>
      </c>
      <c r="D54" s="21" t="s">
        <v>637</v>
      </c>
      <c r="E54" s="21">
        <v>12</v>
      </c>
      <c r="F54" s="21">
        <v>256798</v>
      </c>
      <c r="G54" s="43">
        <v>-0.14000000000000001</v>
      </c>
      <c r="H54" s="21" t="s">
        <v>638</v>
      </c>
      <c r="I54" s="39">
        <f ca="1">IFERROR(__xludf.DUMMYFUNCTION("IF(SUM(COUNTIF(artists!A:A, SPLIT(D54, "",""))) &gt; 0, ""UA"", 0)"),0)</f>
        <v>0</v>
      </c>
      <c r="J54" s="40">
        <f ca="1">IFERROR(__xludf.DUMMYFUNCTION("IF(SUM(COUNTIF(artists!C:C, SPLIT(D54, "",""))) &gt; 0, ""RU"", 0)"),0)</f>
        <v>0</v>
      </c>
      <c r="K54" s="39" t="str">
        <f ca="1">IFERROR(__xludf.DUMMYFUNCTION("IF(SUM(COUNTIF(artists!E:E, SPLIT(D54, "",""))) &gt; 0, ""OTHER"", 0)"),"OTHER")</f>
        <v>OTHER</v>
      </c>
    </row>
    <row r="55" spans="1:11" ht="14.25" customHeight="1">
      <c r="A55" s="21">
        <v>54</v>
      </c>
      <c r="B55" s="21">
        <v>55</v>
      </c>
      <c r="C55" s="21" t="s">
        <v>1332</v>
      </c>
      <c r="D55" s="21" t="s">
        <v>1333</v>
      </c>
      <c r="E55" s="21">
        <v>14</v>
      </c>
      <c r="F55" s="21">
        <v>255189</v>
      </c>
      <c r="G55" s="42">
        <v>-6.0999999999999999E-2</v>
      </c>
      <c r="H55" s="21" t="s">
        <v>1334</v>
      </c>
      <c r="I55" s="39" t="str">
        <f ca="1">IFERROR(__xludf.DUMMYFUNCTION("IF(SUM(COUNTIF(artists!A:A, SPLIT(D55, "",""))) &gt; 0, ""UA"", 0)"),"UA")</f>
        <v>UA</v>
      </c>
      <c r="J55" s="40">
        <f ca="1">IFERROR(__xludf.DUMMYFUNCTION("IF(SUM(COUNTIF(artists!C:C, SPLIT(D55, "",""))) &gt; 0, ""RU"", 0)"),0)</f>
        <v>0</v>
      </c>
      <c r="K55" s="39">
        <f ca="1">IFERROR(__xludf.DUMMYFUNCTION("IF(SUM(COUNTIF(artists!E:E, SPLIT(D55, "",""))) &gt; 0, ""OTHER"", 0)"),0)</f>
        <v>0</v>
      </c>
    </row>
    <row r="56" spans="1:11" ht="14.25" customHeight="1">
      <c r="A56" s="21">
        <v>55</v>
      </c>
      <c r="C56" s="21" t="s">
        <v>1214</v>
      </c>
      <c r="D56" s="21" t="s">
        <v>1117</v>
      </c>
      <c r="E56" s="21">
        <v>1</v>
      </c>
      <c r="F56" s="21">
        <v>250963</v>
      </c>
      <c r="H56" s="21" t="s">
        <v>1215</v>
      </c>
      <c r="I56" s="39">
        <f ca="1">IFERROR(__xludf.DUMMYFUNCTION("IF(SUM(COUNTIF(artists!A:A, SPLIT(D56, "",""))) &gt; 0, ""UA"", 0)"),0)</f>
        <v>0</v>
      </c>
      <c r="J56" s="40" t="str">
        <f ca="1">IFERROR(__xludf.DUMMYFUNCTION("IF(SUM(COUNTIF(artists!C:C, SPLIT(D56, "",""))) &gt; 0, ""RU"", 0)"),"RU")</f>
        <v>RU</v>
      </c>
      <c r="K56" s="39">
        <f ca="1">IFERROR(__xludf.DUMMYFUNCTION("IF(SUM(COUNTIF(artists!E:E, SPLIT(D56, "",""))) &gt; 0, ""OTHER"", 0)"),0)</f>
        <v>0</v>
      </c>
    </row>
    <row r="57" spans="1:11" ht="14.25" customHeight="1">
      <c r="A57" s="21">
        <v>56</v>
      </c>
      <c r="B57" s="21">
        <v>51</v>
      </c>
      <c r="C57" s="21" t="s">
        <v>697</v>
      </c>
      <c r="D57" s="21" t="s">
        <v>698</v>
      </c>
      <c r="E57" s="21">
        <v>8</v>
      </c>
      <c r="F57" s="21">
        <v>248599</v>
      </c>
      <c r="G57" s="42">
        <v>-0.13600000000000001</v>
      </c>
      <c r="H57" s="21" t="s">
        <v>699</v>
      </c>
      <c r="I57" s="39">
        <f ca="1">IFERROR(__xludf.DUMMYFUNCTION("IF(SUM(COUNTIF(artists!A:A, SPLIT(D57, "",""))) &gt; 0, ""UA"", 0)"),0)</f>
        <v>0</v>
      </c>
      <c r="J57" s="40" t="str">
        <f ca="1">IFERROR(__xludf.DUMMYFUNCTION("IF(SUM(COUNTIF(artists!C:C, SPLIT(D57, "",""))) &gt; 0, ""RU"", 0)"),"RU")</f>
        <v>RU</v>
      </c>
      <c r="K57" s="39">
        <f ca="1">IFERROR(__xludf.DUMMYFUNCTION("IF(SUM(COUNTIF(artists!E:E, SPLIT(D57, "",""))) &gt; 0, ""OTHER"", 0)"),0)</f>
        <v>0</v>
      </c>
    </row>
    <row r="58" spans="1:11" ht="14.25" customHeight="1">
      <c r="A58" s="21">
        <v>57</v>
      </c>
      <c r="B58" s="21">
        <v>62</v>
      </c>
      <c r="C58" s="21" t="s">
        <v>1436</v>
      </c>
      <c r="D58" s="21" t="s">
        <v>896</v>
      </c>
      <c r="E58" s="21">
        <v>19</v>
      </c>
      <c r="F58" s="21">
        <v>245648</v>
      </c>
      <c r="G58" s="42">
        <v>4.1000000000000002E-2</v>
      </c>
      <c r="H58" s="21" t="s">
        <v>1437</v>
      </c>
      <c r="I58" s="39" t="str">
        <f ca="1">IFERROR(__xludf.DUMMYFUNCTION("IF(SUM(COUNTIF(artists!A:A, SPLIT(D58, "",""))) &gt; 0, ""UA"", 0)"),"UA")</f>
        <v>UA</v>
      </c>
      <c r="J58" s="40">
        <f ca="1">IFERROR(__xludf.DUMMYFUNCTION("IF(SUM(COUNTIF(artists!C:C, SPLIT(D58, "",""))) &gt; 0, ""RU"", 0)"),0)</f>
        <v>0</v>
      </c>
      <c r="K58" s="39">
        <f ca="1">IFERROR(__xludf.DUMMYFUNCTION("IF(SUM(COUNTIF(artists!E:E, SPLIT(D58, "",""))) &gt; 0, ""OTHER"", 0)"),0)</f>
        <v>0</v>
      </c>
    </row>
    <row r="59" spans="1:11" ht="14.25" customHeight="1">
      <c r="A59" s="21">
        <v>58</v>
      </c>
      <c r="B59" s="21">
        <v>49</v>
      </c>
      <c r="C59" s="21" t="s">
        <v>1182</v>
      </c>
      <c r="D59" s="21" t="s">
        <v>466</v>
      </c>
      <c r="E59" s="21">
        <v>14</v>
      </c>
      <c r="F59" s="21">
        <v>236929</v>
      </c>
      <c r="G59" s="42">
        <v>-0.192</v>
      </c>
      <c r="H59" s="21" t="s">
        <v>1183</v>
      </c>
      <c r="I59" s="39" t="str">
        <f ca="1">IFERROR(__xludf.DUMMYFUNCTION("IF(SUM(COUNTIF(artists!A:A, SPLIT(D59, "",""))) &gt; 0, ""UA"", 0)"),"UA")</f>
        <v>UA</v>
      </c>
      <c r="J59" s="40">
        <f ca="1">IFERROR(__xludf.DUMMYFUNCTION("IF(SUM(COUNTIF(artists!C:C, SPLIT(D59, "",""))) &gt; 0, ""RU"", 0)"),0)</f>
        <v>0</v>
      </c>
      <c r="K59" s="39">
        <f ca="1">IFERROR(__xludf.DUMMYFUNCTION("IF(SUM(COUNTIF(artists!E:E, SPLIT(D59, "",""))) &gt; 0, ""OTHER"", 0)"),0)</f>
        <v>0</v>
      </c>
    </row>
    <row r="60" spans="1:11" ht="14.25" customHeight="1">
      <c r="A60" s="21">
        <v>59</v>
      </c>
      <c r="B60" s="21">
        <v>61</v>
      </c>
      <c r="C60" s="21" t="s">
        <v>1383</v>
      </c>
      <c r="D60" s="21" t="s">
        <v>463</v>
      </c>
      <c r="E60" s="21">
        <v>17</v>
      </c>
      <c r="F60" s="21">
        <v>229596</v>
      </c>
      <c r="G60" s="42">
        <v>-3.6999999999999998E-2</v>
      </c>
      <c r="H60" s="21" t="s">
        <v>1384</v>
      </c>
      <c r="I60" s="39" t="str">
        <f ca="1">IFERROR(__xludf.DUMMYFUNCTION("IF(SUM(COUNTIF(artists!A:A, SPLIT(D60, "",""))) &gt; 0, ""UA"", 0)"),"UA")</f>
        <v>UA</v>
      </c>
      <c r="J60" s="40">
        <f ca="1">IFERROR(__xludf.DUMMYFUNCTION("IF(SUM(COUNTIF(artists!C:C, SPLIT(D60, "",""))) &gt; 0, ""RU"", 0)"),0)</f>
        <v>0</v>
      </c>
      <c r="K60" s="39">
        <f ca="1">IFERROR(__xludf.DUMMYFUNCTION("IF(SUM(COUNTIF(artists!E:E, SPLIT(D60, "",""))) &gt; 0, ""OTHER"", 0)"),0)</f>
        <v>0</v>
      </c>
    </row>
    <row r="61" spans="1:11" ht="14.25" customHeight="1">
      <c r="A61" s="21">
        <v>60</v>
      </c>
      <c r="C61" s="44">
        <v>0.20833333333333334</v>
      </c>
      <c r="D61" s="21" t="s">
        <v>1449</v>
      </c>
      <c r="E61" s="21">
        <v>1</v>
      </c>
      <c r="F61" s="21">
        <v>228390</v>
      </c>
      <c r="H61" s="21" t="s">
        <v>1450</v>
      </c>
      <c r="I61" s="39">
        <f ca="1">IFERROR(__xludf.DUMMYFUNCTION("IF(SUM(COUNTIF(artists!A:A, SPLIT(D61, "",""))) &gt; 0, ""UA"", 0)"),0)</f>
        <v>0</v>
      </c>
      <c r="J61" s="40" t="str">
        <f ca="1">IFERROR(__xludf.DUMMYFUNCTION("IF(SUM(COUNTIF(artists!C:C, SPLIT(D61, "",""))) &gt; 0, ""RU"", 0)"),"RU")</f>
        <v>RU</v>
      </c>
      <c r="K61" s="39">
        <f ca="1">IFERROR(__xludf.DUMMYFUNCTION("IF(SUM(COUNTIF(artists!E:E, SPLIT(D61, "",""))) &gt; 0, ""OTHER"", 0)"),0)</f>
        <v>0</v>
      </c>
    </row>
    <row r="62" spans="1:11" ht="14.25" customHeight="1">
      <c r="A62" s="21">
        <v>61</v>
      </c>
      <c r="B62" s="21">
        <v>63</v>
      </c>
      <c r="C62" s="21" t="s">
        <v>1300</v>
      </c>
      <c r="D62" s="21" t="s">
        <v>1074</v>
      </c>
      <c r="E62" s="21">
        <v>3</v>
      </c>
      <c r="F62" s="21">
        <v>228061</v>
      </c>
      <c r="G62" s="42">
        <v>1.0999999999999999E-2</v>
      </c>
      <c r="H62" s="21" t="s">
        <v>1301</v>
      </c>
      <c r="I62" s="39" t="str">
        <f ca="1">IFERROR(__xludf.DUMMYFUNCTION("IF(SUM(COUNTIF(artists!A:A, SPLIT(D62, "",""))) &gt; 0, ""UA"", 0)"),"UA")</f>
        <v>UA</v>
      </c>
      <c r="J62" s="40">
        <f ca="1">IFERROR(__xludf.DUMMYFUNCTION("IF(SUM(COUNTIF(artists!C:C, SPLIT(D62, "",""))) &gt; 0, ""RU"", 0)"),0)</f>
        <v>0</v>
      </c>
      <c r="K62" s="39">
        <f ca="1">IFERROR(__xludf.DUMMYFUNCTION("IF(SUM(COUNTIF(artists!E:E, SPLIT(D62, "",""))) &gt; 0, ""OTHER"", 0)"),0)</f>
        <v>0</v>
      </c>
    </row>
    <row r="63" spans="1:11" ht="14.25" customHeight="1">
      <c r="A63" s="21">
        <v>62</v>
      </c>
      <c r="B63" s="21">
        <v>60</v>
      </c>
      <c r="C63" s="21" t="s">
        <v>1410</v>
      </c>
      <c r="D63" s="21" t="s">
        <v>1411</v>
      </c>
      <c r="E63" s="21">
        <v>6</v>
      </c>
      <c r="F63" s="21">
        <v>227433</v>
      </c>
      <c r="G63" s="42">
        <v>-7.3999999999999996E-2</v>
      </c>
      <c r="H63" s="21" t="s">
        <v>1412</v>
      </c>
      <c r="I63" s="39">
        <f ca="1">IFERROR(__xludf.DUMMYFUNCTION("IF(SUM(COUNTIF(artists!A:A, SPLIT(D63, "",""))) &gt; 0, ""UA"", 0)"),0)</f>
        <v>0</v>
      </c>
      <c r="J63" s="40" t="str">
        <f ca="1">IFERROR(__xludf.DUMMYFUNCTION("IF(SUM(COUNTIF(artists!C:C, SPLIT(D63, "",""))) &gt; 0, ""RU"", 0)"),"RU")</f>
        <v>RU</v>
      </c>
      <c r="K63" s="39">
        <f ca="1">IFERROR(__xludf.DUMMYFUNCTION("IF(SUM(COUNTIF(artists!E:E, SPLIT(D63, "",""))) &gt; 0, ""OTHER"", 0)"),0)</f>
        <v>0</v>
      </c>
    </row>
    <row r="64" spans="1:11" ht="14.25" customHeight="1">
      <c r="A64" s="21">
        <v>63</v>
      </c>
      <c r="C64" s="21" t="s">
        <v>1280</v>
      </c>
      <c r="D64" s="21" t="s">
        <v>1193</v>
      </c>
      <c r="E64" s="21">
        <v>1</v>
      </c>
      <c r="F64" s="21">
        <v>218745</v>
      </c>
      <c r="H64" s="21" t="s">
        <v>1281</v>
      </c>
      <c r="I64" s="39" t="str">
        <f ca="1">IFERROR(__xludf.DUMMYFUNCTION("IF(SUM(COUNTIF(artists!A:A, SPLIT(D64, "",""))) &gt; 0, ""UA"", 0)"),"UA")</f>
        <v>UA</v>
      </c>
      <c r="J64" s="40">
        <f ca="1">IFERROR(__xludf.DUMMYFUNCTION("IF(SUM(COUNTIF(artists!C:C, SPLIT(D64, "",""))) &gt; 0, ""RU"", 0)"),0)</f>
        <v>0</v>
      </c>
      <c r="K64" s="39">
        <f ca="1">IFERROR(__xludf.DUMMYFUNCTION("IF(SUM(COUNTIF(artists!E:E, SPLIT(D64, "",""))) &gt; 0, ""OTHER"", 0)"),0)</f>
        <v>0</v>
      </c>
    </row>
    <row r="65" spans="1:11" ht="14.25" customHeight="1">
      <c r="A65" s="21">
        <v>64</v>
      </c>
      <c r="B65" s="21">
        <v>59</v>
      </c>
      <c r="C65" s="21" t="s">
        <v>1318</v>
      </c>
      <c r="D65" s="21" t="s">
        <v>1319</v>
      </c>
      <c r="E65" s="21">
        <v>9</v>
      </c>
      <c r="F65" s="21">
        <v>218144</v>
      </c>
      <c r="G65" s="42">
        <v>-0.125</v>
      </c>
      <c r="H65" s="21" t="s">
        <v>1320</v>
      </c>
      <c r="I65" s="39">
        <f ca="1">IFERROR(__xludf.DUMMYFUNCTION("IF(SUM(COUNTIF(artists!A:A, SPLIT(D65, "",""))) &gt; 0, ""UA"", 0)"),0)</f>
        <v>0</v>
      </c>
      <c r="J65" s="40" t="str">
        <f ca="1">IFERROR(__xludf.DUMMYFUNCTION("IF(SUM(COUNTIF(artists!C:C, SPLIT(D65, "",""))) &gt; 0, ""RU"", 0)"),"RU")</f>
        <v>RU</v>
      </c>
      <c r="K65" s="39">
        <f ca="1">IFERROR(__xludf.DUMMYFUNCTION("IF(SUM(COUNTIF(artists!E:E, SPLIT(D65, "",""))) &gt; 0, ""OTHER"", 0)"),0)</f>
        <v>0</v>
      </c>
    </row>
    <row r="66" spans="1:11" ht="14.25" customHeight="1">
      <c r="A66" s="21">
        <v>65</v>
      </c>
      <c r="B66" s="21">
        <v>64</v>
      </c>
      <c r="C66" s="21" t="s">
        <v>597</v>
      </c>
      <c r="D66" s="21" t="s">
        <v>598</v>
      </c>
      <c r="E66" s="21">
        <v>17</v>
      </c>
      <c r="F66" s="21">
        <v>215377</v>
      </c>
      <c r="G66" s="42">
        <v>-4.1000000000000002E-2</v>
      </c>
      <c r="H66" s="21" t="s">
        <v>600</v>
      </c>
      <c r="I66" s="39" t="str">
        <f ca="1">IFERROR(__xludf.DUMMYFUNCTION("IF(SUM(COUNTIF(artists!A:A, SPLIT(D66, "",""))) &gt; 0, ""UA"", 0)"),"UA")</f>
        <v>UA</v>
      </c>
      <c r="J66" s="40">
        <f ca="1">IFERROR(__xludf.DUMMYFUNCTION("IF(SUM(COUNTIF(artists!C:C, SPLIT(D66, "",""))) &gt; 0, ""RU"", 0)"),0)</f>
        <v>0</v>
      </c>
      <c r="K66" s="39">
        <f ca="1">IFERROR(__xludf.DUMMYFUNCTION("IF(SUM(COUNTIF(artists!E:E, SPLIT(D66, "",""))) &gt; 0, ""OTHER"", 0)"),0)</f>
        <v>0</v>
      </c>
    </row>
    <row r="67" spans="1:11" ht="14.25" customHeight="1">
      <c r="A67" s="21">
        <v>66</v>
      </c>
      <c r="B67" s="21">
        <v>91</v>
      </c>
      <c r="C67" s="21" t="s">
        <v>903</v>
      </c>
      <c r="D67" s="21" t="s">
        <v>904</v>
      </c>
      <c r="E67" s="21">
        <v>4</v>
      </c>
      <c r="F67" s="21">
        <v>202578</v>
      </c>
      <c r="G67" s="42">
        <v>0.23100000000000001</v>
      </c>
      <c r="H67" s="21" t="s">
        <v>905</v>
      </c>
      <c r="I67" s="39" t="str">
        <f ca="1">IFERROR(__xludf.DUMMYFUNCTION("IF(SUM(COUNTIF(artists!A:A, SPLIT(D67, "",""))) &gt; 0, ""UA"", 0)"),"UA")</f>
        <v>UA</v>
      </c>
      <c r="J67" s="40">
        <f ca="1">IFERROR(__xludf.DUMMYFUNCTION("IF(SUM(COUNTIF(artists!C:C, SPLIT(D67, "",""))) &gt; 0, ""RU"", 0)"),0)</f>
        <v>0</v>
      </c>
      <c r="K67" s="39">
        <f ca="1">IFERROR(__xludf.DUMMYFUNCTION("IF(SUM(COUNTIF(artists!E:E, SPLIT(D67, "",""))) &gt; 0, ""OTHER"", 0)"),0)</f>
        <v>0</v>
      </c>
    </row>
    <row r="68" spans="1:11" ht="14.25" customHeight="1">
      <c r="A68" s="21">
        <v>67</v>
      </c>
      <c r="B68" s="21">
        <v>69</v>
      </c>
      <c r="C68" s="21" t="s">
        <v>1343</v>
      </c>
      <c r="D68" s="21" t="s">
        <v>1344</v>
      </c>
      <c r="E68" s="21">
        <v>7</v>
      </c>
      <c r="F68" s="21">
        <v>201721</v>
      </c>
      <c r="G68" s="42">
        <v>-3.5999999999999997E-2</v>
      </c>
      <c r="H68" s="21" t="s">
        <v>1345</v>
      </c>
      <c r="I68" s="39" t="str">
        <f ca="1">IFERROR(__xludf.DUMMYFUNCTION("IF(SUM(COUNTIF(artists!A:A, SPLIT(D68, "",""))) &gt; 0, ""UA"", 0)"),"UA")</f>
        <v>UA</v>
      </c>
      <c r="J68" s="40">
        <f ca="1">IFERROR(__xludf.DUMMYFUNCTION("IF(SUM(COUNTIF(artists!C:C, SPLIT(D68, "",""))) &gt; 0, ""RU"", 0)"),0)</f>
        <v>0</v>
      </c>
      <c r="K68" s="39">
        <f ca="1">IFERROR(__xludf.DUMMYFUNCTION("IF(SUM(COUNTIF(artists!E:E, SPLIT(D68, "",""))) &gt; 0, ""OTHER"", 0)"),0)</f>
        <v>0</v>
      </c>
    </row>
    <row r="69" spans="1:11" ht="14.25" customHeight="1">
      <c r="A69" s="21">
        <v>68</v>
      </c>
      <c r="B69" s="21">
        <v>75</v>
      </c>
      <c r="C69" s="21" t="s">
        <v>1377</v>
      </c>
      <c r="D69" s="21" t="s">
        <v>463</v>
      </c>
      <c r="E69" s="21">
        <v>11</v>
      </c>
      <c r="F69" s="21">
        <v>200560</v>
      </c>
      <c r="G69" s="42">
        <v>6.2E-2</v>
      </c>
      <c r="H69" s="21" t="s">
        <v>1378</v>
      </c>
      <c r="I69" s="39" t="str">
        <f ca="1">IFERROR(__xludf.DUMMYFUNCTION("IF(SUM(COUNTIF(artists!A:A, SPLIT(D69, "",""))) &gt; 0, ""UA"", 0)"),"UA")</f>
        <v>UA</v>
      </c>
      <c r="J69" s="40">
        <f ca="1">IFERROR(__xludf.DUMMYFUNCTION("IF(SUM(COUNTIF(artists!C:C, SPLIT(D69, "",""))) &gt; 0, ""RU"", 0)"),0)</f>
        <v>0</v>
      </c>
      <c r="K69" s="39">
        <f ca="1">IFERROR(__xludf.DUMMYFUNCTION("IF(SUM(COUNTIF(artists!E:E, SPLIT(D69, "",""))) &gt; 0, ""OTHER"", 0)"),0)</f>
        <v>0</v>
      </c>
    </row>
    <row r="70" spans="1:11" ht="14.25" customHeight="1">
      <c r="A70" s="21">
        <v>69</v>
      </c>
      <c r="B70" s="21">
        <v>65</v>
      </c>
      <c r="C70" s="21" t="s">
        <v>1403</v>
      </c>
      <c r="D70" s="21" t="s">
        <v>259</v>
      </c>
      <c r="E70" s="21">
        <v>3</v>
      </c>
      <c r="F70" s="21">
        <v>197017</v>
      </c>
      <c r="G70" s="42">
        <v>-0.113</v>
      </c>
      <c r="H70" s="21" t="s">
        <v>1404</v>
      </c>
      <c r="I70" s="39" t="str">
        <f ca="1">IFERROR(__xludf.DUMMYFUNCTION("IF(SUM(COUNTIF(artists!A:A, SPLIT(D70, "",""))) &gt; 0, ""UA"", 0)"),"UA")</f>
        <v>UA</v>
      </c>
      <c r="J70" s="40">
        <f ca="1">IFERROR(__xludf.DUMMYFUNCTION("IF(SUM(COUNTIF(artists!C:C, SPLIT(D70, "",""))) &gt; 0, ""RU"", 0)"),0)</f>
        <v>0</v>
      </c>
      <c r="K70" s="39">
        <f ca="1">IFERROR(__xludf.DUMMYFUNCTION("IF(SUM(COUNTIF(artists!E:E, SPLIT(D70, "",""))) &gt; 0, ""OTHER"", 0)"),0)</f>
        <v>0</v>
      </c>
    </row>
    <row r="71" spans="1:11" ht="14.25" customHeight="1">
      <c r="A71" s="21">
        <v>70</v>
      </c>
      <c r="B71" s="21">
        <v>82</v>
      </c>
      <c r="C71" s="21" t="s">
        <v>1385</v>
      </c>
      <c r="D71" s="21" t="s">
        <v>896</v>
      </c>
      <c r="E71" s="21">
        <v>9</v>
      </c>
      <c r="F71" s="21">
        <v>195338</v>
      </c>
      <c r="G71" s="42">
        <v>8.8999999999999996E-2</v>
      </c>
      <c r="H71" s="21" t="s">
        <v>1386</v>
      </c>
      <c r="I71" s="39" t="str">
        <f ca="1">IFERROR(__xludf.DUMMYFUNCTION("IF(SUM(COUNTIF(artists!A:A, SPLIT(D71, "",""))) &gt; 0, ""UA"", 0)"),"UA")</f>
        <v>UA</v>
      </c>
      <c r="J71" s="40">
        <f ca="1">IFERROR(__xludf.DUMMYFUNCTION("IF(SUM(COUNTIF(artists!C:C, SPLIT(D71, "",""))) &gt; 0, ""RU"", 0)"),0)</f>
        <v>0</v>
      </c>
      <c r="K71" s="39">
        <f ca="1">IFERROR(__xludf.DUMMYFUNCTION("IF(SUM(COUNTIF(artists!E:E, SPLIT(D71, "",""))) &gt; 0, ""OTHER"", 0)"),0)</f>
        <v>0</v>
      </c>
    </row>
    <row r="72" spans="1:11" ht="14.25" customHeight="1">
      <c r="A72" s="21">
        <v>71</v>
      </c>
      <c r="B72" s="21">
        <v>86</v>
      </c>
      <c r="C72" s="21" t="s">
        <v>616</v>
      </c>
      <c r="D72" s="21" t="s">
        <v>617</v>
      </c>
      <c r="E72" s="21">
        <v>2</v>
      </c>
      <c r="F72" s="21">
        <v>193293</v>
      </c>
      <c r="G72" s="43">
        <v>0.11</v>
      </c>
      <c r="H72" s="21" t="s">
        <v>618</v>
      </c>
      <c r="I72" s="39">
        <f ca="1">IFERROR(__xludf.DUMMYFUNCTION("IF(SUM(COUNTIF(artists!A:A, SPLIT(D72, "",""))) &gt; 0, ""UA"", 0)"),0)</f>
        <v>0</v>
      </c>
      <c r="J72" s="40">
        <f ca="1">IFERROR(__xludf.DUMMYFUNCTION("IF(SUM(COUNTIF(artists!C:C, SPLIT(D72, "",""))) &gt; 0, ""RU"", 0)"),0)</f>
        <v>0</v>
      </c>
      <c r="K72" s="39" t="str">
        <f ca="1">IFERROR(__xludf.DUMMYFUNCTION("IF(SUM(COUNTIF(artists!E:E, SPLIT(D72, "",""))) &gt; 0, ""OTHER"", 0)"),"OTHER")</f>
        <v>OTHER</v>
      </c>
    </row>
    <row r="73" spans="1:11" ht="14.25" customHeight="1">
      <c r="A73" s="21">
        <v>72</v>
      </c>
      <c r="B73" s="21">
        <v>67</v>
      </c>
      <c r="C73" s="21" t="s">
        <v>1425</v>
      </c>
      <c r="D73" s="21" t="s">
        <v>1426</v>
      </c>
      <c r="E73" s="21">
        <v>3</v>
      </c>
      <c r="F73" s="21">
        <v>190933</v>
      </c>
      <c r="G73" s="42">
        <v>-0.112</v>
      </c>
      <c r="H73" s="21" t="s">
        <v>1427</v>
      </c>
      <c r="I73" s="39" t="str">
        <f ca="1">IFERROR(__xludf.DUMMYFUNCTION("IF(SUM(COUNTIF(artists!A:A, SPLIT(D73, "",""))) &gt; 0, ""UA"", 0)"),"UA")</f>
        <v>UA</v>
      </c>
      <c r="J73" s="40">
        <f ca="1">IFERROR(__xludf.DUMMYFUNCTION("IF(SUM(COUNTIF(artists!C:C, SPLIT(D73, "",""))) &gt; 0, ""RU"", 0)"),0)</f>
        <v>0</v>
      </c>
      <c r="K73" s="39">
        <f ca="1">IFERROR(__xludf.DUMMYFUNCTION("IF(SUM(COUNTIF(artists!E:E, SPLIT(D73, "",""))) &gt; 0, ""OTHER"", 0)"),0)</f>
        <v>0</v>
      </c>
    </row>
    <row r="74" spans="1:11" ht="14.25" customHeight="1">
      <c r="A74" s="21">
        <v>73</v>
      </c>
      <c r="C74" s="21" t="s">
        <v>1366</v>
      </c>
      <c r="D74" s="21" t="s">
        <v>1367</v>
      </c>
      <c r="E74" s="21">
        <v>1</v>
      </c>
      <c r="F74" s="21">
        <v>187230</v>
      </c>
      <c r="H74" s="21" t="s">
        <v>1368</v>
      </c>
      <c r="I74" s="39">
        <f ca="1">IFERROR(__xludf.DUMMYFUNCTION("IF(SUM(COUNTIF(artists!A:A, SPLIT(D74, "",""))) &gt; 0, ""UA"", 0)"),0)</f>
        <v>0</v>
      </c>
      <c r="J74" s="40" t="str">
        <f ca="1">IFERROR(__xludf.DUMMYFUNCTION("IF(SUM(COUNTIF(artists!C:C, SPLIT(D74, "",""))) &gt; 0, ""RU"", 0)"),"RU")</f>
        <v>RU</v>
      </c>
      <c r="K74" s="39">
        <f ca="1">IFERROR(__xludf.DUMMYFUNCTION("IF(SUM(COUNTIF(artists!E:E, SPLIT(D74, "",""))) &gt; 0, ""OTHER"", 0)"),0)</f>
        <v>0</v>
      </c>
    </row>
    <row r="75" spans="1:11" ht="14.25" customHeight="1">
      <c r="A75" s="21">
        <v>74</v>
      </c>
      <c r="B75" s="21">
        <v>66</v>
      </c>
      <c r="C75" s="21" t="s">
        <v>1418</v>
      </c>
      <c r="D75" s="21" t="s">
        <v>698</v>
      </c>
      <c r="E75" s="21">
        <v>6</v>
      </c>
      <c r="F75" s="21">
        <v>185403</v>
      </c>
      <c r="G75" s="42">
        <v>-0.14799999999999999</v>
      </c>
      <c r="H75" s="21" t="s">
        <v>1419</v>
      </c>
      <c r="I75" s="39">
        <f ca="1">IFERROR(__xludf.DUMMYFUNCTION("IF(SUM(COUNTIF(artists!A:A, SPLIT(D75, "",""))) &gt; 0, ""UA"", 0)"),0)</f>
        <v>0</v>
      </c>
      <c r="J75" s="40" t="str">
        <f ca="1">IFERROR(__xludf.DUMMYFUNCTION("IF(SUM(COUNTIF(artists!C:C, SPLIT(D75, "",""))) &gt; 0, ""RU"", 0)"),"RU")</f>
        <v>RU</v>
      </c>
      <c r="K75" s="39">
        <f ca="1">IFERROR(__xludf.DUMMYFUNCTION("IF(SUM(COUNTIF(artists!E:E, SPLIT(D75, "",""))) &gt; 0, ""OTHER"", 0)"),0)</f>
        <v>0</v>
      </c>
    </row>
    <row r="76" spans="1:11" ht="14.25" customHeight="1">
      <c r="A76" s="21">
        <v>75</v>
      </c>
      <c r="B76" s="21">
        <v>68</v>
      </c>
      <c r="C76" s="21" t="s">
        <v>489</v>
      </c>
      <c r="D76" s="21" t="s">
        <v>490</v>
      </c>
      <c r="E76" s="21">
        <v>20</v>
      </c>
      <c r="F76" s="21">
        <v>185296</v>
      </c>
      <c r="G76" s="42">
        <v>-0.129</v>
      </c>
      <c r="H76" s="21" t="s">
        <v>491</v>
      </c>
      <c r="I76" s="39" t="str">
        <f ca="1">IFERROR(__xludf.DUMMYFUNCTION("IF(SUM(COUNTIF(artists!A:A, SPLIT(D76, "",""))) &gt; 0, ""UA"", 0)"),"UA")</f>
        <v>UA</v>
      </c>
      <c r="J76" s="40">
        <f ca="1">IFERROR(__xludf.DUMMYFUNCTION("IF(SUM(COUNTIF(artists!C:C, SPLIT(D76, "",""))) &gt; 0, ""RU"", 0)"),0)</f>
        <v>0</v>
      </c>
      <c r="K76" s="39">
        <f ca="1">IFERROR(__xludf.DUMMYFUNCTION("IF(SUM(COUNTIF(artists!E:E, SPLIT(D76, "",""))) &gt; 0, ""OTHER"", 0)"),0)</f>
        <v>0</v>
      </c>
    </row>
    <row r="77" spans="1:11" ht="14.25" customHeight="1">
      <c r="A77" s="21">
        <v>76</v>
      </c>
      <c r="B77" s="21">
        <v>76</v>
      </c>
      <c r="C77" s="21" t="s">
        <v>1387</v>
      </c>
      <c r="D77" s="21" t="s">
        <v>1388</v>
      </c>
      <c r="E77" s="21">
        <v>16</v>
      </c>
      <c r="F77" s="21">
        <v>183802</v>
      </c>
      <c r="G77" s="42">
        <v>-2.4E-2</v>
      </c>
      <c r="H77" s="21" t="s">
        <v>1389</v>
      </c>
      <c r="I77" s="39">
        <f ca="1">IFERROR(__xludf.DUMMYFUNCTION("IF(SUM(COUNTIF(artists!A:A, SPLIT(D77, "",""))) &gt; 0, ""UA"", 0)"),0)</f>
        <v>0</v>
      </c>
      <c r="J77" s="40">
        <f ca="1">IFERROR(__xludf.DUMMYFUNCTION("IF(SUM(COUNTIF(artists!C:C, SPLIT(D77, "",""))) &gt; 0, ""RU"", 0)"),0)</f>
        <v>0</v>
      </c>
      <c r="K77" s="39" t="str">
        <f ca="1">IFERROR(__xludf.DUMMYFUNCTION("IF(SUM(COUNTIF(artists!E:E, SPLIT(D77, "",""))) &gt; 0, ""OTHER"", 0)"),"OTHER")</f>
        <v>OTHER</v>
      </c>
    </row>
    <row r="78" spans="1:11" ht="14.25" customHeight="1">
      <c r="A78" s="21">
        <v>77</v>
      </c>
      <c r="B78" s="21">
        <v>47</v>
      </c>
      <c r="C78" s="21" t="s">
        <v>1451</v>
      </c>
      <c r="D78" s="21" t="s">
        <v>1452</v>
      </c>
      <c r="E78" s="21">
        <v>3</v>
      </c>
      <c r="F78" s="21">
        <v>181940</v>
      </c>
      <c r="G78" s="42">
        <v>-0.38500000000000001</v>
      </c>
      <c r="H78" s="21" t="s">
        <v>1453</v>
      </c>
      <c r="I78" s="39">
        <f ca="1">IFERROR(__xludf.DUMMYFUNCTION("IF(SUM(COUNTIF(artists!A:A, SPLIT(D78, "",""))) &gt; 0, ""UA"", 0)"),0)</f>
        <v>0</v>
      </c>
      <c r="J78" s="40" t="str">
        <f ca="1">IFERROR(__xludf.DUMMYFUNCTION("IF(SUM(COUNTIF(artists!C:C, SPLIT(D78, "",""))) &gt; 0, ""RU"", 0)"),"RU")</f>
        <v>RU</v>
      </c>
      <c r="K78" s="39">
        <f ca="1">IFERROR(__xludf.DUMMYFUNCTION("IF(SUM(COUNTIF(artists!E:E, SPLIT(D78, "",""))) &gt; 0, ""OTHER"", 0)"),0)</f>
        <v>0</v>
      </c>
    </row>
    <row r="79" spans="1:11" ht="14.25" customHeight="1">
      <c r="A79" s="21">
        <v>78</v>
      </c>
      <c r="C79" s="21" t="s">
        <v>1454</v>
      </c>
      <c r="D79" s="21" t="s">
        <v>384</v>
      </c>
      <c r="E79" s="21">
        <v>3</v>
      </c>
      <c r="F79" s="21">
        <v>175323</v>
      </c>
      <c r="H79" s="21" t="s">
        <v>386</v>
      </c>
      <c r="I79" s="39">
        <f ca="1">IFERROR(__xludf.DUMMYFUNCTION("IF(SUM(COUNTIF(artists!A:A, SPLIT(D79, "",""))) &gt; 0, ""UA"", 0)"),0)</f>
        <v>0</v>
      </c>
      <c r="J79" s="40">
        <f ca="1">IFERROR(__xludf.DUMMYFUNCTION("IF(SUM(COUNTIF(artists!C:C, SPLIT(D79, "",""))) &gt; 0, ""RU"", 0)"),0)</f>
        <v>0</v>
      </c>
      <c r="K79" s="39" t="str">
        <f ca="1">IFERROR(__xludf.DUMMYFUNCTION("IF(SUM(COUNTIF(artists!E:E, SPLIT(D79, "",""))) &gt; 0, ""OTHER"", 0)"),"OTHER")</f>
        <v>OTHER</v>
      </c>
    </row>
    <row r="80" spans="1:11" ht="14.25" customHeight="1">
      <c r="A80" s="21">
        <v>79</v>
      </c>
      <c r="B80" s="21">
        <v>78</v>
      </c>
      <c r="C80" s="21" t="s">
        <v>1290</v>
      </c>
      <c r="D80" s="21" t="s">
        <v>942</v>
      </c>
      <c r="E80" s="21">
        <v>16</v>
      </c>
      <c r="F80" s="21">
        <v>174694</v>
      </c>
      <c r="G80" s="42">
        <v>-5.5E-2</v>
      </c>
      <c r="H80" s="21" t="s">
        <v>1291</v>
      </c>
      <c r="I80" s="39" t="str">
        <f ca="1">IFERROR(__xludf.DUMMYFUNCTION("IF(SUM(COUNTIF(artists!A:A, SPLIT(D80, "",""))) &gt; 0, ""UA"", 0)"),"UA")</f>
        <v>UA</v>
      </c>
      <c r="J80" s="40">
        <f ca="1">IFERROR(__xludf.DUMMYFUNCTION("IF(SUM(COUNTIF(artists!C:C, SPLIT(D80, "",""))) &gt; 0, ""RU"", 0)"),0)</f>
        <v>0</v>
      </c>
      <c r="K80" s="39">
        <f ca="1">IFERROR(__xludf.DUMMYFUNCTION("IF(SUM(COUNTIF(artists!E:E, SPLIT(D80, "",""))) &gt; 0, ""OTHER"", 0)"),0)</f>
        <v>0</v>
      </c>
    </row>
    <row r="81" spans="1:11" ht="14.25" customHeight="1">
      <c r="A81" s="21">
        <v>80</v>
      </c>
      <c r="C81" s="21" t="s">
        <v>1455</v>
      </c>
      <c r="D81" s="21" t="s">
        <v>1456</v>
      </c>
      <c r="E81" s="21">
        <v>1</v>
      </c>
      <c r="F81" s="21">
        <v>173336</v>
      </c>
      <c r="H81" s="21" t="s">
        <v>1457</v>
      </c>
      <c r="I81" s="39">
        <f ca="1">IFERROR(__xludf.DUMMYFUNCTION("IF(SUM(COUNTIF(artists!A:A, SPLIT(D81, "",""))) &gt; 0, ""UA"", 0)"),0)</f>
        <v>0</v>
      </c>
      <c r="J81" s="40" t="str">
        <f ca="1">IFERROR(__xludf.DUMMYFUNCTION("IF(SUM(COUNTIF(artists!C:C, SPLIT(D81, "",""))) &gt; 0, ""RU"", 0)"),"RU")</f>
        <v>RU</v>
      </c>
      <c r="K81" s="39">
        <f ca="1">IFERROR(__xludf.DUMMYFUNCTION("IF(SUM(COUNTIF(artists!E:E, SPLIT(D81, "",""))) &gt; 0, ""OTHER"", 0)"),0)</f>
        <v>0</v>
      </c>
    </row>
    <row r="82" spans="1:11" ht="14.25" customHeight="1">
      <c r="A82" s="21">
        <v>81</v>
      </c>
      <c r="B82" s="21">
        <v>72</v>
      </c>
      <c r="C82" s="21" t="s">
        <v>1308</v>
      </c>
      <c r="D82" s="21" t="s">
        <v>1309</v>
      </c>
      <c r="E82" s="21">
        <v>7</v>
      </c>
      <c r="F82" s="21">
        <v>170608</v>
      </c>
      <c r="G82" s="42">
        <v>-0.13500000000000001</v>
      </c>
      <c r="H82" s="21" t="s">
        <v>1310</v>
      </c>
      <c r="I82" s="39" t="str">
        <f ca="1">IFERROR(__xludf.DUMMYFUNCTION("IF(SUM(COUNTIF(artists!A:A, SPLIT(D82, "",""))) &gt; 0, ""UA"", 0)"),"UA")</f>
        <v>UA</v>
      </c>
      <c r="J82" s="40">
        <f ca="1">IFERROR(__xludf.DUMMYFUNCTION("IF(SUM(COUNTIF(artists!C:C, SPLIT(D82, "",""))) &gt; 0, ""RU"", 0)"),0)</f>
        <v>0</v>
      </c>
      <c r="K82" s="39">
        <f ca="1">IFERROR(__xludf.DUMMYFUNCTION("IF(SUM(COUNTIF(artists!E:E, SPLIT(D82, "",""))) &gt; 0, ""OTHER"", 0)"),0)</f>
        <v>0</v>
      </c>
    </row>
    <row r="83" spans="1:11" ht="14.25" customHeight="1">
      <c r="A83" s="21">
        <v>82</v>
      </c>
      <c r="C83" s="21" t="s">
        <v>1234</v>
      </c>
      <c r="D83" s="21" t="s">
        <v>1193</v>
      </c>
      <c r="E83" s="21">
        <v>7</v>
      </c>
      <c r="F83" s="21">
        <v>169729</v>
      </c>
      <c r="H83" s="21" t="s">
        <v>1235</v>
      </c>
      <c r="I83" s="39" t="str">
        <f ca="1">IFERROR(__xludf.DUMMYFUNCTION("IF(SUM(COUNTIF(artists!A:A, SPLIT(D83, "",""))) &gt; 0, ""UA"", 0)"),"UA")</f>
        <v>UA</v>
      </c>
      <c r="J83" s="40">
        <f ca="1">IFERROR(__xludf.DUMMYFUNCTION("IF(SUM(COUNTIF(artists!C:C, SPLIT(D83, "",""))) &gt; 0, ""RU"", 0)"),0)</f>
        <v>0</v>
      </c>
      <c r="K83" s="39">
        <f ca="1">IFERROR(__xludf.DUMMYFUNCTION("IF(SUM(COUNTIF(artists!E:E, SPLIT(D83, "",""))) &gt; 0, ""OTHER"", 0)"),0)</f>
        <v>0</v>
      </c>
    </row>
    <row r="84" spans="1:11" ht="14.25" customHeight="1">
      <c r="A84" s="21">
        <v>83</v>
      </c>
      <c r="B84" s="21">
        <v>87</v>
      </c>
      <c r="C84" s="21" t="s">
        <v>1379</v>
      </c>
      <c r="D84" s="21" t="s">
        <v>598</v>
      </c>
      <c r="E84" s="21">
        <v>9</v>
      </c>
      <c r="F84" s="21">
        <v>169275</v>
      </c>
      <c r="G84" s="42">
        <v>-1.4999999999999999E-2</v>
      </c>
      <c r="H84" s="21" t="s">
        <v>1380</v>
      </c>
      <c r="I84" s="39" t="str">
        <f ca="1">IFERROR(__xludf.DUMMYFUNCTION("IF(SUM(COUNTIF(artists!A:A, SPLIT(D84, "",""))) &gt; 0, ""UA"", 0)"),"UA")</f>
        <v>UA</v>
      </c>
      <c r="J84" s="40">
        <f ca="1">IFERROR(__xludf.DUMMYFUNCTION("IF(SUM(COUNTIF(artists!C:C, SPLIT(D84, "",""))) &gt; 0, ""RU"", 0)"),0)</f>
        <v>0</v>
      </c>
      <c r="K84" s="39">
        <f ca="1">IFERROR(__xludf.DUMMYFUNCTION("IF(SUM(COUNTIF(artists!E:E, SPLIT(D84, "",""))) &gt; 0, ""OTHER"", 0)"),0)</f>
        <v>0</v>
      </c>
    </row>
    <row r="85" spans="1:11" ht="14.25" customHeight="1">
      <c r="A85" s="21">
        <v>84</v>
      </c>
      <c r="B85" s="21">
        <v>57</v>
      </c>
      <c r="C85" s="21" t="s">
        <v>1458</v>
      </c>
      <c r="D85" s="21" t="s">
        <v>698</v>
      </c>
      <c r="E85" s="21">
        <v>2</v>
      </c>
      <c r="F85" s="21">
        <v>168629</v>
      </c>
      <c r="G85" s="42">
        <v>-0.36299999999999999</v>
      </c>
      <c r="H85" s="21" t="s">
        <v>1459</v>
      </c>
      <c r="I85" s="39">
        <f ca="1">IFERROR(__xludf.DUMMYFUNCTION("IF(SUM(COUNTIF(artists!A:A, SPLIT(D85, "",""))) &gt; 0, ""UA"", 0)"),0)</f>
        <v>0</v>
      </c>
      <c r="J85" s="40" t="str">
        <f ca="1">IFERROR(__xludf.DUMMYFUNCTION("IF(SUM(COUNTIF(artists!C:C, SPLIT(D85, "",""))) &gt; 0, ""RU"", 0)"),"RU")</f>
        <v>RU</v>
      </c>
      <c r="K85" s="39">
        <f ca="1">IFERROR(__xludf.DUMMYFUNCTION("IF(SUM(COUNTIF(artists!E:E, SPLIT(D85, "",""))) &gt; 0, ""OTHER"", 0)"),0)</f>
        <v>0</v>
      </c>
    </row>
    <row r="86" spans="1:11" ht="14.25" customHeight="1">
      <c r="A86" s="21">
        <v>85</v>
      </c>
      <c r="B86" s="21">
        <v>81</v>
      </c>
      <c r="C86" s="21" t="s">
        <v>1416</v>
      </c>
      <c r="D86" s="21" t="s">
        <v>137</v>
      </c>
      <c r="E86" s="21">
        <v>17</v>
      </c>
      <c r="F86" s="21">
        <v>167946</v>
      </c>
      <c r="G86" s="42">
        <v>-7.2999999999999995E-2</v>
      </c>
      <c r="H86" s="21" t="s">
        <v>1417</v>
      </c>
      <c r="I86" s="39" t="str">
        <f ca="1">IFERROR(__xludf.DUMMYFUNCTION("IF(SUM(COUNTIF(artists!A:A, SPLIT(D86, "",""))) &gt; 0, ""UA"", 0)"),"UA")</f>
        <v>UA</v>
      </c>
      <c r="J86" s="40">
        <f ca="1">IFERROR(__xludf.DUMMYFUNCTION("IF(SUM(COUNTIF(artists!C:C, SPLIT(D86, "",""))) &gt; 0, ""RU"", 0)"),0)</f>
        <v>0</v>
      </c>
      <c r="K86" s="39">
        <f ca="1">IFERROR(__xludf.DUMMYFUNCTION("IF(SUM(COUNTIF(artists!E:E, SPLIT(D86, "",""))) &gt; 0, ""OTHER"", 0)"),0)</f>
        <v>0</v>
      </c>
    </row>
    <row r="87" spans="1:11" ht="14.25" customHeight="1">
      <c r="A87" s="21">
        <v>86</v>
      </c>
      <c r="B87" s="21">
        <v>90</v>
      </c>
      <c r="C87" s="21" t="s">
        <v>1413</v>
      </c>
      <c r="D87" s="21" t="s">
        <v>1414</v>
      </c>
      <c r="E87" s="21">
        <v>6</v>
      </c>
      <c r="F87" s="21">
        <v>165818</v>
      </c>
      <c r="G87" s="42">
        <v>-1.2999999999999999E-2</v>
      </c>
      <c r="H87" s="21" t="s">
        <v>1415</v>
      </c>
      <c r="I87" s="39" t="str">
        <f ca="1">IFERROR(__xludf.DUMMYFUNCTION("IF(SUM(COUNTIF(artists!A:A, SPLIT(D87, "",""))) &gt; 0, ""UA"", 0)"),"UA")</f>
        <v>UA</v>
      </c>
      <c r="J87" s="40">
        <f ca="1">IFERROR(__xludf.DUMMYFUNCTION("IF(SUM(COUNTIF(artists!C:C, SPLIT(D87, "",""))) &gt; 0, ""RU"", 0)"),0)</f>
        <v>0</v>
      </c>
      <c r="K87" s="39">
        <f ca="1">IFERROR(__xludf.DUMMYFUNCTION("IF(SUM(COUNTIF(artists!E:E, SPLIT(D87, "",""))) &gt; 0, ""OTHER"", 0)"),0)</f>
        <v>0</v>
      </c>
    </row>
    <row r="88" spans="1:11" ht="14.25" customHeight="1">
      <c r="A88" s="21">
        <v>87</v>
      </c>
      <c r="B88" s="21">
        <v>83</v>
      </c>
      <c r="C88" s="21" t="s">
        <v>1076</v>
      </c>
      <c r="D88" s="21" t="s">
        <v>1077</v>
      </c>
      <c r="E88" s="21">
        <v>3</v>
      </c>
      <c r="F88" s="21">
        <v>164890</v>
      </c>
      <c r="G88" s="43">
        <v>-7.0000000000000007E-2</v>
      </c>
      <c r="H88" s="21" t="s">
        <v>1078</v>
      </c>
      <c r="I88" s="39" t="str">
        <f ca="1">IFERROR(__xludf.DUMMYFUNCTION("IF(SUM(COUNTIF(artists!A:A, SPLIT(D88, "",""))) &gt; 0, ""UA"", 0)"),"UA")</f>
        <v>UA</v>
      </c>
      <c r="J88" s="40">
        <f ca="1">IFERROR(__xludf.DUMMYFUNCTION("IF(SUM(COUNTIF(artists!C:C, SPLIT(D88, "",""))) &gt; 0, ""RU"", 0)"),0)</f>
        <v>0</v>
      </c>
      <c r="K88" s="39">
        <f ca="1">IFERROR(__xludf.DUMMYFUNCTION("IF(SUM(COUNTIF(artists!E:E, SPLIT(D88, "",""))) &gt; 0, ""OTHER"", 0)"),0)</f>
        <v>0</v>
      </c>
    </row>
    <row r="89" spans="1:11" ht="14.25" customHeight="1">
      <c r="A89" s="21">
        <v>88</v>
      </c>
      <c r="C89" s="21" t="s">
        <v>379</v>
      </c>
      <c r="D89" s="21" t="s">
        <v>380</v>
      </c>
      <c r="E89" s="21">
        <v>1</v>
      </c>
      <c r="F89" s="21">
        <v>164885</v>
      </c>
      <c r="H89" s="21" t="s">
        <v>382</v>
      </c>
      <c r="I89" s="39" t="str">
        <f ca="1">IFERROR(__xludf.DUMMYFUNCTION("IF(SUM(COUNTIF(artists!A:A, SPLIT(D89, "",""))) &gt; 0, ""UA"", 0)"),"UA")</f>
        <v>UA</v>
      </c>
      <c r="J89" s="40">
        <f ca="1">IFERROR(__xludf.DUMMYFUNCTION("IF(SUM(COUNTIF(artists!C:C, SPLIT(D89, "",""))) &gt; 0, ""RU"", 0)"),0)</f>
        <v>0</v>
      </c>
      <c r="K89" s="39">
        <f ca="1">IFERROR(__xludf.DUMMYFUNCTION("IF(SUM(COUNTIF(artists!E:E, SPLIT(D89, "",""))) &gt; 0, ""OTHER"", 0)"),0)</f>
        <v>0</v>
      </c>
    </row>
    <row r="90" spans="1:11" ht="14.25" customHeight="1">
      <c r="A90" s="21">
        <v>89</v>
      </c>
      <c r="B90" s="21">
        <v>96</v>
      </c>
      <c r="C90" s="21" t="s">
        <v>1298</v>
      </c>
      <c r="D90" s="21" t="s">
        <v>226</v>
      </c>
      <c r="E90" s="21">
        <v>18</v>
      </c>
      <c r="F90" s="21">
        <v>164443</v>
      </c>
      <c r="G90" s="42">
        <v>4.8000000000000001E-2</v>
      </c>
      <c r="H90" s="21" t="s">
        <v>1299</v>
      </c>
      <c r="I90" s="39" t="str">
        <f ca="1">IFERROR(__xludf.DUMMYFUNCTION("IF(SUM(COUNTIF(artists!A:A, SPLIT(D90, "",""))) &gt; 0, ""UA"", 0)"),"UA")</f>
        <v>UA</v>
      </c>
      <c r="J90" s="40">
        <f ca="1">IFERROR(__xludf.DUMMYFUNCTION("IF(SUM(COUNTIF(artists!C:C, SPLIT(D90, "",""))) &gt; 0, ""RU"", 0)"),0)</f>
        <v>0</v>
      </c>
      <c r="K90" s="39">
        <f ca="1">IFERROR(__xludf.DUMMYFUNCTION("IF(SUM(COUNTIF(artists!E:E, SPLIT(D90, "",""))) &gt; 0, ""OTHER"", 0)"),0)</f>
        <v>0</v>
      </c>
    </row>
    <row r="91" spans="1:11" ht="14.25" customHeight="1">
      <c r="A91" s="21">
        <v>90</v>
      </c>
      <c r="B91" s="21">
        <v>79</v>
      </c>
      <c r="C91" s="21" t="s">
        <v>1236</v>
      </c>
      <c r="D91" s="21" t="s">
        <v>1237</v>
      </c>
      <c r="E91" s="21">
        <v>4</v>
      </c>
      <c r="F91" s="21">
        <v>163688</v>
      </c>
      <c r="G91" s="43">
        <v>-0.11</v>
      </c>
      <c r="H91" s="21" t="s">
        <v>1238</v>
      </c>
      <c r="I91" s="39">
        <f ca="1">IFERROR(__xludf.DUMMYFUNCTION("IF(SUM(COUNTIF(artists!A:A, SPLIT(D91, "",""))) &gt; 0, ""UA"", 0)"),0)</f>
        <v>0</v>
      </c>
      <c r="J91" s="40" t="str">
        <f ca="1">IFERROR(__xludf.DUMMYFUNCTION("IF(SUM(COUNTIF(artists!C:C, SPLIT(D91, "",""))) &gt; 0, ""RU"", 0)"),"RU")</f>
        <v>RU</v>
      </c>
      <c r="K91" s="39">
        <f ca="1">IFERROR(__xludf.DUMMYFUNCTION("IF(SUM(COUNTIF(artists!E:E, SPLIT(D91, "",""))) &gt; 0, ""OTHER"", 0)"),0)</f>
        <v>0</v>
      </c>
    </row>
    <row r="92" spans="1:11" ht="14.25" customHeight="1">
      <c r="A92" s="21">
        <v>91</v>
      </c>
      <c r="B92" s="21">
        <v>70</v>
      </c>
      <c r="C92" s="21" t="s">
        <v>1460</v>
      </c>
      <c r="D92" s="21" t="s">
        <v>1461</v>
      </c>
      <c r="E92" s="21">
        <v>5</v>
      </c>
      <c r="F92" s="21">
        <v>163120</v>
      </c>
      <c r="G92" s="42">
        <v>-0.19700000000000001</v>
      </c>
      <c r="H92" s="21" t="s">
        <v>1462</v>
      </c>
      <c r="I92" s="39">
        <f ca="1">IFERROR(__xludf.DUMMYFUNCTION("IF(SUM(COUNTIF(artists!A:A, SPLIT(D92, "",""))) &gt; 0, ""UA"", 0)"),0)</f>
        <v>0</v>
      </c>
      <c r="J92" s="40" t="str">
        <f ca="1">IFERROR(__xludf.DUMMYFUNCTION("IF(SUM(COUNTIF(artists!C:C, SPLIT(D92, "",""))) &gt; 0, ""RU"", 0)"),"RU")</f>
        <v>RU</v>
      </c>
      <c r="K92" s="39">
        <f ca="1">IFERROR(__xludf.DUMMYFUNCTION("IF(SUM(COUNTIF(artists!E:E, SPLIT(D92, "",""))) &gt; 0, ""OTHER"", 0)"),0)</f>
        <v>0</v>
      </c>
    </row>
    <row r="93" spans="1:11" ht="14.25" customHeight="1">
      <c r="A93" s="21">
        <v>92</v>
      </c>
      <c r="C93" s="21" t="s">
        <v>1428</v>
      </c>
      <c r="D93" s="21" t="s">
        <v>1429</v>
      </c>
      <c r="E93" s="21">
        <v>1</v>
      </c>
      <c r="F93" s="21">
        <v>162731</v>
      </c>
      <c r="H93" s="21" t="s">
        <v>1430</v>
      </c>
      <c r="I93" s="39" t="str">
        <f ca="1">IFERROR(__xludf.DUMMYFUNCTION("IF(SUM(COUNTIF(artists!A:A, SPLIT(D93, "",""))) &gt; 0, ""UA"", 0)"),"UA")</f>
        <v>UA</v>
      </c>
      <c r="J93" s="40">
        <f ca="1">IFERROR(__xludf.DUMMYFUNCTION("IF(SUM(COUNTIF(artists!C:C, SPLIT(D93, "",""))) &gt; 0, ""RU"", 0)"),0)</f>
        <v>0</v>
      </c>
      <c r="K93" s="39">
        <f ca="1">IFERROR(__xludf.DUMMYFUNCTION("IF(SUM(COUNTIF(artists!E:E, SPLIT(D93, "",""))) &gt; 0, ""OTHER"", 0)"),0)</f>
        <v>0</v>
      </c>
    </row>
    <row r="94" spans="1:11" ht="14.25" customHeight="1">
      <c r="A94" s="21">
        <v>93</v>
      </c>
      <c r="B94" s="21">
        <v>85</v>
      </c>
      <c r="C94" s="21" t="s">
        <v>1375</v>
      </c>
      <c r="D94" s="21" t="s">
        <v>907</v>
      </c>
      <c r="E94" s="21">
        <v>5</v>
      </c>
      <c r="F94" s="21">
        <v>161408</v>
      </c>
      <c r="G94" s="43">
        <v>-0.08</v>
      </c>
      <c r="H94" s="21" t="s">
        <v>1376</v>
      </c>
      <c r="I94" s="39">
        <f ca="1">IFERROR(__xludf.DUMMYFUNCTION("IF(SUM(COUNTIF(artists!A:A, SPLIT(D94, "",""))) &gt; 0, ""UA"", 0)"),0)</f>
        <v>0</v>
      </c>
      <c r="J94" s="40" t="str">
        <f ca="1">IFERROR(__xludf.DUMMYFUNCTION("IF(SUM(COUNTIF(artists!C:C, SPLIT(D94, "",""))) &gt; 0, ""RU"", 0)"),"RU")</f>
        <v>RU</v>
      </c>
      <c r="K94" s="39">
        <f ca="1">IFERROR(__xludf.DUMMYFUNCTION("IF(SUM(COUNTIF(artists!E:E, SPLIT(D94, "",""))) &gt; 0, ""OTHER"", 0)"),0)</f>
        <v>0</v>
      </c>
    </row>
    <row r="95" spans="1:11" ht="14.25" customHeight="1">
      <c r="A95" s="21">
        <v>94</v>
      </c>
      <c r="B95" s="21">
        <v>84</v>
      </c>
      <c r="C95" s="21" t="s">
        <v>1463</v>
      </c>
      <c r="D95" s="21" t="s">
        <v>1344</v>
      </c>
      <c r="E95" s="21">
        <v>20</v>
      </c>
      <c r="F95" s="21">
        <v>156834</v>
      </c>
      <c r="G95" s="42">
        <v>-0.112</v>
      </c>
      <c r="H95" s="21" t="s">
        <v>1464</v>
      </c>
      <c r="I95" s="39" t="str">
        <f ca="1">IFERROR(__xludf.DUMMYFUNCTION("IF(SUM(COUNTIF(artists!A:A, SPLIT(D95, "",""))) &gt; 0, ""UA"", 0)"),"UA")</f>
        <v>UA</v>
      </c>
      <c r="J95" s="40">
        <f ca="1">IFERROR(__xludf.DUMMYFUNCTION("IF(SUM(COUNTIF(artists!C:C, SPLIT(D95, "",""))) &gt; 0, ""RU"", 0)"),0)</f>
        <v>0</v>
      </c>
      <c r="K95" s="39">
        <f ca="1">IFERROR(__xludf.DUMMYFUNCTION("IF(SUM(COUNTIF(artists!E:E, SPLIT(D95, "",""))) &gt; 0, ""OTHER"", 0)"),0)</f>
        <v>0</v>
      </c>
    </row>
    <row r="96" spans="1:11" ht="14.25" customHeight="1">
      <c r="A96" s="21">
        <v>95</v>
      </c>
      <c r="C96" s="21" t="s">
        <v>1465</v>
      </c>
      <c r="D96" s="21" t="s">
        <v>1466</v>
      </c>
      <c r="E96" s="21">
        <v>1</v>
      </c>
      <c r="F96" s="21">
        <v>153361</v>
      </c>
      <c r="H96" s="21" t="s">
        <v>1467</v>
      </c>
      <c r="I96" s="39">
        <f ca="1">IFERROR(__xludf.DUMMYFUNCTION("IF(SUM(COUNTIF(artists!A:A, SPLIT(D96, "",""))) &gt; 0, ""UA"", 0)"),0)</f>
        <v>0</v>
      </c>
      <c r="J96" s="40" t="str">
        <f ca="1">IFERROR(__xludf.DUMMYFUNCTION("IF(SUM(COUNTIF(artists!C:C, SPLIT(D96, "",""))) &gt; 0, ""RU"", 0)"),"RU")</f>
        <v>RU</v>
      </c>
      <c r="K96" s="39">
        <f ca="1">IFERROR(__xludf.DUMMYFUNCTION("IF(SUM(COUNTIF(artists!E:E, SPLIT(D96, "",""))) &gt; 0, ""OTHER"", 0)"),0)</f>
        <v>0</v>
      </c>
    </row>
    <row r="97" spans="1:11" ht="14.25" customHeight="1">
      <c r="A97" s="21">
        <v>96</v>
      </c>
      <c r="C97" s="21" t="s">
        <v>579</v>
      </c>
      <c r="D97" s="21" t="s">
        <v>183</v>
      </c>
      <c r="E97" s="21">
        <v>3</v>
      </c>
      <c r="F97" s="21">
        <v>153011</v>
      </c>
      <c r="H97" s="21" t="s">
        <v>580</v>
      </c>
      <c r="I97" s="39" t="str">
        <f ca="1">IFERROR(__xludf.DUMMYFUNCTION("IF(SUM(COUNTIF(artists!A:A, SPLIT(D97, "",""))) &gt; 0, ""UA"", 0)"),"UA")</f>
        <v>UA</v>
      </c>
      <c r="J97" s="40">
        <f ca="1">IFERROR(__xludf.DUMMYFUNCTION("IF(SUM(COUNTIF(artists!C:C, SPLIT(D97, "",""))) &gt; 0, ""RU"", 0)"),0)</f>
        <v>0</v>
      </c>
      <c r="K97" s="39">
        <f ca="1">IFERROR(__xludf.DUMMYFUNCTION("IF(SUM(COUNTIF(artists!E:E, SPLIT(D97, "",""))) &gt; 0, ""OTHER"", 0)"),0)</f>
        <v>0</v>
      </c>
    </row>
    <row r="98" spans="1:11" ht="14.25" customHeight="1">
      <c r="A98" s="21">
        <v>97</v>
      </c>
      <c r="C98" s="21" t="s">
        <v>678</v>
      </c>
      <c r="D98" s="21" t="s">
        <v>89</v>
      </c>
      <c r="E98" s="21">
        <v>10</v>
      </c>
      <c r="F98" s="21">
        <v>151430</v>
      </c>
      <c r="H98" s="21" t="s">
        <v>679</v>
      </c>
      <c r="I98" s="39" t="str">
        <f ca="1">IFERROR(__xludf.DUMMYFUNCTION("IF(SUM(COUNTIF(artists!A:A, SPLIT(D98, "",""))) &gt; 0, ""UA"", 0)"),"UA")</f>
        <v>UA</v>
      </c>
      <c r="J98" s="40">
        <f ca="1">IFERROR(__xludf.DUMMYFUNCTION("IF(SUM(COUNTIF(artists!C:C, SPLIT(D98, "",""))) &gt; 0, ""RU"", 0)"),0)</f>
        <v>0</v>
      </c>
      <c r="K98" s="39">
        <f ca="1">IFERROR(__xludf.DUMMYFUNCTION("IF(SUM(COUNTIF(artists!E:E, SPLIT(D98, "",""))) &gt; 0, ""OTHER"", 0)"),0)</f>
        <v>0</v>
      </c>
    </row>
    <row r="99" spans="1:11" ht="14.25" customHeight="1">
      <c r="A99" s="21">
        <v>98</v>
      </c>
      <c r="B99" s="21">
        <v>89</v>
      </c>
      <c r="C99" s="21" t="s">
        <v>1468</v>
      </c>
      <c r="D99" s="21" t="s">
        <v>1469</v>
      </c>
      <c r="E99" s="21">
        <v>3</v>
      </c>
      <c r="F99" s="21">
        <v>150257</v>
      </c>
      <c r="G99" s="42">
        <v>-0.107</v>
      </c>
      <c r="H99" s="21" t="s">
        <v>1470</v>
      </c>
      <c r="I99" s="39">
        <f ca="1">IFERROR(__xludf.DUMMYFUNCTION("IF(SUM(COUNTIF(artists!A:A, SPLIT(D99, "",""))) &gt; 0, ""UA"", 0)"),0)</f>
        <v>0</v>
      </c>
      <c r="J99" s="40" t="str">
        <f ca="1">IFERROR(__xludf.DUMMYFUNCTION("IF(SUM(COUNTIF(artists!C:C, SPLIT(D99, "",""))) &gt; 0, ""RU"", 0)"),"RU")</f>
        <v>RU</v>
      </c>
      <c r="K99" s="39">
        <f ca="1">IFERROR(__xludf.DUMMYFUNCTION("IF(SUM(COUNTIF(artists!E:E, SPLIT(D99, "",""))) &gt; 0, ""OTHER"", 0)"),0)</f>
        <v>0</v>
      </c>
    </row>
    <row r="100" spans="1:11" ht="14.25" customHeight="1">
      <c r="A100" s="21">
        <v>99</v>
      </c>
      <c r="B100" s="21">
        <v>97</v>
      </c>
      <c r="C100" s="21" t="s">
        <v>1392</v>
      </c>
      <c r="D100" s="21" t="s">
        <v>1393</v>
      </c>
      <c r="E100" s="21">
        <v>16</v>
      </c>
      <c r="F100" s="21">
        <v>149336</v>
      </c>
      <c r="G100" s="42">
        <v>-3.1E-2</v>
      </c>
      <c r="H100" s="21" t="s">
        <v>1394</v>
      </c>
      <c r="I100" s="39">
        <f ca="1">IFERROR(__xludf.DUMMYFUNCTION("IF(SUM(COUNTIF(artists!A:A, SPLIT(D100, "",""))) &gt; 0, ""UA"", 0)"),0)</f>
        <v>0</v>
      </c>
      <c r="J100" s="40" t="str">
        <f ca="1">IFERROR(__xludf.DUMMYFUNCTION("IF(SUM(COUNTIF(artists!C:C, SPLIT(D100, "",""))) &gt; 0, ""RU"", 0)"),"RU")</f>
        <v>RU</v>
      </c>
      <c r="K100" s="39">
        <f ca="1">IFERROR(__xludf.DUMMYFUNCTION("IF(SUM(COUNTIF(artists!E:E, SPLIT(D100, "",""))) &gt; 0, ""OTHER"", 0)"),0)</f>
        <v>0</v>
      </c>
    </row>
    <row r="101" spans="1:11" ht="14.25" customHeight="1">
      <c r="A101" s="21">
        <v>100</v>
      </c>
      <c r="C101" s="21" t="s">
        <v>355</v>
      </c>
      <c r="D101" s="21" t="s">
        <v>356</v>
      </c>
      <c r="E101" s="21">
        <v>10</v>
      </c>
      <c r="F101" s="21">
        <v>147819</v>
      </c>
      <c r="H101" s="21" t="s">
        <v>357</v>
      </c>
      <c r="I101" s="39">
        <f ca="1">IFERROR(__xludf.DUMMYFUNCTION("IF(SUM(COUNTIF(artists!A:A, SPLIT(D101, "",""))) &gt; 0, ""UA"", 0)"),0)</f>
        <v>0</v>
      </c>
      <c r="J101" s="40">
        <f ca="1">IFERROR(__xludf.DUMMYFUNCTION("IF(SUM(COUNTIF(artists!C:C, SPLIT(D101, "",""))) &gt; 0, ""RU"", 0)"),0)</f>
        <v>0</v>
      </c>
      <c r="K101" s="39" t="str">
        <f ca="1">IFERROR(__xludf.DUMMYFUNCTION("IF(SUM(COUNTIF(artists!E:E, SPLIT(D101, "",""))) &gt; 0, ""OTHER"", 0)"),"OTHER")</f>
        <v>OTHER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59" priority="1">
      <formula>AND($I2=0, $J2=0, $K2=0)</formula>
    </cfRule>
    <cfRule type="expression" dxfId="58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Аркуш34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4" width="8.6640625" customWidth="1"/>
    <col min="5" max="5" width="8.6640625" hidden="1" customWidth="1"/>
    <col min="6" max="6" width="8.6640625" customWidth="1"/>
    <col min="7" max="7" width="13.10937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B2" s="21">
        <v>1</v>
      </c>
      <c r="C2" s="21" t="s">
        <v>145</v>
      </c>
      <c r="D2" s="21" t="s">
        <v>146</v>
      </c>
      <c r="E2" s="21">
        <v>5</v>
      </c>
      <c r="F2" s="21">
        <v>1685189</v>
      </c>
      <c r="G2" s="43">
        <v>-0.1</v>
      </c>
      <c r="H2" s="21" t="s">
        <v>148</v>
      </c>
      <c r="I2" s="39" t="str">
        <f ca="1">IFERROR(__xludf.DUMMYFUNCTION("IF(SUM(COUNTIF(artists!A:A, SPLIT(D2, "",""))) &gt; 0, ""UA"", 0)"),"UA")</f>
        <v>UA</v>
      </c>
      <c r="J2" s="40">
        <f ca="1">IFERROR(__xludf.DUMMYFUNCTION("IF(SUM(COUNTIF(artists!C:C, SPLIT(D2, "",""))) &gt; 0, ""RU"", 0)"),0)</f>
        <v>0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B3" s="21">
        <v>2</v>
      </c>
      <c r="C3" s="21" t="s">
        <v>645</v>
      </c>
      <c r="D3" s="21" t="s">
        <v>352</v>
      </c>
      <c r="E3" s="21">
        <v>24</v>
      </c>
      <c r="F3" s="21">
        <v>1369467</v>
      </c>
      <c r="G3" s="42">
        <v>-8.8999999999999996E-2</v>
      </c>
      <c r="H3" s="21" t="s">
        <v>647</v>
      </c>
      <c r="I3" s="39" t="str">
        <f ca="1">IFERROR(__xludf.DUMMYFUNCTION("IF(SUM(COUNTIF(artists!A:A, SPLIT(D3, "",""))) &gt; 0, ""UA"", 0)"),"UA")</f>
        <v>UA</v>
      </c>
      <c r="J3" s="40">
        <f ca="1">IFERROR(__xludf.DUMMYFUNCTION("IF(SUM(COUNTIF(artists!C:C, SPLIT(D3, "",""))) &gt; 0, ""RU"", 0)"),0)</f>
        <v>0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B4" s="21">
        <v>3</v>
      </c>
      <c r="C4" s="21" t="s">
        <v>128</v>
      </c>
      <c r="D4" s="21" t="s">
        <v>129</v>
      </c>
      <c r="E4" s="21">
        <v>7</v>
      </c>
      <c r="F4" s="21">
        <v>1335739</v>
      </c>
      <c r="G4" s="42">
        <v>-3.4000000000000002E-2</v>
      </c>
      <c r="H4" s="21" t="s">
        <v>131</v>
      </c>
      <c r="I4" s="39" t="str">
        <f ca="1">IFERROR(__xludf.DUMMYFUNCTION("IF(SUM(COUNTIF(artists!A:A, SPLIT(D4, "",""))) &gt; 0, ""UA"", 0)"),"UA")</f>
        <v>UA</v>
      </c>
      <c r="J4" s="40">
        <f ca="1">IFERROR(__xludf.DUMMYFUNCTION("IF(SUM(COUNTIF(artists!C:C, SPLIT(D4, "",""))) &gt; 0, ""RU"", 0)"),0)</f>
        <v>0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C5" s="21" t="s">
        <v>115</v>
      </c>
      <c r="D5" s="21" t="s">
        <v>116</v>
      </c>
      <c r="E5" s="21">
        <v>1</v>
      </c>
      <c r="F5" s="21">
        <v>1060164</v>
      </c>
      <c r="H5" s="21" t="s">
        <v>117</v>
      </c>
      <c r="I5" s="39" t="str">
        <f ca="1">IFERROR(__xludf.DUMMYFUNCTION("IF(SUM(COUNTIF(artists!A:A, SPLIT(D5, "",""))) &gt; 0, ""UA"", 0)"),"UA")</f>
        <v>UA</v>
      </c>
      <c r="J5" s="40">
        <f ca="1">IFERROR(__xludf.DUMMYFUNCTION("IF(SUM(COUNTIF(artists!C:C, SPLIT(D5, "",""))) &gt; 0, ""RU"", 0)"),0)</f>
        <v>0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B6" s="21">
        <v>5</v>
      </c>
      <c r="C6" s="21" t="s">
        <v>921</v>
      </c>
      <c r="D6" s="21" t="s">
        <v>922</v>
      </c>
      <c r="E6" s="21">
        <v>3</v>
      </c>
      <c r="F6" s="21">
        <v>943532</v>
      </c>
      <c r="G6" s="42">
        <v>-0.28599999999999998</v>
      </c>
      <c r="H6" s="21" t="s">
        <v>923</v>
      </c>
      <c r="I6" s="39" t="str">
        <f ca="1">IFERROR(__xludf.DUMMYFUNCTION("IF(SUM(COUNTIF(artists!A:A, SPLIT(D6, "",""))) &gt; 0, ""UA"", 0)"),"UA")</f>
        <v>UA</v>
      </c>
      <c r="J6" s="40">
        <f ca="1">IFERROR(__xludf.DUMMYFUNCTION("IF(SUM(COUNTIF(artists!C:C, SPLIT(D6, "",""))) &gt; 0, ""RU"", 0)"),0)</f>
        <v>0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B7" s="21">
        <v>8</v>
      </c>
      <c r="C7" s="21" t="s">
        <v>209</v>
      </c>
      <c r="D7" s="21" t="s">
        <v>210</v>
      </c>
      <c r="E7" s="21">
        <v>4</v>
      </c>
      <c r="F7" s="21">
        <v>792423</v>
      </c>
      <c r="G7" s="43">
        <v>0.01</v>
      </c>
      <c r="H7" s="21" t="s">
        <v>212</v>
      </c>
      <c r="I7" s="39" t="str">
        <f ca="1">IFERROR(__xludf.DUMMYFUNCTION("IF(SUM(COUNTIF(artists!A:A, SPLIT(D7, "",""))) &gt; 0, ""UA"", 0)"),"UA")</f>
        <v>UA</v>
      </c>
      <c r="J7" s="40">
        <f ca="1">IFERROR(__xludf.DUMMYFUNCTION("IF(SUM(COUNTIF(artists!C:C, SPLIT(D7, "",""))) &gt; 0, ""RU"", 0)"),0)</f>
        <v>0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B8" s="21">
        <v>9</v>
      </c>
      <c r="C8" s="21" t="s">
        <v>132</v>
      </c>
      <c r="D8" s="21" t="s">
        <v>133</v>
      </c>
      <c r="E8" s="21">
        <v>11</v>
      </c>
      <c r="F8" s="21">
        <v>785824</v>
      </c>
      <c r="G8" s="42">
        <v>5.6000000000000001E-2</v>
      </c>
      <c r="H8" s="21" t="s">
        <v>135</v>
      </c>
      <c r="I8" s="39" t="str">
        <f ca="1">IFERROR(__xludf.DUMMYFUNCTION("IF(SUM(COUNTIF(artists!A:A, SPLIT(D8, "",""))) &gt; 0, ""UA"", 0)"),"UA")</f>
        <v>UA</v>
      </c>
      <c r="J8" s="40">
        <f ca="1">IFERROR(__xludf.DUMMYFUNCTION("IF(SUM(COUNTIF(artists!C:C, SPLIT(D8, "",""))) &gt; 0, ""RU"", 0)"),0)</f>
        <v>0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B9" s="21">
        <v>6</v>
      </c>
      <c r="C9" s="21" t="s">
        <v>194</v>
      </c>
      <c r="D9" s="21" t="s">
        <v>195</v>
      </c>
      <c r="E9" s="21">
        <v>14</v>
      </c>
      <c r="F9" s="21">
        <v>759573</v>
      </c>
      <c r="G9" s="42">
        <v>-0.11799999999999999</v>
      </c>
      <c r="H9" s="21" t="s">
        <v>197</v>
      </c>
      <c r="I9" s="39" t="str">
        <f ca="1">IFERROR(__xludf.DUMMYFUNCTION("IF(SUM(COUNTIF(artists!A:A, SPLIT(D9, "",""))) &gt; 0, ""UA"", 0)"),"UA")</f>
        <v>UA</v>
      </c>
      <c r="J9" s="40">
        <f ca="1">IFERROR(__xludf.DUMMYFUNCTION("IF(SUM(COUNTIF(artists!C:C, SPLIT(D9, "",""))) &gt; 0, ""RU"", 0)"),0)</f>
        <v>0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B10" s="21">
        <v>10</v>
      </c>
      <c r="C10" s="21" t="s">
        <v>171</v>
      </c>
      <c r="D10" s="21" t="s">
        <v>172</v>
      </c>
      <c r="E10" s="21">
        <v>6</v>
      </c>
      <c r="F10" s="21">
        <v>697744</v>
      </c>
      <c r="G10" s="42">
        <v>-1.2999999999999999E-2</v>
      </c>
      <c r="H10" s="21" t="s">
        <v>174</v>
      </c>
      <c r="I10" s="39">
        <f ca="1">IFERROR(__xludf.DUMMYFUNCTION("IF(SUM(COUNTIF(artists!A:A, SPLIT(D10, "",""))) &gt; 0, ""UA"", 0)"),0)</f>
        <v>0</v>
      </c>
      <c r="J10" s="40" t="str">
        <f ca="1">IFERROR(__xludf.DUMMYFUNCTION("IF(SUM(COUNTIF(artists!C:C, SPLIT(D10, "",""))) &gt; 0, ""RU"", 0)"),"RU")</f>
        <v>RU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B11" s="21">
        <v>11</v>
      </c>
      <c r="C11" s="21" t="s">
        <v>229</v>
      </c>
      <c r="D11" s="21" t="s">
        <v>230</v>
      </c>
      <c r="E11" s="21">
        <v>18</v>
      </c>
      <c r="F11" s="21">
        <v>646976</v>
      </c>
      <c r="G11" s="42">
        <v>-5.8999999999999997E-2</v>
      </c>
      <c r="H11" s="21" t="s">
        <v>232</v>
      </c>
      <c r="I11" s="39" t="str">
        <f ca="1">IFERROR(__xludf.DUMMYFUNCTION("IF(SUM(COUNTIF(artists!A:A, SPLIT(D11, "",""))) &gt; 0, ""UA"", 0)"),"UA")</f>
        <v>UA</v>
      </c>
      <c r="J11" s="40">
        <f ca="1">IFERROR(__xludf.DUMMYFUNCTION("IF(SUM(COUNTIF(artists!C:C, SPLIT(D11, "",""))) &gt; 0, ""RU"", 0)"),0)</f>
        <v>0</v>
      </c>
      <c r="K11" s="39">
        <f ca="1">IFERROR(__xludf.DUMMYFUNCTION("IF(SUM(COUNTIF(artists!E:E, SPLIT(D11, "",""))) &gt; 0, ""OTHER"", 0)"),0)</f>
        <v>0</v>
      </c>
    </row>
    <row r="12" spans="1:11" ht="14.25" customHeight="1">
      <c r="A12" s="21">
        <v>11</v>
      </c>
      <c r="B12" s="21">
        <v>12</v>
      </c>
      <c r="C12" s="21" t="s">
        <v>175</v>
      </c>
      <c r="D12" s="21" t="s">
        <v>89</v>
      </c>
      <c r="E12" s="21">
        <v>11</v>
      </c>
      <c r="F12" s="21">
        <v>635703</v>
      </c>
      <c r="G12" s="42">
        <v>-7.3999999999999996E-2</v>
      </c>
      <c r="H12" s="21" t="s">
        <v>177</v>
      </c>
      <c r="I12" s="39" t="str">
        <f ca="1">IFERROR(__xludf.DUMMYFUNCTION("IF(SUM(COUNTIF(artists!A:A, SPLIT(D12, "",""))) &gt; 0, ""UA"", 0)"),"UA")</f>
        <v>UA</v>
      </c>
      <c r="J12" s="40">
        <f ca="1">IFERROR(__xludf.DUMMYFUNCTION("IF(SUM(COUNTIF(artists!C:C, SPLIT(D12, "",""))) &gt; 0, ""RU"", 0)"),0)</f>
        <v>0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C13" s="21" t="s">
        <v>202</v>
      </c>
      <c r="D13" s="21" t="s">
        <v>835</v>
      </c>
      <c r="E13" s="21">
        <v>1</v>
      </c>
      <c r="F13" s="21">
        <v>633242</v>
      </c>
      <c r="H13" s="21" t="s">
        <v>204</v>
      </c>
      <c r="I13" s="39" t="str">
        <f ca="1">IFERROR(__xludf.DUMMYFUNCTION("IF(SUM(COUNTIF(artists!A:A, SPLIT(D13, "",""))) &gt; 0, ""UA"", 0)"),"UA")</f>
        <v>UA</v>
      </c>
      <c r="J13" s="40">
        <f ca="1">IFERROR(__xludf.DUMMYFUNCTION("IF(SUM(COUNTIF(artists!C:C, SPLIT(D13, "",""))) &gt; 0, ""RU"", 0)"),0)</f>
        <v>0</v>
      </c>
      <c r="K13" s="39">
        <f ca="1">IFERROR(__xludf.DUMMYFUNCTION("IF(SUM(COUNTIF(artists!E:E, SPLIT(D13, "",""))) &gt; 0, ""OTHER"", 0)"),0)</f>
        <v>0</v>
      </c>
    </row>
    <row r="14" spans="1:11" ht="14.25" customHeight="1">
      <c r="A14" s="21">
        <v>13</v>
      </c>
      <c r="B14" s="21">
        <v>18</v>
      </c>
      <c r="C14" s="21" t="s">
        <v>462</v>
      </c>
      <c r="D14" s="21" t="s">
        <v>463</v>
      </c>
      <c r="E14" s="21">
        <v>2</v>
      </c>
      <c r="F14" s="21">
        <v>601250</v>
      </c>
      <c r="G14" s="42">
        <v>0.122</v>
      </c>
      <c r="H14" s="21" t="s">
        <v>465</v>
      </c>
      <c r="I14" s="39" t="str">
        <f ca="1">IFERROR(__xludf.DUMMYFUNCTION("IF(SUM(COUNTIF(artists!A:A, SPLIT(D14, "",""))) &gt; 0, ""UA"", 0)"),"UA")</f>
        <v>UA</v>
      </c>
      <c r="J14" s="40">
        <f ca="1">IFERROR(__xludf.DUMMYFUNCTION("IF(SUM(COUNTIF(artists!C:C, SPLIT(D14, "",""))) &gt; 0, ""RU"", 0)"),0)</f>
        <v>0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B15" s="21">
        <v>14</v>
      </c>
      <c r="C15" s="21" t="s">
        <v>1431</v>
      </c>
      <c r="D15" s="21" t="s">
        <v>969</v>
      </c>
      <c r="E15" s="21">
        <v>39</v>
      </c>
      <c r="F15" s="21">
        <v>573622</v>
      </c>
      <c r="G15" s="42">
        <v>-6.7000000000000004E-2</v>
      </c>
      <c r="H15" s="21" t="s">
        <v>1432</v>
      </c>
      <c r="I15" s="39" t="str">
        <f ca="1">IFERROR(__xludf.DUMMYFUNCTION("IF(SUM(COUNTIF(artists!A:A, SPLIT(D15, "",""))) &gt; 0, ""UA"", 0)"),"UA")</f>
        <v>UA</v>
      </c>
      <c r="J15" s="40">
        <f ca="1">IFERROR(__xludf.DUMMYFUNCTION("IF(SUM(COUNTIF(artists!C:C, SPLIT(D15, "",""))) &gt; 0, ""RU"", 0)"),0)</f>
        <v>0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B16" s="21">
        <v>7</v>
      </c>
      <c r="C16" s="21" t="s">
        <v>168</v>
      </c>
      <c r="D16" s="21" t="s">
        <v>137</v>
      </c>
      <c r="E16" s="21">
        <v>2</v>
      </c>
      <c r="F16" s="21">
        <v>563100</v>
      </c>
      <c r="G16" s="42">
        <v>-0.32500000000000001</v>
      </c>
      <c r="H16" s="21" t="s">
        <v>170</v>
      </c>
      <c r="I16" s="39" t="str">
        <f ca="1">IFERROR(__xludf.DUMMYFUNCTION("IF(SUM(COUNTIF(artists!A:A, SPLIT(D16, "",""))) &gt; 0, ""UA"", 0)"),"UA")</f>
        <v>UA</v>
      </c>
      <c r="J16" s="40">
        <f ca="1">IFERROR(__xludf.DUMMYFUNCTION("IF(SUM(COUNTIF(artists!C:C, SPLIT(D16, "",""))) &gt; 0, ""RU"", 0)"),0)</f>
        <v>0</v>
      </c>
      <c r="K16" s="39">
        <f ca="1">IFERROR(__xludf.DUMMYFUNCTION("IF(SUM(COUNTIF(artists!E:E, SPLIT(D16, "",""))) &gt; 0, ""OTHER"", 0)"),0)</f>
        <v>0</v>
      </c>
    </row>
    <row r="17" spans="1:11" ht="14.25" customHeight="1">
      <c r="A17" s="21">
        <v>16</v>
      </c>
      <c r="B17" s="21">
        <v>13</v>
      </c>
      <c r="C17" s="21" t="s">
        <v>182</v>
      </c>
      <c r="D17" s="21" t="s">
        <v>183</v>
      </c>
      <c r="E17" s="21">
        <v>7</v>
      </c>
      <c r="F17" s="21">
        <v>543054</v>
      </c>
      <c r="G17" s="43">
        <v>-0.16</v>
      </c>
      <c r="H17" s="21" t="s">
        <v>185</v>
      </c>
      <c r="I17" s="39" t="str">
        <f ca="1">IFERROR(__xludf.DUMMYFUNCTION("IF(SUM(COUNTIF(artists!A:A, SPLIT(D17, "",""))) &gt; 0, ""UA"", 0)"),"UA")</f>
        <v>UA</v>
      </c>
      <c r="J17" s="40">
        <f ca="1">IFERROR(__xludf.DUMMYFUNCTION("IF(SUM(COUNTIF(artists!C:C, SPLIT(D17, "",""))) &gt; 0, ""RU"", 0)"),0)</f>
        <v>0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B18" s="21">
        <v>20</v>
      </c>
      <c r="C18" s="21" t="s">
        <v>929</v>
      </c>
      <c r="D18" s="21" t="s">
        <v>930</v>
      </c>
      <c r="E18" s="21">
        <v>4</v>
      </c>
      <c r="F18" s="21">
        <v>538925</v>
      </c>
      <c r="G18" s="42">
        <v>3.7999999999999999E-2</v>
      </c>
      <c r="H18" s="21" t="s">
        <v>931</v>
      </c>
      <c r="I18" s="39" t="str">
        <f ca="1">IFERROR(__xludf.DUMMYFUNCTION("IF(SUM(COUNTIF(artists!A:A, SPLIT(D18, "",""))) &gt; 0, ""UA"", 0)"),"UA")</f>
        <v>UA</v>
      </c>
      <c r="J18" s="40">
        <f ca="1">IFERROR(__xludf.DUMMYFUNCTION("IF(SUM(COUNTIF(artists!C:C, SPLIT(D18, "",""))) &gt; 0, ""RU"", 0)"),0)</f>
        <v>0</v>
      </c>
      <c r="K18" s="39">
        <f ca="1">IFERROR(__xludf.DUMMYFUNCTION("IF(SUM(COUNTIF(artists!E:E, SPLIT(D18, "",""))) &gt; 0, ""OTHER"", 0)"),0)</f>
        <v>0</v>
      </c>
    </row>
    <row r="19" spans="1:11" ht="14.25" customHeight="1">
      <c r="A19" s="21">
        <v>18</v>
      </c>
      <c r="B19" s="21">
        <v>63</v>
      </c>
      <c r="C19" s="21" t="s">
        <v>1187</v>
      </c>
      <c r="D19" s="21" t="s">
        <v>1188</v>
      </c>
      <c r="E19" s="21">
        <v>2</v>
      </c>
      <c r="F19" s="21">
        <v>533327</v>
      </c>
      <c r="G19" s="42">
        <v>1.1850000000000001</v>
      </c>
      <c r="H19" s="21" t="s">
        <v>1189</v>
      </c>
      <c r="I19" s="39" t="str">
        <f ca="1">IFERROR(__xludf.DUMMYFUNCTION("IF(SUM(COUNTIF(artists!A:A, SPLIT(D19, "",""))) &gt; 0, ""UA"", 0)"),"UA")</f>
        <v>UA</v>
      </c>
      <c r="J19" s="40">
        <f ca="1">IFERROR(__xludf.DUMMYFUNCTION("IF(SUM(COUNTIF(artists!C:C, SPLIT(D19, "",""))) &gt; 0, ""RU"", 0)"),0)</f>
        <v>0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B20" s="21">
        <v>17</v>
      </c>
      <c r="C20" s="21" t="s">
        <v>706</v>
      </c>
      <c r="D20" s="21" t="s">
        <v>199</v>
      </c>
      <c r="E20" s="21">
        <v>7</v>
      </c>
      <c r="F20" s="21">
        <v>519887</v>
      </c>
      <c r="G20" s="42">
        <v>-5.5E-2</v>
      </c>
      <c r="H20" s="21" t="s">
        <v>1126</v>
      </c>
      <c r="I20" s="39" t="str">
        <f ca="1">IFERROR(__xludf.DUMMYFUNCTION("IF(SUM(COUNTIF(artists!A:A, SPLIT(D20, "",""))) &gt; 0, ""UA"", 0)"),"UA")</f>
        <v>UA</v>
      </c>
      <c r="J20" s="40">
        <f ca="1">IFERROR(__xludf.DUMMYFUNCTION("IF(SUM(COUNTIF(artists!C:C, SPLIT(D20, "",""))) &gt; 0, ""RU"", 0)"),0)</f>
        <v>0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B21" s="21">
        <v>21</v>
      </c>
      <c r="C21" s="21" t="s">
        <v>799</v>
      </c>
      <c r="D21" s="21" t="s">
        <v>494</v>
      </c>
      <c r="E21" s="21">
        <v>20</v>
      </c>
      <c r="F21" s="21">
        <v>512364</v>
      </c>
      <c r="G21" s="42">
        <v>1.9E-2</v>
      </c>
      <c r="H21" s="21" t="s">
        <v>800</v>
      </c>
      <c r="I21" s="39" t="str">
        <f ca="1">IFERROR(__xludf.DUMMYFUNCTION("IF(SUM(COUNTIF(artists!A:A, SPLIT(D21, "",""))) &gt; 0, ""UA"", 0)"),"UA")</f>
        <v>UA</v>
      </c>
      <c r="J21" s="40">
        <f ca="1">IFERROR(__xludf.DUMMYFUNCTION("IF(SUM(COUNTIF(artists!C:C, SPLIT(D21, "",""))) &gt; 0, ""RU"", 0)"),0)</f>
        <v>0</v>
      </c>
      <c r="K21" s="39">
        <f ca="1">IFERROR(__xludf.DUMMYFUNCTION("IF(SUM(COUNTIF(artists!E:E, SPLIT(D21, "",""))) &gt; 0, ""OTHER"", 0)"),0)</f>
        <v>0</v>
      </c>
    </row>
    <row r="22" spans="1:11" ht="14.25" customHeight="1">
      <c r="A22" s="21">
        <v>21</v>
      </c>
      <c r="B22" s="21">
        <v>19</v>
      </c>
      <c r="C22" s="21" t="s">
        <v>895</v>
      </c>
      <c r="D22" s="21" t="s">
        <v>896</v>
      </c>
      <c r="E22" s="21">
        <v>23</v>
      </c>
      <c r="F22" s="21">
        <v>484621</v>
      </c>
      <c r="G22" s="42">
        <v>-8.6999999999999994E-2</v>
      </c>
      <c r="H22" s="21" t="s">
        <v>897</v>
      </c>
      <c r="I22" s="39" t="str">
        <f ca="1">IFERROR(__xludf.DUMMYFUNCTION("IF(SUM(COUNTIF(artists!A:A, SPLIT(D22, "",""))) &gt; 0, ""UA"", 0)"),"UA")</f>
        <v>UA</v>
      </c>
      <c r="J22" s="40">
        <f ca="1">IFERROR(__xludf.DUMMYFUNCTION("IF(SUM(COUNTIF(artists!C:C, SPLIT(D22, "",""))) &gt; 0, ""RU"", 0)"),0)</f>
        <v>0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B23" s="21">
        <v>24</v>
      </c>
      <c r="C23" s="21" t="s">
        <v>186</v>
      </c>
      <c r="D23" s="21" t="s">
        <v>187</v>
      </c>
      <c r="E23" s="21">
        <v>15</v>
      </c>
      <c r="F23" s="21">
        <v>476737</v>
      </c>
      <c r="G23" s="42">
        <v>6.5000000000000002E-2</v>
      </c>
      <c r="H23" s="21" t="s">
        <v>189</v>
      </c>
      <c r="I23" s="39" t="str">
        <f ca="1">IFERROR(__xludf.DUMMYFUNCTION("IF(SUM(COUNTIF(artists!A:A, SPLIT(D23, "",""))) &gt; 0, ""UA"", 0)"),"UA")</f>
        <v>UA</v>
      </c>
      <c r="J23" s="40">
        <f ca="1">IFERROR(__xludf.DUMMYFUNCTION("IF(SUM(COUNTIF(artists!C:C, SPLIT(D23, "",""))) &gt; 0, ""RU"", 0)"),0)</f>
        <v>0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C24" s="21" t="s">
        <v>255</v>
      </c>
      <c r="D24" s="21" t="s">
        <v>256</v>
      </c>
      <c r="E24" s="21">
        <v>1</v>
      </c>
      <c r="F24" s="21">
        <v>461992</v>
      </c>
      <c r="H24" s="21" t="s">
        <v>257</v>
      </c>
      <c r="I24" s="39" t="str">
        <f ca="1">IFERROR(__xludf.DUMMYFUNCTION("IF(SUM(COUNTIF(artists!A:A, SPLIT(D24, "",""))) &gt; 0, ""UA"", 0)"),"UA")</f>
        <v>UA</v>
      </c>
      <c r="J24" s="40">
        <f ca="1">IFERROR(__xludf.DUMMYFUNCTION("IF(SUM(COUNTIF(artists!C:C, SPLIT(D24, "",""))) &gt; 0, ""RU"", 0)"),0)</f>
        <v>0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B25" s="21">
        <v>31</v>
      </c>
      <c r="C25" s="21" t="s">
        <v>149</v>
      </c>
      <c r="D25" s="21" t="s">
        <v>150</v>
      </c>
      <c r="E25" s="21">
        <v>4</v>
      </c>
      <c r="F25" s="21">
        <v>443102</v>
      </c>
      <c r="G25" s="42">
        <v>0.125</v>
      </c>
      <c r="H25" s="21" t="s">
        <v>152</v>
      </c>
      <c r="I25" s="39" t="str">
        <f ca="1">IFERROR(__xludf.DUMMYFUNCTION("IF(SUM(COUNTIF(artists!A:A, SPLIT(D25, "",""))) &gt; 0, ""UA"", 0)"),"UA")</f>
        <v>UA</v>
      </c>
      <c r="J25" s="40">
        <f ca="1">IFERROR(__xludf.DUMMYFUNCTION("IF(SUM(COUNTIF(artists!C:C, SPLIT(D25, "",""))) &gt; 0, ""RU"", 0)"),0)</f>
        <v>0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B26" s="21">
        <v>28</v>
      </c>
      <c r="C26" s="21" t="s">
        <v>968</v>
      </c>
      <c r="D26" s="21" t="s">
        <v>969</v>
      </c>
      <c r="E26" s="21">
        <v>31</v>
      </c>
      <c r="F26" s="21">
        <v>440319</v>
      </c>
      <c r="G26" s="43">
        <v>0.06</v>
      </c>
      <c r="H26" s="21" t="s">
        <v>970</v>
      </c>
      <c r="I26" s="39" t="str">
        <f ca="1">IFERROR(__xludf.DUMMYFUNCTION("IF(SUM(COUNTIF(artists!A:A, SPLIT(D26, "",""))) &gt; 0, ""UA"", 0)"),"UA")</f>
        <v>UA</v>
      </c>
      <c r="J26" s="40">
        <f ca="1">IFERROR(__xludf.DUMMYFUNCTION("IF(SUM(COUNTIF(artists!C:C, SPLIT(D26, "",""))) &gt; 0, ""RU"", 0)"),0)</f>
        <v>0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B27" s="21">
        <v>32</v>
      </c>
      <c r="C27" s="21" t="s">
        <v>178</v>
      </c>
      <c r="D27" s="21" t="s">
        <v>179</v>
      </c>
      <c r="E27" s="21">
        <v>15</v>
      </c>
      <c r="F27" s="21">
        <v>409085</v>
      </c>
      <c r="G27" s="42">
        <v>4.2000000000000003E-2</v>
      </c>
      <c r="H27" s="21" t="s">
        <v>181</v>
      </c>
      <c r="I27" s="39" t="str">
        <f ca="1">IFERROR(__xludf.DUMMYFUNCTION("IF(SUM(COUNTIF(artists!A:A, SPLIT(D27, "",""))) &gt; 0, ""UA"", 0)"),"UA")</f>
        <v>UA</v>
      </c>
      <c r="J27" s="40">
        <f ca="1">IFERROR(__xludf.DUMMYFUNCTION("IF(SUM(COUNTIF(artists!C:C, SPLIT(D27, "",""))) &gt; 0, ""RU"", 0)"),0)</f>
        <v>0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C28" s="21" t="s">
        <v>874</v>
      </c>
      <c r="D28" s="21" t="s">
        <v>108</v>
      </c>
      <c r="E28" s="21">
        <v>1</v>
      </c>
      <c r="F28" s="21">
        <v>404855</v>
      </c>
      <c r="H28" s="21" t="s">
        <v>875</v>
      </c>
      <c r="I28" s="39" t="str">
        <f ca="1">IFERROR(__xludf.DUMMYFUNCTION("IF(SUM(COUNTIF(artists!A:A, SPLIT(D28, "",""))) &gt; 0, ""UA"", 0)"),"UA")</f>
        <v>UA</v>
      </c>
      <c r="J28" s="40">
        <f ca="1">IFERROR(__xludf.DUMMYFUNCTION("IF(SUM(COUNTIF(artists!C:C, SPLIT(D28, "",""))) &gt; 0, ""RU"", 0)"),0)</f>
        <v>0</v>
      </c>
      <c r="K28" s="39">
        <f ca="1">IFERROR(__xludf.DUMMYFUNCTION("IF(SUM(COUNTIF(artists!E:E, SPLIT(D28, "",""))) &gt; 0, ""OTHER"", 0)"),0)</f>
        <v>0</v>
      </c>
    </row>
    <row r="29" spans="1:11" ht="14.25" customHeight="1">
      <c r="A29" s="21">
        <v>28</v>
      </c>
      <c r="B29" s="21">
        <v>22</v>
      </c>
      <c r="C29" s="21" t="s">
        <v>1055</v>
      </c>
      <c r="D29" s="21" t="s">
        <v>776</v>
      </c>
      <c r="E29" s="21">
        <v>8</v>
      </c>
      <c r="F29" s="21">
        <v>396588</v>
      </c>
      <c r="G29" s="42">
        <v>-0.157</v>
      </c>
      <c r="H29" s="21" t="s">
        <v>1056</v>
      </c>
      <c r="I29" s="39" t="str">
        <f ca="1">IFERROR(__xludf.DUMMYFUNCTION("IF(SUM(COUNTIF(artists!A:A, SPLIT(D29, "",""))) &gt; 0, ""UA"", 0)"),"UA")</f>
        <v>UA</v>
      </c>
      <c r="J29" s="40">
        <f ca="1">IFERROR(__xludf.DUMMYFUNCTION("IF(SUM(COUNTIF(artists!C:C, SPLIT(D29, "",""))) &gt; 0, ""RU"", 0)"),0)</f>
        <v>0</v>
      </c>
      <c r="K29" s="39">
        <f ca="1">IFERROR(__xludf.DUMMYFUNCTION("IF(SUM(COUNTIF(artists!E:E, SPLIT(D29, "",""))) &gt; 0, ""OTHER"", 0)"),0)</f>
        <v>0</v>
      </c>
    </row>
    <row r="30" spans="1:11" ht="14.25" customHeight="1">
      <c r="A30" s="21">
        <v>29</v>
      </c>
      <c r="B30" s="21">
        <v>47</v>
      </c>
      <c r="C30" s="21" t="s">
        <v>1175</v>
      </c>
      <c r="D30" s="21" t="s">
        <v>1176</v>
      </c>
      <c r="E30" s="21">
        <v>2</v>
      </c>
      <c r="F30" s="21">
        <v>391023</v>
      </c>
      <c r="G30" s="42">
        <v>0.27400000000000002</v>
      </c>
      <c r="H30" s="21" t="s">
        <v>1177</v>
      </c>
      <c r="I30" s="39">
        <f ca="1">IFERROR(__xludf.DUMMYFUNCTION("IF(SUM(COUNTIF(artists!A:A, SPLIT(D30, "",""))) &gt; 0, ""UA"", 0)"),0)</f>
        <v>0</v>
      </c>
      <c r="J30" s="40" t="str">
        <f ca="1">IFERROR(__xludf.DUMMYFUNCTION("IF(SUM(COUNTIF(artists!C:C, SPLIT(D30, "",""))) &gt; 0, ""RU"", 0)"),"RU")</f>
        <v>RU</v>
      </c>
      <c r="K30" s="39">
        <f ca="1">IFERROR(__xludf.DUMMYFUNCTION("IF(SUM(COUNTIF(artists!E:E, SPLIT(D30, "",""))) &gt; 0, ""OTHER"", 0)"),0)</f>
        <v>0</v>
      </c>
    </row>
    <row r="31" spans="1:11" ht="14.25" customHeight="1">
      <c r="A31" s="21">
        <v>30</v>
      </c>
      <c r="B31" s="21">
        <v>25</v>
      </c>
      <c r="C31" s="21" t="s">
        <v>1010</v>
      </c>
      <c r="D31" s="21" t="s">
        <v>1011</v>
      </c>
      <c r="E31" s="21">
        <v>12</v>
      </c>
      <c r="F31" s="21">
        <v>390732</v>
      </c>
      <c r="G31" s="42">
        <v>-0.11600000000000001</v>
      </c>
      <c r="H31" s="21" t="s">
        <v>1012</v>
      </c>
      <c r="I31" s="39" t="str">
        <f ca="1">IFERROR(__xludf.DUMMYFUNCTION("IF(SUM(COUNTIF(artists!A:A, SPLIT(D31, "",""))) &gt; 0, ""UA"", 0)"),"UA")</f>
        <v>UA</v>
      </c>
      <c r="J31" s="40">
        <f ca="1">IFERROR(__xludf.DUMMYFUNCTION("IF(SUM(COUNTIF(artists!C:C, SPLIT(D31, "",""))) &gt; 0, ""RU"", 0)"),0)</f>
        <v>0</v>
      </c>
      <c r="K31" s="39">
        <f ca="1">IFERROR(__xludf.DUMMYFUNCTION("IF(SUM(COUNTIF(artists!E:E, SPLIT(D31, "",""))) &gt; 0, ""OTHER"", 0)"),0)</f>
        <v>0</v>
      </c>
    </row>
    <row r="32" spans="1:11" ht="14.25" customHeight="1">
      <c r="A32" s="21">
        <v>31</v>
      </c>
      <c r="B32" s="21">
        <v>27</v>
      </c>
      <c r="C32" s="21" t="s">
        <v>1282</v>
      </c>
      <c r="D32" s="21" t="s">
        <v>108</v>
      </c>
      <c r="E32" s="21">
        <v>38</v>
      </c>
      <c r="F32" s="21">
        <v>385440</v>
      </c>
      <c r="G32" s="42">
        <v>-8.7999999999999995E-2</v>
      </c>
      <c r="H32" s="21" t="s">
        <v>1283</v>
      </c>
      <c r="I32" s="39" t="str">
        <f ca="1">IFERROR(__xludf.DUMMYFUNCTION("IF(SUM(COUNTIF(artists!A:A, SPLIT(D32, "",""))) &gt; 0, ""UA"", 0)"),"UA")</f>
        <v>UA</v>
      </c>
      <c r="J32" s="40">
        <f ca="1">IFERROR(__xludf.DUMMYFUNCTION("IF(SUM(COUNTIF(artists!C:C, SPLIT(D32, "",""))) &gt; 0, ""RU"", 0)"),0)</f>
        <v>0</v>
      </c>
      <c r="K32" s="39">
        <f ca="1">IFERROR(__xludf.DUMMYFUNCTION("IF(SUM(COUNTIF(artists!E:E, SPLIT(D32, "",""))) &gt; 0, ""OTHER"", 0)"),0)</f>
        <v>0</v>
      </c>
    </row>
    <row r="33" spans="1:11" ht="14.25" customHeight="1">
      <c r="A33" s="21">
        <v>32</v>
      </c>
      <c r="B33" s="21">
        <v>29</v>
      </c>
      <c r="C33" s="21" t="s">
        <v>1263</v>
      </c>
      <c r="D33" s="21" t="s">
        <v>1264</v>
      </c>
      <c r="E33" s="21">
        <v>37</v>
      </c>
      <c r="F33" s="21">
        <v>382953</v>
      </c>
      <c r="G33" s="42">
        <v>-7.2999999999999995E-2</v>
      </c>
      <c r="H33" s="21" t="s">
        <v>1265</v>
      </c>
      <c r="I33" s="39">
        <f ca="1">IFERROR(__xludf.DUMMYFUNCTION("IF(SUM(COUNTIF(artists!A:A, SPLIT(D33, "",""))) &gt; 0, ""UA"", 0)"),0)</f>
        <v>0</v>
      </c>
      <c r="J33" s="40" t="str">
        <f ca="1">IFERROR(__xludf.DUMMYFUNCTION("IF(SUM(COUNTIF(artists!C:C, SPLIT(D33, "",""))) &gt; 0, ""RU"", 0)"),"RU")</f>
        <v>RU</v>
      </c>
      <c r="K33" s="39">
        <f ca="1">IFERROR(__xludf.DUMMYFUNCTION("IF(SUM(COUNTIF(artists!E:E, SPLIT(D33, "",""))) &gt; 0, ""OTHER"", 0)"),0)</f>
        <v>0</v>
      </c>
    </row>
    <row r="34" spans="1:11" ht="14.25" customHeight="1">
      <c r="A34" s="21">
        <v>33</v>
      </c>
      <c r="B34" s="21">
        <v>26</v>
      </c>
      <c r="C34" s="21" t="s">
        <v>1287</v>
      </c>
      <c r="D34" s="21" t="s">
        <v>1288</v>
      </c>
      <c r="E34" s="21">
        <v>12</v>
      </c>
      <c r="F34" s="21">
        <v>380282</v>
      </c>
      <c r="G34" s="42">
        <v>-0.107</v>
      </c>
      <c r="H34" s="21" t="s">
        <v>1289</v>
      </c>
      <c r="I34" s="39">
        <f ca="1">IFERROR(__xludf.DUMMYFUNCTION("IF(SUM(COUNTIF(artists!A:A, SPLIT(D34, "",""))) &gt; 0, ""UA"", 0)"),0)</f>
        <v>0</v>
      </c>
      <c r="J34" s="40">
        <f ca="1">IFERROR(__xludf.DUMMYFUNCTION("IF(SUM(COUNTIF(artists!C:C, SPLIT(D34, "",""))) &gt; 0, ""RU"", 0)"),0)</f>
        <v>0</v>
      </c>
      <c r="K34" s="39" t="str">
        <f ca="1">IFERROR(__xludf.DUMMYFUNCTION("IF(SUM(COUNTIF(artists!E:E, SPLIT(D34, "",""))) &gt; 0, ""OTHER"", 0)"),"OTHER")</f>
        <v>OTHER</v>
      </c>
    </row>
    <row r="35" spans="1:11" ht="14.25" customHeight="1">
      <c r="A35" s="21">
        <v>34</v>
      </c>
      <c r="B35" s="21">
        <v>30</v>
      </c>
      <c r="C35" s="21" t="s">
        <v>1178</v>
      </c>
      <c r="D35" s="21" t="s">
        <v>1117</v>
      </c>
      <c r="E35" s="21">
        <v>7</v>
      </c>
      <c r="F35" s="21">
        <v>376671</v>
      </c>
      <c r="G35" s="42">
        <v>-8.2000000000000003E-2</v>
      </c>
      <c r="H35" s="21" t="s">
        <v>1179</v>
      </c>
      <c r="I35" s="39">
        <f ca="1">IFERROR(__xludf.DUMMYFUNCTION("IF(SUM(COUNTIF(artists!A:A, SPLIT(D35, "",""))) &gt; 0, ""UA"", 0)"),0)</f>
        <v>0</v>
      </c>
      <c r="J35" s="40" t="str">
        <f ca="1">IFERROR(__xludf.DUMMYFUNCTION("IF(SUM(COUNTIF(artists!C:C, SPLIT(D35, "",""))) &gt; 0, ""RU"", 0)"),"RU")</f>
        <v>RU</v>
      </c>
      <c r="K35" s="39">
        <f ca="1">IFERROR(__xludf.DUMMYFUNCTION("IF(SUM(COUNTIF(artists!E:E, SPLIT(D35, "",""))) &gt; 0, ""OTHER"", 0)"),0)</f>
        <v>0</v>
      </c>
    </row>
    <row r="36" spans="1:11" ht="14.25" customHeight="1">
      <c r="A36" s="21">
        <v>35</v>
      </c>
      <c r="B36" s="21">
        <v>33</v>
      </c>
      <c r="C36" s="21" t="s">
        <v>909</v>
      </c>
      <c r="D36" s="21" t="s">
        <v>910</v>
      </c>
      <c r="E36" s="21">
        <v>21</v>
      </c>
      <c r="F36" s="21">
        <v>366171</v>
      </c>
      <c r="G36" s="42">
        <v>-5.3999999999999999E-2</v>
      </c>
      <c r="H36" s="21" t="s">
        <v>911</v>
      </c>
      <c r="I36" s="39" t="str">
        <f ca="1">IFERROR(__xludf.DUMMYFUNCTION("IF(SUM(COUNTIF(artists!A:A, SPLIT(D36, "",""))) &gt; 0, ""UA"", 0)"),"UA")</f>
        <v>UA</v>
      </c>
      <c r="J36" s="40">
        <f ca="1">IFERROR(__xludf.DUMMYFUNCTION("IF(SUM(COUNTIF(artists!C:C, SPLIT(D36, "",""))) &gt; 0, ""RU"", 0)"),0)</f>
        <v>0</v>
      </c>
      <c r="K36" s="39">
        <f ca="1">IFERROR(__xludf.DUMMYFUNCTION("IF(SUM(COUNTIF(artists!E:E, SPLIT(D36, "",""))) &gt; 0, ""OTHER"", 0)"),0)</f>
        <v>0</v>
      </c>
    </row>
    <row r="37" spans="1:11" ht="14.25" customHeight="1">
      <c r="A37" s="21">
        <v>36</v>
      </c>
      <c r="B37" s="21">
        <v>36</v>
      </c>
      <c r="C37" s="21" t="s">
        <v>1327</v>
      </c>
      <c r="D37" s="21" t="s">
        <v>89</v>
      </c>
      <c r="E37" s="21">
        <v>40</v>
      </c>
      <c r="F37" s="21">
        <v>351378</v>
      </c>
      <c r="G37" s="42">
        <v>-1.6E-2</v>
      </c>
      <c r="H37" s="21" t="s">
        <v>1328</v>
      </c>
      <c r="I37" s="39" t="str">
        <f ca="1">IFERROR(__xludf.DUMMYFUNCTION("IF(SUM(COUNTIF(artists!A:A, SPLIT(D37, "",""))) &gt; 0, ""UA"", 0)"),"UA")</f>
        <v>UA</v>
      </c>
      <c r="J37" s="40">
        <f ca="1">IFERROR(__xludf.DUMMYFUNCTION("IF(SUM(COUNTIF(artists!C:C, SPLIT(D37, "",""))) &gt; 0, ""RU"", 0)"),0)</f>
        <v>0</v>
      </c>
      <c r="K37" s="39">
        <f ca="1">IFERROR(__xludf.DUMMYFUNCTION("IF(SUM(COUNTIF(artists!E:E, SPLIT(D37, "",""))) &gt; 0, ""OTHER"", 0)"),0)</f>
        <v>0</v>
      </c>
    </row>
    <row r="38" spans="1:11" ht="14.25" customHeight="1">
      <c r="A38" s="21">
        <v>37</v>
      </c>
      <c r="B38" s="21">
        <v>23</v>
      </c>
      <c r="C38" s="21" t="s">
        <v>1249</v>
      </c>
      <c r="D38" s="21" t="s">
        <v>187</v>
      </c>
      <c r="E38" s="21">
        <v>3</v>
      </c>
      <c r="F38" s="21">
        <v>348594</v>
      </c>
      <c r="G38" s="42">
        <v>-0.22700000000000001</v>
      </c>
      <c r="H38" s="21" t="s">
        <v>1250</v>
      </c>
      <c r="I38" s="39" t="str">
        <f ca="1">IFERROR(__xludf.DUMMYFUNCTION("IF(SUM(COUNTIF(artists!A:A, SPLIT(D38, "",""))) &gt; 0, ""UA"", 0)"),"UA")</f>
        <v>UA</v>
      </c>
      <c r="J38" s="40">
        <f ca="1">IFERROR(__xludf.DUMMYFUNCTION("IF(SUM(COUNTIF(artists!C:C, SPLIT(D38, "",""))) &gt; 0, ""RU"", 0)"),0)</f>
        <v>0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B39" s="21">
        <v>34</v>
      </c>
      <c r="C39" s="21" t="s">
        <v>1354</v>
      </c>
      <c r="D39" s="21" t="s">
        <v>1355</v>
      </c>
      <c r="E39" s="21">
        <v>41</v>
      </c>
      <c r="F39" s="21">
        <v>348480</v>
      </c>
      <c r="G39" s="42">
        <v>-5.3999999999999999E-2</v>
      </c>
      <c r="H39" s="21" t="s">
        <v>1356</v>
      </c>
      <c r="I39" s="39" t="str">
        <f ca="1">IFERROR(__xludf.DUMMYFUNCTION("IF(SUM(COUNTIF(artists!A:A, SPLIT(D39, "",""))) &gt; 0, ""UA"", 0)"),"UA")</f>
        <v>UA</v>
      </c>
      <c r="J39" s="40">
        <f ca="1">IFERROR(__xludf.DUMMYFUNCTION("IF(SUM(COUNTIF(artists!C:C, SPLIT(D39, "",""))) &gt; 0, ""RU"", 0)"),0)</f>
        <v>0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C40" s="21" t="s">
        <v>1089</v>
      </c>
      <c r="D40" s="21" t="s">
        <v>125</v>
      </c>
      <c r="E40" s="21">
        <v>1</v>
      </c>
      <c r="F40" s="21">
        <v>334974</v>
      </c>
      <c r="H40" s="21" t="s">
        <v>1090</v>
      </c>
      <c r="I40" s="39">
        <f ca="1">IFERROR(__xludf.DUMMYFUNCTION("IF(SUM(COUNTIF(artists!A:A, SPLIT(D40, "",""))) &gt; 0, ""UA"", 0)"),0)</f>
        <v>0</v>
      </c>
      <c r="J40" s="40" t="str">
        <f ca="1">IFERROR(__xludf.DUMMYFUNCTION("IF(SUM(COUNTIF(artists!C:C, SPLIT(D40, "",""))) &gt; 0, ""RU"", 0)"),"RU")</f>
        <v>RU</v>
      </c>
      <c r="K40" s="39">
        <f ca="1">IFERROR(__xludf.DUMMYFUNCTION("IF(SUM(COUNTIF(artists!E:E, SPLIT(D40, "",""))) &gt; 0, ""OTHER"", 0)"),0)</f>
        <v>0</v>
      </c>
    </row>
    <row r="41" spans="1:11" ht="14.25" customHeight="1">
      <c r="A41" s="21">
        <v>40</v>
      </c>
      <c r="B41" s="21">
        <v>35</v>
      </c>
      <c r="C41" s="21" t="s">
        <v>918</v>
      </c>
      <c r="D41" s="21" t="s">
        <v>108</v>
      </c>
      <c r="E41" s="21">
        <v>47</v>
      </c>
      <c r="F41" s="21">
        <v>317452</v>
      </c>
      <c r="G41" s="42">
        <v>-0.123</v>
      </c>
      <c r="H41" s="21" t="s">
        <v>919</v>
      </c>
      <c r="I41" s="39" t="str">
        <f ca="1">IFERROR(__xludf.DUMMYFUNCTION("IF(SUM(COUNTIF(artists!A:A, SPLIT(D41, "",""))) &gt; 0, ""UA"", 0)"),"UA")</f>
        <v>UA</v>
      </c>
      <c r="J41" s="40">
        <f ca="1">IFERROR(__xludf.DUMMYFUNCTION("IF(SUM(COUNTIF(artists!C:C, SPLIT(D41, "",""))) &gt; 0, ""RU"", 0)"),0)</f>
        <v>0</v>
      </c>
      <c r="K41" s="39">
        <f ca="1">IFERROR(__xludf.DUMMYFUNCTION("IF(SUM(COUNTIF(artists!E:E, SPLIT(D41, "",""))) &gt; 0, ""OTHER"", 0)"),0)</f>
        <v>0</v>
      </c>
    </row>
    <row r="42" spans="1:11" ht="14.25" customHeight="1">
      <c r="A42" s="21">
        <v>41</v>
      </c>
      <c r="B42" s="21">
        <v>38</v>
      </c>
      <c r="C42" s="21" t="s">
        <v>1447</v>
      </c>
      <c r="D42" s="21" t="s">
        <v>969</v>
      </c>
      <c r="E42" s="21">
        <v>30</v>
      </c>
      <c r="F42" s="21">
        <v>308027</v>
      </c>
      <c r="G42" s="42">
        <v>-4.9000000000000002E-2</v>
      </c>
      <c r="H42" s="21" t="s">
        <v>1448</v>
      </c>
      <c r="I42" s="39" t="str">
        <f ca="1">IFERROR(__xludf.DUMMYFUNCTION("IF(SUM(COUNTIF(artists!A:A, SPLIT(D42, "",""))) &gt; 0, ""UA"", 0)"),"UA")</f>
        <v>UA</v>
      </c>
      <c r="J42" s="40">
        <f ca="1">IFERROR(__xludf.DUMMYFUNCTION("IF(SUM(COUNTIF(artists!C:C, SPLIT(D42, "",""))) &gt; 0, ""RU"", 0)"),0)</f>
        <v>0</v>
      </c>
      <c r="K42" s="39">
        <f ca="1">IFERROR(__xludf.DUMMYFUNCTION("IF(SUM(COUNTIF(artists!E:E, SPLIT(D42, "",""))) &gt; 0, ""OTHER"", 0)"),0)</f>
        <v>0</v>
      </c>
    </row>
    <row r="43" spans="1:11" ht="14.25" customHeight="1">
      <c r="A43" s="21">
        <v>42</v>
      </c>
      <c r="B43" s="21">
        <v>41</v>
      </c>
      <c r="C43" s="21" t="s">
        <v>1242</v>
      </c>
      <c r="D43" s="21" t="s">
        <v>969</v>
      </c>
      <c r="E43" s="21">
        <v>10</v>
      </c>
      <c r="F43" s="21">
        <v>304494</v>
      </c>
      <c r="G43" s="42">
        <v>-4.1000000000000002E-2</v>
      </c>
      <c r="H43" s="21" t="s">
        <v>1243</v>
      </c>
      <c r="I43" s="39" t="str">
        <f ca="1">IFERROR(__xludf.DUMMYFUNCTION("IF(SUM(COUNTIF(artists!A:A, SPLIT(D43, "",""))) &gt; 0, ""UA"", 0)"),"UA")</f>
        <v>UA</v>
      </c>
      <c r="J43" s="40">
        <f ca="1">IFERROR(__xludf.DUMMYFUNCTION("IF(SUM(COUNTIF(artists!C:C, SPLIT(D43, "",""))) &gt; 0, ""RU"", 0)"),0)</f>
        <v>0</v>
      </c>
      <c r="K43" s="39">
        <f ca="1">IFERROR(__xludf.DUMMYFUNCTION("IF(SUM(COUNTIF(artists!E:E, SPLIT(D43, "",""))) &gt; 0, ""OTHER"", 0)"),0)</f>
        <v>0</v>
      </c>
    </row>
    <row r="44" spans="1:11" ht="14.25" customHeight="1">
      <c r="A44" s="21">
        <v>43</v>
      </c>
      <c r="B44" s="21">
        <v>42</v>
      </c>
      <c r="C44" s="21" t="s">
        <v>160</v>
      </c>
      <c r="D44" s="21" t="s">
        <v>161</v>
      </c>
      <c r="E44" s="21">
        <v>5</v>
      </c>
      <c r="F44" s="21">
        <v>304269</v>
      </c>
      <c r="G44" s="43">
        <v>-0.03</v>
      </c>
      <c r="H44" s="21" t="s">
        <v>163</v>
      </c>
      <c r="I44" s="39" t="str">
        <f ca="1">IFERROR(__xludf.DUMMYFUNCTION("IF(SUM(COUNTIF(artists!A:A, SPLIT(D44, "",""))) &gt; 0, ""UA"", 0)"),"UA")</f>
        <v>UA</v>
      </c>
      <c r="J44" s="40">
        <f ca="1">IFERROR(__xludf.DUMMYFUNCTION("IF(SUM(COUNTIF(artists!C:C, SPLIT(D44, "",""))) &gt; 0, ""RU"", 0)"),0)</f>
        <v>0</v>
      </c>
      <c r="K44" s="39">
        <f ca="1">IFERROR(__xludf.DUMMYFUNCTION("IF(SUM(COUNTIF(artists!E:E, SPLIT(D44, "",""))) &gt; 0, ""OTHER"", 0)"),0)</f>
        <v>0</v>
      </c>
    </row>
    <row r="45" spans="1:11" ht="14.25" customHeight="1">
      <c r="A45" s="21">
        <v>44</v>
      </c>
      <c r="B45" s="21">
        <v>44</v>
      </c>
      <c r="C45" s="21" t="s">
        <v>887</v>
      </c>
      <c r="D45" s="21" t="s">
        <v>89</v>
      </c>
      <c r="E45" s="21">
        <v>18</v>
      </c>
      <c r="F45" s="21">
        <v>303427</v>
      </c>
      <c r="G45" s="42">
        <v>-2.1000000000000001E-2</v>
      </c>
      <c r="H45" s="21" t="s">
        <v>888</v>
      </c>
      <c r="I45" s="39" t="str">
        <f ca="1">IFERROR(__xludf.DUMMYFUNCTION("IF(SUM(COUNTIF(artists!A:A, SPLIT(D45, "",""))) &gt; 0, ""UA"", 0)"),"UA")</f>
        <v>UA</v>
      </c>
      <c r="J45" s="40">
        <f ca="1">IFERROR(__xludf.DUMMYFUNCTION("IF(SUM(COUNTIF(artists!C:C, SPLIT(D45, "",""))) &gt; 0, ""RU"", 0)"),0)</f>
        <v>0</v>
      </c>
      <c r="K45" s="39">
        <f ca="1">IFERROR(__xludf.DUMMYFUNCTION("IF(SUM(COUNTIF(artists!E:E, SPLIT(D45, "",""))) &gt; 0, ""OTHER"", 0)"),0)</f>
        <v>0</v>
      </c>
    </row>
    <row r="46" spans="1:11" ht="14.25" customHeight="1">
      <c r="A46" s="21">
        <v>45</v>
      </c>
      <c r="B46" s="21">
        <v>37</v>
      </c>
      <c r="C46" s="21" t="s">
        <v>1261</v>
      </c>
      <c r="D46" s="21" t="s">
        <v>137</v>
      </c>
      <c r="E46" s="21">
        <v>28</v>
      </c>
      <c r="F46" s="21">
        <v>299404</v>
      </c>
      <c r="G46" s="42">
        <v>-8.5000000000000006E-2</v>
      </c>
      <c r="H46" s="21" t="s">
        <v>1262</v>
      </c>
      <c r="I46" s="39" t="str">
        <f ca="1">IFERROR(__xludf.DUMMYFUNCTION("IF(SUM(COUNTIF(artists!A:A, SPLIT(D46, "",""))) &gt; 0, ""UA"", 0)"),"UA")</f>
        <v>UA</v>
      </c>
      <c r="J46" s="40">
        <f ca="1">IFERROR(__xludf.DUMMYFUNCTION("IF(SUM(COUNTIF(artists!C:C, SPLIT(D46, "",""))) &gt; 0, ""RU"", 0)"),0)</f>
        <v>0</v>
      </c>
      <c r="K46" s="39">
        <f ca="1">IFERROR(__xludf.DUMMYFUNCTION("IF(SUM(COUNTIF(artists!E:E, SPLIT(D46, "",""))) &gt; 0, ""OTHER"", 0)"),0)</f>
        <v>0</v>
      </c>
    </row>
    <row r="47" spans="1:11" ht="14.25" customHeight="1">
      <c r="A47" s="21">
        <v>46</v>
      </c>
      <c r="C47" s="21" t="s">
        <v>636</v>
      </c>
      <c r="D47" s="21" t="s">
        <v>637</v>
      </c>
      <c r="E47" s="21">
        <v>11</v>
      </c>
      <c r="F47" s="21">
        <v>298583</v>
      </c>
      <c r="H47" s="21" t="s">
        <v>638</v>
      </c>
      <c r="I47" s="39">
        <f ca="1">IFERROR(__xludf.DUMMYFUNCTION("IF(SUM(COUNTIF(artists!A:A, SPLIT(D47, "",""))) &gt; 0, ""UA"", 0)"),0)</f>
        <v>0</v>
      </c>
      <c r="J47" s="40">
        <f ca="1">IFERROR(__xludf.DUMMYFUNCTION("IF(SUM(COUNTIF(artists!C:C, SPLIT(D47, "",""))) &gt; 0, ""RU"", 0)"),0)</f>
        <v>0</v>
      </c>
      <c r="K47" s="39" t="str">
        <f ca="1">IFERROR(__xludf.DUMMYFUNCTION("IF(SUM(COUNTIF(artists!E:E, SPLIT(D47, "",""))) &gt; 0, ""OTHER"", 0)"),"OTHER")</f>
        <v>OTHER</v>
      </c>
    </row>
    <row r="48" spans="1:11" ht="14.25" customHeight="1">
      <c r="A48" s="21">
        <v>47</v>
      </c>
      <c r="B48" s="21">
        <v>15</v>
      </c>
      <c r="C48" s="21" t="s">
        <v>1451</v>
      </c>
      <c r="D48" s="21" t="s">
        <v>1452</v>
      </c>
      <c r="E48" s="21">
        <v>2</v>
      </c>
      <c r="F48" s="21">
        <v>295961</v>
      </c>
      <c r="G48" s="42">
        <v>-0.497</v>
      </c>
      <c r="H48" s="21" t="s">
        <v>1453</v>
      </c>
      <c r="I48" s="39">
        <f ca="1">IFERROR(__xludf.DUMMYFUNCTION("IF(SUM(COUNTIF(artists!A:A, SPLIT(D48, "",""))) &gt; 0, ""UA"", 0)"),0)</f>
        <v>0</v>
      </c>
      <c r="J48" s="40" t="str">
        <f ca="1">IFERROR(__xludf.DUMMYFUNCTION("IF(SUM(COUNTIF(artists!C:C, SPLIT(D48, "",""))) &gt; 0, ""RU"", 0)"),"RU")</f>
        <v>RU</v>
      </c>
      <c r="K48" s="39">
        <f ca="1">IFERROR(__xludf.DUMMYFUNCTION("IF(SUM(COUNTIF(artists!E:E, SPLIT(D48, "",""))) &gt; 0, ""OTHER"", 0)"),0)</f>
        <v>0</v>
      </c>
    </row>
    <row r="49" spans="1:11" ht="14.25" customHeight="1">
      <c r="A49" s="21">
        <v>48</v>
      </c>
      <c r="B49" s="21">
        <v>39</v>
      </c>
      <c r="C49" s="21" t="s">
        <v>935</v>
      </c>
      <c r="D49" s="21" t="s">
        <v>936</v>
      </c>
      <c r="E49" s="21">
        <v>38</v>
      </c>
      <c r="F49" s="21">
        <v>293301</v>
      </c>
      <c r="G49" s="42">
        <v>-9.0999999999999998E-2</v>
      </c>
      <c r="H49" s="21" t="s">
        <v>937</v>
      </c>
      <c r="I49" s="39">
        <f ca="1">IFERROR(__xludf.DUMMYFUNCTION("IF(SUM(COUNTIF(artists!A:A, SPLIT(D49, "",""))) &gt; 0, ""UA"", 0)"),0)</f>
        <v>0</v>
      </c>
      <c r="J49" s="40" t="str">
        <f ca="1">IFERROR(__xludf.DUMMYFUNCTION("IF(SUM(COUNTIF(artists!C:C, SPLIT(D49, "",""))) &gt; 0, ""RU"", 0)"),"RU")</f>
        <v>RU</v>
      </c>
      <c r="K49" s="39">
        <f ca="1">IFERROR(__xludf.DUMMYFUNCTION("IF(SUM(COUNTIF(artists!E:E, SPLIT(D49, "",""))) &gt; 0, ""OTHER"", 0)"),0)</f>
        <v>0</v>
      </c>
    </row>
    <row r="50" spans="1:11" ht="14.25" customHeight="1">
      <c r="A50" s="21">
        <v>49</v>
      </c>
      <c r="B50" s="21">
        <v>53</v>
      </c>
      <c r="C50" s="21" t="s">
        <v>1182</v>
      </c>
      <c r="D50" s="21" t="s">
        <v>466</v>
      </c>
      <c r="E50" s="21">
        <v>13</v>
      </c>
      <c r="F50" s="21">
        <v>293061</v>
      </c>
      <c r="G50" s="42">
        <v>8.2000000000000003E-2</v>
      </c>
      <c r="H50" s="21" t="s">
        <v>1183</v>
      </c>
      <c r="I50" s="39" t="str">
        <f ca="1">IFERROR(__xludf.DUMMYFUNCTION("IF(SUM(COUNTIF(artists!A:A, SPLIT(D50, "",""))) &gt; 0, ""UA"", 0)"),"UA")</f>
        <v>UA</v>
      </c>
      <c r="J50" s="40">
        <f ca="1">IFERROR(__xludf.DUMMYFUNCTION("IF(SUM(COUNTIF(artists!C:C, SPLIT(D50, "",""))) &gt; 0, ""RU"", 0)"),0)</f>
        <v>0</v>
      </c>
      <c r="K50" s="39">
        <f ca="1">IFERROR(__xludf.DUMMYFUNCTION("IF(SUM(COUNTIF(artists!E:E, SPLIT(D50, "",""))) &gt; 0, ""OTHER"", 0)"),0)</f>
        <v>0</v>
      </c>
    </row>
    <row r="51" spans="1:11" ht="14.25" customHeight="1">
      <c r="A51" s="21">
        <v>50</v>
      </c>
      <c r="B51" s="21">
        <v>43</v>
      </c>
      <c r="C51" s="21" t="s">
        <v>1284</v>
      </c>
      <c r="D51" s="21" t="s">
        <v>1285</v>
      </c>
      <c r="E51" s="21">
        <v>12</v>
      </c>
      <c r="F51" s="21">
        <v>288069</v>
      </c>
      <c r="G51" s="42">
        <v>-7.3999999999999996E-2</v>
      </c>
      <c r="H51" s="21" t="s">
        <v>1286</v>
      </c>
      <c r="I51" s="39">
        <f ca="1">IFERROR(__xludf.DUMMYFUNCTION("IF(SUM(COUNTIF(artists!A:A, SPLIT(D51, "",""))) &gt; 0, ""UA"", 0)"),0)</f>
        <v>0</v>
      </c>
      <c r="J51" s="40" t="str">
        <f ca="1">IFERROR(__xludf.DUMMYFUNCTION("IF(SUM(COUNTIF(artists!C:C, SPLIT(D51, "",""))) &gt; 0, ""RU"", 0)"),"RU")</f>
        <v>RU</v>
      </c>
      <c r="K51" s="39">
        <f ca="1">IFERROR(__xludf.DUMMYFUNCTION("IF(SUM(COUNTIF(artists!E:E, SPLIT(D51, "",""))) &gt; 0, ""OTHER"", 0)"),0)</f>
        <v>0</v>
      </c>
    </row>
    <row r="52" spans="1:11" ht="14.25" customHeight="1">
      <c r="A52" s="21">
        <v>51</v>
      </c>
      <c r="B52" s="21">
        <v>46</v>
      </c>
      <c r="C52" s="21" t="s">
        <v>697</v>
      </c>
      <c r="D52" s="21" t="s">
        <v>698</v>
      </c>
      <c r="E52" s="21">
        <v>7</v>
      </c>
      <c r="F52" s="21">
        <v>287766</v>
      </c>
      <c r="G52" s="42">
        <v>-6.4000000000000001E-2</v>
      </c>
      <c r="H52" s="21" t="s">
        <v>699</v>
      </c>
      <c r="I52" s="39">
        <f ca="1">IFERROR(__xludf.DUMMYFUNCTION("IF(SUM(COUNTIF(artists!A:A, SPLIT(D52, "",""))) &gt; 0, ""UA"", 0)"),0)</f>
        <v>0</v>
      </c>
      <c r="J52" s="40" t="str">
        <f ca="1">IFERROR(__xludf.DUMMYFUNCTION("IF(SUM(COUNTIF(artists!C:C, SPLIT(D52, "",""))) &gt; 0, ""RU"", 0)"),"RU")</f>
        <v>RU</v>
      </c>
      <c r="K52" s="39">
        <f ca="1">IFERROR(__xludf.DUMMYFUNCTION("IF(SUM(COUNTIF(artists!E:E, SPLIT(D52, "",""))) &gt; 0, ""OTHER"", 0)"),0)</f>
        <v>0</v>
      </c>
    </row>
    <row r="53" spans="1:11" ht="14.25" customHeight="1">
      <c r="A53" s="21">
        <v>52</v>
      </c>
      <c r="B53" s="21">
        <v>40</v>
      </c>
      <c r="C53" s="21" t="s">
        <v>253</v>
      </c>
      <c r="D53" s="21" t="s">
        <v>89</v>
      </c>
      <c r="E53" s="21">
        <v>20</v>
      </c>
      <c r="F53" s="21">
        <v>285278</v>
      </c>
      <c r="G53" s="42">
        <v>-0.112</v>
      </c>
      <c r="H53" s="21" t="s">
        <v>254</v>
      </c>
      <c r="I53" s="39" t="str">
        <f ca="1">IFERROR(__xludf.DUMMYFUNCTION("IF(SUM(COUNTIF(artists!A:A, SPLIT(D53, "",""))) &gt; 0, ""UA"", 0)"),"UA")</f>
        <v>UA</v>
      </c>
      <c r="J53" s="40">
        <f ca="1">IFERROR(__xludf.DUMMYFUNCTION("IF(SUM(COUNTIF(artists!C:C, SPLIT(D53, "",""))) &gt; 0, ""RU"", 0)"),0)</f>
        <v>0</v>
      </c>
      <c r="K53" s="39">
        <f ca="1">IFERROR(__xludf.DUMMYFUNCTION("IF(SUM(COUNTIF(artists!E:E, SPLIT(D53, "",""))) &gt; 0, ""OTHER"", 0)"),0)</f>
        <v>0</v>
      </c>
    </row>
    <row r="54" spans="1:11" ht="14.25" customHeight="1">
      <c r="A54" s="21">
        <v>53</v>
      </c>
      <c r="B54" s="21">
        <v>50</v>
      </c>
      <c r="C54" s="21" t="s">
        <v>1323</v>
      </c>
      <c r="D54" s="21" t="s">
        <v>230</v>
      </c>
      <c r="E54" s="21">
        <v>3</v>
      </c>
      <c r="F54" s="21">
        <v>284418</v>
      </c>
      <c r="G54" s="42">
        <v>6.0000000000000001E-3</v>
      </c>
      <c r="H54" s="21" t="s">
        <v>1324</v>
      </c>
      <c r="I54" s="39" t="str">
        <f ca="1">IFERROR(__xludf.DUMMYFUNCTION("IF(SUM(COUNTIF(artists!A:A, SPLIT(D54, "",""))) &gt; 0, ""UA"", 0)"),"UA")</f>
        <v>UA</v>
      </c>
      <c r="J54" s="40">
        <f ca="1">IFERROR(__xludf.DUMMYFUNCTION("IF(SUM(COUNTIF(artists!C:C, SPLIT(D54, "",""))) &gt; 0, ""RU"", 0)"),0)</f>
        <v>0</v>
      </c>
      <c r="K54" s="39">
        <f ca="1">IFERROR(__xludf.DUMMYFUNCTION("IF(SUM(COUNTIF(artists!E:E, SPLIT(D54, "",""))) &gt; 0, ""OTHER"", 0)"),0)</f>
        <v>0</v>
      </c>
    </row>
    <row r="55" spans="1:11" ht="14.25" customHeight="1">
      <c r="A55" s="21">
        <v>54</v>
      </c>
      <c r="B55" s="21">
        <v>72</v>
      </c>
      <c r="C55" s="21" t="s">
        <v>516</v>
      </c>
      <c r="D55" s="21" t="s">
        <v>517</v>
      </c>
      <c r="E55" s="21">
        <v>9</v>
      </c>
      <c r="F55" s="21">
        <v>281289</v>
      </c>
      <c r="G55" s="42">
        <v>0.377</v>
      </c>
      <c r="H55" s="21" t="s">
        <v>518</v>
      </c>
      <c r="I55" s="39">
        <f ca="1">IFERROR(__xludf.DUMMYFUNCTION("IF(SUM(COUNTIF(artists!A:A, SPLIT(D55, "",""))) &gt; 0, ""UA"", 0)"),0)</f>
        <v>0</v>
      </c>
      <c r="J55" s="40">
        <f ca="1">IFERROR(__xludf.DUMMYFUNCTION("IF(SUM(COUNTIF(artists!C:C, SPLIT(D55, "",""))) &gt; 0, ""RU"", 0)"),0)</f>
        <v>0</v>
      </c>
      <c r="K55" s="39" t="str">
        <f ca="1">IFERROR(__xludf.DUMMYFUNCTION("IF(SUM(COUNTIF(artists!E:E, SPLIT(D55, "",""))) &gt; 0, ""OTHER"", 0)"),"OTHER")</f>
        <v>OTHER</v>
      </c>
    </row>
    <row r="56" spans="1:11" ht="14.25" customHeight="1">
      <c r="A56" s="21">
        <v>55</v>
      </c>
      <c r="B56" s="21">
        <v>45</v>
      </c>
      <c r="C56" s="21" t="s">
        <v>1332</v>
      </c>
      <c r="D56" s="21" t="s">
        <v>1333</v>
      </c>
      <c r="E56" s="21">
        <v>13</v>
      </c>
      <c r="F56" s="21">
        <v>271794</v>
      </c>
      <c r="G56" s="43">
        <v>-0.12</v>
      </c>
      <c r="H56" s="21" t="s">
        <v>1334</v>
      </c>
      <c r="I56" s="39" t="str">
        <f ca="1">IFERROR(__xludf.DUMMYFUNCTION("IF(SUM(COUNTIF(artists!A:A, SPLIT(D56, "",""))) &gt; 0, ""UA"", 0)"),"UA")</f>
        <v>UA</v>
      </c>
      <c r="J56" s="40">
        <f ca="1">IFERROR(__xludf.DUMMYFUNCTION("IF(SUM(COUNTIF(artists!C:C, SPLIT(D56, "",""))) &gt; 0, ""RU"", 0)"),0)</f>
        <v>0</v>
      </c>
      <c r="K56" s="39">
        <f ca="1">IFERROR(__xludf.DUMMYFUNCTION("IF(SUM(COUNTIF(artists!E:E, SPLIT(D56, "",""))) &gt; 0, ""OTHER"", 0)"),0)</f>
        <v>0</v>
      </c>
    </row>
    <row r="57" spans="1:11" ht="14.25" customHeight="1">
      <c r="A57" s="21">
        <v>56</v>
      </c>
      <c r="B57" s="21">
        <v>51</v>
      </c>
      <c r="C57" s="21" t="s">
        <v>632</v>
      </c>
      <c r="D57" s="21" t="s">
        <v>633</v>
      </c>
      <c r="E57" s="21">
        <v>15</v>
      </c>
      <c r="F57" s="21">
        <v>266291</v>
      </c>
      <c r="G57" s="42">
        <v>-5.2999999999999999E-2</v>
      </c>
      <c r="H57" s="21" t="s">
        <v>634</v>
      </c>
      <c r="I57" s="39" t="str">
        <f ca="1">IFERROR(__xludf.DUMMYFUNCTION("IF(SUM(COUNTIF(artists!A:A, SPLIT(D57, "",""))) &gt; 0, ""UA"", 0)"),"UA")</f>
        <v>UA</v>
      </c>
      <c r="J57" s="40">
        <f ca="1">IFERROR(__xludf.DUMMYFUNCTION("IF(SUM(COUNTIF(artists!C:C, SPLIT(D57, "",""))) &gt; 0, ""RU"", 0)"),0)</f>
        <v>0</v>
      </c>
      <c r="K57" s="39">
        <f ca="1">IFERROR(__xludf.DUMMYFUNCTION("IF(SUM(COUNTIF(artists!E:E, SPLIT(D57, "",""))) &gt; 0, ""OTHER"", 0)"),0)</f>
        <v>0</v>
      </c>
    </row>
    <row r="58" spans="1:11" ht="14.25" customHeight="1">
      <c r="A58" s="21">
        <v>57</v>
      </c>
      <c r="C58" s="21" t="s">
        <v>1458</v>
      </c>
      <c r="D58" s="21" t="s">
        <v>698</v>
      </c>
      <c r="E58" s="21">
        <v>1</v>
      </c>
      <c r="F58" s="21">
        <v>264678</v>
      </c>
      <c r="H58" s="21" t="s">
        <v>1459</v>
      </c>
      <c r="I58" s="39">
        <f ca="1">IFERROR(__xludf.DUMMYFUNCTION("IF(SUM(COUNTIF(artists!A:A, SPLIT(D58, "",""))) &gt; 0, ""UA"", 0)"),0)</f>
        <v>0</v>
      </c>
      <c r="J58" s="40" t="str">
        <f ca="1">IFERROR(__xludf.DUMMYFUNCTION("IF(SUM(COUNTIF(artists!C:C, SPLIT(D58, "",""))) &gt; 0, ""RU"", 0)"),"RU")</f>
        <v>RU</v>
      </c>
      <c r="K58" s="39">
        <f ca="1">IFERROR(__xludf.DUMMYFUNCTION("IF(SUM(COUNTIF(artists!E:E, SPLIT(D58, "",""))) &gt; 0, ""OTHER"", 0)"),0)</f>
        <v>0</v>
      </c>
    </row>
    <row r="59" spans="1:11" ht="14.25" customHeight="1">
      <c r="A59" s="21">
        <v>58</v>
      </c>
      <c r="B59" s="21">
        <v>60</v>
      </c>
      <c r="C59" s="21" t="s">
        <v>1471</v>
      </c>
      <c r="D59" s="21" t="s">
        <v>1472</v>
      </c>
      <c r="E59" s="21">
        <v>20</v>
      </c>
      <c r="F59" s="21">
        <v>259648</v>
      </c>
      <c r="G59" s="42">
        <v>4.9000000000000002E-2</v>
      </c>
      <c r="H59" s="21" t="s">
        <v>1473</v>
      </c>
      <c r="I59" s="39" t="str">
        <f ca="1">IFERROR(__xludf.DUMMYFUNCTION("IF(SUM(COUNTIF(artists!A:A, SPLIT(D59, "",""))) &gt; 0, ""UA"", 0)"),"UA")</f>
        <v>UA</v>
      </c>
      <c r="J59" s="40">
        <f ca="1">IFERROR(__xludf.DUMMYFUNCTION("IF(SUM(COUNTIF(artists!C:C, SPLIT(D59, "",""))) &gt; 0, ""RU"", 0)"),0)</f>
        <v>0</v>
      </c>
      <c r="K59" s="39">
        <f ca="1">IFERROR(__xludf.DUMMYFUNCTION("IF(SUM(COUNTIF(artists!E:E, SPLIT(D59, "",""))) &gt; 0, ""OTHER"", 0)"),0)</f>
        <v>0</v>
      </c>
    </row>
    <row r="60" spans="1:11" ht="14.25" customHeight="1">
      <c r="A60" s="21">
        <v>59</v>
      </c>
      <c r="B60" s="21">
        <v>61</v>
      </c>
      <c r="C60" s="21" t="s">
        <v>1318</v>
      </c>
      <c r="D60" s="21" t="s">
        <v>1319</v>
      </c>
      <c r="E60" s="21">
        <v>8</v>
      </c>
      <c r="F60" s="21">
        <v>249205</v>
      </c>
      <c r="G60" s="42">
        <v>1.7999999999999999E-2</v>
      </c>
      <c r="H60" s="21" t="s">
        <v>1320</v>
      </c>
      <c r="I60" s="39">
        <f ca="1">IFERROR(__xludf.DUMMYFUNCTION("IF(SUM(COUNTIF(artists!A:A, SPLIT(D60, "",""))) &gt; 0, ""UA"", 0)"),0)</f>
        <v>0</v>
      </c>
      <c r="J60" s="40" t="str">
        <f ca="1">IFERROR(__xludf.DUMMYFUNCTION("IF(SUM(COUNTIF(artists!C:C, SPLIT(D60, "",""))) &gt; 0, ""RU"", 0)"),"RU")</f>
        <v>RU</v>
      </c>
      <c r="K60" s="39">
        <f ca="1">IFERROR(__xludf.DUMMYFUNCTION("IF(SUM(COUNTIF(artists!E:E, SPLIT(D60, "",""))) &gt; 0, ""OTHER"", 0)"),0)</f>
        <v>0</v>
      </c>
    </row>
    <row r="61" spans="1:11" ht="14.25" customHeight="1">
      <c r="A61" s="21">
        <v>60</v>
      </c>
      <c r="B61" s="21">
        <v>59</v>
      </c>
      <c r="C61" s="21" t="s">
        <v>1410</v>
      </c>
      <c r="D61" s="21" t="s">
        <v>1411</v>
      </c>
      <c r="E61" s="21">
        <v>5</v>
      </c>
      <c r="F61" s="21">
        <v>245675</v>
      </c>
      <c r="G61" s="42">
        <v>-2.8000000000000001E-2</v>
      </c>
      <c r="H61" s="21" t="s">
        <v>1412</v>
      </c>
      <c r="I61" s="39">
        <f ca="1">IFERROR(__xludf.DUMMYFUNCTION("IF(SUM(COUNTIF(artists!A:A, SPLIT(D61, "",""))) &gt; 0, ""UA"", 0)"),0)</f>
        <v>0</v>
      </c>
      <c r="J61" s="40" t="str">
        <f ca="1">IFERROR(__xludf.DUMMYFUNCTION("IF(SUM(COUNTIF(artists!C:C, SPLIT(D61, "",""))) &gt; 0, ""RU"", 0)"),"RU")</f>
        <v>RU</v>
      </c>
      <c r="K61" s="39">
        <f ca="1">IFERROR(__xludf.DUMMYFUNCTION("IF(SUM(COUNTIF(artists!E:E, SPLIT(D61, "",""))) &gt; 0, ""OTHER"", 0)"),0)</f>
        <v>0</v>
      </c>
    </row>
    <row r="62" spans="1:11" ht="14.25" customHeight="1">
      <c r="A62" s="21">
        <v>61</v>
      </c>
      <c r="B62" s="21">
        <v>56</v>
      </c>
      <c r="C62" s="21" t="s">
        <v>1383</v>
      </c>
      <c r="D62" s="21" t="s">
        <v>463</v>
      </c>
      <c r="E62" s="21">
        <v>16</v>
      </c>
      <c r="F62" s="21">
        <v>238413</v>
      </c>
      <c r="G62" s="42">
        <v>-9.8000000000000004E-2</v>
      </c>
      <c r="H62" s="21" t="s">
        <v>1384</v>
      </c>
      <c r="I62" s="39" t="str">
        <f ca="1">IFERROR(__xludf.DUMMYFUNCTION("IF(SUM(COUNTIF(artists!A:A, SPLIT(D62, "",""))) &gt; 0, ""UA"", 0)"),"UA")</f>
        <v>UA</v>
      </c>
      <c r="J62" s="40">
        <f ca="1">IFERROR(__xludf.DUMMYFUNCTION("IF(SUM(COUNTIF(artists!C:C, SPLIT(D62, "",""))) &gt; 0, ""RU"", 0)"),0)</f>
        <v>0</v>
      </c>
      <c r="K62" s="39">
        <f ca="1">IFERROR(__xludf.DUMMYFUNCTION("IF(SUM(COUNTIF(artists!E:E, SPLIT(D62, "",""))) &gt; 0, ""OTHER"", 0)"),0)</f>
        <v>0</v>
      </c>
    </row>
    <row r="63" spans="1:11" ht="14.25" customHeight="1">
      <c r="A63" s="21">
        <v>62</v>
      </c>
      <c r="B63" s="21">
        <v>54</v>
      </c>
      <c r="C63" s="21" t="s">
        <v>1436</v>
      </c>
      <c r="D63" s="21" t="s">
        <v>896</v>
      </c>
      <c r="E63" s="21">
        <v>18</v>
      </c>
      <c r="F63" s="21">
        <v>235968</v>
      </c>
      <c r="G63" s="42">
        <v>-0.115</v>
      </c>
      <c r="H63" s="21" t="s">
        <v>1437</v>
      </c>
      <c r="I63" s="39" t="str">
        <f ca="1">IFERROR(__xludf.DUMMYFUNCTION("IF(SUM(COUNTIF(artists!A:A, SPLIT(D63, "",""))) &gt; 0, ""UA"", 0)"),"UA")</f>
        <v>UA</v>
      </c>
      <c r="J63" s="40">
        <f ca="1">IFERROR(__xludf.DUMMYFUNCTION("IF(SUM(COUNTIF(artists!C:C, SPLIT(D63, "",""))) &gt; 0, ""RU"", 0)"),0)</f>
        <v>0</v>
      </c>
      <c r="K63" s="39">
        <f ca="1">IFERROR(__xludf.DUMMYFUNCTION("IF(SUM(COUNTIF(artists!E:E, SPLIT(D63, "",""))) &gt; 0, ""OTHER"", 0)"),0)</f>
        <v>0</v>
      </c>
    </row>
    <row r="64" spans="1:11" ht="14.25" customHeight="1">
      <c r="A64" s="21">
        <v>63</v>
      </c>
      <c r="B64" s="21">
        <v>65</v>
      </c>
      <c r="C64" s="21" t="s">
        <v>1300</v>
      </c>
      <c r="D64" s="21" t="s">
        <v>1074</v>
      </c>
      <c r="E64" s="21">
        <v>2</v>
      </c>
      <c r="F64" s="21">
        <v>225589</v>
      </c>
      <c r="G64" s="42">
        <v>-6.0000000000000001E-3</v>
      </c>
      <c r="H64" s="21" t="s">
        <v>1301</v>
      </c>
      <c r="I64" s="39" t="str">
        <f ca="1">IFERROR(__xludf.DUMMYFUNCTION("IF(SUM(COUNTIF(artists!A:A, SPLIT(D64, "",""))) &gt; 0, ""UA"", 0)"),"UA")</f>
        <v>UA</v>
      </c>
      <c r="J64" s="40">
        <f ca="1">IFERROR(__xludf.DUMMYFUNCTION("IF(SUM(COUNTIF(artists!C:C, SPLIT(D64, "",""))) &gt; 0, ""RU"", 0)"),0)</f>
        <v>0</v>
      </c>
      <c r="K64" s="39">
        <f ca="1">IFERROR(__xludf.DUMMYFUNCTION("IF(SUM(COUNTIF(artists!E:E, SPLIT(D64, "",""))) &gt; 0, ""OTHER"", 0)"),0)</f>
        <v>0</v>
      </c>
    </row>
    <row r="65" spans="1:11" ht="14.25" customHeight="1">
      <c r="A65" s="21">
        <v>64</v>
      </c>
      <c r="B65" s="21">
        <v>75</v>
      </c>
      <c r="C65" s="21" t="s">
        <v>597</v>
      </c>
      <c r="D65" s="21" t="s">
        <v>598</v>
      </c>
      <c r="E65" s="21">
        <v>16</v>
      </c>
      <c r="F65" s="21">
        <v>224585</v>
      </c>
      <c r="G65" s="42">
        <v>0.16400000000000001</v>
      </c>
      <c r="H65" s="21" t="s">
        <v>600</v>
      </c>
      <c r="I65" s="39" t="str">
        <f ca="1">IFERROR(__xludf.DUMMYFUNCTION("IF(SUM(COUNTIF(artists!A:A, SPLIT(D65, "",""))) &gt; 0, ""UA"", 0)"),"UA")</f>
        <v>UA</v>
      </c>
      <c r="J65" s="40">
        <f ca="1">IFERROR(__xludf.DUMMYFUNCTION("IF(SUM(COUNTIF(artists!C:C, SPLIT(D65, "",""))) &gt; 0, ""RU"", 0)"),0)</f>
        <v>0</v>
      </c>
      <c r="K65" s="39">
        <f ca="1">IFERROR(__xludf.DUMMYFUNCTION("IF(SUM(COUNTIF(artists!E:E, SPLIT(D65, "",""))) &gt; 0, ""OTHER"", 0)"),0)</f>
        <v>0</v>
      </c>
    </row>
    <row r="66" spans="1:11" ht="14.25" customHeight="1">
      <c r="A66" s="21">
        <v>65</v>
      </c>
      <c r="B66" s="21">
        <v>52</v>
      </c>
      <c r="C66" s="21" t="s">
        <v>1403</v>
      </c>
      <c r="D66" s="21" t="s">
        <v>259</v>
      </c>
      <c r="E66" s="21">
        <v>2</v>
      </c>
      <c r="F66" s="21">
        <v>222012</v>
      </c>
      <c r="G66" s="42">
        <v>-0.20799999999999999</v>
      </c>
      <c r="H66" s="21" t="s">
        <v>1404</v>
      </c>
      <c r="I66" s="39" t="str">
        <f ca="1">IFERROR(__xludf.DUMMYFUNCTION("IF(SUM(COUNTIF(artists!A:A, SPLIT(D66, "",""))) &gt; 0, ""UA"", 0)"),"UA")</f>
        <v>UA</v>
      </c>
      <c r="J66" s="40">
        <f ca="1">IFERROR(__xludf.DUMMYFUNCTION("IF(SUM(COUNTIF(artists!C:C, SPLIT(D66, "",""))) &gt; 0, ""RU"", 0)"),0)</f>
        <v>0</v>
      </c>
      <c r="K66" s="39">
        <f ca="1">IFERROR(__xludf.DUMMYFUNCTION("IF(SUM(COUNTIF(artists!E:E, SPLIT(D66, "",""))) &gt; 0, ""OTHER"", 0)"),0)</f>
        <v>0</v>
      </c>
    </row>
    <row r="67" spans="1:11" ht="14.25" customHeight="1">
      <c r="A67" s="21">
        <v>66</v>
      </c>
      <c r="B67" s="21">
        <v>55</v>
      </c>
      <c r="C67" s="21" t="s">
        <v>1418</v>
      </c>
      <c r="D67" s="21" t="s">
        <v>698</v>
      </c>
      <c r="E67" s="21">
        <v>5</v>
      </c>
      <c r="F67" s="21">
        <v>217694</v>
      </c>
      <c r="G67" s="42">
        <v>-0.17899999999999999</v>
      </c>
      <c r="H67" s="21" t="s">
        <v>1419</v>
      </c>
      <c r="I67" s="39">
        <f ca="1">IFERROR(__xludf.DUMMYFUNCTION("IF(SUM(COUNTIF(artists!A:A, SPLIT(D67, "",""))) &gt; 0, ""UA"", 0)"),0)</f>
        <v>0</v>
      </c>
      <c r="J67" s="40" t="str">
        <f ca="1">IFERROR(__xludf.DUMMYFUNCTION("IF(SUM(COUNTIF(artists!C:C, SPLIT(D67, "",""))) &gt; 0, ""RU"", 0)"),"RU")</f>
        <v>RU</v>
      </c>
      <c r="K67" s="39">
        <f ca="1">IFERROR(__xludf.DUMMYFUNCTION("IF(SUM(COUNTIF(artists!E:E, SPLIT(D67, "",""))) &gt; 0, ""OTHER"", 0)"),0)</f>
        <v>0</v>
      </c>
    </row>
    <row r="68" spans="1:11" ht="14.25" customHeight="1">
      <c r="A68" s="21">
        <v>67</v>
      </c>
      <c r="B68" s="21">
        <v>58</v>
      </c>
      <c r="C68" s="21" t="s">
        <v>1425</v>
      </c>
      <c r="D68" s="21" t="s">
        <v>1426</v>
      </c>
      <c r="E68" s="21">
        <v>2</v>
      </c>
      <c r="F68" s="21">
        <v>214971</v>
      </c>
      <c r="G68" s="42">
        <v>-0.153</v>
      </c>
      <c r="H68" s="21" t="s">
        <v>1427</v>
      </c>
      <c r="I68" s="39" t="str">
        <f ca="1">IFERROR(__xludf.DUMMYFUNCTION("IF(SUM(COUNTIF(artists!A:A, SPLIT(D68, "",""))) &gt; 0, ""UA"", 0)"),"UA")</f>
        <v>UA</v>
      </c>
      <c r="J68" s="40">
        <f ca="1">IFERROR(__xludf.DUMMYFUNCTION("IF(SUM(COUNTIF(artists!C:C, SPLIT(D68, "",""))) &gt; 0, ""RU"", 0)"),0)</f>
        <v>0</v>
      </c>
      <c r="K68" s="39">
        <f ca="1">IFERROR(__xludf.DUMMYFUNCTION("IF(SUM(COUNTIF(artists!E:E, SPLIT(D68, "",""))) &gt; 0, ""OTHER"", 0)"),0)</f>
        <v>0</v>
      </c>
    </row>
    <row r="69" spans="1:11" ht="14.25" customHeight="1">
      <c r="A69" s="21">
        <v>68</v>
      </c>
      <c r="B69" s="21">
        <v>78</v>
      </c>
      <c r="C69" s="21" t="s">
        <v>489</v>
      </c>
      <c r="D69" s="21" t="s">
        <v>490</v>
      </c>
      <c r="E69" s="21">
        <v>19</v>
      </c>
      <c r="F69" s="21">
        <v>212638</v>
      </c>
      <c r="G69" s="42">
        <v>0.127</v>
      </c>
      <c r="H69" s="21" t="s">
        <v>491</v>
      </c>
      <c r="I69" s="39" t="str">
        <f ca="1">IFERROR(__xludf.DUMMYFUNCTION("IF(SUM(COUNTIF(artists!A:A, SPLIT(D69, "",""))) &gt; 0, ""UA"", 0)"),"UA")</f>
        <v>UA</v>
      </c>
      <c r="J69" s="40">
        <f ca="1">IFERROR(__xludf.DUMMYFUNCTION("IF(SUM(COUNTIF(artists!C:C, SPLIT(D69, "",""))) &gt; 0, ""RU"", 0)"),0)</f>
        <v>0</v>
      </c>
      <c r="K69" s="39">
        <f ca="1">IFERROR(__xludf.DUMMYFUNCTION("IF(SUM(COUNTIF(artists!E:E, SPLIT(D69, "",""))) &gt; 0, ""OTHER"", 0)"),0)</f>
        <v>0</v>
      </c>
    </row>
    <row r="70" spans="1:11" ht="14.25" customHeight="1">
      <c r="A70" s="21">
        <v>69</v>
      </c>
      <c r="B70" s="21">
        <v>64</v>
      </c>
      <c r="C70" s="21" t="s">
        <v>1343</v>
      </c>
      <c r="D70" s="21" t="s">
        <v>1344</v>
      </c>
      <c r="E70" s="21">
        <v>6</v>
      </c>
      <c r="F70" s="21">
        <v>209218</v>
      </c>
      <c r="G70" s="42">
        <v>-9.8000000000000004E-2</v>
      </c>
      <c r="H70" s="21" t="s">
        <v>1345</v>
      </c>
      <c r="I70" s="39" t="str">
        <f ca="1">IFERROR(__xludf.DUMMYFUNCTION("IF(SUM(COUNTIF(artists!A:A, SPLIT(D70, "",""))) &gt; 0, ""UA"", 0)"),"UA")</f>
        <v>UA</v>
      </c>
      <c r="J70" s="40">
        <f ca="1">IFERROR(__xludf.DUMMYFUNCTION("IF(SUM(COUNTIF(artists!C:C, SPLIT(D70, "",""))) &gt; 0, ""RU"", 0)"),0)</f>
        <v>0</v>
      </c>
      <c r="K70" s="39">
        <f ca="1">IFERROR(__xludf.DUMMYFUNCTION("IF(SUM(COUNTIF(artists!E:E, SPLIT(D70, "",""))) &gt; 0, ""OTHER"", 0)"),0)</f>
        <v>0</v>
      </c>
    </row>
    <row r="71" spans="1:11" ht="14.25" customHeight="1">
      <c r="A71" s="21">
        <v>70</v>
      </c>
      <c r="B71" s="21">
        <v>57</v>
      </c>
      <c r="C71" s="21" t="s">
        <v>1460</v>
      </c>
      <c r="D71" s="21" t="s">
        <v>1461</v>
      </c>
      <c r="E71" s="21">
        <v>4</v>
      </c>
      <c r="F71" s="21">
        <v>203180</v>
      </c>
      <c r="G71" s="42">
        <v>-0.214</v>
      </c>
      <c r="H71" s="21" t="s">
        <v>1462</v>
      </c>
      <c r="I71" s="39">
        <f ca="1">IFERROR(__xludf.DUMMYFUNCTION("IF(SUM(COUNTIF(artists!A:A, SPLIT(D71, "",""))) &gt; 0, ""UA"", 0)"),0)</f>
        <v>0</v>
      </c>
      <c r="J71" s="40" t="str">
        <f ca="1">IFERROR(__xludf.DUMMYFUNCTION("IF(SUM(COUNTIF(artists!C:C, SPLIT(D71, "",""))) &gt; 0, ""RU"", 0)"),"RU")</f>
        <v>RU</v>
      </c>
      <c r="K71" s="39">
        <f ca="1">IFERROR(__xludf.DUMMYFUNCTION("IF(SUM(COUNTIF(artists!E:E, SPLIT(D71, "",""))) &gt; 0, ""OTHER"", 0)"),0)</f>
        <v>0</v>
      </c>
    </row>
    <row r="72" spans="1:11" ht="14.25" customHeight="1">
      <c r="A72" s="21">
        <v>71</v>
      </c>
      <c r="C72" s="21" t="s">
        <v>1474</v>
      </c>
      <c r="D72" s="21" t="s">
        <v>1475</v>
      </c>
      <c r="E72" s="21">
        <v>1</v>
      </c>
      <c r="F72" s="21">
        <v>200190</v>
      </c>
      <c r="H72" s="21" t="s">
        <v>1476</v>
      </c>
      <c r="I72" s="39" t="str">
        <f ca="1">IFERROR(__xludf.DUMMYFUNCTION("IF(SUM(COUNTIF(artists!A:A, SPLIT(D72, "",""))) &gt; 0, ""UA"", 0)"),"UA")</f>
        <v>UA</v>
      </c>
      <c r="J72" s="40">
        <f ca="1">IFERROR(__xludf.DUMMYFUNCTION("IF(SUM(COUNTIF(artists!C:C, SPLIT(D72, "",""))) &gt; 0, ""RU"", 0)"),0)</f>
        <v>0</v>
      </c>
      <c r="K72" s="39">
        <f ca="1">IFERROR(__xludf.DUMMYFUNCTION("IF(SUM(COUNTIF(artists!E:E, SPLIT(D72, "",""))) &gt; 0, ""OTHER"", 0)"),0)</f>
        <v>0</v>
      </c>
    </row>
    <row r="73" spans="1:11" ht="14.25" customHeight="1">
      <c r="A73" s="21">
        <v>72</v>
      </c>
      <c r="B73" s="21">
        <v>71</v>
      </c>
      <c r="C73" s="21" t="s">
        <v>1308</v>
      </c>
      <c r="D73" s="21" t="s">
        <v>1309</v>
      </c>
      <c r="E73" s="21">
        <v>6</v>
      </c>
      <c r="F73" s="21">
        <v>197170</v>
      </c>
      <c r="G73" s="42">
        <v>-4.2000000000000003E-2</v>
      </c>
      <c r="H73" s="21" t="s">
        <v>1310</v>
      </c>
      <c r="I73" s="39" t="str">
        <f ca="1">IFERROR(__xludf.DUMMYFUNCTION("IF(SUM(COUNTIF(artists!A:A, SPLIT(D73, "",""))) &gt; 0, ""UA"", 0)"),"UA")</f>
        <v>UA</v>
      </c>
      <c r="J73" s="40">
        <f ca="1">IFERROR(__xludf.DUMMYFUNCTION("IF(SUM(COUNTIF(artists!C:C, SPLIT(D73, "",""))) &gt; 0, ""RU"", 0)"),0)</f>
        <v>0</v>
      </c>
      <c r="K73" s="39">
        <f ca="1">IFERROR(__xludf.DUMMYFUNCTION("IF(SUM(COUNTIF(artists!E:E, SPLIT(D73, "",""))) &gt; 0, ""OTHER"", 0)"),0)</f>
        <v>0</v>
      </c>
    </row>
    <row r="74" spans="1:11" ht="14.25" customHeight="1">
      <c r="A74" s="21">
        <v>73</v>
      </c>
      <c r="B74" s="21">
        <v>74</v>
      </c>
      <c r="C74" s="21" t="s">
        <v>470</v>
      </c>
      <c r="D74" s="21" t="s">
        <v>81</v>
      </c>
      <c r="E74" s="21">
        <v>20</v>
      </c>
      <c r="F74" s="21">
        <v>193936</v>
      </c>
      <c r="G74" s="42">
        <v>-4.7E-2</v>
      </c>
      <c r="H74" s="21" t="s">
        <v>472</v>
      </c>
      <c r="I74" s="39" t="str">
        <f ca="1">IFERROR(__xludf.DUMMYFUNCTION("IF(SUM(COUNTIF(artists!A:A, SPLIT(D74, "",""))) &gt; 0, ""UA"", 0)"),"UA")</f>
        <v>UA</v>
      </c>
      <c r="J74" s="40">
        <f ca="1">IFERROR(__xludf.DUMMYFUNCTION("IF(SUM(COUNTIF(artists!C:C, SPLIT(D74, "",""))) &gt; 0, ""RU"", 0)"),0)</f>
        <v>0</v>
      </c>
      <c r="K74" s="39">
        <f ca="1">IFERROR(__xludf.DUMMYFUNCTION("IF(SUM(COUNTIF(artists!E:E, SPLIT(D74, "",""))) &gt; 0, ""OTHER"", 0)"),0)</f>
        <v>0</v>
      </c>
    </row>
    <row r="75" spans="1:11" ht="14.25" customHeight="1">
      <c r="A75" s="21">
        <v>74</v>
      </c>
      <c r="B75" s="21">
        <v>82</v>
      </c>
      <c r="C75" s="21" t="s">
        <v>1477</v>
      </c>
      <c r="D75" s="21" t="s">
        <v>1478</v>
      </c>
      <c r="E75" s="21">
        <v>20</v>
      </c>
      <c r="F75" s="21">
        <v>189898</v>
      </c>
      <c r="G75" s="42">
        <v>5.8000000000000003E-2</v>
      </c>
      <c r="H75" s="21" t="s">
        <v>1479</v>
      </c>
      <c r="I75" s="39" t="str">
        <f ca="1">IFERROR(__xludf.DUMMYFUNCTION("IF(SUM(COUNTIF(artists!A:A, SPLIT(D75, "",""))) &gt; 0, ""UA"", 0)"),"UA")</f>
        <v>UA</v>
      </c>
      <c r="J75" s="40">
        <f ca="1">IFERROR(__xludf.DUMMYFUNCTION("IF(SUM(COUNTIF(artists!C:C, SPLIT(D75, "",""))) &gt; 0, ""RU"", 0)"),0)</f>
        <v>0</v>
      </c>
      <c r="K75" s="39">
        <f ca="1">IFERROR(__xludf.DUMMYFUNCTION("IF(SUM(COUNTIF(artists!E:E, SPLIT(D75, "",""))) &gt; 0, ""OTHER"", 0)"),0)</f>
        <v>0</v>
      </c>
    </row>
    <row r="76" spans="1:11" ht="14.25" customHeight="1">
      <c r="A76" s="21">
        <v>75</v>
      </c>
      <c r="B76" s="21">
        <v>66</v>
      </c>
      <c r="C76" s="21" t="s">
        <v>1377</v>
      </c>
      <c r="D76" s="21" t="s">
        <v>463</v>
      </c>
      <c r="E76" s="21">
        <v>10</v>
      </c>
      <c r="F76" s="21">
        <v>188812</v>
      </c>
      <c r="G76" s="42">
        <v>-0.16500000000000001</v>
      </c>
      <c r="H76" s="21" t="s">
        <v>1378</v>
      </c>
      <c r="I76" s="39" t="str">
        <f ca="1">IFERROR(__xludf.DUMMYFUNCTION("IF(SUM(COUNTIF(artists!A:A, SPLIT(D76, "",""))) &gt; 0, ""UA"", 0)"),"UA")</f>
        <v>UA</v>
      </c>
      <c r="J76" s="40">
        <f ca="1">IFERROR(__xludf.DUMMYFUNCTION("IF(SUM(COUNTIF(artists!C:C, SPLIT(D76, "",""))) &gt; 0, ""RU"", 0)"),0)</f>
        <v>0</v>
      </c>
      <c r="K76" s="39">
        <f ca="1">IFERROR(__xludf.DUMMYFUNCTION("IF(SUM(COUNTIF(artists!E:E, SPLIT(D76, "",""))) &gt; 0, ""OTHER"", 0)"),0)</f>
        <v>0</v>
      </c>
    </row>
    <row r="77" spans="1:11" ht="14.25" customHeight="1">
      <c r="A77" s="21">
        <v>76</v>
      </c>
      <c r="B77" s="21">
        <v>81</v>
      </c>
      <c r="C77" s="21" t="s">
        <v>1387</v>
      </c>
      <c r="D77" s="21" t="s">
        <v>1388</v>
      </c>
      <c r="E77" s="21">
        <v>15</v>
      </c>
      <c r="F77" s="21">
        <v>188322</v>
      </c>
      <c r="G77" s="42">
        <v>2.7E-2</v>
      </c>
      <c r="H77" s="21" t="s">
        <v>1389</v>
      </c>
      <c r="I77" s="39">
        <f ca="1">IFERROR(__xludf.DUMMYFUNCTION("IF(SUM(COUNTIF(artists!A:A, SPLIT(D77, "",""))) &gt; 0, ""UA"", 0)"),0)</f>
        <v>0</v>
      </c>
      <c r="J77" s="40">
        <f ca="1">IFERROR(__xludf.DUMMYFUNCTION("IF(SUM(COUNTIF(artists!C:C, SPLIT(D77, "",""))) &gt; 0, ""RU"", 0)"),0)</f>
        <v>0</v>
      </c>
      <c r="K77" s="39" t="str">
        <f ca="1">IFERROR(__xludf.DUMMYFUNCTION("IF(SUM(COUNTIF(artists!E:E, SPLIT(D77, "",""))) &gt; 0, ""OTHER"", 0)"),"OTHER")</f>
        <v>OTHER</v>
      </c>
    </row>
    <row r="78" spans="1:11" ht="14.25" customHeight="1">
      <c r="A78" s="21">
        <v>77</v>
      </c>
      <c r="B78" s="21">
        <v>80</v>
      </c>
      <c r="C78" s="21" t="s">
        <v>1480</v>
      </c>
      <c r="D78" s="21" t="s">
        <v>1481</v>
      </c>
      <c r="E78" s="21">
        <v>16</v>
      </c>
      <c r="F78" s="21">
        <v>187285</v>
      </c>
      <c r="G78" s="42">
        <v>1.2E-2</v>
      </c>
      <c r="H78" s="21" t="s">
        <v>1482</v>
      </c>
      <c r="I78" s="39" t="str">
        <f ca="1">IFERROR(__xludf.DUMMYFUNCTION("IF(SUM(COUNTIF(artists!A:A, SPLIT(D78, "",""))) &gt; 0, ""UA"", 0)"),"UA")</f>
        <v>UA</v>
      </c>
      <c r="J78" s="40">
        <f ca="1">IFERROR(__xludf.DUMMYFUNCTION("IF(SUM(COUNTIF(artists!C:C, SPLIT(D78, "",""))) &gt; 0, ""RU"", 0)"),0)</f>
        <v>0</v>
      </c>
      <c r="K78" s="39">
        <f ca="1">IFERROR(__xludf.DUMMYFUNCTION("IF(SUM(COUNTIF(artists!E:E, SPLIT(D78, "",""))) &gt; 0, ""OTHER"", 0)"),0)</f>
        <v>0</v>
      </c>
    </row>
    <row r="79" spans="1:11" ht="14.25" customHeight="1">
      <c r="A79" s="21">
        <v>78</v>
      </c>
      <c r="B79" s="21">
        <v>68</v>
      </c>
      <c r="C79" s="21" t="s">
        <v>1290</v>
      </c>
      <c r="D79" s="21" t="s">
        <v>942</v>
      </c>
      <c r="E79" s="21">
        <v>15</v>
      </c>
      <c r="F79" s="21">
        <v>184840</v>
      </c>
      <c r="G79" s="42">
        <v>-0.124</v>
      </c>
      <c r="H79" s="21" t="s">
        <v>1291</v>
      </c>
      <c r="I79" s="39" t="str">
        <f ca="1">IFERROR(__xludf.DUMMYFUNCTION("IF(SUM(COUNTIF(artists!A:A, SPLIT(D79, "",""))) &gt; 0, ""UA"", 0)"),"UA")</f>
        <v>UA</v>
      </c>
      <c r="J79" s="40">
        <f ca="1">IFERROR(__xludf.DUMMYFUNCTION("IF(SUM(COUNTIF(artists!C:C, SPLIT(D79, "",""))) &gt; 0, ""RU"", 0)"),0)</f>
        <v>0</v>
      </c>
      <c r="K79" s="39">
        <f ca="1">IFERROR(__xludf.DUMMYFUNCTION("IF(SUM(COUNTIF(artists!E:E, SPLIT(D79, "",""))) &gt; 0, ""OTHER"", 0)"),0)</f>
        <v>0</v>
      </c>
    </row>
    <row r="80" spans="1:11" ht="14.25" customHeight="1">
      <c r="A80" s="21">
        <v>79</v>
      </c>
      <c r="B80" s="21">
        <v>69</v>
      </c>
      <c r="C80" s="21" t="s">
        <v>1236</v>
      </c>
      <c r="D80" s="21" t="s">
        <v>1237</v>
      </c>
      <c r="E80" s="21">
        <v>3</v>
      </c>
      <c r="F80" s="21">
        <v>183989</v>
      </c>
      <c r="G80" s="42">
        <v>-0.128</v>
      </c>
      <c r="H80" s="21" t="s">
        <v>1238</v>
      </c>
      <c r="I80" s="39">
        <f ca="1">IFERROR(__xludf.DUMMYFUNCTION("IF(SUM(COUNTIF(artists!A:A, SPLIT(D80, "",""))) &gt; 0, ""UA"", 0)"),0)</f>
        <v>0</v>
      </c>
      <c r="J80" s="40" t="str">
        <f ca="1">IFERROR(__xludf.DUMMYFUNCTION("IF(SUM(COUNTIF(artists!C:C, SPLIT(D80, "",""))) &gt; 0, ""RU"", 0)"),"RU")</f>
        <v>RU</v>
      </c>
      <c r="K80" s="39">
        <f ca="1">IFERROR(__xludf.DUMMYFUNCTION("IF(SUM(COUNTIF(artists!E:E, SPLIT(D80, "",""))) &gt; 0, ""OTHER"", 0)"),0)</f>
        <v>0</v>
      </c>
    </row>
    <row r="81" spans="1:11" ht="14.25" customHeight="1">
      <c r="A81" s="21">
        <v>80</v>
      </c>
      <c r="C81" s="21" t="s">
        <v>1483</v>
      </c>
      <c r="D81" s="21" t="s">
        <v>972</v>
      </c>
      <c r="E81" s="21">
        <v>22</v>
      </c>
      <c r="F81" s="21">
        <v>183663</v>
      </c>
      <c r="H81" s="21" t="s">
        <v>1484</v>
      </c>
      <c r="I81" s="39">
        <f ca="1">IFERROR(__xludf.DUMMYFUNCTION("IF(SUM(COUNTIF(artists!A:A, SPLIT(D81, "",""))) &gt; 0, ""UA"", 0)"),0)</f>
        <v>0</v>
      </c>
      <c r="J81" s="40">
        <f ca="1">IFERROR(__xludf.DUMMYFUNCTION("IF(SUM(COUNTIF(artists!C:C, SPLIT(D81, "",""))) &gt; 0, ""RU"", 0)"),0)</f>
        <v>0</v>
      </c>
      <c r="K81" s="39" t="str">
        <f ca="1">IFERROR(__xludf.DUMMYFUNCTION("IF(SUM(COUNTIF(artists!E:E, SPLIT(D81, "",""))) &gt; 0, ""OTHER"", 0)"),"OTHER")</f>
        <v>OTHER</v>
      </c>
    </row>
    <row r="82" spans="1:11" ht="14.25" customHeight="1">
      <c r="A82" s="21">
        <v>81</v>
      </c>
      <c r="B82" s="21">
        <v>83</v>
      </c>
      <c r="C82" s="21" t="s">
        <v>1416</v>
      </c>
      <c r="D82" s="21" t="s">
        <v>137</v>
      </c>
      <c r="E82" s="21">
        <v>16</v>
      </c>
      <c r="F82" s="21">
        <v>181172</v>
      </c>
      <c r="G82" s="42">
        <v>1.7999999999999999E-2</v>
      </c>
      <c r="H82" s="21" t="s">
        <v>1417</v>
      </c>
      <c r="I82" s="39" t="str">
        <f ca="1">IFERROR(__xludf.DUMMYFUNCTION("IF(SUM(COUNTIF(artists!A:A, SPLIT(D82, "",""))) &gt; 0, ""UA"", 0)"),"UA")</f>
        <v>UA</v>
      </c>
      <c r="J82" s="40">
        <f ca="1">IFERROR(__xludf.DUMMYFUNCTION("IF(SUM(COUNTIF(artists!C:C, SPLIT(D82, "",""))) &gt; 0, ""RU"", 0)"),0)</f>
        <v>0</v>
      </c>
      <c r="K82" s="39">
        <f ca="1">IFERROR(__xludf.DUMMYFUNCTION("IF(SUM(COUNTIF(artists!E:E, SPLIT(D82, "",""))) &gt; 0, ""OTHER"", 0)"),0)</f>
        <v>0</v>
      </c>
    </row>
    <row r="83" spans="1:11" ht="14.25" customHeight="1">
      <c r="A83" s="21">
        <v>82</v>
      </c>
      <c r="B83" s="21">
        <v>87</v>
      </c>
      <c r="C83" s="21" t="s">
        <v>1385</v>
      </c>
      <c r="D83" s="21" t="s">
        <v>896</v>
      </c>
      <c r="E83" s="21">
        <v>8</v>
      </c>
      <c r="F83" s="21">
        <v>179430</v>
      </c>
      <c r="G83" s="42">
        <v>3.7999999999999999E-2</v>
      </c>
      <c r="H83" s="21" t="s">
        <v>1386</v>
      </c>
      <c r="I83" s="39" t="str">
        <f ca="1">IFERROR(__xludf.DUMMYFUNCTION("IF(SUM(COUNTIF(artists!A:A, SPLIT(D83, "",""))) &gt; 0, ""UA"", 0)"),"UA")</f>
        <v>UA</v>
      </c>
      <c r="J83" s="40">
        <f ca="1">IFERROR(__xludf.DUMMYFUNCTION("IF(SUM(COUNTIF(artists!C:C, SPLIT(D83, "",""))) &gt; 0, ""RU"", 0)"),0)</f>
        <v>0</v>
      </c>
      <c r="K83" s="39">
        <f ca="1">IFERROR(__xludf.DUMMYFUNCTION("IF(SUM(COUNTIF(artists!E:E, SPLIT(D83, "",""))) &gt; 0, ""OTHER"", 0)"),0)</f>
        <v>0</v>
      </c>
    </row>
    <row r="84" spans="1:11" ht="14.25" customHeight="1">
      <c r="A84" s="21">
        <v>83</v>
      </c>
      <c r="B84" s="21">
        <v>96</v>
      </c>
      <c r="C84" s="21" t="s">
        <v>1076</v>
      </c>
      <c r="D84" s="21" t="s">
        <v>1077</v>
      </c>
      <c r="E84" s="21">
        <v>2</v>
      </c>
      <c r="F84" s="21">
        <v>177263</v>
      </c>
      <c r="G84" s="42">
        <v>9.4E-2</v>
      </c>
      <c r="H84" s="21" t="s">
        <v>1078</v>
      </c>
      <c r="I84" s="39" t="str">
        <f ca="1">IFERROR(__xludf.DUMMYFUNCTION("IF(SUM(COUNTIF(artists!A:A, SPLIT(D84, "",""))) &gt; 0, ""UA"", 0)"),"UA")</f>
        <v>UA</v>
      </c>
      <c r="J84" s="40">
        <f ca="1">IFERROR(__xludf.DUMMYFUNCTION("IF(SUM(COUNTIF(artists!C:C, SPLIT(D84, "",""))) &gt; 0, ""RU"", 0)"),0)</f>
        <v>0</v>
      </c>
      <c r="K84" s="39">
        <f ca="1">IFERROR(__xludf.DUMMYFUNCTION("IF(SUM(COUNTIF(artists!E:E, SPLIT(D84, "",""))) &gt; 0, ""OTHER"", 0)"),0)</f>
        <v>0</v>
      </c>
    </row>
    <row r="85" spans="1:11" ht="14.25" customHeight="1">
      <c r="A85" s="21">
        <v>84</v>
      </c>
      <c r="B85" s="21">
        <v>79</v>
      </c>
      <c r="C85" s="21" t="s">
        <v>1463</v>
      </c>
      <c r="D85" s="21" t="s">
        <v>1344</v>
      </c>
      <c r="E85" s="21">
        <v>19</v>
      </c>
      <c r="F85" s="21">
        <v>176523</v>
      </c>
      <c r="G85" s="42">
        <v>-5.8999999999999997E-2</v>
      </c>
      <c r="H85" s="21" t="s">
        <v>1464</v>
      </c>
      <c r="I85" s="39" t="str">
        <f ca="1">IFERROR(__xludf.DUMMYFUNCTION("IF(SUM(COUNTIF(artists!A:A, SPLIT(D85, "",""))) &gt; 0, ""UA"", 0)"),"UA")</f>
        <v>UA</v>
      </c>
      <c r="J85" s="40">
        <f ca="1">IFERROR(__xludf.DUMMYFUNCTION("IF(SUM(COUNTIF(artists!C:C, SPLIT(D85, "",""))) &gt; 0, ""RU"", 0)"),0)</f>
        <v>0</v>
      </c>
      <c r="K85" s="39">
        <f ca="1">IFERROR(__xludf.DUMMYFUNCTION("IF(SUM(COUNTIF(artists!E:E, SPLIT(D85, "",""))) &gt; 0, ""OTHER"", 0)"),0)</f>
        <v>0</v>
      </c>
    </row>
    <row r="86" spans="1:11" ht="14.25" customHeight="1">
      <c r="A86" s="21">
        <v>85</v>
      </c>
      <c r="B86" s="21">
        <v>77</v>
      </c>
      <c r="C86" s="21" t="s">
        <v>1375</v>
      </c>
      <c r="D86" s="21" t="s">
        <v>907</v>
      </c>
      <c r="E86" s="21">
        <v>4</v>
      </c>
      <c r="F86" s="21">
        <v>175393</v>
      </c>
      <c r="G86" s="42">
        <v>-7.1999999999999995E-2</v>
      </c>
      <c r="H86" s="21" t="s">
        <v>1376</v>
      </c>
      <c r="I86" s="39">
        <f ca="1">IFERROR(__xludf.DUMMYFUNCTION("IF(SUM(COUNTIF(artists!A:A, SPLIT(D86, "",""))) &gt; 0, ""UA"", 0)"),0)</f>
        <v>0</v>
      </c>
      <c r="J86" s="40" t="str">
        <f ca="1">IFERROR(__xludf.DUMMYFUNCTION("IF(SUM(COUNTIF(artists!C:C, SPLIT(D86, "",""))) &gt; 0, ""RU"", 0)"),"RU")</f>
        <v>RU</v>
      </c>
      <c r="K86" s="39">
        <f ca="1">IFERROR(__xludf.DUMMYFUNCTION("IF(SUM(COUNTIF(artists!E:E, SPLIT(D86, "",""))) &gt; 0, ""OTHER"", 0)"),0)</f>
        <v>0</v>
      </c>
    </row>
    <row r="87" spans="1:11" ht="14.25" customHeight="1">
      <c r="A87" s="21">
        <v>86</v>
      </c>
      <c r="C87" s="21" t="s">
        <v>616</v>
      </c>
      <c r="D87" s="21" t="s">
        <v>617</v>
      </c>
      <c r="E87" s="21">
        <v>1</v>
      </c>
      <c r="F87" s="21">
        <v>174107</v>
      </c>
      <c r="H87" s="21" t="s">
        <v>618</v>
      </c>
      <c r="I87" s="39">
        <f ca="1">IFERROR(__xludf.DUMMYFUNCTION("IF(SUM(COUNTIF(artists!A:A, SPLIT(D87, "",""))) &gt; 0, ""UA"", 0)"),0)</f>
        <v>0</v>
      </c>
      <c r="J87" s="40">
        <f ca="1">IFERROR(__xludf.DUMMYFUNCTION("IF(SUM(COUNTIF(artists!C:C, SPLIT(D87, "",""))) &gt; 0, ""RU"", 0)"),0)</f>
        <v>0</v>
      </c>
      <c r="K87" s="39" t="str">
        <f ca="1">IFERROR(__xludf.DUMMYFUNCTION("IF(SUM(COUNTIF(artists!E:E, SPLIT(D87, "",""))) &gt; 0, ""OTHER"", 0)"),"OTHER")</f>
        <v>OTHER</v>
      </c>
    </row>
    <row r="88" spans="1:11" ht="14.25" customHeight="1">
      <c r="A88" s="21">
        <v>87</v>
      </c>
      <c r="B88" s="21">
        <v>90</v>
      </c>
      <c r="C88" s="21" t="s">
        <v>1379</v>
      </c>
      <c r="D88" s="21" t="s">
        <v>598</v>
      </c>
      <c r="E88" s="21">
        <v>8</v>
      </c>
      <c r="F88" s="21">
        <v>171888</v>
      </c>
      <c r="G88" s="42">
        <v>1.2E-2</v>
      </c>
      <c r="H88" s="21" t="s">
        <v>1380</v>
      </c>
      <c r="I88" s="39" t="str">
        <f ca="1">IFERROR(__xludf.DUMMYFUNCTION("IF(SUM(COUNTIF(artists!A:A, SPLIT(D88, "",""))) &gt; 0, ""UA"", 0)"),"UA")</f>
        <v>UA</v>
      </c>
      <c r="J88" s="40">
        <f ca="1">IFERROR(__xludf.DUMMYFUNCTION("IF(SUM(COUNTIF(artists!C:C, SPLIT(D88, "",""))) &gt; 0, ""RU"", 0)"),0)</f>
        <v>0</v>
      </c>
      <c r="K88" s="39">
        <f ca="1">IFERROR(__xludf.DUMMYFUNCTION("IF(SUM(COUNTIF(artists!E:E, SPLIT(D88, "",""))) &gt; 0, ""OTHER"", 0)"),0)</f>
        <v>0</v>
      </c>
    </row>
    <row r="89" spans="1:11" ht="14.25" customHeight="1">
      <c r="A89" s="21">
        <v>88</v>
      </c>
      <c r="B89" s="21">
        <v>85</v>
      </c>
      <c r="C89" s="21" t="s">
        <v>1485</v>
      </c>
      <c r="D89" s="21" t="s">
        <v>907</v>
      </c>
      <c r="E89" s="21">
        <v>3</v>
      </c>
      <c r="F89" s="21">
        <v>169592</v>
      </c>
      <c r="G89" s="43">
        <v>-0.04</v>
      </c>
      <c r="H89" s="21" t="s">
        <v>1486</v>
      </c>
      <c r="I89" s="39">
        <f ca="1">IFERROR(__xludf.DUMMYFUNCTION("IF(SUM(COUNTIF(artists!A:A, SPLIT(D89, "",""))) &gt; 0, ""UA"", 0)"),0)</f>
        <v>0</v>
      </c>
      <c r="J89" s="40" t="str">
        <f ca="1">IFERROR(__xludf.DUMMYFUNCTION("IF(SUM(COUNTIF(artists!C:C, SPLIT(D89, "",""))) &gt; 0, ""RU"", 0)"),"RU")</f>
        <v>RU</v>
      </c>
      <c r="K89" s="39">
        <f ca="1">IFERROR(__xludf.DUMMYFUNCTION("IF(SUM(COUNTIF(artists!E:E, SPLIT(D89, "",""))) &gt; 0, ""OTHER"", 0)"),0)</f>
        <v>0</v>
      </c>
    </row>
    <row r="90" spans="1:11" ht="14.25" customHeight="1">
      <c r="A90" s="21">
        <v>89</v>
      </c>
      <c r="B90" s="21">
        <v>92</v>
      </c>
      <c r="C90" s="21" t="s">
        <v>1468</v>
      </c>
      <c r="D90" s="21" t="s">
        <v>1469</v>
      </c>
      <c r="E90" s="21">
        <v>2</v>
      </c>
      <c r="F90" s="21">
        <v>168182</v>
      </c>
      <c r="G90" s="42">
        <v>-2E-3</v>
      </c>
      <c r="H90" s="21" t="s">
        <v>1470</v>
      </c>
      <c r="I90" s="39">
        <f ca="1">IFERROR(__xludf.DUMMYFUNCTION("IF(SUM(COUNTIF(artists!A:A, SPLIT(D90, "",""))) &gt; 0, ""UA"", 0)"),0)</f>
        <v>0</v>
      </c>
      <c r="J90" s="40" t="str">
        <f ca="1">IFERROR(__xludf.DUMMYFUNCTION("IF(SUM(COUNTIF(artists!C:C, SPLIT(D90, "",""))) &gt; 0, ""RU"", 0)"),"RU")</f>
        <v>RU</v>
      </c>
      <c r="K90" s="39">
        <f ca="1">IFERROR(__xludf.DUMMYFUNCTION("IF(SUM(COUNTIF(artists!E:E, SPLIT(D90, "",""))) &gt; 0, ""OTHER"", 0)"),0)</f>
        <v>0</v>
      </c>
    </row>
    <row r="91" spans="1:11" ht="14.25" customHeight="1">
      <c r="A91" s="21">
        <v>90</v>
      </c>
      <c r="B91" s="21">
        <v>67</v>
      </c>
      <c r="C91" s="21" t="s">
        <v>1413</v>
      </c>
      <c r="D91" s="21" t="s">
        <v>1414</v>
      </c>
      <c r="E91" s="21">
        <v>5</v>
      </c>
      <c r="F91" s="21">
        <v>168047</v>
      </c>
      <c r="G91" s="42">
        <v>-0.247</v>
      </c>
      <c r="H91" s="21" t="s">
        <v>1415</v>
      </c>
      <c r="I91" s="39" t="str">
        <f ca="1">IFERROR(__xludf.DUMMYFUNCTION("IF(SUM(COUNTIF(artists!A:A, SPLIT(D91, "",""))) &gt; 0, ""UA"", 0)"),"UA")</f>
        <v>UA</v>
      </c>
      <c r="J91" s="40">
        <f ca="1">IFERROR(__xludf.DUMMYFUNCTION("IF(SUM(COUNTIF(artists!C:C, SPLIT(D91, "",""))) &gt; 0, ""RU"", 0)"),0)</f>
        <v>0</v>
      </c>
      <c r="K91" s="39">
        <f ca="1">IFERROR(__xludf.DUMMYFUNCTION("IF(SUM(COUNTIF(artists!E:E, SPLIT(D91, "",""))) &gt; 0, ""OTHER"", 0)"),0)</f>
        <v>0</v>
      </c>
    </row>
    <row r="92" spans="1:11" ht="14.25" customHeight="1">
      <c r="A92" s="21">
        <v>91</v>
      </c>
      <c r="B92" s="21">
        <v>93</v>
      </c>
      <c r="C92" s="21" t="s">
        <v>903</v>
      </c>
      <c r="D92" s="21" t="s">
        <v>904</v>
      </c>
      <c r="E92" s="21">
        <v>3</v>
      </c>
      <c r="F92" s="21">
        <v>164586</v>
      </c>
      <c r="G92" s="42">
        <v>-1.7999999999999999E-2</v>
      </c>
      <c r="H92" s="21" t="s">
        <v>905</v>
      </c>
      <c r="I92" s="39" t="str">
        <f ca="1">IFERROR(__xludf.DUMMYFUNCTION("IF(SUM(COUNTIF(artists!A:A, SPLIT(D92, "",""))) &gt; 0, ""UA"", 0)"),"UA")</f>
        <v>UA</v>
      </c>
      <c r="J92" s="40">
        <f ca="1">IFERROR(__xludf.DUMMYFUNCTION("IF(SUM(COUNTIF(artists!C:C, SPLIT(D92, "",""))) &gt; 0, ""RU"", 0)"),0)</f>
        <v>0</v>
      </c>
      <c r="K92" s="39">
        <f ca="1">IFERROR(__xludf.DUMMYFUNCTION("IF(SUM(COUNTIF(artists!E:E, SPLIT(D92, "",""))) &gt; 0, ""OTHER"", 0)"),0)</f>
        <v>0</v>
      </c>
    </row>
    <row r="93" spans="1:11" ht="14.25" customHeight="1">
      <c r="A93" s="21">
        <v>92</v>
      </c>
      <c r="C93" s="21" t="s">
        <v>1487</v>
      </c>
      <c r="D93" s="21" t="s">
        <v>409</v>
      </c>
      <c r="E93" s="21">
        <v>19</v>
      </c>
      <c r="F93" s="21">
        <v>163911</v>
      </c>
      <c r="H93" s="21" t="s">
        <v>1488</v>
      </c>
      <c r="I93" s="39" t="str">
        <f ca="1">IFERROR(__xludf.DUMMYFUNCTION("IF(SUM(COUNTIF(artists!A:A, SPLIT(D93, "",""))) &gt; 0, ""UA"", 0)"),"UA")</f>
        <v>UA</v>
      </c>
      <c r="J93" s="40">
        <f ca="1">IFERROR(__xludf.DUMMYFUNCTION("IF(SUM(COUNTIF(artists!C:C, SPLIT(D93, "",""))) &gt; 0, ""RU"", 0)"),0)</f>
        <v>0</v>
      </c>
      <c r="K93" s="39">
        <f ca="1">IFERROR(__xludf.DUMMYFUNCTION("IF(SUM(COUNTIF(artists!E:E, SPLIT(D93, "",""))) &gt; 0, ""OTHER"", 0)"),0)</f>
        <v>0</v>
      </c>
    </row>
    <row r="94" spans="1:11" ht="14.25" customHeight="1">
      <c r="A94" s="21">
        <v>93</v>
      </c>
      <c r="C94" s="21" t="s">
        <v>1489</v>
      </c>
      <c r="D94" s="21" t="s">
        <v>1185</v>
      </c>
      <c r="E94" s="21">
        <v>24</v>
      </c>
      <c r="F94" s="21">
        <v>161903</v>
      </c>
      <c r="H94" s="21" t="s">
        <v>1490</v>
      </c>
      <c r="I94" s="39">
        <f ca="1">IFERROR(__xludf.DUMMYFUNCTION("IF(SUM(COUNTIF(artists!A:A, SPLIT(D94, "",""))) &gt; 0, ""UA"", 0)"),0)</f>
        <v>0</v>
      </c>
      <c r="J94" s="40">
        <f ca="1">IFERROR(__xludf.DUMMYFUNCTION("IF(SUM(COUNTIF(artists!C:C, SPLIT(D94, "",""))) &gt; 0, ""RU"", 0)"),0)</f>
        <v>0</v>
      </c>
      <c r="K94" s="39" t="str">
        <f ca="1">IFERROR(__xludf.DUMMYFUNCTION("IF(SUM(COUNTIF(artists!E:E, SPLIT(D94, "",""))) &gt; 0, ""OTHER"", 0)"),"OTHER")</f>
        <v>OTHER</v>
      </c>
    </row>
    <row r="95" spans="1:11" ht="14.25" customHeight="1">
      <c r="A95" s="21">
        <v>94</v>
      </c>
      <c r="B95" s="21">
        <v>99</v>
      </c>
      <c r="C95" s="21" t="s">
        <v>1007</v>
      </c>
      <c r="D95" s="21" t="s">
        <v>1008</v>
      </c>
      <c r="E95" s="21">
        <v>20</v>
      </c>
      <c r="F95" s="21">
        <v>157666</v>
      </c>
      <c r="G95" s="42">
        <v>-1.7000000000000001E-2</v>
      </c>
      <c r="H95" s="21" t="s">
        <v>1009</v>
      </c>
      <c r="I95" s="39">
        <f ca="1">IFERROR(__xludf.DUMMYFUNCTION("IF(SUM(COUNTIF(artists!A:A, SPLIT(D95, "",""))) &gt; 0, ""UA"", 0)"),0)</f>
        <v>0</v>
      </c>
      <c r="J95" s="40" t="str">
        <f ca="1">IFERROR(__xludf.DUMMYFUNCTION("IF(SUM(COUNTIF(artists!C:C, SPLIT(D95, "",""))) &gt; 0, ""RU"", 0)"),"RU")</f>
        <v>RU</v>
      </c>
      <c r="K95" s="39">
        <f ca="1">IFERROR(__xludf.DUMMYFUNCTION("IF(SUM(COUNTIF(artists!E:E, SPLIT(D95, "",""))) &gt; 0, ""OTHER"", 0)"),0)</f>
        <v>0</v>
      </c>
    </row>
    <row r="96" spans="1:11" ht="14.25" customHeight="1">
      <c r="A96" s="21">
        <v>95</v>
      </c>
      <c r="B96" s="21">
        <v>97</v>
      </c>
      <c r="C96" s="21" t="s">
        <v>1491</v>
      </c>
      <c r="D96" s="21" t="s">
        <v>1492</v>
      </c>
      <c r="E96" s="21">
        <v>9</v>
      </c>
      <c r="F96" s="21">
        <v>157357</v>
      </c>
      <c r="G96" s="42">
        <v>-2.7E-2</v>
      </c>
      <c r="H96" s="21" t="s">
        <v>1493</v>
      </c>
      <c r="I96" s="39" t="str">
        <f ca="1">IFERROR(__xludf.DUMMYFUNCTION("IF(SUM(COUNTIF(artists!A:A, SPLIT(D96, "",""))) &gt; 0, ""UA"", 0)"),"UA")</f>
        <v>UA</v>
      </c>
      <c r="J96" s="40">
        <f ca="1">IFERROR(__xludf.DUMMYFUNCTION("IF(SUM(COUNTIF(artists!C:C, SPLIT(D96, "",""))) &gt; 0, ""RU"", 0)"),0)</f>
        <v>0</v>
      </c>
      <c r="K96" s="39">
        <f ca="1">IFERROR(__xludf.DUMMYFUNCTION("IF(SUM(COUNTIF(artists!E:E, SPLIT(D96, "",""))) &gt; 0, ""OTHER"", 0)"),0)</f>
        <v>0</v>
      </c>
    </row>
    <row r="97" spans="1:11" ht="14.25" customHeight="1">
      <c r="A97" s="21">
        <v>96</v>
      </c>
      <c r="B97" s="21">
        <v>88</v>
      </c>
      <c r="C97" s="21" t="s">
        <v>1298</v>
      </c>
      <c r="D97" s="21" t="s">
        <v>226</v>
      </c>
      <c r="E97" s="21">
        <v>17</v>
      </c>
      <c r="F97" s="21">
        <v>156877</v>
      </c>
      <c r="G97" s="42">
        <v>-9.0999999999999998E-2</v>
      </c>
      <c r="H97" s="21" t="s">
        <v>1299</v>
      </c>
      <c r="I97" s="39" t="str">
        <f ca="1">IFERROR(__xludf.DUMMYFUNCTION("IF(SUM(COUNTIF(artists!A:A, SPLIT(D97, "",""))) &gt; 0, ""UA"", 0)"),"UA")</f>
        <v>UA</v>
      </c>
      <c r="J97" s="40">
        <f ca="1">IFERROR(__xludf.DUMMYFUNCTION("IF(SUM(COUNTIF(artists!C:C, SPLIT(D97, "",""))) &gt; 0, ""RU"", 0)"),0)</f>
        <v>0</v>
      </c>
      <c r="K97" s="39">
        <f ca="1">IFERROR(__xludf.DUMMYFUNCTION("IF(SUM(COUNTIF(artists!E:E, SPLIT(D97, "",""))) &gt; 0, ""OTHER"", 0)"),0)</f>
        <v>0</v>
      </c>
    </row>
    <row r="98" spans="1:11" ht="14.25" customHeight="1">
      <c r="A98" s="21">
        <v>97</v>
      </c>
      <c r="B98" s="21">
        <v>91</v>
      </c>
      <c r="C98" s="21" t="s">
        <v>1392</v>
      </c>
      <c r="D98" s="21" t="s">
        <v>1393</v>
      </c>
      <c r="E98" s="21">
        <v>15</v>
      </c>
      <c r="F98" s="21">
        <v>154075</v>
      </c>
      <c r="G98" s="42">
        <v>-9.1999999999999998E-2</v>
      </c>
      <c r="H98" s="21" t="s">
        <v>1394</v>
      </c>
      <c r="I98" s="39">
        <f ca="1">IFERROR(__xludf.DUMMYFUNCTION("IF(SUM(COUNTIF(artists!A:A, SPLIT(D98, "",""))) &gt; 0, ""UA"", 0)"),0)</f>
        <v>0</v>
      </c>
      <c r="J98" s="40" t="str">
        <f ca="1">IFERROR(__xludf.DUMMYFUNCTION("IF(SUM(COUNTIF(artists!C:C, SPLIT(D98, "",""))) &gt; 0, ""RU"", 0)"),"RU")</f>
        <v>RU</v>
      </c>
      <c r="K98" s="39">
        <f ca="1">IFERROR(__xludf.DUMMYFUNCTION("IF(SUM(COUNTIF(artists!E:E, SPLIT(D98, "",""))) &gt; 0, ""OTHER"", 0)"),0)</f>
        <v>0</v>
      </c>
    </row>
    <row r="99" spans="1:11" ht="14.25" customHeight="1">
      <c r="A99" s="21">
        <v>98</v>
      </c>
      <c r="C99" s="21" t="s">
        <v>316</v>
      </c>
      <c r="D99" s="21" t="s">
        <v>317</v>
      </c>
      <c r="E99" s="21">
        <v>8</v>
      </c>
      <c r="F99" s="21">
        <v>154072</v>
      </c>
      <c r="H99" s="21" t="s">
        <v>319</v>
      </c>
      <c r="I99" s="39" t="str">
        <f ca="1">IFERROR(__xludf.DUMMYFUNCTION("IF(SUM(COUNTIF(artists!A:A, SPLIT(D99, "",""))) &gt; 0, ""UA"", 0)"),"UA")</f>
        <v>UA</v>
      </c>
      <c r="J99" s="40">
        <f ca="1">IFERROR(__xludf.DUMMYFUNCTION("IF(SUM(COUNTIF(artists!C:C, SPLIT(D99, "",""))) &gt; 0, ""RU"", 0)"),0)</f>
        <v>0</v>
      </c>
      <c r="K99" s="39">
        <f ca="1">IFERROR(__xludf.DUMMYFUNCTION("IF(SUM(COUNTIF(artists!E:E, SPLIT(D99, "",""))) &gt; 0, ""OTHER"", 0)"),0)</f>
        <v>0</v>
      </c>
    </row>
    <row r="100" spans="1:11" ht="14.25" customHeight="1">
      <c r="A100" s="21">
        <v>99</v>
      </c>
      <c r="B100" s="21">
        <v>89</v>
      </c>
      <c r="C100" s="21" t="s">
        <v>748</v>
      </c>
      <c r="D100" s="21" t="s">
        <v>586</v>
      </c>
      <c r="E100" s="21">
        <v>20</v>
      </c>
      <c r="F100" s="21">
        <v>153392</v>
      </c>
      <c r="G100" s="42">
        <v>-0.109</v>
      </c>
      <c r="H100" s="21" t="s">
        <v>749</v>
      </c>
      <c r="I100" s="39" t="str">
        <f ca="1">IFERROR(__xludf.DUMMYFUNCTION("IF(SUM(COUNTIF(artists!A:A, SPLIT(D100, "",""))) &gt; 0, ""UA"", 0)"),"UA")</f>
        <v>UA</v>
      </c>
      <c r="J100" s="40">
        <f ca="1">IFERROR(__xludf.DUMMYFUNCTION("IF(SUM(COUNTIF(artists!C:C, SPLIT(D100, "",""))) &gt; 0, ""RU"", 0)"),0)</f>
        <v>0</v>
      </c>
      <c r="K100" s="39">
        <f ca="1">IFERROR(__xludf.DUMMYFUNCTION("IF(SUM(COUNTIF(artists!E:E, SPLIT(D100, "",""))) &gt; 0, ""OTHER"", 0)"),0)</f>
        <v>0</v>
      </c>
    </row>
    <row r="101" spans="1:11" ht="14.25" customHeight="1">
      <c r="A101" s="21">
        <v>100</v>
      </c>
      <c r="C101" s="21" t="s">
        <v>1494</v>
      </c>
      <c r="D101" s="21" t="s">
        <v>125</v>
      </c>
      <c r="E101" s="21">
        <v>3</v>
      </c>
      <c r="F101" s="21">
        <v>152522</v>
      </c>
      <c r="H101" s="21" t="s">
        <v>1495</v>
      </c>
      <c r="I101" s="39">
        <f ca="1">IFERROR(__xludf.DUMMYFUNCTION("IF(SUM(COUNTIF(artists!A:A, SPLIT(D101, "",""))) &gt; 0, ""UA"", 0)"),0)</f>
        <v>0</v>
      </c>
      <c r="J101" s="40" t="str">
        <f ca="1">IFERROR(__xludf.DUMMYFUNCTION("IF(SUM(COUNTIF(artists!C:C, SPLIT(D101, "",""))) &gt; 0, ""RU"", 0)"),"RU")</f>
        <v>RU</v>
      </c>
      <c r="K101" s="39">
        <f ca="1">IFERROR(__xludf.DUMMYFUNCTION("IF(SUM(COUNTIF(artists!E:E, SPLIT(D101, "",""))) &gt; 0, ""OTHER"", 0)"),0)</f>
        <v>0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57" priority="1">
      <formula>AND($I2=0, $J2=0, $K2=0)</formula>
    </cfRule>
    <cfRule type="expression" dxfId="56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Аркуш35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4" width="8.6640625" customWidth="1"/>
    <col min="5" max="5" width="8.6640625" hidden="1" customWidth="1"/>
    <col min="6" max="7" width="8.664062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B2" s="21">
        <v>1</v>
      </c>
      <c r="C2" s="21" t="s">
        <v>145</v>
      </c>
      <c r="D2" s="21" t="s">
        <v>146</v>
      </c>
      <c r="E2" s="21">
        <v>4</v>
      </c>
      <c r="F2" s="21">
        <v>1871804</v>
      </c>
      <c r="G2" s="42">
        <v>-2.4E-2</v>
      </c>
      <c r="H2" s="21" t="s">
        <v>148</v>
      </c>
      <c r="I2" s="39" t="str">
        <f ca="1">IFERROR(__xludf.DUMMYFUNCTION("IF(SUM(COUNTIF(artists!A:A, SPLIT(D2, "",""))) &gt; 0, ""UA"", 0)"),"UA")</f>
        <v>UA</v>
      </c>
      <c r="J2" s="40">
        <f ca="1">IFERROR(__xludf.DUMMYFUNCTION("IF(SUM(COUNTIF(artists!C:C, SPLIT(D2, "",""))) &gt; 0, ""RU"", 0)"),0)</f>
        <v>0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B3" s="21">
        <v>2</v>
      </c>
      <c r="C3" s="21" t="s">
        <v>645</v>
      </c>
      <c r="D3" s="21" t="s">
        <v>352</v>
      </c>
      <c r="E3" s="21">
        <v>23</v>
      </c>
      <c r="F3" s="21">
        <v>1503107</v>
      </c>
      <c r="G3" s="42">
        <v>3.5000000000000003E-2</v>
      </c>
      <c r="H3" s="21" t="s">
        <v>647</v>
      </c>
      <c r="I3" s="39" t="str">
        <f ca="1">IFERROR(__xludf.DUMMYFUNCTION("IF(SUM(COUNTIF(artists!A:A, SPLIT(D3, "",""))) &gt; 0, ""UA"", 0)"),"UA")</f>
        <v>UA</v>
      </c>
      <c r="J3" s="40">
        <f ca="1">IFERROR(__xludf.DUMMYFUNCTION("IF(SUM(COUNTIF(artists!C:C, SPLIT(D3, "",""))) &gt; 0, ""RU"", 0)"),0)</f>
        <v>0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B4" s="21">
        <v>3</v>
      </c>
      <c r="C4" s="21" t="s">
        <v>128</v>
      </c>
      <c r="D4" s="21" t="s">
        <v>129</v>
      </c>
      <c r="E4" s="21">
        <v>6</v>
      </c>
      <c r="F4" s="21">
        <v>1382858</v>
      </c>
      <c r="G4" s="42">
        <v>0.11799999999999999</v>
      </c>
      <c r="H4" s="21" t="s">
        <v>131</v>
      </c>
      <c r="I4" s="39" t="str">
        <f ca="1">IFERROR(__xludf.DUMMYFUNCTION("IF(SUM(COUNTIF(artists!A:A, SPLIT(D4, "",""))) &gt; 0, ""UA"", 0)"),"UA")</f>
        <v>UA</v>
      </c>
      <c r="J4" s="40">
        <f ca="1">IFERROR(__xludf.DUMMYFUNCTION("IF(SUM(COUNTIF(artists!C:C, SPLIT(D4, "",""))) &gt; 0, ""RU"", 0)"),0)</f>
        <v>0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C5" s="21" t="s">
        <v>1496</v>
      </c>
      <c r="D5" s="21" t="s">
        <v>969</v>
      </c>
      <c r="E5" s="21">
        <v>54</v>
      </c>
      <c r="F5" s="21">
        <v>1330074</v>
      </c>
      <c r="H5" s="21" t="s">
        <v>1497</v>
      </c>
      <c r="I5" s="39" t="str">
        <f ca="1">IFERROR(__xludf.DUMMYFUNCTION("IF(SUM(COUNTIF(artists!A:A, SPLIT(D5, "",""))) &gt; 0, ""UA"", 0)"),"UA")</f>
        <v>UA</v>
      </c>
      <c r="J5" s="40">
        <f ca="1">IFERROR(__xludf.DUMMYFUNCTION("IF(SUM(COUNTIF(artists!C:C, SPLIT(D5, "",""))) &gt; 0, ""RU"", 0)"),0)</f>
        <v>0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B6" s="21">
        <v>17</v>
      </c>
      <c r="C6" s="21" t="s">
        <v>921</v>
      </c>
      <c r="D6" s="21" t="s">
        <v>922</v>
      </c>
      <c r="E6" s="21">
        <v>2</v>
      </c>
      <c r="F6" s="21">
        <v>1320771</v>
      </c>
      <c r="G6" s="42">
        <v>1.992</v>
      </c>
      <c r="H6" s="21" t="s">
        <v>923</v>
      </c>
      <c r="I6" s="39" t="str">
        <f ca="1">IFERROR(__xludf.DUMMYFUNCTION("IF(SUM(COUNTIF(artists!A:A, SPLIT(D6, "",""))) &gt; 0, ""UA"", 0)"),"UA")</f>
        <v>UA</v>
      </c>
      <c r="J6" s="40">
        <f ca="1">IFERROR(__xludf.DUMMYFUNCTION("IF(SUM(COUNTIF(artists!C:C, SPLIT(D6, "",""))) &gt; 0, ""RU"", 0)"),0)</f>
        <v>0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B7" s="21">
        <v>4</v>
      </c>
      <c r="C7" s="21" t="s">
        <v>194</v>
      </c>
      <c r="D7" s="21" t="s">
        <v>195</v>
      </c>
      <c r="E7" s="21">
        <v>13</v>
      </c>
      <c r="F7" s="21">
        <v>860787</v>
      </c>
      <c r="G7" s="42">
        <v>-7.0000000000000001E-3</v>
      </c>
      <c r="H7" s="21" t="s">
        <v>197</v>
      </c>
      <c r="I7" s="39" t="str">
        <f ca="1">IFERROR(__xludf.DUMMYFUNCTION("IF(SUM(COUNTIF(artists!A:A, SPLIT(D7, "",""))) &gt; 0, ""UA"", 0)"),"UA")</f>
        <v>UA</v>
      </c>
      <c r="J7" s="40">
        <f ca="1">IFERROR(__xludf.DUMMYFUNCTION("IF(SUM(COUNTIF(artists!C:C, SPLIT(D7, "",""))) &gt; 0, ""RU"", 0)"),0)</f>
        <v>0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C8" s="21" t="s">
        <v>168</v>
      </c>
      <c r="D8" s="21" t="s">
        <v>137</v>
      </c>
      <c r="E8" s="21">
        <v>1</v>
      </c>
      <c r="F8" s="21">
        <v>834734</v>
      </c>
      <c r="H8" s="21" t="s">
        <v>170</v>
      </c>
      <c r="I8" s="39" t="str">
        <f ca="1">IFERROR(__xludf.DUMMYFUNCTION("IF(SUM(COUNTIF(artists!A:A, SPLIT(D8, "",""))) &gt; 0, ""UA"", 0)"),"UA")</f>
        <v>UA</v>
      </c>
      <c r="J8" s="40">
        <f ca="1">IFERROR(__xludf.DUMMYFUNCTION("IF(SUM(COUNTIF(artists!C:C, SPLIT(D8, "",""))) &gt; 0, ""RU"", 0)"),0)</f>
        <v>0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B9" s="21">
        <v>13</v>
      </c>
      <c r="C9" s="21" t="s">
        <v>209</v>
      </c>
      <c r="D9" s="21" t="s">
        <v>210</v>
      </c>
      <c r="E9" s="21">
        <v>3</v>
      </c>
      <c r="F9" s="21">
        <v>784849</v>
      </c>
      <c r="G9" s="42">
        <v>0.53300000000000003</v>
      </c>
      <c r="H9" s="21" t="s">
        <v>212</v>
      </c>
      <c r="I9" s="39" t="str">
        <f ca="1">IFERROR(__xludf.DUMMYFUNCTION("IF(SUM(COUNTIF(artists!A:A, SPLIT(D9, "",""))) &gt; 0, ""UA"", 0)"),"UA")</f>
        <v>UA</v>
      </c>
      <c r="J9" s="40">
        <f ca="1">IFERROR(__xludf.DUMMYFUNCTION("IF(SUM(COUNTIF(artists!C:C, SPLIT(D9, "",""))) &gt; 0, ""RU"", 0)"),0)</f>
        <v>0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B10" s="21">
        <v>6</v>
      </c>
      <c r="C10" s="21" t="s">
        <v>132</v>
      </c>
      <c r="D10" s="21" t="s">
        <v>133</v>
      </c>
      <c r="E10" s="21">
        <v>10</v>
      </c>
      <c r="F10" s="21">
        <v>744220</v>
      </c>
      <c r="G10" s="42">
        <v>4.0000000000000001E-3</v>
      </c>
      <c r="H10" s="21" t="s">
        <v>135</v>
      </c>
      <c r="I10" s="39" t="str">
        <f ca="1">IFERROR(__xludf.DUMMYFUNCTION("IF(SUM(COUNTIF(artists!A:A, SPLIT(D10, "",""))) &gt; 0, ""UA"", 0)"),"UA")</f>
        <v>UA</v>
      </c>
      <c r="J10" s="40">
        <f ca="1">IFERROR(__xludf.DUMMYFUNCTION("IF(SUM(COUNTIF(artists!C:C, SPLIT(D10, "",""))) &gt; 0, ""RU"", 0)"),0)</f>
        <v>0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B11" s="21">
        <v>7</v>
      </c>
      <c r="C11" s="21" t="s">
        <v>171</v>
      </c>
      <c r="D11" s="21" t="s">
        <v>172</v>
      </c>
      <c r="E11" s="21">
        <v>5</v>
      </c>
      <c r="F11" s="21">
        <v>706662</v>
      </c>
      <c r="G11" s="42">
        <v>2E-3</v>
      </c>
      <c r="H11" s="21" t="s">
        <v>174</v>
      </c>
      <c r="I11" s="39">
        <f ca="1">IFERROR(__xludf.DUMMYFUNCTION("IF(SUM(COUNTIF(artists!A:A, SPLIT(D11, "",""))) &gt; 0, ""UA"", 0)"),0)</f>
        <v>0</v>
      </c>
      <c r="J11" s="40" t="str">
        <f ca="1">IFERROR(__xludf.DUMMYFUNCTION("IF(SUM(COUNTIF(artists!C:C, SPLIT(D11, "",""))) &gt; 0, ""RU"", 0)"),"RU")</f>
        <v>RU</v>
      </c>
      <c r="K11" s="39">
        <f ca="1">IFERROR(__xludf.DUMMYFUNCTION("IF(SUM(COUNTIF(artists!E:E, SPLIT(D11, "",""))) &gt; 0, ""OTHER"", 0)"),0)</f>
        <v>0</v>
      </c>
    </row>
    <row r="12" spans="1:11" ht="14.25" customHeight="1">
      <c r="A12" s="21">
        <v>11</v>
      </c>
      <c r="B12" s="21">
        <v>9</v>
      </c>
      <c r="C12" s="21" t="s">
        <v>229</v>
      </c>
      <c r="D12" s="21" t="s">
        <v>230</v>
      </c>
      <c r="E12" s="21">
        <v>17</v>
      </c>
      <c r="F12" s="21">
        <v>687476</v>
      </c>
      <c r="G12" s="42">
        <v>5.3999999999999999E-2</v>
      </c>
      <c r="H12" s="21" t="s">
        <v>232</v>
      </c>
      <c r="I12" s="39" t="str">
        <f ca="1">IFERROR(__xludf.DUMMYFUNCTION("IF(SUM(COUNTIF(artists!A:A, SPLIT(D12, "",""))) &gt; 0, ""UA"", 0)"),"UA")</f>
        <v>UA</v>
      </c>
      <c r="J12" s="40">
        <f ca="1">IFERROR(__xludf.DUMMYFUNCTION("IF(SUM(COUNTIF(artists!C:C, SPLIT(D12, "",""))) &gt; 0, ""RU"", 0)"),0)</f>
        <v>0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B13" s="21">
        <v>8</v>
      </c>
      <c r="C13" s="21" t="s">
        <v>175</v>
      </c>
      <c r="D13" s="21" t="s">
        <v>89</v>
      </c>
      <c r="E13" s="21">
        <v>10</v>
      </c>
      <c r="F13" s="21">
        <v>686365</v>
      </c>
      <c r="G13" s="42">
        <v>1.7000000000000001E-2</v>
      </c>
      <c r="H13" s="21" t="s">
        <v>177</v>
      </c>
      <c r="I13" s="39" t="str">
        <f ca="1">IFERROR(__xludf.DUMMYFUNCTION("IF(SUM(COUNTIF(artists!A:A, SPLIT(D13, "",""))) &gt; 0, ""UA"", 0)"),"UA")</f>
        <v>UA</v>
      </c>
      <c r="J13" s="40">
        <f ca="1">IFERROR(__xludf.DUMMYFUNCTION("IF(SUM(COUNTIF(artists!C:C, SPLIT(D13, "",""))) &gt; 0, ""RU"", 0)"),0)</f>
        <v>0</v>
      </c>
      <c r="K13" s="39">
        <f ca="1">IFERROR(__xludf.DUMMYFUNCTION("IF(SUM(COUNTIF(artists!E:E, SPLIT(D13, "",""))) &gt; 0, ""OTHER"", 0)"),0)</f>
        <v>0</v>
      </c>
    </row>
    <row r="14" spans="1:11" ht="14.25" customHeight="1">
      <c r="A14" s="21">
        <v>13</v>
      </c>
      <c r="B14" s="21">
        <v>5</v>
      </c>
      <c r="C14" s="21" t="s">
        <v>182</v>
      </c>
      <c r="D14" s="21" t="s">
        <v>183</v>
      </c>
      <c r="E14" s="21">
        <v>6</v>
      </c>
      <c r="F14" s="21">
        <v>646689</v>
      </c>
      <c r="G14" s="42">
        <v>-0.13100000000000001</v>
      </c>
      <c r="H14" s="21" t="s">
        <v>185</v>
      </c>
      <c r="I14" s="39" t="str">
        <f ca="1">IFERROR(__xludf.DUMMYFUNCTION("IF(SUM(COUNTIF(artists!A:A, SPLIT(D14, "",""))) &gt; 0, ""UA"", 0)"),"UA")</f>
        <v>UA</v>
      </c>
      <c r="J14" s="40">
        <f ca="1">IFERROR(__xludf.DUMMYFUNCTION("IF(SUM(COUNTIF(artists!C:C, SPLIT(D14, "",""))) &gt; 0, ""RU"", 0)"),0)</f>
        <v>0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B15" s="21">
        <v>10</v>
      </c>
      <c r="C15" s="21" t="s">
        <v>1431</v>
      </c>
      <c r="D15" s="21" t="s">
        <v>969</v>
      </c>
      <c r="E15" s="21">
        <v>38</v>
      </c>
      <c r="F15" s="21">
        <v>614787</v>
      </c>
      <c r="G15" s="42">
        <v>-4.7E-2</v>
      </c>
      <c r="H15" s="21" t="s">
        <v>1432</v>
      </c>
      <c r="I15" s="39" t="str">
        <f ca="1">IFERROR(__xludf.DUMMYFUNCTION("IF(SUM(COUNTIF(artists!A:A, SPLIT(D15, "",""))) &gt; 0, ""UA"", 0)"),"UA")</f>
        <v>UA</v>
      </c>
      <c r="J15" s="40">
        <f ca="1">IFERROR(__xludf.DUMMYFUNCTION("IF(SUM(COUNTIF(artists!C:C, SPLIT(D15, "",""))) &gt; 0, ""RU"", 0)"),0)</f>
        <v>0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C16" s="21" t="s">
        <v>1451</v>
      </c>
      <c r="D16" s="21" t="s">
        <v>1452</v>
      </c>
      <c r="E16" s="21">
        <v>1</v>
      </c>
      <c r="F16" s="21">
        <v>588007</v>
      </c>
      <c r="H16" s="21" t="s">
        <v>1453</v>
      </c>
      <c r="I16" s="39">
        <f ca="1">IFERROR(__xludf.DUMMYFUNCTION("IF(SUM(COUNTIF(artists!A:A, SPLIT(D16, "",""))) &gt; 0, ""UA"", 0)"),0)</f>
        <v>0</v>
      </c>
      <c r="J16" s="40" t="str">
        <f ca="1">IFERROR(__xludf.DUMMYFUNCTION("IF(SUM(COUNTIF(artists!C:C, SPLIT(D16, "",""))) &gt; 0, ""RU"", 0)"),"RU")</f>
        <v>RU</v>
      </c>
      <c r="K16" s="39">
        <f ca="1">IFERROR(__xludf.DUMMYFUNCTION("IF(SUM(COUNTIF(artists!E:E, SPLIT(D16, "",""))) &gt; 0, ""OTHER"", 0)"),0)</f>
        <v>0</v>
      </c>
    </row>
    <row r="17" spans="1:11" ht="14.25" customHeight="1">
      <c r="A17" s="21">
        <v>16</v>
      </c>
      <c r="C17" s="21" t="s">
        <v>1498</v>
      </c>
      <c r="D17" s="21" t="s">
        <v>969</v>
      </c>
      <c r="E17" s="21">
        <v>40</v>
      </c>
      <c r="F17" s="21">
        <v>587392</v>
      </c>
      <c r="H17" s="21" t="s">
        <v>1499</v>
      </c>
      <c r="I17" s="39" t="str">
        <f ca="1">IFERROR(__xludf.DUMMYFUNCTION("IF(SUM(COUNTIF(artists!A:A, SPLIT(D17, "",""))) &gt; 0, ""UA"", 0)"),"UA")</f>
        <v>UA</v>
      </c>
      <c r="J17" s="40">
        <f ca="1">IFERROR(__xludf.DUMMYFUNCTION("IF(SUM(COUNTIF(artists!C:C, SPLIT(D17, "",""))) &gt; 0, ""RU"", 0)"),0)</f>
        <v>0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B18" s="21">
        <v>12</v>
      </c>
      <c r="C18" s="21" t="s">
        <v>706</v>
      </c>
      <c r="D18" s="21" t="s">
        <v>199</v>
      </c>
      <c r="E18" s="21">
        <v>6</v>
      </c>
      <c r="F18" s="21">
        <v>550210</v>
      </c>
      <c r="G18" s="42">
        <v>1.4999999999999999E-2</v>
      </c>
      <c r="H18" s="21" t="s">
        <v>1126</v>
      </c>
      <c r="I18" s="39" t="str">
        <f ca="1">IFERROR(__xludf.DUMMYFUNCTION("IF(SUM(COUNTIF(artists!A:A, SPLIT(D18, "",""))) &gt; 0, ""UA"", 0)"),"UA")</f>
        <v>UA</v>
      </c>
      <c r="J18" s="40">
        <f ca="1">IFERROR(__xludf.DUMMYFUNCTION("IF(SUM(COUNTIF(artists!C:C, SPLIT(D18, "",""))) &gt; 0, ""RU"", 0)"),0)</f>
        <v>0</v>
      </c>
      <c r="K18" s="39">
        <f ca="1">IFERROR(__xludf.DUMMYFUNCTION("IF(SUM(COUNTIF(artists!E:E, SPLIT(D18, "",""))) &gt; 0, ""OTHER"", 0)"),0)</f>
        <v>0</v>
      </c>
    </row>
    <row r="19" spans="1:11" ht="14.25" customHeight="1">
      <c r="A19" s="21">
        <v>18</v>
      </c>
      <c r="C19" s="21" t="s">
        <v>462</v>
      </c>
      <c r="D19" s="21" t="s">
        <v>463</v>
      </c>
      <c r="E19" s="21">
        <v>1</v>
      </c>
      <c r="F19" s="21">
        <v>535779</v>
      </c>
      <c r="H19" s="21" t="s">
        <v>465</v>
      </c>
      <c r="I19" s="39" t="str">
        <f ca="1">IFERROR(__xludf.DUMMYFUNCTION("IF(SUM(COUNTIF(artists!A:A, SPLIT(D19, "",""))) &gt; 0, ""UA"", 0)"),"UA")</f>
        <v>UA</v>
      </c>
      <c r="J19" s="40">
        <f ca="1">IFERROR(__xludf.DUMMYFUNCTION("IF(SUM(COUNTIF(artists!C:C, SPLIT(D19, "",""))) &gt; 0, ""RU"", 0)"),0)</f>
        <v>0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B20" s="21">
        <v>11</v>
      </c>
      <c r="C20" s="21" t="s">
        <v>895</v>
      </c>
      <c r="D20" s="21" t="s">
        <v>896</v>
      </c>
      <c r="E20" s="21">
        <v>22</v>
      </c>
      <c r="F20" s="21">
        <v>530631</v>
      </c>
      <c r="G20" s="42">
        <v>-7.2999999999999995E-2</v>
      </c>
      <c r="H20" s="21" t="s">
        <v>897</v>
      </c>
      <c r="I20" s="39" t="str">
        <f ca="1">IFERROR(__xludf.DUMMYFUNCTION("IF(SUM(COUNTIF(artists!A:A, SPLIT(D20, "",""))) &gt; 0, ""UA"", 0)"),"UA")</f>
        <v>UA</v>
      </c>
      <c r="J20" s="40">
        <f ca="1">IFERROR(__xludf.DUMMYFUNCTION("IF(SUM(COUNTIF(artists!C:C, SPLIT(D20, "",""))) &gt; 0, ""RU"", 0)"),0)</f>
        <v>0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B21" s="21">
        <v>21</v>
      </c>
      <c r="C21" s="21" t="s">
        <v>929</v>
      </c>
      <c r="D21" s="21" t="s">
        <v>930</v>
      </c>
      <c r="E21" s="21">
        <v>3</v>
      </c>
      <c r="F21" s="21">
        <v>519272</v>
      </c>
      <c r="G21" s="42">
        <v>0.23699999999999999</v>
      </c>
      <c r="H21" s="21" t="s">
        <v>931</v>
      </c>
      <c r="I21" s="39" t="str">
        <f ca="1">IFERROR(__xludf.DUMMYFUNCTION("IF(SUM(COUNTIF(artists!A:A, SPLIT(D21, "",""))) &gt; 0, ""UA"", 0)"),"UA")</f>
        <v>UA</v>
      </c>
      <c r="J21" s="40">
        <f ca="1">IFERROR(__xludf.DUMMYFUNCTION("IF(SUM(COUNTIF(artists!C:C, SPLIT(D21, "",""))) &gt; 0, ""RU"", 0)"),0)</f>
        <v>0</v>
      </c>
      <c r="K21" s="39">
        <f ca="1">IFERROR(__xludf.DUMMYFUNCTION("IF(SUM(COUNTIF(artists!E:E, SPLIT(D21, "",""))) &gt; 0, ""OTHER"", 0)"),0)</f>
        <v>0</v>
      </c>
    </row>
    <row r="22" spans="1:11" ht="14.25" customHeight="1">
      <c r="A22" s="21">
        <v>21</v>
      </c>
      <c r="B22" s="21">
        <v>18</v>
      </c>
      <c r="C22" s="21" t="s">
        <v>799</v>
      </c>
      <c r="D22" s="21" t="s">
        <v>494</v>
      </c>
      <c r="E22" s="21">
        <v>19</v>
      </c>
      <c r="F22" s="21">
        <v>502685</v>
      </c>
      <c r="G22" s="42">
        <v>0.14099999999999999</v>
      </c>
      <c r="H22" s="21" t="s">
        <v>800</v>
      </c>
      <c r="I22" s="39" t="str">
        <f ca="1">IFERROR(__xludf.DUMMYFUNCTION("IF(SUM(COUNTIF(artists!A:A, SPLIT(D22, "",""))) &gt; 0, ""UA"", 0)"),"UA")</f>
        <v>UA</v>
      </c>
      <c r="J22" s="40">
        <f ca="1">IFERROR(__xludf.DUMMYFUNCTION("IF(SUM(COUNTIF(artists!C:C, SPLIT(D22, "",""))) &gt; 0, ""RU"", 0)"),0)</f>
        <v>0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B23" s="21">
        <v>16</v>
      </c>
      <c r="C23" s="21" t="s">
        <v>1055</v>
      </c>
      <c r="D23" s="21" t="s">
        <v>776</v>
      </c>
      <c r="E23" s="21">
        <v>7</v>
      </c>
      <c r="F23" s="21">
        <v>470467</v>
      </c>
      <c r="G23" s="42">
        <v>-3.7999999999999999E-2</v>
      </c>
      <c r="H23" s="21" t="s">
        <v>1056</v>
      </c>
      <c r="I23" s="39" t="str">
        <f ca="1">IFERROR(__xludf.DUMMYFUNCTION("IF(SUM(COUNTIF(artists!A:A, SPLIT(D23, "",""))) &gt; 0, ""UA"", 0)"),"UA")</f>
        <v>UA</v>
      </c>
      <c r="J23" s="40">
        <f ca="1">IFERROR(__xludf.DUMMYFUNCTION("IF(SUM(COUNTIF(artists!C:C, SPLIT(D23, "",""))) &gt; 0, ""RU"", 0)"),0)</f>
        <v>0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B24" s="21">
        <v>15</v>
      </c>
      <c r="C24" s="21" t="s">
        <v>1249</v>
      </c>
      <c r="D24" s="21" t="s">
        <v>187</v>
      </c>
      <c r="E24" s="21">
        <v>2</v>
      </c>
      <c r="F24" s="21">
        <v>450954</v>
      </c>
      <c r="G24" s="42">
        <v>-9.9000000000000005E-2</v>
      </c>
      <c r="H24" s="21" t="s">
        <v>1250</v>
      </c>
      <c r="I24" s="39" t="str">
        <f ca="1">IFERROR(__xludf.DUMMYFUNCTION("IF(SUM(COUNTIF(artists!A:A, SPLIT(D24, "",""))) &gt; 0, ""UA"", 0)"),"UA")</f>
        <v>UA</v>
      </c>
      <c r="J24" s="40">
        <f ca="1">IFERROR(__xludf.DUMMYFUNCTION("IF(SUM(COUNTIF(artists!C:C, SPLIT(D24, "",""))) &gt; 0, ""RU"", 0)"),0)</f>
        <v>0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B25" s="21">
        <v>27</v>
      </c>
      <c r="C25" s="21" t="s">
        <v>186</v>
      </c>
      <c r="D25" s="21" t="s">
        <v>187</v>
      </c>
      <c r="E25" s="21">
        <v>14</v>
      </c>
      <c r="F25" s="21">
        <v>447798</v>
      </c>
      <c r="G25" s="42">
        <v>0.153</v>
      </c>
      <c r="H25" s="21" t="s">
        <v>189</v>
      </c>
      <c r="I25" s="39" t="str">
        <f ca="1">IFERROR(__xludf.DUMMYFUNCTION("IF(SUM(COUNTIF(artists!A:A, SPLIT(D25, "",""))) &gt; 0, ""UA"", 0)"),"UA")</f>
        <v>UA</v>
      </c>
      <c r="J25" s="40">
        <f ca="1">IFERROR(__xludf.DUMMYFUNCTION("IF(SUM(COUNTIF(artists!C:C, SPLIT(D25, "",""))) &gt; 0, ""RU"", 0)"),0)</f>
        <v>0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B26" s="21">
        <v>14</v>
      </c>
      <c r="C26" s="21" t="s">
        <v>1010</v>
      </c>
      <c r="D26" s="21" t="s">
        <v>1011</v>
      </c>
      <c r="E26" s="21">
        <v>11</v>
      </c>
      <c r="F26" s="21">
        <v>442164</v>
      </c>
      <c r="G26" s="43">
        <v>-0.12</v>
      </c>
      <c r="H26" s="21" t="s">
        <v>1012</v>
      </c>
      <c r="I26" s="39" t="str">
        <f ca="1">IFERROR(__xludf.DUMMYFUNCTION("IF(SUM(COUNTIF(artists!A:A, SPLIT(D26, "",""))) &gt; 0, ""UA"", 0)"),"UA")</f>
        <v>UA</v>
      </c>
      <c r="J26" s="40">
        <f ca="1">IFERROR(__xludf.DUMMYFUNCTION("IF(SUM(COUNTIF(artists!C:C, SPLIT(D26, "",""))) &gt; 0, ""RU"", 0)"),0)</f>
        <v>0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B27" s="21">
        <v>19</v>
      </c>
      <c r="C27" s="21" t="s">
        <v>1287</v>
      </c>
      <c r="D27" s="21" t="s">
        <v>1288</v>
      </c>
      <c r="E27" s="21">
        <v>11</v>
      </c>
      <c r="F27" s="21">
        <v>425714</v>
      </c>
      <c r="G27" s="42">
        <v>-3.3000000000000002E-2</v>
      </c>
      <c r="H27" s="21" t="s">
        <v>1289</v>
      </c>
      <c r="I27" s="39">
        <f ca="1">IFERROR(__xludf.DUMMYFUNCTION("IF(SUM(COUNTIF(artists!A:A, SPLIT(D27, "",""))) &gt; 0, ""UA"", 0)"),0)</f>
        <v>0</v>
      </c>
      <c r="J27" s="40">
        <f ca="1">IFERROR(__xludf.DUMMYFUNCTION("IF(SUM(COUNTIF(artists!C:C, SPLIT(D27, "",""))) &gt; 0, ""RU"", 0)"),0)</f>
        <v>0</v>
      </c>
      <c r="K27" s="39" t="str">
        <f ca="1">IFERROR(__xludf.DUMMYFUNCTION("IF(SUM(COUNTIF(artists!E:E, SPLIT(D27, "",""))) &gt; 0, ""OTHER"", 0)"),"OTHER")</f>
        <v>OTHER</v>
      </c>
    </row>
    <row r="28" spans="1:11" ht="14.25" customHeight="1">
      <c r="A28" s="21">
        <v>27</v>
      </c>
      <c r="B28" s="21">
        <v>23</v>
      </c>
      <c r="C28" s="21" t="s">
        <v>1282</v>
      </c>
      <c r="D28" s="21" t="s">
        <v>108</v>
      </c>
      <c r="E28" s="21">
        <v>37</v>
      </c>
      <c r="F28" s="21">
        <v>422780</v>
      </c>
      <c r="G28" s="42">
        <v>1.2999999999999999E-2</v>
      </c>
      <c r="H28" s="21" t="s">
        <v>1283</v>
      </c>
      <c r="I28" s="39" t="str">
        <f ca="1">IFERROR(__xludf.DUMMYFUNCTION("IF(SUM(COUNTIF(artists!A:A, SPLIT(D28, "",""))) &gt; 0, ""UA"", 0)"),"UA")</f>
        <v>UA</v>
      </c>
      <c r="J28" s="40">
        <f ca="1">IFERROR(__xludf.DUMMYFUNCTION("IF(SUM(COUNTIF(artists!C:C, SPLIT(D28, "",""))) &gt; 0, ""RU"", 0)"),0)</f>
        <v>0</v>
      </c>
      <c r="K28" s="39">
        <f ca="1">IFERROR(__xludf.DUMMYFUNCTION("IF(SUM(COUNTIF(artists!E:E, SPLIT(D28, "",""))) &gt; 0, ""OTHER"", 0)"),0)</f>
        <v>0</v>
      </c>
    </row>
    <row r="29" spans="1:11" ht="14.25" customHeight="1">
      <c r="A29" s="21">
        <v>28</v>
      </c>
      <c r="B29" s="21">
        <v>24</v>
      </c>
      <c r="C29" s="21" t="s">
        <v>968</v>
      </c>
      <c r="D29" s="21" t="s">
        <v>969</v>
      </c>
      <c r="E29" s="21">
        <v>30</v>
      </c>
      <c r="F29" s="21">
        <v>415586</v>
      </c>
      <c r="G29" s="42">
        <v>1.0999999999999999E-2</v>
      </c>
      <c r="H29" s="21" t="s">
        <v>970</v>
      </c>
      <c r="I29" s="39" t="str">
        <f ca="1">IFERROR(__xludf.DUMMYFUNCTION("IF(SUM(COUNTIF(artists!A:A, SPLIT(D29, "",""))) &gt; 0, ""UA"", 0)"),"UA")</f>
        <v>UA</v>
      </c>
      <c r="J29" s="40">
        <f ca="1">IFERROR(__xludf.DUMMYFUNCTION("IF(SUM(COUNTIF(artists!C:C, SPLIT(D29, "",""))) &gt; 0, ""RU"", 0)"),0)</f>
        <v>0</v>
      </c>
      <c r="K29" s="39">
        <f ca="1">IFERROR(__xludf.DUMMYFUNCTION("IF(SUM(COUNTIF(artists!E:E, SPLIT(D29, "",""))) &gt; 0, ""OTHER"", 0)"),0)</f>
        <v>0</v>
      </c>
    </row>
    <row r="30" spans="1:11" ht="14.25" customHeight="1">
      <c r="A30" s="21">
        <v>29</v>
      </c>
      <c r="B30" s="21">
        <v>22</v>
      </c>
      <c r="C30" s="21" t="s">
        <v>1263</v>
      </c>
      <c r="D30" s="21" t="s">
        <v>1264</v>
      </c>
      <c r="E30" s="21">
        <v>36</v>
      </c>
      <c r="F30" s="21">
        <v>413331</v>
      </c>
      <c r="G30" s="43">
        <v>-0.01</v>
      </c>
      <c r="H30" s="21" t="s">
        <v>1265</v>
      </c>
      <c r="I30" s="39">
        <f ca="1">IFERROR(__xludf.DUMMYFUNCTION("IF(SUM(COUNTIF(artists!A:A, SPLIT(D30, "",""))) &gt; 0, ""UA"", 0)"),0)</f>
        <v>0</v>
      </c>
      <c r="J30" s="40" t="str">
        <f ca="1">IFERROR(__xludf.DUMMYFUNCTION("IF(SUM(COUNTIF(artists!C:C, SPLIT(D30, "",""))) &gt; 0, ""RU"", 0)"),"RU")</f>
        <v>RU</v>
      </c>
      <c r="K30" s="39">
        <f ca="1">IFERROR(__xludf.DUMMYFUNCTION("IF(SUM(COUNTIF(artists!E:E, SPLIT(D30, "",""))) &gt; 0, ""OTHER"", 0)"),0)</f>
        <v>0</v>
      </c>
    </row>
    <row r="31" spans="1:11" ht="14.25" customHeight="1">
      <c r="A31" s="21">
        <v>30</v>
      </c>
      <c r="B31" s="21">
        <v>25</v>
      </c>
      <c r="C31" s="21" t="s">
        <v>1178</v>
      </c>
      <c r="D31" s="21" t="s">
        <v>1117</v>
      </c>
      <c r="E31" s="21">
        <v>6</v>
      </c>
      <c r="F31" s="21">
        <v>410526</v>
      </c>
      <c r="G31" s="42">
        <v>-1E-3</v>
      </c>
      <c r="H31" s="21" t="s">
        <v>1179</v>
      </c>
      <c r="I31" s="39">
        <f ca="1">IFERROR(__xludf.DUMMYFUNCTION("IF(SUM(COUNTIF(artists!A:A, SPLIT(D31, "",""))) &gt; 0, ""UA"", 0)"),0)</f>
        <v>0</v>
      </c>
      <c r="J31" s="40" t="str">
        <f ca="1">IFERROR(__xludf.DUMMYFUNCTION("IF(SUM(COUNTIF(artists!C:C, SPLIT(D31, "",""))) &gt; 0, ""RU"", 0)"),"RU")</f>
        <v>RU</v>
      </c>
      <c r="K31" s="39">
        <f ca="1">IFERROR(__xludf.DUMMYFUNCTION("IF(SUM(COUNTIF(artists!E:E, SPLIT(D31, "",""))) &gt; 0, ""OTHER"", 0)"),0)</f>
        <v>0</v>
      </c>
    </row>
    <row r="32" spans="1:11" ht="14.25" customHeight="1">
      <c r="A32" s="21">
        <v>31</v>
      </c>
      <c r="B32" s="21">
        <v>32</v>
      </c>
      <c r="C32" s="21" t="s">
        <v>149</v>
      </c>
      <c r="D32" s="21" t="s">
        <v>150</v>
      </c>
      <c r="E32" s="21">
        <v>3</v>
      </c>
      <c r="F32" s="21">
        <v>393728</v>
      </c>
      <c r="G32" s="42">
        <v>0.16700000000000001</v>
      </c>
      <c r="H32" s="21" t="s">
        <v>152</v>
      </c>
      <c r="I32" s="39" t="str">
        <f ca="1">IFERROR(__xludf.DUMMYFUNCTION("IF(SUM(COUNTIF(artists!A:A, SPLIT(D32, "",""))) &gt; 0, ""UA"", 0)"),"UA")</f>
        <v>UA</v>
      </c>
      <c r="J32" s="40">
        <f ca="1">IFERROR(__xludf.DUMMYFUNCTION("IF(SUM(COUNTIF(artists!C:C, SPLIT(D32, "",""))) &gt; 0, ""RU"", 0)"),0)</f>
        <v>0</v>
      </c>
      <c r="K32" s="39">
        <f ca="1">IFERROR(__xludf.DUMMYFUNCTION("IF(SUM(COUNTIF(artists!E:E, SPLIT(D32, "",""))) &gt; 0, ""OTHER"", 0)"),0)</f>
        <v>0</v>
      </c>
    </row>
    <row r="33" spans="1:11" ht="14.25" customHeight="1">
      <c r="A33" s="21">
        <v>32</v>
      </c>
      <c r="B33" s="21">
        <v>37</v>
      </c>
      <c r="C33" s="21" t="s">
        <v>178</v>
      </c>
      <c r="D33" s="21" t="s">
        <v>179</v>
      </c>
      <c r="E33" s="21">
        <v>14</v>
      </c>
      <c r="F33" s="21">
        <v>392485</v>
      </c>
      <c r="G33" s="42">
        <v>0.217</v>
      </c>
      <c r="H33" s="21" t="s">
        <v>181</v>
      </c>
      <c r="I33" s="39" t="str">
        <f ca="1">IFERROR(__xludf.DUMMYFUNCTION("IF(SUM(COUNTIF(artists!A:A, SPLIT(D33, "",""))) &gt; 0, ""UA"", 0)"),"UA")</f>
        <v>UA</v>
      </c>
      <c r="J33" s="40">
        <f ca="1">IFERROR(__xludf.DUMMYFUNCTION("IF(SUM(COUNTIF(artists!C:C, SPLIT(D33, "",""))) &gt; 0, ""RU"", 0)"),0)</f>
        <v>0</v>
      </c>
      <c r="K33" s="39">
        <f ca="1">IFERROR(__xludf.DUMMYFUNCTION("IF(SUM(COUNTIF(artists!E:E, SPLIT(D33, "",""))) &gt; 0, ""OTHER"", 0)"),0)</f>
        <v>0</v>
      </c>
    </row>
    <row r="34" spans="1:11" ht="14.25" customHeight="1">
      <c r="A34" s="21">
        <v>33</v>
      </c>
      <c r="B34" s="21">
        <v>26</v>
      </c>
      <c r="C34" s="21" t="s">
        <v>909</v>
      </c>
      <c r="D34" s="21" t="s">
        <v>910</v>
      </c>
      <c r="E34" s="21">
        <v>20</v>
      </c>
      <c r="F34" s="21">
        <v>387185</v>
      </c>
      <c r="G34" s="42">
        <v>-4.0000000000000001E-3</v>
      </c>
      <c r="H34" s="21" t="s">
        <v>911</v>
      </c>
      <c r="I34" s="39" t="str">
        <f ca="1">IFERROR(__xludf.DUMMYFUNCTION("IF(SUM(COUNTIF(artists!A:A, SPLIT(D34, "",""))) &gt; 0, ""UA"", 0)"),"UA")</f>
        <v>UA</v>
      </c>
      <c r="J34" s="40">
        <f ca="1">IFERROR(__xludf.DUMMYFUNCTION("IF(SUM(COUNTIF(artists!C:C, SPLIT(D34, "",""))) &gt; 0, ""RU"", 0)"),0)</f>
        <v>0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B35" s="21">
        <v>30</v>
      </c>
      <c r="C35" s="21" t="s">
        <v>1354</v>
      </c>
      <c r="D35" s="21" t="s">
        <v>1355</v>
      </c>
      <c r="E35" s="21">
        <v>40</v>
      </c>
      <c r="F35" s="21">
        <v>368469</v>
      </c>
      <c r="G35" s="42">
        <v>6.3E-2</v>
      </c>
      <c r="H35" s="21" t="s">
        <v>1356</v>
      </c>
      <c r="I35" s="39" t="str">
        <f ca="1">IFERROR(__xludf.DUMMYFUNCTION("IF(SUM(COUNTIF(artists!A:A, SPLIT(D35, "",""))) &gt; 0, ""UA"", 0)"),"UA")</f>
        <v>UA</v>
      </c>
      <c r="J35" s="40">
        <f ca="1">IFERROR(__xludf.DUMMYFUNCTION("IF(SUM(COUNTIF(artists!C:C, SPLIT(D35, "",""))) &gt; 0, ""RU"", 0)"),0)</f>
        <v>0</v>
      </c>
      <c r="K35" s="39">
        <f ca="1">IFERROR(__xludf.DUMMYFUNCTION("IF(SUM(COUNTIF(artists!E:E, SPLIT(D35, "",""))) &gt; 0, ""OTHER"", 0)"),0)</f>
        <v>0</v>
      </c>
    </row>
    <row r="36" spans="1:11" ht="14.25" customHeight="1">
      <c r="A36" s="21">
        <v>35</v>
      </c>
      <c r="B36" s="21">
        <v>34</v>
      </c>
      <c r="C36" s="21" t="s">
        <v>918</v>
      </c>
      <c r="D36" s="21" t="s">
        <v>108</v>
      </c>
      <c r="E36" s="21">
        <v>46</v>
      </c>
      <c r="F36" s="21">
        <v>362056</v>
      </c>
      <c r="G36" s="42">
        <v>0.109</v>
      </c>
      <c r="H36" s="21" t="s">
        <v>919</v>
      </c>
      <c r="I36" s="39" t="str">
        <f ca="1">IFERROR(__xludf.DUMMYFUNCTION("IF(SUM(COUNTIF(artists!A:A, SPLIT(D36, "",""))) &gt; 0, ""UA"", 0)"),"UA")</f>
        <v>UA</v>
      </c>
      <c r="J36" s="40">
        <f ca="1">IFERROR(__xludf.DUMMYFUNCTION("IF(SUM(COUNTIF(artists!C:C, SPLIT(D36, "",""))) &gt; 0, ""RU"", 0)"),0)</f>
        <v>0</v>
      </c>
      <c r="K36" s="39">
        <f ca="1">IFERROR(__xludf.DUMMYFUNCTION("IF(SUM(COUNTIF(artists!E:E, SPLIT(D36, "",""))) &gt; 0, ""OTHER"", 0)"),0)</f>
        <v>0</v>
      </c>
    </row>
    <row r="37" spans="1:11" ht="14.25" customHeight="1">
      <c r="A37" s="21">
        <v>36</v>
      </c>
      <c r="B37" s="21">
        <v>29</v>
      </c>
      <c r="C37" s="21" t="s">
        <v>1327</v>
      </c>
      <c r="D37" s="21" t="s">
        <v>89</v>
      </c>
      <c r="E37" s="21">
        <v>39</v>
      </c>
      <c r="F37" s="21">
        <v>357024</v>
      </c>
      <c r="G37" s="43">
        <v>-0.04</v>
      </c>
      <c r="H37" s="21" t="s">
        <v>1328</v>
      </c>
      <c r="I37" s="39" t="str">
        <f ca="1">IFERROR(__xludf.DUMMYFUNCTION("IF(SUM(COUNTIF(artists!A:A, SPLIT(D37, "",""))) &gt; 0, ""UA"", 0)"),"UA")</f>
        <v>UA</v>
      </c>
      <c r="J37" s="40">
        <f ca="1">IFERROR(__xludf.DUMMYFUNCTION("IF(SUM(COUNTIF(artists!C:C, SPLIT(D37, "",""))) &gt; 0, ""RU"", 0)"),0)</f>
        <v>0</v>
      </c>
      <c r="K37" s="39">
        <f ca="1">IFERROR(__xludf.DUMMYFUNCTION("IF(SUM(COUNTIF(artists!E:E, SPLIT(D37, "",""))) &gt; 0, ""OTHER"", 0)"),0)</f>
        <v>0</v>
      </c>
    </row>
    <row r="38" spans="1:11" ht="14.25" customHeight="1">
      <c r="A38" s="21">
        <v>37</v>
      </c>
      <c r="B38" s="21">
        <v>45</v>
      </c>
      <c r="C38" s="21" t="s">
        <v>1261</v>
      </c>
      <c r="D38" s="21" t="s">
        <v>137</v>
      </c>
      <c r="E38" s="21">
        <v>27</v>
      </c>
      <c r="F38" s="21">
        <v>327289</v>
      </c>
      <c r="G38" s="42">
        <v>0.108</v>
      </c>
      <c r="H38" s="21" t="s">
        <v>1262</v>
      </c>
      <c r="I38" s="39" t="str">
        <f ca="1">IFERROR(__xludf.DUMMYFUNCTION("IF(SUM(COUNTIF(artists!A:A, SPLIT(D38, "",""))) &gt; 0, ""UA"", 0)"),"UA")</f>
        <v>UA</v>
      </c>
      <c r="J38" s="40">
        <f ca="1">IFERROR(__xludf.DUMMYFUNCTION("IF(SUM(COUNTIF(artists!C:C, SPLIT(D38, "",""))) &gt; 0, ""RU"", 0)"),0)</f>
        <v>0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B39" s="21">
        <v>42</v>
      </c>
      <c r="C39" s="21" t="s">
        <v>1447</v>
      </c>
      <c r="D39" s="21" t="s">
        <v>969</v>
      </c>
      <c r="E39" s="21">
        <v>29</v>
      </c>
      <c r="F39" s="21">
        <v>323849</v>
      </c>
      <c r="G39" s="42">
        <v>6.0999999999999999E-2</v>
      </c>
      <c r="H39" s="21" t="s">
        <v>1448</v>
      </c>
      <c r="I39" s="39" t="str">
        <f ca="1">IFERROR(__xludf.DUMMYFUNCTION("IF(SUM(COUNTIF(artists!A:A, SPLIT(D39, "",""))) &gt; 0, ""UA"", 0)"),"UA")</f>
        <v>UA</v>
      </c>
      <c r="J39" s="40">
        <f ca="1">IFERROR(__xludf.DUMMYFUNCTION("IF(SUM(COUNTIF(artists!C:C, SPLIT(D39, "",""))) &gt; 0, ""RU"", 0)"),0)</f>
        <v>0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B40" s="21">
        <v>38</v>
      </c>
      <c r="C40" s="21" t="s">
        <v>935</v>
      </c>
      <c r="D40" s="21" t="s">
        <v>936</v>
      </c>
      <c r="E40" s="21">
        <v>37</v>
      </c>
      <c r="F40" s="21">
        <v>322694</v>
      </c>
      <c r="G40" s="42">
        <v>2E-3</v>
      </c>
      <c r="H40" s="21" t="s">
        <v>937</v>
      </c>
      <c r="I40" s="39">
        <f ca="1">IFERROR(__xludf.DUMMYFUNCTION("IF(SUM(COUNTIF(artists!A:A, SPLIT(D40, "",""))) &gt; 0, ""UA"", 0)"),0)</f>
        <v>0</v>
      </c>
      <c r="J40" s="40" t="str">
        <f ca="1">IFERROR(__xludf.DUMMYFUNCTION("IF(SUM(COUNTIF(artists!C:C, SPLIT(D40, "",""))) &gt; 0, ""RU"", 0)"),"RU")</f>
        <v>RU</v>
      </c>
      <c r="K40" s="39">
        <f ca="1">IFERROR(__xludf.DUMMYFUNCTION("IF(SUM(COUNTIF(artists!E:E, SPLIT(D40, "",""))) &gt; 0, ""OTHER"", 0)"),0)</f>
        <v>0</v>
      </c>
    </row>
    <row r="41" spans="1:11" ht="14.25" customHeight="1">
      <c r="A41" s="21">
        <v>40</v>
      </c>
      <c r="B41" s="21">
        <v>35</v>
      </c>
      <c r="C41" s="21" t="s">
        <v>253</v>
      </c>
      <c r="D41" s="21" t="s">
        <v>89</v>
      </c>
      <c r="E41" s="21">
        <v>19</v>
      </c>
      <c r="F41" s="21">
        <v>321238</v>
      </c>
      <c r="G41" s="42">
        <v>-8.0000000000000002E-3</v>
      </c>
      <c r="H41" s="21" t="s">
        <v>254</v>
      </c>
      <c r="I41" s="39" t="str">
        <f ca="1">IFERROR(__xludf.DUMMYFUNCTION("IF(SUM(COUNTIF(artists!A:A, SPLIT(D41, "",""))) &gt; 0, ""UA"", 0)"),"UA")</f>
        <v>UA</v>
      </c>
      <c r="J41" s="40">
        <f ca="1">IFERROR(__xludf.DUMMYFUNCTION("IF(SUM(COUNTIF(artists!C:C, SPLIT(D41, "",""))) &gt; 0, ""RU"", 0)"),0)</f>
        <v>0</v>
      </c>
      <c r="K41" s="39">
        <f ca="1">IFERROR(__xludf.DUMMYFUNCTION("IF(SUM(COUNTIF(artists!E:E, SPLIT(D41, "",""))) &gt; 0, ""OTHER"", 0)"),0)</f>
        <v>0</v>
      </c>
    </row>
    <row r="42" spans="1:11" ht="14.25" customHeight="1">
      <c r="A42" s="21">
        <v>41</v>
      </c>
      <c r="B42" s="21">
        <v>47</v>
      </c>
      <c r="C42" s="21" t="s">
        <v>1242</v>
      </c>
      <c r="D42" s="21" t="s">
        <v>969</v>
      </c>
      <c r="E42" s="21">
        <v>9</v>
      </c>
      <c r="F42" s="21">
        <v>317544</v>
      </c>
      <c r="G42" s="42">
        <v>0.112</v>
      </c>
      <c r="H42" s="21" t="s">
        <v>1243</v>
      </c>
      <c r="I42" s="39" t="str">
        <f ca="1">IFERROR(__xludf.DUMMYFUNCTION("IF(SUM(COUNTIF(artists!A:A, SPLIT(D42, "",""))) &gt; 0, ""UA"", 0)"),"UA")</f>
        <v>UA</v>
      </c>
      <c r="J42" s="40">
        <f ca="1">IFERROR(__xludf.DUMMYFUNCTION("IF(SUM(COUNTIF(artists!C:C, SPLIT(D42, "",""))) &gt; 0, ""RU"", 0)"),0)</f>
        <v>0</v>
      </c>
      <c r="K42" s="39">
        <f ca="1">IFERROR(__xludf.DUMMYFUNCTION("IF(SUM(COUNTIF(artists!E:E, SPLIT(D42, "",""))) &gt; 0, ""OTHER"", 0)"),0)</f>
        <v>0</v>
      </c>
    </row>
    <row r="43" spans="1:11" ht="14.25" customHeight="1">
      <c r="A43" s="21">
        <v>42</v>
      </c>
      <c r="B43" s="21">
        <v>41</v>
      </c>
      <c r="C43" s="21" t="s">
        <v>160</v>
      </c>
      <c r="D43" s="21" t="s">
        <v>161</v>
      </c>
      <c r="E43" s="21">
        <v>4</v>
      </c>
      <c r="F43" s="21">
        <v>313683</v>
      </c>
      <c r="G43" s="42">
        <v>2.7E-2</v>
      </c>
      <c r="H43" s="21" t="s">
        <v>163</v>
      </c>
      <c r="I43" s="39" t="str">
        <f ca="1">IFERROR(__xludf.DUMMYFUNCTION("IF(SUM(COUNTIF(artists!A:A, SPLIT(D43, "",""))) &gt; 0, ""UA"", 0)"),"UA")</f>
        <v>UA</v>
      </c>
      <c r="J43" s="40">
        <f ca="1">IFERROR(__xludf.DUMMYFUNCTION("IF(SUM(COUNTIF(artists!C:C, SPLIT(D43, "",""))) &gt; 0, ""RU"", 0)"),0)</f>
        <v>0</v>
      </c>
      <c r="K43" s="39">
        <f ca="1">IFERROR(__xludf.DUMMYFUNCTION("IF(SUM(COUNTIF(artists!E:E, SPLIT(D43, "",""))) &gt; 0, ""OTHER"", 0)"),0)</f>
        <v>0</v>
      </c>
    </row>
    <row r="44" spans="1:11" ht="14.25" customHeight="1">
      <c r="A44" s="21">
        <v>43</v>
      </c>
      <c r="B44" s="21">
        <v>31</v>
      </c>
      <c r="C44" s="21" t="s">
        <v>1284</v>
      </c>
      <c r="D44" s="21" t="s">
        <v>1285</v>
      </c>
      <c r="E44" s="21">
        <v>11</v>
      </c>
      <c r="F44" s="21">
        <v>310983</v>
      </c>
      <c r="G44" s="42">
        <v>-9.2999999999999999E-2</v>
      </c>
      <c r="H44" s="21" t="s">
        <v>1286</v>
      </c>
      <c r="I44" s="39">
        <f ca="1">IFERROR(__xludf.DUMMYFUNCTION("IF(SUM(COUNTIF(artists!A:A, SPLIT(D44, "",""))) &gt; 0, ""UA"", 0)"),0)</f>
        <v>0</v>
      </c>
      <c r="J44" s="40" t="str">
        <f ca="1">IFERROR(__xludf.DUMMYFUNCTION("IF(SUM(COUNTIF(artists!C:C, SPLIT(D44, "",""))) &gt; 0, ""RU"", 0)"),"RU")</f>
        <v>RU</v>
      </c>
      <c r="K44" s="39">
        <f ca="1">IFERROR(__xludf.DUMMYFUNCTION("IF(SUM(COUNTIF(artists!E:E, SPLIT(D44, "",""))) &gt; 0, ""OTHER"", 0)"),0)</f>
        <v>0</v>
      </c>
    </row>
    <row r="45" spans="1:11" ht="14.25" customHeight="1">
      <c r="A45" s="21">
        <v>44</v>
      </c>
      <c r="B45" s="21">
        <v>39</v>
      </c>
      <c r="C45" s="21" t="s">
        <v>887</v>
      </c>
      <c r="D45" s="21" t="s">
        <v>89</v>
      </c>
      <c r="E45" s="21">
        <v>17</v>
      </c>
      <c r="F45" s="21">
        <v>309905</v>
      </c>
      <c r="G45" s="43">
        <v>-0.01</v>
      </c>
      <c r="H45" s="21" t="s">
        <v>888</v>
      </c>
      <c r="I45" s="39" t="str">
        <f ca="1">IFERROR(__xludf.DUMMYFUNCTION("IF(SUM(COUNTIF(artists!A:A, SPLIT(D45, "",""))) &gt; 0, ""UA"", 0)"),"UA")</f>
        <v>UA</v>
      </c>
      <c r="J45" s="40">
        <f ca="1">IFERROR(__xludf.DUMMYFUNCTION("IF(SUM(COUNTIF(artists!C:C, SPLIT(D45, "",""))) &gt; 0, ""RU"", 0)"),0)</f>
        <v>0</v>
      </c>
      <c r="K45" s="39">
        <f ca="1">IFERROR(__xludf.DUMMYFUNCTION("IF(SUM(COUNTIF(artists!E:E, SPLIT(D45, "",""))) &gt; 0, ""OTHER"", 0)"),0)</f>
        <v>0</v>
      </c>
    </row>
    <row r="46" spans="1:11" ht="14.25" customHeight="1">
      <c r="A46" s="21">
        <v>45</v>
      </c>
      <c r="B46" s="21">
        <v>33</v>
      </c>
      <c r="C46" s="21" t="s">
        <v>1332</v>
      </c>
      <c r="D46" s="21" t="s">
        <v>1333</v>
      </c>
      <c r="E46" s="21">
        <v>12</v>
      </c>
      <c r="F46" s="21">
        <v>308956</v>
      </c>
      <c r="G46" s="42">
        <v>-6.7000000000000004E-2</v>
      </c>
      <c r="H46" s="21" t="s">
        <v>1334</v>
      </c>
      <c r="I46" s="39" t="str">
        <f ca="1">IFERROR(__xludf.DUMMYFUNCTION("IF(SUM(COUNTIF(artists!A:A, SPLIT(D46, "",""))) &gt; 0, ""UA"", 0)"),"UA")</f>
        <v>UA</v>
      </c>
      <c r="J46" s="40">
        <f ca="1">IFERROR(__xludf.DUMMYFUNCTION("IF(SUM(COUNTIF(artists!C:C, SPLIT(D46, "",""))) &gt; 0, ""RU"", 0)"),0)</f>
        <v>0</v>
      </c>
      <c r="K46" s="39">
        <f ca="1">IFERROR(__xludf.DUMMYFUNCTION("IF(SUM(COUNTIF(artists!E:E, SPLIT(D46, "",""))) &gt; 0, ""OTHER"", 0)"),0)</f>
        <v>0</v>
      </c>
    </row>
    <row r="47" spans="1:11" ht="14.25" customHeight="1">
      <c r="A47" s="21">
        <v>46</v>
      </c>
      <c r="B47" s="21">
        <v>28</v>
      </c>
      <c r="C47" s="21" t="s">
        <v>697</v>
      </c>
      <c r="D47" s="21" t="s">
        <v>698</v>
      </c>
      <c r="E47" s="21">
        <v>6</v>
      </c>
      <c r="F47" s="21">
        <v>307319</v>
      </c>
      <c r="G47" s="42">
        <v>-0.17599999999999999</v>
      </c>
      <c r="H47" s="21" t="s">
        <v>699</v>
      </c>
      <c r="I47" s="39">
        <f ca="1">IFERROR(__xludf.DUMMYFUNCTION("IF(SUM(COUNTIF(artists!A:A, SPLIT(D47, "",""))) &gt; 0, ""UA"", 0)"),0)</f>
        <v>0</v>
      </c>
      <c r="J47" s="40" t="str">
        <f ca="1">IFERROR(__xludf.DUMMYFUNCTION("IF(SUM(COUNTIF(artists!C:C, SPLIT(D47, "",""))) &gt; 0, ""RU"", 0)"),"RU")</f>
        <v>RU</v>
      </c>
      <c r="K47" s="39">
        <f ca="1">IFERROR(__xludf.DUMMYFUNCTION("IF(SUM(COUNTIF(artists!E:E, SPLIT(D47, "",""))) &gt; 0, ""OTHER"", 0)"),0)</f>
        <v>0</v>
      </c>
    </row>
    <row r="48" spans="1:11" ht="14.25" customHeight="1">
      <c r="A48" s="21">
        <v>47</v>
      </c>
      <c r="C48" s="21" t="s">
        <v>1175</v>
      </c>
      <c r="D48" s="21" t="s">
        <v>1176</v>
      </c>
      <c r="E48" s="21">
        <v>1</v>
      </c>
      <c r="F48" s="21">
        <v>306870</v>
      </c>
      <c r="H48" s="21" t="s">
        <v>1177</v>
      </c>
      <c r="I48" s="39">
        <f ca="1">IFERROR(__xludf.DUMMYFUNCTION("IF(SUM(COUNTIF(artists!A:A, SPLIT(D48, "",""))) &gt; 0, ""UA"", 0)"),0)</f>
        <v>0</v>
      </c>
      <c r="J48" s="40" t="str">
        <f ca="1">IFERROR(__xludf.DUMMYFUNCTION("IF(SUM(COUNTIF(artists!C:C, SPLIT(D48, "",""))) &gt; 0, ""RU"", 0)"),"RU")</f>
        <v>RU</v>
      </c>
      <c r="K48" s="39">
        <f ca="1">IFERROR(__xludf.DUMMYFUNCTION("IF(SUM(COUNTIF(artists!E:E, SPLIT(D48, "",""))) &gt; 0, ""OTHER"", 0)"),0)</f>
        <v>0</v>
      </c>
    </row>
    <row r="49" spans="1:11" ht="14.25" customHeight="1">
      <c r="A49" s="21">
        <v>48</v>
      </c>
      <c r="B49" s="21">
        <v>50</v>
      </c>
      <c r="C49" s="21" t="s">
        <v>118</v>
      </c>
      <c r="D49" s="21" t="s">
        <v>586</v>
      </c>
      <c r="E49" s="21">
        <v>20</v>
      </c>
      <c r="F49" s="21">
        <v>295493</v>
      </c>
      <c r="G49" s="42">
        <v>9.0999999999999998E-2</v>
      </c>
      <c r="H49" s="21" t="s">
        <v>587</v>
      </c>
      <c r="I49" s="39" t="str">
        <f ca="1">IFERROR(__xludf.DUMMYFUNCTION("IF(SUM(COUNTIF(artists!A:A, SPLIT(D49, "",""))) &gt; 0, ""UA"", 0)"),"UA")</f>
        <v>UA</v>
      </c>
      <c r="J49" s="40">
        <f ca="1">IFERROR(__xludf.DUMMYFUNCTION("IF(SUM(COUNTIF(artists!C:C, SPLIT(D49, "",""))) &gt; 0, ""RU"", 0)"),0)</f>
        <v>0</v>
      </c>
      <c r="K49" s="39">
        <f ca="1">IFERROR(__xludf.DUMMYFUNCTION("IF(SUM(COUNTIF(artists!E:E, SPLIT(D49, "",""))) &gt; 0, ""OTHER"", 0)"),0)</f>
        <v>0</v>
      </c>
    </row>
    <row r="50" spans="1:11" ht="14.25" customHeight="1">
      <c r="A50" s="21">
        <v>49</v>
      </c>
      <c r="B50" s="21">
        <v>44</v>
      </c>
      <c r="C50" s="21" t="s">
        <v>1500</v>
      </c>
      <c r="D50" s="21" t="s">
        <v>907</v>
      </c>
      <c r="E50" s="21">
        <v>40</v>
      </c>
      <c r="F50" s="21">
        <v>283272</v>
      </c>
      <c r="G50" s="42">
        <v>-5.5E-2</v>
      </c>
      <c r="H50" s="21" t="s">
        <v>1501</v>
      </c>
      <c r="I50" s="39">
        <f ca="1">IFERROR(__xludf.DUMMYFUNCTION("IF(SUM(COUNTIF(artists!A:A, SPLIT(D50, "",""))) &gt; 0, ""UA"", 0)"),0)</f>
        <v>0</v>
      </c>
      <c r="J50" s="40" t="str">
        <f ca="1">IFERROR(__xludf.DUMMYFUNCTION("IF(SUM(COUNTIF(artists!C:C, SPLIT(D50, "",""))) &gt; 0, ""RU"", 0)"),"RU")</f>
        <v>RU</v>
      </c>
      <c r="K50" s="39">
        <f ca="1">IFERROR(__xludf.DUMMYFUNCTION("IF(SUM(COUNTIF(artists!E:E, SPLIT(D50, "",""))) &gt; 0, ""OTHER"", 0)"),0)</f>
        <v>0</v>
      </c>
    </row>
    <row r="51" spans="1:11" ht="14.25" customHeight="1">
      <c r="A51" s="21">
        <v>50</v>
      </c>
      <c r="B51" s="21">
        <v>65</v>
      </c>
      <c r="C51" s="21" t="s">
        <v>1323</v>
      </c>
      <c r="D51" s="21" t="s">
        <v>230</v>
      </c>
      <c r="E51" s="21">
        <v>2</v>
      </c>
      <c r="F51" s="21">
        <v>282771</v>
      </c>
      <c r="G51" s="42">
        <v>0.26800000000000002</v>
      </c>
      <c r="H51" s="21" t="s">
        <v>1324</v>
      </c>
      <c r="I51" s="39" t="str">
        <f ca="1">IFERROR(__xludf.DUMMYFUNCTION("IF(SUM(COUNTIF(artists!A:A, SPLIT(D51, "",""))) &gt; 0, ""UA"", 0)"),"UA")</f>
        <v>UA</v>
      </c>
      <c r="J51" s="40">
        <f ca="1">IFERROR(__xludf.DUMMYFUNCTION("IF(SUM(COUNTIF(artists!C:C, SPLIT(D51, "",""))) &gt; 0, ""RU"", 0)"),0)</f>
        <v>0</v>
      </c>
      <c r="K51" s="39">
        <f ca="1">IFERROR(__xludf.DUMMYFUNCTION("IF(SUM(COUNTIF(artists!E:E, SPLIT(D51, "",""))) &gt; 0, ""OTHER"", 0)"),0)</f>
        <v>0</v>
      </c>
    </row>
    <row r="52" spans="1:11" ht="14.25" customHeight="1">
      <c r="A52" s="21">
        <v>51</v>
      </c>
      <c r="B52" s="21">
        <v>46</v>
      </c>
      <c r="C52" s="21" t="s">
        <v>632</v>
      </c>
      <c r="D52" s="21" t="s">
        <v>633</v>
      </c>
      <c r="E52" s="21">
        <v>14</v>
      </c>
      <c r="F52" s="21">
        <v>281084</v>
      </c>
      <c r="G52" s="43">
        <v>-0.04</v>
      </c>
      <c r="H52" s="21" t="s">
        <v>634</v>
      </c>
      <c r="I52" s="39" t="str">
        <f ca="1">IFERROR(__xludf.DUMMYFUNCTION("IF(SUM(COUNTIF(artists!A:A, SPLIT(D52, "",""))) &gt; 0, ""UA"", 0)"),"UA")</f>
        <v>UA</v>
      </c>
      <c r="J52" s="40">
        <f ca="1">IFERROR(__xludf.DUMMYFUNCTION("IF(SUM(COUNTIF(artists!C:C, SPLIT(D52, "",""))) &gt; 0, ""RU"", 0)"),0)</f>
        <v>0</v>
      </c>
      <c r="K52" s="39">
        <f ca="1">IFERROR(__xludf.DUMMYFUNCTION("IF(SUM(COUNTIF(artists!E:E, SPLIT(D52, "",""))) &gt; 0, ""OTHER"", 0)"),0)</f>
        <v>0</v>
      </c>
    </row>
    <row r="53" spans="1:11" ht="14.25" customHeight="1">
      <c r="A53" s="21">
        <v>52</v>
      </c>
      <c r="C53" s="21" t="s">
        <v>1403</v>
      </c>
      <c r="D53" s="21" t="s">
        <v>259</v>
      </c>
      <c r="E53" s="21">
        <v>1</v>
      </c>
      <c r="F53" s="21">
        <v>280252</v>
      </c>
      <c r="H53" s="21" t="s">
        <v>1404</v>
      </c>
      <c r="I53" s="39" t="str">
        <f ca="1">IFERROR(__xludf.DUMMYFUNCTION("IF(SUM(COUNTIF(artists!A:A, SPLIT(D53, "",""))) &gt; 0, ""UA"", 0)"),"UA")</f>
        <v>UA</v>
      </c>
      <c r="J53" s="40">
        <f ca="1">IFERROR(__xludf.DUMMYFUNCTION("IF(SUM(COUNTIF(artists!C:C, SPLIT(D53, "",""))) &gt; 0, ""RU"", 0)"),0)</f>
        <v>0</v>
      </c>
      <c r="K53" s="39">
        <f ca="1">IFERROR(__xludf.DUMMYFUNCTION("IF(SUM(COUNTIF(artists!E:E, SPLIT(D53, "",""))) &gt; 0, ""OTHER"", 0)"),0)</f>
        <v>0</v>
      </c>
    </row>
    <row r="54" spans="1:11" ht="14.25" customHeight="1">
      <c r="A54" s="21">
        <v>53</v>
      </c>
      <c r="B54" s="21">
        <v>53</v>
      </c>
      <c r="C54" s="21" t="s">
        <v>1182</v>
      </c>
      <c r="D54" s="21" t="s">
        <v>466</v>
      </c>
      <c r="E54" s="21">
        <v>12</v>
      </c>
      <c r="F54" s="21">
        <v>270810</v>
      </c>
      <c r="G54" s="42">
        <v>5.1999999999999998E-2</v>
      </c>
      <c r="H54" s="21" t="s">
        <v>1183</v>
      </c>
      <c r="I54" s="39" t="str">
        <f ca="1">IFERROR(__xludf.DUMMYFUNCTION("IF(SUM(COUNTIF(artists!A:A, SPLIT(D54, "",""))) &gt; 0, ""UA"", 0)"),"UA")</f>
        <v>UA</v>
      </c>
      <c r="J54" s="40">
        <f ca="1">IFERROR(__xludf.DUMMYFUNCTION("IF(SUM(COUNTIF(artists!C:C, SPLIT(D54, "",""))) &gt; 0, ""RU"", 0)"),0)</f>
        <v>0</v>
      </c>
      <c r="K54" s="39">
        <f ca="1">IFERROR(__xludf.DUMMYFUNCTION("IF(SUM(COUNTIF(artists!E:E, SPLIT(D54, "",""))) &gt; 0, ""OTHER"", 0)"),0)</f>
        <v>0</v>
      </c>
    </row>
    <row r="55" spans="1:11" ht="14.25" customHeight="1">
      <c r="A55" s="21">
        <v>54</v>
      </c>
      <c r="B55" s="21">
        <v>43</v>
      </c>
      <c r="C55" s="21" t="s">
        <v>1436</v>
      </c>
      <c r="D55" s="21" t="s">
        <v>896</v>
      </c>
      <c r="E55" s="21">
        <v>17</v>
      </c>
      <c r="F55" s="21">
        <v>266647</v>
      </c>
      <c r="G55" s="42">
        <v>-0.112</v>
      </c>
      <c r="H55" s="21" t="s">
        <v>1437</v>
      </c>
      <c r="I55" s="39" t="str">
        <f ca="1">IFERROR(__xludf.DUMMYFUNCTION("IF(SUM(COUNTIF(artists!A:A, SPLIT(D55, "",""))) &gt; 0, ""UA"", 0)"),"UA")</f>
        <v>UA</v>
      </c>
      <c r="J55" s="40">
        <f ca="1">IFERROR(__xludf.DUMMYFUNCTION("IF(SUM(COUNTIF(artists!C:C, SPLIT(D55, "",""))) &gt; 0, ""RU"", 0)"),0)</f>
        <v>0</v>
      </c>
      <c r="K55" s="39">
        <f ca="1">IFERROR(__xludf.DUMMYFUNCTION("IF(SUM(COUNTIF(artists!E:E, SPLIT(D55, "",""))) &gt; 0, ""OTHER"", 0)"),0)</f>
        <v>0</v>
      </c>
    </row>
    <row r="56" spans="1:11" ht="14.25" customHeight="1">
      <c r="A56" s="21">
        <v>55</v>
      </c>
      <c r="B56" s="21">
        <v>40</v>
      </c>
      <c r="C56" s="21" t="s">
        <v>1418</v>
      </c>
      <c r="D56" s="21" t="s">
        <v>698</v>
      </c>
      <c r="E56" s="21">
        <v>4</v>
      </c>
      <c r="F56" s="21">
        <v>265235</v>
      </c>
      <c r="G56" s="43">
        <v>-0.14000000000000001</v>
      </c>
      <c r="H56" s="21" t="s">
        <v>1419</v>
      </c>
      <c r="I56" s="39">
        <f ca="1">IFERROR(__xludf.DUMMYFUNCTION("IF(SUM(COUNTIF(artists!A:A, SPLIT(D56, "",""))) &gt; 0, ""UA"", 0)"),0)</f>
        <v>0</v>
      </c>
      <c r="J56" s="40" t="str">
        <f ca="1">IFERROR(__xludf.DUMMYFUNCTION("IF(SUM(COUNTIF(artists!C:C, SPLIT(D56, "",""))) &gt; 0, ""RU"", 0)"),"RU")</f>
        <v>RU</v>
      </c>
      <c r="K56" s="39">
        <f ca="1">IFERROR(__xludf.DUMMYFUNCTION("IF(SUM(COUNTIF(artists!E:E, SPLIT(D56, "",""))) &gt; 0, ""OTHER"", 0)"),0)</f>
        <v>0</v>
      </c>
    </row>
    <row r="57" spans="1:11" ht="14.25" customHeight="1">
      <c r="A57" s="21">
        <v>56</v>
      </c>
      <c r="B57" s="21">
        <v>36</v>
      </c>
      <c r="C57" s="21" t="s">
        <v>1383</v>
      </c>
      <c r="D57" s="21" t="s">
        <v>463</v>
      </c>
      <c r="E57" s="21">
        <v>15</v>
      </c>
      <c r="F57" s="21">
        <v>264304</v>
      </c>
      <c r="G57" s="43">
        <v>-0.18</v>
      </c>
      <c r="H57" s="21" t="s">
        <v>1384</v>
      </c>
      <c r="I57" s="39" t="str">
        <f ca="1">IFERROR(__xludf.DUMMYFUNCTION("IF(SUM(COUNTIF(artists!A:A, SPLIT(D57, "",""))) &gt; 0, ""UA"", 0)"),"UA")</f>
        <v>UA</v>
      </c>
      <c r="J57" s="40">
        <f ca="1">IFERROR(__xludf.DUMMYFUNCTION("IF(SUM(COUNTIF(artists!C:C, SPLIT(D57, "",""))) &gt; 0, ""RU"", 0)"),0)</f>
        <v>0</v>
      </c>
      <c r="K57" s="39">
        <f ca="1">IFERROR(__xludf.DUMMYFUNCTION("IF(SUM(COUNTIF(artists!E:E, SPLIT(D57, "",""))) &gt; 0, ""OTHER"", 0)"),0)</f>
        <v>0</v>
      </c>
    </row>
    <row r="58" spans="1:11" ht="14.25" customHeight="1">
      <c r="A58" s="21">
        <v>57</v>
      </c>
      <c r="B58" s="21">
        <v>52</v>
      </c>
      <c r="C58" s="21" t="s">
        <v>1460</v>
      </c>
      <c r="D58" s="21" t="s">
        <v>1461</v>
      </c>
      <c r="E58" s="21">
        <v>3</v>
      </c>
      <c r="F58" s="21">
        <v>258595</v>
      </c>
      <c r="G58" s="42">
        <v>-3.0000000000000001E-3</v>
      </c>
      <c r="H58" s="21" t="s">
        <v>1462</v>
      </c>
      <c r="I58" s="39">
        <f ca="1">IFERROR(__xludf.DUMMYFUNCTION("IF(SUM(COUNTIF(artists!A:A, SPLIT(D58, "",""))) &gt; 0, ""UA"", 0)"),0)</f>
        <v>0</v>
      </c>
      <c r="J58" s="40" t="str">
        <f ca="1">IFERROR(__xludf.DUMMYFUNCTION("IF(SUM(COUNTIF(artists!C:C, SPLIT(D58, "",""))) &gt; 0, ""RU"", 0)"),"RU")</f>
        <v>RU</v>
      </c>
      <c r="K58" s="39">
        <f ca="1">IFERROR(__xludf.DUMMYFUNCTION("IF(SUM(COUNTIF(artists!E:E, SPLIT(D58, "",""))) &gt; 0, ""OTHER"", 0)"),0)</f>
        <v>0</v>
      </c>
    </row>
    <row r="59" spans="1:11" ht="14.25" customHeight="1">
      <c r="A59" s="21">
        <v>58</v>
      </c>
      <c r="C59" s="21" t="s">
        <v>1425</v>
      </c>
      <c r="D59" s="21" t="s">
        <v>1426</v>
      </c>
      <c r="E59" s="21">
        <v>1</v>
      </c>
      <c r="F59" s="21">
        <v>253738</v>
      </c>
      <c r="H59" s="21" t="s">
        <v>1427</v>
      </c>
      <c r="I59" s="39" t="str">
        <f ca="1">IFERROR(__xludf.DUMMYFUNCTION("IF(SUM(COUNTIF(artists!A:A, SPLIT(D59, "",""))) &gt; 0, ""UA"", 0)"),"UA")</f>
        <v>UA</v>
      </c>
      <c r="J59" s="40">
        <f ca="1">IFERROR(__xludf.DUMMYFUNCTION("IF(SUM(COUNTIF(artists!C:C, SPLIT(D59, "",""))) &gt; 0, ""RU"", 0)"),0)</f>
        <v>0</v>
      </c>
      <c r="K59" s="39">
        <f ca="1">IFERROR(__xludf.DUMMYFUNCTION("IF(SUM(COUNTIF(artists!E:E, SPLIT(D59, "",""))) &gt; 0, ""OTHER"", 0)"),0)</f>
        <v>0</v>
      </c>
    </row>
    <row r="60" spans="1:11" ht="14.25" customHeight="1">
      <c r="A60" s="21">
        <v>59</v>
      </c>
      <c r="B60" s="21">
        <v>55</v>
      </c>
      <c r="C60" s="21" t="s">
        <v>1410</v>
      </c>
      <c r="D60" s="21" t="s">
        <v>1411</v>
      </c>
      <c r="E60" s="21">
        <v>4</v>
      </c>
      <c r="F60" s="21">
        <v>252687</v>
      </c>
      <c r="G60" s="42">
        <v>4.7E-2</v>
      </c>
      <c r="H60" s="21" t="s">
        <v>1412</v>
      </c>
      <c r="I60" s="39">
        <f ca="1">IFERROR(__xludf.DUMMYFUNCTION("IF(SUM(COUNTIF(artists!A:A, SPLIT(D60, "",""))) &gt; 0, ""UA"", 0)"),0)</f>
        <v>0</v>
      </c>
      <c r="J60" s="40" t="str">
        <f ca="1">IFERROR(__xludf.DUMMYFUNCTION("IF(SUM(COUNTIF(artists!C:C, SPLIT(D60, "",""))) &gt; 0, ""RU"", 0)"),"RU")</f>
        <v>RU</v>
      </c>
      <c r="K60" s="39">
        <f ca="1">IFERROR(__xludf.DUMMYFUNCTION("IF(SUM(COUNTIF(artists!E:E, SPLIT(D60, "",""))) &gt; 0, ""OTHER"", 0)"),0)</f>
        <v>0</v>
      </c>
    </row>
    <row r="61" spans="1:11" ht="14.25" customHeight="1">
      <c r="A61" s="21">
        <v>60</v>
      </c>
      <c r="B61" s="21">
        <v>72</v>
      </c>
      <c r="C61" s="21" t="s">
        <v>1471</v>
      </c>
      <c r="D61" s="21" t="s">
        <v>1472</v>
      </c>
      <c r="E61" s="21">
        <v>19</v>
      </c>
      <c r="F61" s="21">
        <v>247629</v>
      </c>
      <c r="G61" s="42">
        <v>0.251</v>
      </c>
      <c r="H61" s="21" t="s">
        <v>1473</v>
      </c>
      <c r="I61" s="39" t="str">
        <f ca="1">IFERROR(__xludf.DUMMYFUNCTION("IF(SUM(COUNTIF(artists!A:A, SPLIT(D61, "",""))) &gt; 0, ""UA"", 0)"),"UA")</f>
        <v>UA</v>
      </c>
      <c r="J61" s="40">
        <f ca="1">IFERROR(__xludf.DUMMYFUNCTION("IF(SUM(COUNTIF(artists!C:C, SPLIT(D61, "",""))) &gt; 0, ""RU"", 0)"),0)</f>
        <v>0</v>
      </c>
      <c r="K61" s="39">
        <f ca="1">IFERROR(__xludf.DUMMYFUNCTION("IF(SUM(COUNTIF(artists!E:E, SPLIT(D61, "",""))) &gt; 0, ""OTHER"", 0)"),0)</f>
        <v>0</v>
      </c>
    </row>
    <row r="62" spans="1:11" ht="14.25" customHeight="1">
      <c r="A62" s="21">
        <v>61</v>
      </c>
      <c r="B62" s="21">
        <v>63</v>
      </c>
      <c r="C62" s="21" t="s">
        <v>1318</v>
      </c>
      <c r="D62" s="21" t="s">
        <v>1319</v>
      </c>
      <c r="E62" s="21">
        <v>7</v>
      </c>
      <c r="F62" s="21">
        <v>244899</v>
      </c>
      <c r="G62" s="42">
        <v>6.7000000000000004E-2</v>
      </c>
      <c r="H62" s="21" t="s">
        <v>1320</v>
      </c>
      <c r="I62" s="39">
        <f ca="1">IFERROR(__xludf.DUMMYFUNCTION("IF(SUM(COUNTIF(artists!A:A, SPLIT(D62, "",""))) &gt; 0, ""UA"", 0)"),0)</f>
        <v>0</v>
      </c>
      <c r="J62" s="40" t="str">
        <f ca="1">IFERROR(__xludf.DUMMYFUNCTION("IF(SUM(COUNTIF(artists!C:C, SPLIT(D62, "",""))) &gt; 0, ""RU"", 0)"),"RU")</f>
        <v>RU</v>
      </c>
      <c r="K62" s="39">
        <f ca="1">IFERROR(__xludf.DUMMYFUNCTION("IF(SUM(COUNTIF(artists!E:E, SPLIT(D62, "",""))) &gt; 0, ""OTHER"", 0)"),0)</f>
        <v>0</v>
      </c>
    </row>
    <row r="63" spans="1:11" ht="14.25" customHeight="1">
      <c r="A63" s="21">
        <v>62</v>
      </c>
      <c r="C63" s="21" t="s">
        <v>1502</v>
      </c>
      <c r="D63" s="21" t="s">
        <v>1503</v>
      </c>
      <c r="E63" s="21">
        <v>31</v>
      </c>
      <c r="F63" s="21">
        <v>244696</v>
      </c>
      <c r="H63" s="21" t="s">
        <v>1504</v>
      </c>
      <c r="I63" s="39" t="str">
        <f ca="1">IFERROR(__xludf.DUMMYFUNCTION("IF(SUM(COUNTIF(artists!A:A, SPLIT(D63, "",""))) &gt; 0, ""UA"", 0)"),"UA")</f>
        <v>UA</v>
      </c>
      <c r="J63" s="40">
        <f ca="1">IFERROR(__xludf.DUMMYFUNCTION("IF(SUM(COUNTIF(artists!C:C, SPLIT(D63, "",""))) &gt; 0, ""RU"", 0)"),0)</f>
        <v>0</v>
      </c>
      <c r="K63" s="39">
        <f ca="1">IFERROR(__xludf.DUMMYFUNCTION("IF(SUM(COUNTIF(artists!E:E, SPLIT(D63, "",""))) &gt; 0, ""OTHER"", 0)"),0)</f>
        <v>0</v>
      </c>
    </row>
    <row r="64" spans="1:11" ht="14.25" customHeight="1">
      <c r="A64" s="21">
        <v>63</v>
      </c>
      <c r="C64" s="21" t="s">
        <v>1187</v>
      </c>
      <c r="D64" s="21" t="s">
        <v>1188</v>
      </c>
      <c r="E64" s="21">
        <v>1</v>
      </c>
      <c r="F64" s="21">
        <v>244046</v>
      </c>
      <c r="H64" s="21" t="s">
        <v>1189</v>
      </c>
      <c r="I64" s="39" t="str">
        <f ca="1">IFERROR(__xludf.DUMMYFUNCTION("IF(SUM(COUNTIF(artists!A:A, SPLIT(D64, "",""))) &gt; 0, ""UA"", 0)"),"UA")</f>
        <v>UA</v>
      </c>
      <c r="J64" s="40">
        <f ca="1">IFERROR(__xludf.DUMMYFUNCTION("IF(SUM(COUNTIF(artists!C:C, SPLIT(D64, "",""))) &gt; 0, ""RU"", 0)"),0)</f>
        <v>0</v>
      </c>
      <c r="K64" s="39">
        <f ca="1">IFERROR(__xludf.DUMMYFUNCTION("IF(SUM(COUNTIF(artists!E:E, SPLIT(D64, "",""))) &gt; 0, ""OTHER"", 0)"),0)</f>
        <v>0</v>
      </c>
    </row>
    <row r="65" spans="1:11" ht="14.25" customHeight="1">
      <c r="A65" s="21">
        <v>64</v>
      </c>
      <c r="B65" s="21">
        <v>60</v>
      </c>
      <c r="C65" s="21" t="s">
        <v>1343</v>
      </c>
      <c r="D65" s="21" t="s">
        <v>1344</v>
      </c>
      <c r="E65" s="21">
        <v>5</v>
      </c>
      <c r="F65" s="21">
        <v>231867</v>
      </c>
      <c r="G65" s="42">
        <v>-1.7999999999999999E-2</v>
      </c>
      <c r="H65" s="21" t="s">
        <v>1345</v>
      </c>
      <c r="I65" s="39" t="str">
        <f ca="1">IFERROR(__xludf.DUMMYFUNCTION("IF(SUM(COUNTIF(artists!A:A, SPLIT(D65, "",""))) &gt; 0, ""UA"", 0)"),"UA")</f>
        <v>UA</v>
      </c>
      <c r="J65" s="40">
        <f ca="1">IFERROR(__xludf.DUMMYFUNCTION("IF(SUM(COUNTIF(artists!C:C, SPLIT(D65, "",""))) &gt; 0, ""RU"", 0)"),0)</f>
        <v>0</v>
      </c>
      <c r="K65" s="39">
        <f ca="1">IFERROR(__xludf.DUMMYFUNCTION("IF(SUM(COUNTIF(artists!E:E, SPLIT(D65, "",""))) &gt; 0, ""OTHER"", 0)"),0)</f>
        <v>0</v>
      </c>
    </row>
    <row r="66" spans="1:11" ht="14.25" customHeight="1">
      <c r="A66" s="21">
        <v>65</v>
      </c>
      <c r="C66" s="21" t="s">
        <v>1300</v>
      </c>
      <c r="D66" s="21" t="s">
        <v>1074</v>
      </c>
      <c r="E66" s="21">
        <v>1</v>
      </c>
      <c r="F66" s="21">
        <v>226969</v>
      </c>
      <c r="H66" s="21" t="s">
        <v>1301</v>
      </c>
      <c r="I66" s="39" t="str">
        <f ca="1">IFERROR(__xludf.DUMMYFUNCTION("IF(SUM(COUNTIF(artists!A:A, SPLIT(D66, "",""))) &gt; 0, ""UA"", 0)"),"UA")</f>
        <v>UA</v>
      </c>
      <c r="J66" s="40">
        <f ca="1">IFERROR(__xludf.DUMMYFUNCTION("IF(SUM(COUNTIF(artists!C:C, SPLIT(D66, "",""))) &gt; 0, ""RU"", 0)"),0)</f>
        <v>0</v>
      </c>
      <c r="K66" s="39">
        <f ca="1">IFERROR(__xludf.DUMMYFUNCTION("IF(SUM(COUNTIF(artists!E:E, SPLIT(D66, "",""))) &gt; 0, ""OTHER"", 0)"),0)</f>
        <v>0</v>
      </c>
    </row>
    <row r="67" spans="1:11" ht="14.25" customHeight="1">
      <c r="A67" s="21">
        <v>66</v>
      </c>
      <c r="B67" s="21">
        <v>56</v>
      </c>
      <c r="C67" s="21" t="s">
        <v>1377</v>
      </c>
      <c r="D67" s="21" t="s">
        <v>463</v>
      </c>
      <c r="E67" s="21">
        <v>9</v>
      </c>
      <c r="F67" s="21">
        <v>226029</v>
      </c>
      <c r="G67" s="43">
        <v>-0.06</v>
      </c>
      <c r="H67" s="21" t="s">
        <v>1378</v>
      </c>
      <c r="I67" s="39" t="str">
        <f ca="1">IFERROR(__xludf.DUMMYFUNCTION("IF(SUM(COUNTIF(artists!A:A, SPLIT(D67, "",""))) &gt; 0, ""UA"", 0)"),"UA")</f>
        <v>UA</v>
      </c>
      <c r="J67" s="40">
        <f ca="1">IFERROR(__xludf.DUMMYFUNCTION("IF(SUM(COUNTIF(artists!C:C, SPLIT(D67, "",""))) &gt; 0, ""RU"", 0)"),0)</f>
        <v>0</v>
      </c>
      <c r="K67" s="39">
        <f ca="1">IFERROR(__xludf.DUMMYFUNCTION("IF(SUM(COUNTIF(artists!E:E, SPLIT(D67, "",""))) &gt; 0, ""OTHER"", 0)"),0)</f>
        <v>0</v>
      </c>
    </row>
    <row r="68" spans="1:11" ht="14.25" customHeight="1">
      <c r="A68" s="21">
        <v>67</v>
      </c>
      <c r="B68" s="21">
        <v>48</v>
      </c>
      <c r="C68" s="21" t="s">
        <v>1413</v>
      </c>
      <c r="D68" s="21" t="s">
        <v>1414</v>
      </c>
      <c r="E68" s="21">
        <v>4</v>
      </c>
      <c r="F68" s="21">
        <v>223178</v>
      </c>
      <c r="G68" s="42">
        <v>-0.214</v>
      </c>
      <c r="H68" s="21" t="s">
        <v>1415</v>
      </c>
      <c r="I68" s="39" t="str">
        <f ca="1">IFERROR(__xludf.DUMMYFUNCTION("IF(SUM(COUNTIF(artists!A:A, SPLIT(D68, "",""))) &gt; 0, ""UA"", 0)"),"UA")</f>
        <v>UA</v>
      </c>
      <c r="J68" s="40">
        <f ca="1">IFERROR(__xludf.DUMMYFUNCTION("IF(SUM(COUNTIF(artists!C:C, SPLIT(D68, "",""))) &gt; 0, ""RU"", 0)"),0)</f>
        <v>0</v>
      </c>
      <c r="K68" s="39">
        <f ca="1">IFERROR(__xludf.DUMMYFUNCTION("IF(SUM(COUNTIF(artists!E:E, SPLIT(D68, "",""))) &gt; 0, ""OTHER"", 0)"),0)</f>
        <v>0</v>
      </c>
    </row>
    <row r="69" spans="1:11" ht="14.25" customHeight="1">
      <c r="A69" s="21">
        <v>68</v>
      </c>
      <c r="B69" s="21">
        <v>62</v>
      </c>
      <c r="C69" s="21" t="s">
        <v>1290</v>
      </c>
      <c r="D69" s="21" t="s">
        <v>942</v>
      </c>
      <c r="E69" s="21">
        <v>14</v>
      </c>
      <c r="F69" s="21">
        <v>211073</v>
      </c>
      <c r="G69" s="42">
        <v>-8.4000000000000005E-2</v>
      </c>
      <c r="H69" s="21" t="s">
        <v>1291</v>
      </c>
      <c r="I69" s="39" t="str">
        <f ca="1">IFERROR(__xludf.DUMMYFUNCTION("IF(SUM(COUNTIF(artists!A:A, SPLIT(D69, "",""))) &gt; 0, ""UA"", 0)"),"UA")</f>
        <v>UA</v>
      </c>
      <c r="J69" s="40">
        <f ca="1">IFERROR(__xludf.DUMMYFUNCTION("IF(SUM(COUNTIF(artists!C:C, SPLIT(D69, "",""))) &gt; 0, ""RU"", 0)"),0)</f>
        <v>0</v>
      </c>
      <c r="K69" s="39">
        <f ca="1">IFERROR(__xludf.DUMMYFUNCTION("IF(SUM(COUNTIF(artists!E:E, SPLIT(D69, "",""))) &gt; 0, ""OTHER"", 0)"),0)</f>
        <v>0</v>
      </c>
    </row>
    <row r="70" spans="1:11" ht="14.25" customHeight="1">
      <c r="A70" s="21">
        <v>69</v>
      </c>
      <c r="B70" s="21">
        <v>64</v>
      </c>
      <c r="C70" s="21" t="s">
        <v>1236</v>
      </c>
      <c r="D70" s="21" t="s">
        <v>1237</v>
      </c>
      <c r="E70" s="21">
        <v>2</v>
      </c>
      <c r="F70" s="21">
        <v>210946</v>
      </c>
      <c r="G70" s="42">
        <v>-6.4000000000000001E-2</v>
      </c>
      <c r="H70" s="21" t="s">
        <v>1238</v>
      </c>
      <c r="I70" s="39">
        <f ca="1">IFERROR(__xludf.DUMMYFUNCTION("IF(SUM(COUNTIF(artists!A:A, SPLIT(D70, "",""))) &gt; 0, ""UA"", 0)"),0)</f>
        <v>0</v>
      </c>
      <c r="J70" s="40" t="str">
        <f ca="1">IFERROR(__xludf.DUMMYFUNCTION("IF(SUM(COUNTIF(artists!C:C, SPLIT(D70, "",""))) &gt; 0, ""RU"", 0)"),"RU")</f>
        <v>RU</v>
      </c>
      <c r="K70" s="39">
        <f ca="1">IFERROR(__xludf.DUMMYFUNCTION("IF(SUM(COUNTIF(artists!E:E, SPLIT(D70, "",""))) &gt; 0, ""OTHER"", 0)"),0)</f>
        <v>0</v>
      </c>
    </row>
    <row r="71" spans="1:11" ht="14.25" customHeight="1">
      <c r="A71" s="21">
        <v>70</v>
      </c>
      <c r="B71" s="21">
        <v>54</v>
      </c>
      <c r="C71" s="21" t="s">
        <v>1505</v>
      </c>
      <c r="D71" s="21" t="s">
        <v>1506</v>
      </c>
      <c r="E71" s="21">
        <v>2</v>
      </c>
      <c r="F71" s="21">
        <v>205968</v>
      </c>
      <c r="G71" s="42">
        <v>-0.154</v>
      </c>
      <c r="H71" s="21" t="s">
        <v>1507</v>
      </c>
      <c r="I71" s="39" t="str">
        <f ca="1">IFERROR(__xludf.DUMMYFUNCTION("IF(SUM(COUNTIF(artists!A:A, SPLIT(D71, "",""))) &gt; 0, ""UA"", 0)"),"UA")</f>
        <v>UA</v>
      </c>
      <c r="J71" s="40">
        <f ca="1">IFERROR(__xludf.DUMMYFUNCTION("IF(SUM(COUNTIF(artists!C:C, SPLIT(D71, "",""))) &gt; 0, ""RU"", 0)"),0)</f>
        <v>0</v>
      </c>
      <c r="K71" s="39">
        <f ca="1">IFERROR(__xludf.DUMMYFUNCTION("IF(SUM(COUNTIF(artists!E:E, SPLIT(D71, "",""))) &gt; 0, ""OTHER"", 0)"),0)</f>
        <v>0</v>
      </c>
    </row>
    <row r="72" spans="1:11" ht="14.25" customHeight="1">
      <c r="A72" s="21">
        <v>71</v>
      </c>
      <c r="B72" s="21">
        <v>73</v>
      </c>
      <c r="C72" s="21" t="s">
        <v>1308</v>
      </c>
      <c r="D72" s="21" t="s">
        <v>1309</v>
      </c>
      <c r="E72" s="21">
        <v>5</v>
      </c>
      <c r="F72" s="21">
        <v>205912</v>
      </c>
      <c r="G72" s="43">
        <v>7.0000000000000007E-2</v>
      </c>
      <c r="H72" s="21" t="s">
        <v>1310</v>
      </c>
      <c r="I72" s="39" t="str">
        <f ca="1">IFERROR(__xludf.DUMMYFUNCTION("IF(SUM(COUNTIF(artists!A:A, SPLIT(D72, "",""))) &gt; 0, ""UA"", 0)"),"UA")</f>
        <v>UA</v>
      </c>
      <c r="J72" s="40">
        <f ca="1">IFERROR(__xludf.DUMMYFUNCTION("IF(SUM(COUNTIF(artists!C:C, SPLIT(D72, "",""))) &gt; 0, ""RU"", 0)"),0)</f>
        <v>0</v>
      </c>
      <c r="K72" s="39">
        <f ca="1">IFERROR(__xludf.DUMMYFUNCTION("IF(SUM(COUNTIF(artists!E:E, SPLIT(D72, "",""))) &gt; 0, ""OTHER"", 0)"),0)</f>
        <v>0</v>
      </c>
    </row>
    <row r="73" spans="1:11" ht="14.25" customHeight="1">
      <c r="A73" s="21">
        <v>72</v>
      </c>
      <c r="B73" s="21">
        <v>69</v>
      </c>
      <c r="C73" s="21" t="s">
        <v>516</v>
      </c>
      <c r="D73" s="21" t="s">
        <v>517</v>
      </c>
      <c r="E73" s="21">
        <v>8</v>
      </c>
      <c r="F73" s="21">
        <v>204293</v>
      </c>
      <c r="G73" s="42">
        <v>8.0000000000000002E-3</v>
      </c>
      <c r="H73" s="21" t="s">
        <v>518</v>
      </c>
      <c r="I73" s="39">
        <f ca="1">IFERROR(__xludf.DUMMYFUNCTION("IF(SUM(COUNTIF(artists!A:A, SPLIT(D73, "",""))) &gt; 0, ""UA"", 0)"),0)</f>
        <v>0</v>
      </c>
      <c r="J73" s="40">
        <f ca="1">IFERROR(__xludf.DUMMYFUNCTION("IF(SUM(COUNTIF(artists!C:C, SPLIT(D73, "",""))) &gt; 0, ""RU"", 0)"),0)</f>
        <v>0</v>
      </c>
      <c r="K73" s="39" t="str">
        <f ca="1">IFERROR(__xludf.DUMMYFUNCTION("IF(SUM(COUNTIF(artists!E:E, SPLIT(D73, "",""))) &gt; 0, ""OTHER"", 0)"),"OTHER")</f>
        <v>OTHER</v>
      </c>
    </row>
    <row r="74" spans="1:11" ht="14.25" customHeight="1">
      <c r="A74" s="21">
        <v>73</v>
      </c>
      <c r="C74" s="21" t="s">
        <v>1219</v>
      </c>
      <c r="D74" s="21" t="s">
        <v>1220</v>
      </c>
      <c r="E74" s="21">
        <v>23</v>
      </c>
      <c r="F74" s="21">
        <v>203552</v>
      </c>
      <c r="H74" s="21" t="s">
        <v>1221</v>
      </c>
      <c r="I74" s="39">
        <f ca="1">IFERROR(__xludf.DUMMYFUNCTION("IF(SUM(COUNTIF(artists!A:A, SPLIT(D74, "",""))) &gt; 0, ""UA"", 0)"),0)</f>
        <v>0</v>
      </c>
      <c r="J74" s="40">
        <f ca="1">IFERROR(__xludf.DUMMYFUNCTION("IF(SUM(COUNTIF(artists!C:C, SPLIT(D74, "",""))) &gt; 0, ""RU"", 0)"),0)</f>
        <v>0</v>
      </c>
      <c r="K74" s="39" t="str">
        <f ca="1">IFERROR(__xludf.DUMMYFUNCTION("IF(SUM(COUNTIF(artists!E:E, SPLIT(D74, "",""))) &gt; 0, ""OTHER"", 0)"),"OTHER")</f>
        <v>OTHER</v>
      </c>
    </row>
    <row r="75" spans="1:11" ht="14.25" customHeight="1">
      <c r="A75" s="21">
        <v>74</v>
      </c>
      <c r="B75" s="21">
        <v>70</v>
      </c>
      <c r="C75" s="21" t="s">
        <v>470</v>
      </c>
      <c r="D75" s="21" t="s">
        <v>81</v>
      </c>
      <c r="E75" s="21">
        <v>19</v>
      </c>
      <c r="F75" s="21">
        <v>203468</v>
      </c>
      <c r="G75" s="42">
        <v>1.2E-2</v>
      </c>
      <c r="H75" s="21" t="s">
        <v>472</v>
      </c>
      <c r="I75" s="39" t="str">
        <f ca="1">IFERROR(__xludf.DUMMYFUNCTION("IF(SUM(COUNTIF(artists!A:A, SPLIT(D75, "",""))) &gt; 0, ""UA"", 0)"),"UA")</f>
        <v>UA</v>
      </c>
      <c r="J75" s="40">
        <f ca="1">IFERROR(__xludf.DUMMYFUNCTION("IF(SUM(COUNTIF(artists!C:C, SPLIT(D75, "",""))) &gt; 0, ""RU"", 0)"),0)</f>
        <v>0</v>
      </c>
      <c r="K75" s="39">
        <f ca="1">IFERROR(__xludf.DUMMYFUNCTION("IF(SUM(COUNTIF(artists!E:E, SPLIT(D75, "",""))) &gt; 0, ""OTHER"", 0)"),0)</f>
        <v>0</v>
      </c>
    </row>
    <row r="76" spans="1:11" ht="14.25" customHeight="1">
      <c r="A76" s="21">
        <v>75</v>
      </c>
      <c r="B76" s="21">
        <v>81</v>
      </c>
      <c r="C76" s="21" t="s">
        <v>597</v>
      </c>
      <c r="D76" s="21" t="s">
        <v>598</v>
      </c>
      <c r="E76" s="21">
        <v>15</v>
      </c>
      <c r="F76" s="21">
        <v>192863</v>
      </c>
      <c r="G76" s="42">
        <v>9.9000000000000005E-2</v>
      </c>
      <c r="H76" s="21" t="s">
        <v>600</v>
      </c>
      <c r="I76" s="39" t="str">
        <f ca="1">IFERROR(__xludf.DUMMYFUNCTION("IF(SUM(COUNTIF(artists!A:A, SPLIT(D76, "",""))) &gt; 0, ""UA"", 0)"),"UA")</f>
        <v>UA</v>
      </c>
      <c r="J76" s="40">
        <f ca="1">IFERROR(__xludf.DUMMYFUNCTION("IF(SUM(COUNTIF(artists!C:C, SPLIT(D76, "",""))) &gt; 0, ""RU"", 0)"),0)</f>
        <v>0</v>
      </c>
      <c r="K76" s="39">
        <f ca="1">IFERROR(__xludf.DUMMYFUNCTION("IF(SUM(COUNTIF(artists!E:E, SPLIT(D76, "",""))) &gt; 0, ""OTHER"", 0)"),0)</f>
        <v>0</v>
      </c>
    </row>
    <row r="77" spans="1:11" ht="14.25" customHeight="1">
      <c r="A77" s="21">
        <v>76</v>
      </c>
      <c r="C77" s="21" t="s">
        <v>470</v>
      </c>
      <c r="D77" s="21" t="s">
        <v>598</v>
      </c>
      <c r="E77" s="21">
        <v>22</v>
      </c>
      <c r="F77" s="21">
        <v>192417</v>
      </c>
      <c r="H77" s="21" t="s">
        <v>1274</v>
      </c>
      <c r="I77" s="39" t="str">
        <f ca="1">IFERROR(__xludf.DUMMYFUNCTION("IF(SUM(COUNTIF(artists!A:A, SPLIT(D77, "",""))) &gt; 0, ""UA"", 0)"),"UA")</f>
        <v>UA</v>
      </c>
      <c r="J77" s="40">
        <f ca="1">IFERROR(__xludf.DUMMYFUNCTION("IF(SUM(COUNTIF(artists!C:C, SPLIT(D77, "",""))) &gt; 0, ""RU"", 0)"),0)</f>
        <v>0</v>
      </c>
      <c r="K77" s="39">
        <f ca="1">IFERROR(__xludf.DUMMYFUNCTION("IF(SUM(COUNTIF(artists!E:E, SPLIT(D77, "",""))) &gt; 0, ""OTHER"", 0)"),0)</f>
        <v>0</v>
      </c>
    </row>
    <row r="78" spans="1:11" ht="14.25" customHeight="1">
      <c r="A78" s="21">
        <v>77</v>
      </c>
      <c r="B78" s="21">
        <v>59</v>
      </c>
      <c r="C78" s="21" t="s">
        <v>1375</v>
      </c>
      <c r="D78" s="21" t="s">
        <v>907</v>
      </c>
      <c r="E78" s="21">
        <v>3</v>
      </c>
      <c r="F78" s="21">
        <v>189073</v>
      </c>
      <c r="G78" s="42">
        <v>-0.20499999999999999</v>
      </c>
      <c r="H78" s="21" t="s">
        <v>1376</v>
      </c>
      <c r="I78" s="39">
        <f ca="1">IFERROR(__xludf.DUMMYFUNCTION("IF(SUM(COUNTIF(artists!A:A, SPLIT(D78, "",""))) &gt; 0, ""UA"", 0)"),0)</f>
        <v>0</v>
      </c>
      <c r="J78" s="40" t="str">
        <f ca="1">IFERROR(__xludf.DUMMYFUNCTION("IF(SUM(COUNTIF(artists!C:C, SPLIT(D78, "",""))) &gt; 0, ""RU"", 0)"),"RU")</f>
        <v>RU</v>
      </c>
      <c r="K78" s="39">
        <f ca="1">IFERROR(__xludf.DUMMYFUNCTION("IF(SUM(COUNTIF(artists!E:E, SPLIT(D78, "",""))) &gt; 0, ""OTHER"", 0)"),0)</f>
        <v>0</v>
      </c>
    </row>
    <row r="79" spans="1:11" ht="14.25" customHeight="1">
      <c r="A79" s="21">
        <v>78</v>
      </c>
      <c r="B79" s="21">
        <v>84</v>
      </c>
      <c r="C79" s="21" t="s">
        <v>489</v>
      </c>
      <c r="D79" s="21" t="s">
        <v>490</v>
      </c>
      <c r="E79" s="21">
        <v>18</v>
      </c>
      <c r="F79" s="21">
        <v>188602</v>
      </c>
      <c r="G79" s="42">
        <v>9.2999999999999999E-2</v>
      </c>
      <c r="H79" s="21" t="s">
        <v>491</v>
      </c>
      <c r="I79" s="39" t="str">
        <f ca="1">IFERROR(__xludf.DUMMYFUNCTION("IF(SUM(COUNTIF(artists!A:A, SPLIT(D79, "",""))) &gt; 0, ""UA"", 0)"),"UA")</f>
        <v>UA</v>
      </c>
      <c r="J79" s="40">
        <f ca="1">IFERROR(__xludf.DUMMYFUNCTION("IF(SUM(COUNTIF(artists!C:C, SPLIT(D79, "",""))) &gt; 0, ""RU"", 0)"),0)</f>
        <v>0</v>
      </c>
      <c r="K79" s="39">
        <f ca="1">IFERROR(__xludf.DUMMYFUNCTION("IF(SUM(COUNTIF(artists!E:E, SPLIT(D79, "",""))) &gt; 0, ""OTHER"", 0)"),0)</f>
        <v>0</v>
      </c>
    </row>
    <row r="80" spans="1:11" ht="14.25" customHeight="1">
      <c r="A80" s="21">
        <v>79</v>
      </c>
      <c r="B80" s="21">
        <v>74</v>
      </c>
      <c r="C80" s="21" t="s">
        <v>1463</v>
      </c>
      <c r="D80" s="21" t="s">
        <v>1344</v>
      </c>
      <c r="E80" s="21">
        <v>18</v>
      </c>
      <c r="F80" s="21">
        <v>187583</v>
      </c>
      <c r="G80" s="42">
        <v>-1.7999999999999999E-2</v>
      </c>
      <c r="H80" s="21" t="s">
        <v>1464</v>
      </c>
      <c r="I80" s="39" t="str">
        <f ca="1">IFERROR(__xludf.DUMMYFUNCTION("IF(SUM(COUNTIF(artists!A:A, SPLIT(D80, "",""))) &gt; 0, ""UA"", 0)"),"UA")</f>
        <v>UA</v>
      </c>
      <c r="J80" s="40">
        <f ca="1">IFERROR(__xludf.DUMMYFUNCTION("IF(SUM(COUNTIF(artists!C:C, SPLIT(D80, "",""))) &gt; 0, ""RU"", 0)"),0)</f>
        <v>0</v>
      </c>
      <c r="K80" s="39">
        <f ca="1">IFERROR(__xludf.DUMMYFUNCTION("IF(SUM(COUNTIF(artists!E:E, SPLIT(D80, "",""))) &gt; 0, ""OTHER"", 0)"),0)</f>
        <v>0</v>
      </c>
    </row>
    <row r="81" spans="1:11" ht="14.25" customHeight="1">
      <c r="A81" s="21">
        <v>80</v>
      </c>
      <c r="B81" s="21">
        <v>71</v>
      </c>
      <c r="C81" s="21" t="s">
        <v>1480</v>
      </c>
      <c r="D81" s="21" t="s">
        <v>1481</v>
      </c>
      <c r="E81" s="21">
        <v>15</v>
      </c>
      <c r="F81" s="21">
        <v>185013</v>
      </c>
      <c r="G81" s="42">
        <v>-6.8000000000000005E-2</v>
      </c>
      <c r="H81" s="21" t="s">
        <v>1482</v>
      </c>
      <c r="I81" s="39" t="str">
        <f ca="1">IFERROR(__xludf.DUMMYFUNCTION("IF(SUM(COUNTIF(artists!A:A, SPLIT(D81, "",""))) &gt; 0, ""UA"", 0)"),"UA")</f>
        <v>UA</v>
      </c>
      <c r="J81" s="40">
        <f ca="1">IFERROR(__xludf.DUMMYFUNCTION("IF(SUM(COUNTIF(artists!C:C, SPLIT(D81, "",""))) &gt; 0, ""RU"", 0)"),0)</f>
        <v>0</v>
      </c>
      <c r="K81" s="39">
        <f ca="1">IFERROR(__xludf.DUMMYFUNCTION("IF(SUM(COUNTIF(artists!E:E, SPLIT(D81, "",""))) &gt; 0, ""OTHER"", 0)"),0)</f>
        <v>0</v>
      </c>
    </row>
    <row r="82" spans="1:11" ht="14.25" customHeight="1">
      <c r="A82" s="21">
        <v>81</v>
      </c>
      <c r="B82" s="21">
        <v>76</v>
      </c>
      <c r="C82" s="21" t="s">
        <v>1387</v>
      </c>
      <c r="D82" s="21" t="s">
        <v>1388</v>
      </c>
      <c r="E82" s="21">
        <v>14</v>
      </c>
      <c r="F82" s="21">
        <v>183318</v>
      </c>
      <c r="G82" s="42">
        <v>-1.2E-2</v>
      </c>
      <c r="H82" s="21" t="s">
        <v>1389</v>
      </c>
      <c r="I82" s="39">
        <f ca="1">IFERROR(__xludf.DUMMYFUNCTION("IF(SUM(COUNTIF(artists!A:A, SPLIT(D82, "",""))) &gt; 0, ""UA"", 0)"),0)</f>
        <v>0</v>
      </c>
      <c r="J82" s="40">
        <f ca="1">IFERROR(__xludf.DUMMYFUNCTION("IF(SUM(COUNTIF(artists!C:C, SPLIT(D82, "",""))) &gt; 0, ""RU"", 0)"),0)</f>
        <v>0</v>
      </c>
      <c r="K82" s="39" t="str">
        <f ca="1">IFERROR(__xludf.DUMMYFUNCTION("IF(SUM(COUNTIF(artists!E:E, SPLIT(D82, "",""))) &gt; 0, ""OTHER"", 0)"),"OTHER")</f>
        <v>OTHER</v>
      </c>
    </row>
    <row r="83" spans="1:11" ht="14.25" customHeight="1">
      <c r="A83" s="21">
        <v>82</v>
      </c>
      <c r="B83" s="21">
        <v>75</v>
      </c>
      <c r="C83" s="21" t="s">
        <v>1477</v>
      </c>
      <c r="D83" s="21" t="s">
        <v>1478</v>
      </c>
      <c r="E83" s="21">
        <v>19</v>
      </c>
      <c r="F83" s="21">
        <v>179488</v>
      </c>
      <c r="G83" s="42">
        <v>-5.8000000000000003E-2</v>
      </c>
      <c r="H83" s="21" t="s">
        <v>1479</v>
      </c>
      <c r="I83" s="39" t="str">
        <f ca="1">IFERROR(__xludf.DUMMYFUNCTION("IF(SUM(COUNTIF(artists!A:A, SPLIT(D83, "",""))) &gt; 0, ""UA"", 0)"),"UA")</f>
        <v>UA</v>
      </c>
      <c r="J83" s="40">
        <f ca="1">IFERROR(__xludf.DUMMYFUNCTION("IF(SUM(COUNTIF(artists!C:C, SPLIT(D83, "",""))) &gt; 0, ""RU"", 0)"),0)</f>
        <v>0</v>
      </c>
      <c r="K83" s="39">
        <f ca="1">IFERROR(__xludf.DUMMYFUNCTION("IF(SUM(COUNTIF(artists!E:E, SPLIT(D83, "",""))) &gt; 0, ""OTHER"", 0)"),0)</f>
        <v>0</v>
      </c>
    </row>
    <row r="84" spans="1:11" ht="14.25" customHeight="1">
      <c r="A84" s="21">
        <v>83</v>
      </c>
      <c r="B84" s="21">
        <v>82</v>
      </c>
      <c r="C84" s="21" t="s">
        <v>1416</v>
      </c>
      <c r="D84" s="21" t="s">
        <v>137</v>
      </c>
      <c r="E84" s="21">
        <v>15</v>
      </c>
      <c r="F84" s="21">
        <v>177890</v>
      </c>
      <c r="G84" s="42">
        <v>1.9E-2</v>
      </c>
      <c r="H84" s="21" t="s">
        <v>1417</v>
      </c>
      <c r="I84" s="39" t="str">
        <f ca="1">IFERROR(__xludf.DUMMYFUNCTION("IF(SUM(COUNTIF(artists!A:A, SPLIT(D84, "",""))) &gt; 0, ""UA"", 0)"),"UA")</f>
        <v>UA</v>
      </c>
      <c r="J84" s="40">
        <f ca="1">IFERROR(__xludf.DUMMYFUNCTION("IF(SUM(COUNTIF(artists!C:C, SPLIT(D84, "",""))) &gt; 0, ""RU"", 0)"),0)</f>
        <v>0</v>
      </c>
      <c r="K84" s="39">
        <f ca="1">IFERROR(__xludf.DUMMYFUNCTION("IF(SUM(COUNTIF(artists!E:E, SPLIT(D84, "",""))) &gt; 0, ""OTHER"", 0)"),0)</f>
        <v>0</v>
      </c>
    </row>
    <row r="85" spans="1:11" ht="14.25" customHeight="1">
      <c r="A85" s="21">
        <v>84</v>
      </c>
      <c r="B85" s="21">
        <v>79</v>
      </c>
      <c r="C85" s="21" t="s">
        <v>1508</v>
      </c>
      <c r="D85" s="21" t="s">
        <v>776</v>
      </c>
      <c r="E85" s="21">
        <v>14</v>
      </c>
      <c r="F85" s="21">
        <v>177064</v>
      </c>
      <c r="G85" s="42">
        <v>-1.6E-2</v>
      </c>
      <c r="H85" s="21" t="s">
        <v>1509</v>
      </c>
      <c r="I85" s="39" t="str">
        <f ca="1">IFERROR(__xludf.DUMMYFUNCTION("IF(SUM(COUNTIF(artists!A:A, SPLIT(D85, "",""))) &gt; 0, ""UA"", 0)"),"UA")</f>
        <v>UA</v>
      </c>
      <c r="J85" s="40">
        <f ca="1">IFERROR(__xludf.DUMMYFUNCTION("IF(SUM(COUNTIF(artists!C:C, SPLIT(D85, "",""))) &gt; 0, ""RU"", 0)"),0)</f>
        <v>0</v>
      </c>
      <c r="K85" s="39">
        <f ca="1">IFERROR(__xludf.DUMMYFUNCTION("IF(SUM(COUNTIF(artists!E:E, SPLIT(D85, "",""))) &gt; 0, ""OTHER"", 0)"),0)</f>
        <v>0</v>
      </c>
    </row>
    <row r="86" spans="1:11" ht="14.25" customHeight="1">
      <c r="A86" s="21">
        <v>85</v>
      </c>
      <c r="B86" s="21">
        <v>90</v>
      </c>
      <c r="C86" s="21" t="s">
        <v>1485</v>
      </c>
      <c r="D86" s="21" t="s">
        <v>907</v>
      </c>
      <c r="E86" s="21">
        <v>2</v>
      </c>
      <c r="F86" s="21">
        <v>176682</v>
      </c>
      <c r="G86" s="42">
        <v>9.4E-2</v>
      </c>
      <c r="H86" s="21" t="s">
        <v>1486</v>
      </c>
      <c r="I86" s="39">
        <f ca="1">IFERROR(__xludf.DUMMYFUNCTION("IF(SUM(COUNTIF(artists!A:A, SPLIT(D86, "",""))) &gt; 0, ""UA"", 0)"),0)</f>
        <v>0</v>
      </c>
      <c r="J86" s="40" t="str">
        <f ca="1">IFERROR(__xludf.DUMMYFUNCTION("IF(SUM(COUNTIF(artists!C:C, SPLIT(D86, "",""))) &gt; 0, ""RU"", 0)"),"RU")</f>
        <v>RU</v>
      </c>
      <c r="K86" s="39">
        <f ca="1">IFERROR(__xludf.DUMMYFUNCTION("IF(SUM(COUNTIF(artists!E:E, SPLIT(D86, "",""))) &gt; 0, ""OTHER"", 0)"),0)</f>
        <v>0</v>
      </c>
    </row>
    <row r="87" spans="1:11" ht="14.25" customHeight="1">
      <c r="A87" s="21">
        <v>86</v>
      </c>
      <c r="B87" s="21">
        <v>80</v>
      </c>
      <c r="C87" s="21" t="s">
        <v>1390</v>
      </c>
      <c r="D87" s="21" t="s">
        <v>259</v>
      </c>
      <c r="E87" s="21">
        <v>10</v>
      </c>
      <c r="F87" s="21">
        <v>174109</v>
      </c>
      <c r="G87" s="42">
        <v>-1.0999999999999999E-2</v>
      </c>
      <c r="H87" s="21" t="s">
        <v>1391</v>
      </c>
      <c r="I87" s="39" t="str">
        <f ca="1">IFERROR(__xludf.DUMMYFUNCTION("IF(SUM(COUNTIF(artists!A:A, SPLIT(D87, "",""))) &gt; 0, ""UA"", 0)"),"UA")</f>
        <v>UA</v>
      </c>
      <c r="J87" s="40">
        <f ca="1">IFERROR(__xludf.DUMMYFUNCTION("IF(SUM(COUNTIF(artists!C:C, SPLIT(D87, "",""))) &gt; 0, ""RU"", 0)"),0)</f>
        <v>0</v>
      </c>
      <c r="K87" s="39">
        <f ca="1">IFERROR(__xludf.DUMMYFUNCTION("IF(SUM(COUNTIF(artists!E:E, SPLIT(D87, "",""))) &gt; 0, ""OTHER"", 0)"),0)</f>
        <v>0</v>
      </c>
    </row>
    <row r="88" spans="1:11" ht="14.25" customHeight="1">
      <c r="A88" s="21">
        <v>87</v>
      </c>
      <c r="B88" s="21">
        <v>92</v>
      </c>
      <c r="C88" s="21" t="s">
        <v>1385</v>
      </c>
      <c r="D88" s="21" t="s">
        <v>896</v>
      </c>
      <c r="E88" s="21">
        <v>7</v>
      </c>
      <c r="F88" s="21">
        <v>172896</v>
      </c>
      <c r="G88" s="42">
        <v>7.9000000000000001E-2</v>
      </c>
      <c r="H88" s="21" t="s">
        <v>1386</v>
      </c>
      <c r="I88" s="39" t="str">
        <f ca="1">IFERROR(__xludf.DUMMYFUNCTION("IF(SUM(COUNTIF(artists!A:A, SPLIT(D88, "",""))) &gt; 0, ""UA"", 0)"),"UA")</f>
        <v>UA</v>
      </c>
      <c r="J88" s="40">
        <f ca="1">IFERROR(__xludf.DUMMYFUNCTION("IF(SUM(COUNTIF(artists!C:C, SPLIT(D88, "",""))) &gt; 0, ""RU"", 0)"),0)</f>
        <v>0</v>
      </c>
      <c r="K88" s="39">
        <f ca="1">IFERROR(__xludf.DUMMYFUNCTION("IF(SUM(COUNTIF(artists!E:E, SPLIT(D88, "",""))) &gt; 0, ""OTHER"", 0)"),0)</f>
        <v>0</v>
      </c>
    </row>
    <row r="89" spans="1:11" ht="14.25" customHeight="1">
      <c r="A89" s="21">
        <v>88</v>
      </c>
      <c r="B89" s="21">
        <v>67</v>
      </c>
      <c r="C89" s="21" t="s">
        <v>1298</v>
      </c>
      <c r="D89" s="21" t="s">
        <v>226</v>
      </c>
      <c r="E89" s="21">
        <v>16</v>
      </c>
      <c r="F89" s="21">
        <v>172669</v>
      </c>
      <c r="G89" s="42">
        <v>-0.19700000000000001</v>
      </c>
      <c r="H89" s="21" t="s">
        <v>1299</v>
      </c>
      <c r="I89" s="39" t="str">
        <f ca="1">IFERROR(__xludf.DUMMYFUNCTION("IF(SUM(COUNTIF(artists!A:A, SPLIT(D89, "",""))) &gt; 0, ""UA"", 0)"),"UA")</f>
        <v>UA</v>
      </c>
      <c r="J89" s="40">
        <f ca="1">IFERROR(__xludf.DUMMYFUNCTION("IF(SUM(COUNTIF(artists!C:C, SPLIT(D89, "",""))) &gt; 0, ""RU"", 0)"),0)</f>
        <v>0</v>
      </c>
      <c r="K89" s="39">
        <f ca="1">IFERROR(__xludf.DUMMYFUNCTION("IF(SUM(COUNTIF(artists!E:E, SPLIT(D89, "",""))) &gt; 0, ""OTHER"", 0)"),0)</f>
        <v>0</v>
      </c>
    </row>
    <row r="90" spans="1:11" ht="14.25" customHeight="1">
      <c r="A90" s="21">
        <v>89</v>
      </c>
      <c r="B90" s="21">
        <v>78</v>
      </c>
      <c r="C90" s="21" t="s">
        <v>748</v>
      </c>
      <c r="D90" s="21" t="s">
        <v>586</v>
      </c>
      <c r="E90" s="21">
        <v>19</v>
      </c>
      <c r="F90" s="21">
        <v>172081</v>
      </c>
      <c r="G90" s="42">
        <v>-5.0999999999999997E-2</v>
      </c>
      <c r="H90" s="21" t="s">
        <v>749</v>
      </c>
      <c r="I90" s="39" t="str">
        <f ca="1">IFERROR(__xludf.DUMMYFUNCTION("IF(SUM(COUNTIF(artists!A:A, SPLIT(D90, "",""))) &gt; 0, ""UA"", 0)"),"UA")</f>
        <v>UA</v>
      </c>
      <c r="J90" s="40">
        <f ca="1">IFERROR(__xludf.DUMMYFUNCTION("IF(SUM(COUNTIF(artists!C:C, SPLIT(D90, "",""))) &gt; 0, ""RU"", 0)"),0)</f>
        <v>0</v>
      </c>
      <c r="K90" s="39">
        <f ca="1">IFERROR(__xludf.DUMMYFUNCTION("IF(SUM(COUNTIF(artists!E:E, SPLIT(D90, "",""))) &gt; 0, ""OTHER"", 0)"),0)</f>
        <v>0</v>
      </c>
    </row>
    <row r="91" spans="1:11" ht="14.25" customHeight="1">
      <c r="A91" s="21">
        <v>90</v>
      </c>
      <c r="C91" s="21" t="s">
        <v>1379</v>
      </c>
      <c r="D91" s="21" t="s">
        <v>598</v>
      </c>
      <c r="E91" s="21">
        <v>7</v>
      </c>
      <c r="F91" s="21">
        <v>169931</v>
      </c>
      <c r="H91" s="21" t="s">
        <v>1380</v>
      </c>
      <c r="I91" s="39" t="str">
        <f ca="1">IFERROR(__xludf.DUMMYFUNCTION("IF(SUM(COUNTIF(artists!A:A, SPLIT(D91, "",""))) &gt; 0, ""UA"", 0)"),"UA")</f>
        <v>UA</v>
      </c>
      <c r="J91" s="40">
        <f ca="1">IFERROR(__xludf.DUMMYFUNCTION("IF(SUM(COUNTIF(artists!C:C, SPLIT(D91, "",""))) &gt; 0, ""RU"", 0)"),0)</f>
        <v>0</v>
      </c>
      <c r="K91" s="39">
        <f ca="1">IFERROR(__xludf.DUMMYFUNCTION("IF(SUM(COUNTIF(artists!E:E, SPLIT(D91, "",""))) &gt; 0, ""OTHER"", 0)"),0)</f>
        <v>0</v>
      </c>
    </row>
    <row r="92" spans="1:11" ht="14.25" customHeight="1">
      <c r="A92" s="21">
        <v>91</v>
      </c>
      <c r="C92" s="21" t="s">
        <v>1392</v>
      </c>
      <c r="D92" s="21" t="s">
        <v>1393</v>
      </c>
      <c r="E92" s="21">
        <v>14</v>
      </c>
      <c r="F92" s="21">
        <v>169615</v>
      </c>
      <c r="H92" s="21" t="s">
        <v>1394</v>
      </c>
      <c r="I92" s="39">
        <f ca="1">IFERROR(__xludf.DUMMYFUNCTION("IF(SUM(COUNTIF(artists!A:A, SPLIT(D92, "",""))) &gt; 0, ""UA"", 0)"),0)</f>
        <v>0</v>
      </c>
      <c r="J92" s="40" t="str">
        <f ca="1">IFERROR(__xludf.DUMMYFUNCTION("IF(SUM(COUNTIF(artists!C:C, SPLIT(D92, "",""))) &gt; 0, ""RU"", 0)"),"RU")</f>
        <v>RU</v>
      </c>
      <c r="K92" s="39">
        <f ca="1">IFERROR(__xludf.DUMMYFUNCTION("IF(SUM(COUNTIF(artists!E:E, SPLIT(D92, "",""))) &gt; 0, ""OTHER"", 0)"),0)</f>
        <v>0</v>
      </c>
    </row>
    <row r="93" spans="1:11" ht="14.25" customHeight="1">
      <c r="A93" s="21">
        <v>92</v>
      </c>
      <c r="C93" s="21" t="s">
        <v>1468</v>
      </c>
      <c r="D93" s="21" t="s">
        <v>1469</v>
      </c>
      <c r="E93" s="21">
        <v>1</v>
      </c>
      <c r="F93" s="21">
        <v>168490</v>
      </c>
      <c r="H93" s="21" t="s">
        <v>1470</v>
      </c>
      <c r="I93" s="39">
        <f ca="1">IFERROR(__xludf.DUMMYFUNCTION("IF(SUM(COUNTIF(artists!A:A, SPLIT(D93, "",""))) &gt; 0, ""UA"", 0)"),0)</f>
        <v>0</v>
      </c>
      <c r="J93" s="40" t="str">
        <f ca="1">IFERROR(__xludf.DUMMYFUNCTION("IF(SUM(COUNTIF(artists!C:C, SPLIT(D93, "",""))) &gt; 0, ""RU"", 0)"),"RU")</f>
        <v>RU</v>
      </c>
      <c r="K93" s="39">
        <f ca="1">IFERROR(__xludf.DUMMYFUNCTION("IF(SUM(COUNTIF(artists!E:E, SPLIT(D93, "",""))) &gt; 0, ""OTHER"", 0)"),0)</f>
        <v>0</v>
      </c>
    </row>
    <row r="94" spans="1:11" ht="14.25" customHeight="1">
      <c r="A94" s="21">
        <v>93</v>
      </c>
      <c r="B94" s="21">
        <v>89</v>
      </c>
      <c r="C94" s="21" t="s">
        <v>903</v>
      </c>
      <c r="D94" s="21" t="s">
        <v>904</v>
      </c>
      <c r="E94" s="21">
        <v>2</v>
      </c>
      <c r="F94" s="21">
        <v>167541</v>
      </c>
      <c r="G94" s="42">
        <v>2.8000000000000001E-2</v>
      </c>
      <c r="H94" s="21" t="s">
        <v>905</v>
      </c>
      <c r="I94" s="39" t="str">
        <f ca="1">IFERROR(__xludf.DUMMYFUNCTION("IF(SUM(COUNTIF(artists!A:A, SPLIT(D94, "",""))) &gt; 0, ""UA"", 0)"),"UA")</f>
        <v>UA</v>
      </c>
      <c r="J94" s="40">
        <f ca="1">IFERROR(__xludf.DUMMYFUNCTION("IF(SUM(COUNTIF(artists!C:C, SPLIT(D94, "",""))) &gt; 0, ""RU"", 0)"),0)</f>
        <v>0</v>
      </c>
      <c r="K94" s="39">
        <f ca="1">IFERROR(__xludf.DUMMYFUNCTION("IF(SUM(COUNTIF(artists!E:E, SPLIT(D94, "",""))) &gt; 0, ""OTHER"", 0)"),0)</f>
        <v>0</v>
      </c>
    </row>
    <row r="95" spans="1:11" ht="14.25" customHeight="1">
      <c r="A95" s="21">
        <v>94</v>
      </c>
      <c r="B95" s="21">
        <v>96</v>
      </c>
      <c r="C95" s="21" t="s">
        <v>1510</v>
      </c>
      <c r="D95" s="21" t="s">
        <v>1511</v>
      </c>
      <c r="E95" s="21">
        <v>2</v>
      </c>
      <c r="F95" s="21">
        <v>166143</v>
      </c>
      <c r="G95" s="42">
        <v>5.0999999999999997E-2</v>
      </c>
      <c r="H95" s="21" t="s">
        <v>1512</v>
      </c>
      <c r="I95" s="39">
        <f ca="1">IFERROR(__xludf.DUMMYFUNCTION("IF(SUM(COUNTIF(artists!A:A, SPLIT(D95, "",""))) &gt; 0, ""UA"", 0)"),0)</f>
        <v>0</v>
      </c>
      <c r="J95" s="40" t="str">
        <f ca="1">IFERROR(__xludf.DUMMYFUNCTION("IF(SUM(COUNTIF(artists!C:C, SPLIT(D95, "",""))) &gt; 0, ""RU"", 0)"),"RU")</f>
        <v>RU</v>
      </c>
      <c r="K95" s="39">
        <f ca="1">IFERROR(__xludf.DUMMYFUNCTION("IF(SUM(COUNTIF(artists!E:E, SPLIT(D95, "",""))) &gt; 0, ""OTHER"", 0)"),0)</f>
        <v>0</v>
      </c>
    </row>
    <row r="96" spans="1:11" ht="14.25" customHeight="1">
      <c r="A96" s="21">
        <v>95</v>
      </c>
      <c r="C96" s="21" t="s">
        <v>579</v>
      </c>
      <c r="D96" s="21" t="s">
        <v>183</v>
      </c>
      <c r="E96" s="21">
        <v>2</v>
      </c>
      <c r="F96" s="21">
        <v>164987</v>
      </c>
      <c r="H96" s="21" t="s">
        <v>580</v>
      </c>
      <c r="I96" s="39" t="str">
        <f ca="1">IFERROR(__xludf.DUMMYFUNCTION("IF(SUM(COUNTIF(artists!A:A, SPLIT(D96, "",""))) &gt; 0, ""UA"", 0)"),"UA")</f>
        <v>UA</v>
      </c>
      <c r="J96" s="40">
        <f ca="1">IFERROR(__xludf.DUMMYFUNCTION("IF(SUM(COUNTIF(artists!C:C, SPLIT(D96, "",""))) &gt; 0, ""RU"", 0)"),0)</f>
        <v>0</v>
      </c>
      <c r="K96" s="39">
        <f ca="1">IFERROR(__xludf.DUMMYFUNCTION("IF(SUM(COUNTIF(artists!E:E, SPLIT(D96, "",""))) &gt; 0, ""OTHER"", 0)"),0)</f>
        <v>0</v>
      </c>
    </row>
    <row r="97" spans="1:11" ht="14.25" customHeight="1">
      <c r="A97" s="21">
        <v>96</v>
      </c>
      <c r="C97" s="21" t="s">
        <v>1076</v>
      </c>
      <c r="D97" s="21" t="s">
        <v>1077</v>
      </c>
      <c r="E97" s="21">
        <v>1</v>
      </c>
      <c r="F97" s="21">
        <v>162012</v>
      </c>
      <c r="H97" s="21" t="s">
        <v>1078</v>
      </c>
      <c r="I97" s="39" t="str">
        <f ca="1">IFERROR(__xludf.DUMMYFUNCTION("IF(SUM(COUNTIF(artists!A:A, SPLIT(D97, "",""))) &gt; 0, ""UA"", 0)"),"UA")</f>
        <v>UA</v>
      </c>
      <c r="J97" s="40">
        <f ca="1">IFERROR(__xludf.DUMMYFUNCTION("IF(SUM(COUNTIF(artists!C:C, SPLIT(D97, "",""))) &gt; 0, ""RU"", 0)"),0)</f>
        <v>0</v>
      </c>
      <c r="K97" s="39">
        <f ca="1">IFERROR(__xludf.DUMMYFUNCTION("IF(SUM(COUNTIF(artists!E:E, SPLIT(D97, "",""))) &gt; 0, ""OTHER"", 0)"),0)</f>
        <v>0</v>
      </c>
    </row>
    <row r="98" spans="1:11" ht="14.25" customHeight="1">
      <c r="A98" s="21">
        <v>97</v>
      </c>
      <c r="C98" s="21" t="s">
        <v>1491</v>
      </c>
      <c r="D98" s="21" t="s">
        <v>1492</v>
      </c>
      <c r="E98" s="21">
        <v>8</v>
      </c>
      <c r="F98" s="21">
        <v>161759</v>
      </c>
      <c r="H98" s="21" t="s">
        <v>1493</v>
      </c>
      <c r="I98" s="39" t="str">
        <f ca="1">IFERROR(__xludf.DUMMYFUNCTION("IF(SUM(COUNTIF(artists!A:A, SPLIT(D98, "",""))) &gt; 0, ""UA"", 0)"),"UA")</f>
        <v>UA</v>
      </c>
      <c r="J98" s="40">
        <f ca="1">IFERROR(__xludf.DUMMYFUNCTION("IF(SUM(COUNTIF(artists!C:C, SPLIT(D98, "",""))) &gt; 0, ""RU"", 0)"),0)</f>
        <v>0</v>
      </c>
      <c r="K98" s="39">
        <f ca="1">IFERROR(__xludf.DUMMYFUNCTION("IF(SUM(COUNTIF(artists!E:E, SPLIT(D98, "",""))) &gt; 0, ""OTHER"", 0)"),0)</f>
        <v>0</v>
      </c>
    </row>
    <row r="99" spans="1:11" ht="14.25" customHeight="1">
      <c r="A99" s="21">
        <v>98</v>
      </c>
      <c r="C99" s="21" t="s">
        <v>1395</v>
      </c>
      <c r="D99" s="21" t="s">
        <v>1396</v>
      </c>
      <c r="E99" s="21">
        <v>25</v>
      </c>
      <c r="F99" s="21">
        <v>160384</v>
      </c>
      <c r="H99" s="21" t="s">
        <v>1397</v>
      </c>
      <c r="I99" s="39" t="str">
        <f ca="1">IFERROR(__xludf.DUMMYFUNCTION("IF(SUM(COUNTIF(artists!A:A, SPLIT(D99, "",""))) &gt; 0, ""UA"", 0)"),"UA")</f>
        <v>UA</v>
      </c>
      <c r="J99" s="40">
        <f ca="1">IFERROR(__xludf.DUMMYFUNCTION("IF(SUM(COUNTIF(artists!C:C, SPLIT(D99, "",""))) &gt; 0, ""RU"", 0)"),0)</f>
        <v>0</v>
      </c>
      <c r="K99" s="39">
        <f ca="1">IFERROR(__xludf.DUMMYFUNCTION("IF(SUM(COUNTIF(artists!E:E, SPLIT(D99, "",""))) &gt; 0, ""OTHER"", 0)"),0)</f>
        <v>0</v>
      </c>
    </row>
    <row r="100" spans="1:11" ht="14.25" customHeight="1">
      <c r="A100" s="21">
        <v>99</v>
      </c>
      <c r="B100" s="21">
        <v>85</v>
      </c>
      <c r="C100" s="21" t="s">
        <v>1007</v>
      </c>
      <c r="D100" s="21" t="s">
        <v>1008</v>
      </c>
      <c r="E100" s="21">
        <v>19</v>
      </c>
      <c r="F100" s="21">
        <v>160351</v>
      </c>
      <c r="G100" s="42">
        <v>-6.9000000000000006E-2</v>
      </c>
      <c r="H100" s="21" t="s">
        <v>1009</v>
      </c>
      <c r="I100" s="39">
        <f ca="1">IFERROR(__xludf.DUMMYFUNCTION("IF(SUM(COUNTIF(artists!A:A, SPLIT(D100, "",""))) &gt; 0, ""UA"", 0)"),0)</f>
        <v>0</v>
      </c>
      <c r="J100" s="40" t="str">
        <f ca="1">IFERROR(__xludf.DUMMYFUNCTION("IF(SUM(COUNTIF(artists!C:C, SPLIT(D100, "",""))) &gt; 0, ""RU"", 0)"),"RU")</f>
        <v>RU</v>
      </c>
      <c r="K100" s="39">
        <f ca="1">IFERROR(__xludf.DUMMYFUNCTION("IF(SUM(COUNTIF(artists!E:E, SPLIT(D100, "",""))) &gt; 0, ""OTHER"", 0)"),0)</f>
        <v>0</v>
      </c>
    </row>
    <row r="101" spans="1:11" ht="14.25" customHeight="1">
      <c r="A101" s="21">
        <v>100</v>
      </c>
      <c r="C101" s="21" t="s">
        <v>1513</v>
      </c>
      <c r="D101" s="21" t="s">
        <v>1514</v>
      </c>
      <c r="E101" s="21">
        <v>1</v>
      </c>
      <c r="F101" s="21">
        <v>159992</v>
      </c>
      <c r="H101" s="21" t="s">
        <v>1515</v>
      </c>
      <c r="I101" s="39" t="str">
        <f ca="1">IFERROR(__xludf.DUMMYFUNCTION("IF(SUM(COUNTIF(artists!A:A, SPLIT(D101, "",""))) &gt; 0, ""UA"", 0)"),"UA")</f>
        <v>UA</v>
      </c>
      <c r="J101" s="40">
        <f ca="1">IFERROR(__xludf.DUMMYFUNCTION("IF(SUM(COUNTIF(artists!C:C, SPLIT(D101, "",""))) &gt; 0, ""RU"", 0)"),0)</f>
        <v>0</v>
      </c>
      <c r="K101" s="39">
        <f ca="1">IFERROR(__xludf.DUMMYFUNCTION("IF(SUM(COUNTIF(artists!E:E, SPLIT(D101, "",""))) &gt; 0, ""OTHER"", 0)"),0)</f>
        <v>0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55" priority="1">
      <formula>AND($I2=0, $J2=0, $K2=0)</formula>
    </cfRule>
    <cfRule type="expression" dxfId="54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Аркуш36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4" width="8.6640625" customWidth="1"/>
    <col min="5" max="5" width="8.6640625" hidden="1" customWidth="1"/>
    <col min="6" max="7" width="8.664062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B2" s="21">
        <v>1</v>
      </c>
      <c r="C2" s="21" t="s">
        <v>145</v>
      </c>
      <c r="D2" s="21" t="s">
        <v>146</v>
      </c>
      <c r="E2" s="21">
        <v>3</v>
      </c>
      <c r="F2" s="21">
        <v>1917177</v>
      </c>
      <c r="G2" s="42">
        <v>8.1000000000000003E-2</v>
      </c>
      <c r="H2" s="21" t="s">
        <v>148</v>
      </c>
      <c r="I2" s="39" t="str">
        <f ca="1">IFERROR(__xludf.DUMMYFUNCTION("IF(SUM(COUNTIF(artists!A:A, SPLIT(D2, "",""))) &gt; 0, ""UA"", 0)"),"UA")</f>
        <v>UA</v>
      </c>
      <c r="J2" s="40">
        <f ca="1">IFERROR(__xludf.DUMMYFUNCTION("IF(SUM(COUNTIF(artists!C:C, SPLIT(D2, "",""))) &gt; 0, ""RU"", 0)"),0)</f>
        <v>0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B3" s="21">
        <v>2</v>
      </c>
      <c r="C3" s="21" t="s">
        <v>645</v>
      </c>
      <c r="D3" s="21" t="s">
        <v>352</v>
      </c>
      <c r="E3" s="21">
        <v>22</v>
      </c>
      <c r="F3" s="21">
        <v>1451833</v>
      </c>
      <c r="G3" s="42">
        <v>-2E-3</v>
      </c>
      <c r="H3" s="21" t="s">
        <v>647</v>
      </c>
      <c r="I3" s="39" t="str">
        <f ca="1">IFERROR(__xludf.DUMMYFUNCTION("IF(SUM(COUNTIF(artists!A:A, SPLIT(D3, "",""))) &gt; 0, ""UA"", 0)"),"UA")</f>
        <v>UA</v>
      </c>
      <c r="J3" s="40">
        <f ca="1">IFERROR(__xludf.DUMMYFUNCTION("IF(SUM(COUNTIF(artists!C:C, SPLIT(D3, "",""))) &gt; 0, ""RU"", 0)"),0)</f>
        <v>0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B4" s="21">
        <v>3</v>
      </c>
      <c r="C4" s="21" t="s">
        <v>128</v>
      </c>
      <c r="D4" s="21" t="s">
        <v>129</v>
      </c>
      <c r="E4" s="21">
        <v>5</v>
      </c>
      <c r="F4" s="21">
        <v>1237212</v>
      </c>
      <c r="G4" s="42">
        <v>3.4000000000000002E-2</v>
      </c>
      <c r="H4" s="21" t="s">
        <v>131</v>
      </c>
      <c r="I4" s="39" t="str">
        <f ca="1">IFERROR(__xludf.DUMMYFUNCTION("IF(SUM(COUNTIF(artists!A:A, SPLIT(D4, "",""))) &gt; 0, ""UA"", 0)"),"UA")</f>
        <v>UA</v>
      </c>
      <c r="J4" s="40">
        <f ca="1">IFERROR(__xludf.DUMMYFUNCTION("IF(SUM(COUNTIF(artists!C:C, SPLIT(D4, "",""))) &gt; 0, ""RU"", 0)"),0)</f>
        <v>0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B5" s="21">
        <v>4</v>
      </c>
      <c r="C5" s="21" t="s">
        <v>194</v>
      </c>
      <c r="D5" s="21" t="s">
        <v>195</v>
      </c>
      <c r="E5" s="21">
        <v>12</v>
      </c>
      <c r="F5" s="21">
        <v>866784</v>
      </c>
      <c r="G5" s="42">
        <v>-5.7000000000000002E-2</v>
      </c>
      <c r="H5" s="21" t="s">
        <v>197</v>
      </c>
      <c r="I5" s="39" t="str">
        <f ca="1">IFERROR(__xludf.DUMMYFUNCTION("IF(SUM(COUNTIF(artists!A:A, SPLIT(D5, "",""))) &gt; 0, ""UA"", 0)"),"UA")</f>
        <v>UA</v>
      </c>
      <c r="J5" s="40">
        <f ca="1">IFERROR(__xludf.DUMMYFUNCTION("IF(SUM(COUNTIF(artists!C:C, SPLIT(D5, "",""))) &gt; 0, ""RU"", 0)"),0)</f>
        <v>0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B6" s="21">
        <v>5</v>
      </c>
      <c r="C6" s="21" t="s">
        <v>182</v>
      </c>
      <c r="D6" s="21" t="s">
        <v>183</v>
      </c>
      <c r="E6" s="21">
        <v>5</v>
      </c>
      <c r="F6" s="21">
        <v>743967</v>
      </c>
      <c r="G6" s="42">
        <v>-5.1999999999999998E-2</v>
      </c>
      <c r="H6" s="21" t="s">
        <v>185</v>
      </c>
      <c r="I6" s="39" t="str">
        <f ca="1">IFERROR(__xludf.DUMMYFUNCTION("IF(SUM(COUNTIF(artists!A:A, SPLIT(D6, "",""))) &gt; 0, ""UA"", 0)"),"UA")</f>
        <v>UA</v>
      </c>
      <c r="J6" s="40">
        <f ca="1">IFERROR(__xludf.DUMMYFUNCTION("IF(SUM(COUNTIF(artists!C:C, SPLIT(D6, "",""))) &gt; 0, ""RU"", 0)"),0)</f>
        <v>0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B7" s="21">
        <v>13</v>
      </c>
      <c r="C7" s="21" t="s">
        <v>132</v>
      </c>
      <c r="D7" s="21" t="s">
        <v>133</v>
      </c>
      <c r="E7" s="21">
        <v>9</v>
      </c>
      <c r="F7" s="21">
        <v>740968</v>
      </c>
      <c r="G7" s="43">
        <v>0.39</v>
      </c>
      <c r="H7" s="21" t="s">
        <v>135</v>
      </c>
      <c r="I7" s="39" t="str">
        <f ca="1">IFERROR(__xludf.DUMMYFUNCTION("IF(SUM(COUNTIF(artists!A:A, SPLIT(D7, "",""))) &gt; 0, ""UA"", 0)"),"UA")</f>
        <v>UA</v>
      </c>
      <c r="J7" s="40">
        <f ca="1">IFERROR(__xludf.DUMMYFUNCTION("IF(SUM(COUNTIF(artists!C:C, SPLIT(D7, "",""))) &gt; 0, ""RU"", 0)"),0)</f>
        <v>0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B8" s="21">
        <v>11</v>
      </c>
      <c r="C8" s="21" t="s">
        <v>171</v>
      </c>
      <c r="D8" s="21" t="s">
        <v>172</v>
      </c>
      <c r="E8" s="21">
        <v>4</v>
      </c>
      <c r="F8" s="21">
        <v>705282</v>
      </c>
      <c r="G8" s="42">
        <v>0.24399999999999999</v>
      </c>
      <c r="H8" s="21" t="s">
        <v>174</v>
      </c>
      <c r="I8" s="39">
        <f ca="1">IFERROR(__xludf.DUMMYFUNCTION("IF(SUM(COUNTIF(artists!A:A, SPLIT(D8, "",""))) &gt; 0, ""UA"", 0)"),0)</f>
        <v>0</v>
      </c>
      <c r="J8" s="40" t="str">
        <f ca="1">IFERROR(__xludf.DUMMYFUNCTION("IF(SUM(COUNTIF(artists!C:C, SPLIT(D8, "",""))) &gt; 0, ""RU"", 0)"),"RU")</f>
        <v>RU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B9" s="21">
        <v>7</v>
      </c>
      <c r="C9" s="21" t="s">
        <v>175</v>
      </c>
      <c r="D9" s="21" t="s">
        <v>89</v>
      </c>
      <c r="E9" s="21">
        <v>9</v>
      </c>
      <c r="F9" s="21">
        <v>674663</v>
      </c>
      <c r="G9" s="42">
        <v>1.0999999999999999E-2</v>
      </c>
      <c r="H9" s="21" t="s">
        <v>177</v>
      </c>
      <c r="I9" s="39" t="str">
        <f ca="1">IFERROR(__xludf.DUMMYFUNCTION("IF(SUM(COUNTIF(artists!A:A, SPLIT(D9, "",""))) &gt; 0, ""UA"", 0)"),"UA")</f>
        <v>UA</v>
      </c>
      <c r="J9" s="40">
        <f ca="1">IFERROR(__xludf.DUMMYFUNCTION("IF(SUM(COUNTIF(artists!C:C, SPLIT(D9, "",""))) &gt; 0, ""RU"", 0)"),0)</f>
        <v>0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B10" s="21">
        <v>9</v>
      </c>
      <c r="C10" s="21" t="s">
        <v>229</v>
      </c>
      <c r="D10" s="21" t="s">
        <v>230</v>
      </c>
      <c r="E10" s="21">
        <v>16</v>
      </c>
      <c r="F10" s="21">
        <v>652109</v>
      </c>
      <c r="G10" s="42">
        <v>6.0000000000000001E-3</v>
      </c>
      <c r="H10" s="21" t="s">
        <v>232</v>
      </c>
      <c r="I10" s="39" t="str">
        <f ca="1">IFERROR(__xludf.DUMMYFUNCTION("IF(SUM(COUNTIF(artists!A:A, SPLIT(D10, "",""))) &gt; 0, ""UA"", 0)"),"UA")</f>
        <v>UA</v>
      </c>
      <c r="J10" s="40">
        <f ca="1">IFERROR(__xludf.DUMMYFUNCTION("IF(SUM(COUNTIF(artists!C:C, SPLIT(D10, "",""))) &gt; 0, ""RU"", 0)"),0)</f>
        <v>0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B11" s="21">
        <v>8</v>
      </c>
      <c r="C11" s="21" t="s">
        <v>1431</v>
      </c>
      <c r="D11" s="21" t="s">
        <v>969</v>
      </c>
      <c r="E11" s="21">
        <v>37</v>
      </c>
      <c r="F11" s="21">
        <v>645391</v>
      </c>
      <c r="G11" s="42">
        <v>-1.9E-2</v>
      </c>
      <c r="H11" s="21" t="s">
        <v>1432</v>
      </c>
      <c r="I11" s="39" t="str">
        <f ca="1">IFERROR(__xludf.DUMMYFUNCTION("IF(SUM(COUNTIF(artists!A:A, SPLIT(D11, "",""))) &gt; 0, ""UA"", 0)"),"UA")</f>
        <v>UA</v>
      </c>
      <c r="J11" s="40">
        <f ca="1">IFERROR(__xludf.DUMMYFUNCTION("IF(SUM(COUNTIF(artists!C:C, SPLIT(D11, "",""))) &gt; 0, ""RU"", 0)"),0)</f>
        <v>0</v>
      </c>
      <c r="K11" s="39">
        <f ca="1">IFERROR(__xludf.DUMMYFUNCTION("IF(SUM(COUNTIF(artists!E:E, SPLIT(D11, "",""))) &gt; 0, ""OTHER"", 0)"),0)</f>
        <v>0</v>
      </c>
    </row>
    <row r="12" spans="1:11" ht="14.25" customHeight="1">
      <c r="A12" s="21">
        <v>11</v>
      </c>
      <c r="B12" s="21">
        <v>10</v>
      </c>
      <c r="C12" s="21" t="s">
        <v>895</v>
      </c>
      <c r="D12" s="21" t="s">
        <v>896</v>
      </c>
      <c r="E12" s="21">
        <v>21</v>
      </c>
      <c r="F12" s="21">
        <v>572336</v>
      </c>
      <c r="G12" s="42">
        <v>-3.5000000000000003E-2</v>
      </c>
      <c r="H12" s="21" t="s">
        <v>897</v>
      </c>
      <c r="I12" s="39" t="str">
        <f ca="1">IFERROR(__xludf.DUMMYFUNCTION("IF(SUM(COUNTIF(artists!A:A, SPLIT(D12, "",""))) &gt; 0, ""UA"", 0)"),"UA")</f>
        <v>UA</v>
      </c>
      <c r="J12" s="40">
        <f ca="1">IFERROR(__xludf.DUMMYFUNCTION("IF(SUM(COUNTIF(artists!C:C, SPLIT(D12, "",""))) &gt; 0, ""RU"", 0)"),0)</f>
        <v>0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B13" s="21">
        <v>12</v>
      </c>
      <c r="C13" s="21" t="s">
        <v>706</v>
      </c>
      <c r="D13" s="21" t="s">
        <v>199</v>
      </c>
      <c r="E13" s="21">
        <v>5</v>
      </c>
      <c r="F13" s="21">
        <v>542048</v>
      </c>
      <c r="G13" s="43">
        <v>0.01</v>
      </c>
      <c r="H13" s="21" t="s">
        <v>1126</v>
      </c>
      <c r="I13" s="39" t="str">
        <f ca="1">IFERROR(__xludf.DUMMYFUNCTION("IF(SUM(COUNTIF(artists!A:A, SPLIT(D13, "",""))) &gt; 0, ""UA"", 0)"),"UA")</f>
        <v>UA</v>
      </c>
      <c r="J13" s="40">
        <f ca="1">IFERROR(__xludf.DUMMYFUNCTION("IF(SUM(COUNTIF(artists!C:C, SPLIT(D13, "",""))) &gt; 0, ""RU"", 0)"),0)</f>
        <v>0</v>
      </c>
      <c r="K13" s="39">
        <f ca="1">IFERROR(__xludf.DUMMYFUNCTION("IF(SUM(COUNTIF(artists!E:E, SPLIT(D13, "",""))) &gt; 0, ""OTHER"", 0)"),0)</f>
        <v>0</v>
      </c>
    </row>
    <row r="14" spans="1:11" ht="14.25" customHeight="1">
      <c r="A14" s="21">
        <v>13</v>
      </c>
      <c r="B14" s="21">
        <v>76</v>
      </c>
      <c r="C14" s="21" t="s">
        <v>209</v>
      </c>
      <c r="D14" s="21" t="s">
        <v>210</v>
      </c>
      <c r="E14" s="21">
        <v>2</v>
      </c>
      <c r="F14" s="21">
        <v>511970</v>
      </c>
      <c r="G14" s="42">
        <v>1.877</v>
      </c>
      <c r="H14" s="21" t="s">
        <v>212</v>
      </c>
      <c r="I14" s="39" t="str">
        <f ca="1">IFERROR(__xludf.DUMMYFUNCTION("IF(SUM(COUNTIF(artists!A:A, SPLIT(D14, "",""))) &gt; 0, ""UA"", 0)"),"UA")</f>
        <v>UA</v>
      </c>
      <c r="J14" s="40">
        <f ca="1">IFERROR(__xludf.DUMMYFUNCTION("IF(SUM(COUNTIF(artists!C:C, SPLIT(D14, "",""))) &gt; 0, ""RU"", 0)"),0)</f>
        <v>0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B15" s="21">
        <v>6</v>
      </c>
      <c r="C15" s="21" t="s">
        <v>1010</v>
      </c>
      <c r="D15" s="21" t="s">
        <v>1011</v>
      </c>
      <c r="E15" s="21">
        <v>10</v>
      </c>
      <c r="F15" s="21">
        <v>502283</v>
      </c>
      <c r="G15" s="42">
        <v>-0.27300000000000002</v>
      </c>
      <c r="H15" s="21" t="s">
        <v>1012</v>
      </c>
      <c r="I15" s="39" t="str">
        <f ca="1">IFERROR(__xludf.DUMMYFUNCTION("IF(SUM(COUNTIF(artists!A:A, SPLIT(D15, "",""))) &gt; 0, ""UA"", 0)"),"UA")</f>
        <v>UA</v>
      </c>
      <c r="J15" s="40">
        <f ca="1">IFERROR(__xludf.DUMMYFUNCTION("IF(SUM(COUNTIF(artists!C:C, SPLIT(D15, "",""))) &gt; 0, ""RU"", 0)"),0)</f>
        <v>0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C16" s="21" t="s">
        <v>1249</v>
      </c>
      <c r="D16" s="21" t="s">
        <v>187</v>
      </c>
      <c r="E16" s="21">
        <v>1</v>
      </c>
      <c r="F16" s="21">
        <v>500339</v>
      </c>
      <c r="H16" s="21" t="s">
        <v>1250</v>
      </c>
      <c r="I16" s="39" t="str">
        <f ca="1">IFERROR(__xludf.DUMMYFUNCTION("IF(SUM(COUNTIF(artists!A:A, SPLIT(D16, "",""))) &gt; 0, ""UA"", 0)"),"UA")</f>
        <v>UA</v>
      </c>
      <c r="J16" s="40">
        <f ca="1">IFERROR(__xludf.DUMMYFUNCTION("IF(SUM(COUNTIF(artists!C:C, SPLIT(D16, "",""))) &gt; 0, ""RU"", 0)"),0)</f>
        <v>0</v>
      </c>
      <c r="K16" s="39">
        <f ca="1">IFERROR(__xludf.DUMMYFUNCTION("IF(SUM(COUNTIF(artists!E:E, SPLIT(D16, "",""))) &gt; 0, ""OTHER"", 0)"),0)</f>
        <v>0</v>
      </c>
    </row>
    <row r="17" spans="1:11" ht="14.25" customHeight="1">
      <c r="A17" s="21">
        <v>16</v>
      </c>
      <c r="B17" s="21">
        <v>15</v>
      </c>
      <c r="C17" s="21" t="s">
        <v>1055</v>
      </c>
      <c r="D17" s="21" t="s">
        <v>776</v>
      </c>
      <c r="E17" s="21">
        <v>6</v>
      </c>
      <c r="F17" s="21">
        <v>488848</v>
      </c>
      <c r="G17" s="42">
        <v>2.1000000000000001E-2</v>
      </c>
      <c r="H17" s="21" t="s">
        <v>1056</v>
      </c>
      <c r="I17" s="39" t="str">
        <f ca="1">IFERROR(__xludf.DUMMYFUNCTION("IF(SUM(COUNTIF(artists!A:A, SPLIT(D17, "",""))) &gt; 0, ""UA"", 0)"),"UA")</f>
        <v>UA</v>
      </c>
      <c r="J17" s="40">
        <f ca="1">IFERROR(__xludf.DUMMYFUNCTION("IF(SUM(COUNTIF(artists!C:C, SPLIT(D17, "",""))) &gt; 0, ""RU"", 0)"),0)</f>
        <v>0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C18" s="21" t="s">
        <v>921</v>
      </c>
      <c r="D18" s="21" t="s">
        <v>922</v>
      </c>
      <c r="E18" s="21">
        <v>1</v>
      </c>
      <c r="F18" s="21">
        <v>441363</v>
      </c>
      <c r="H18" s="21" t="s">
        <v>923</v>
      </c>
      <c r="I18" s="39" t="str">
        <f ca="1">IFERROR(__xludf.DUMMYFUNCTION("IF(SUM(COUNTIF(artists!A:A, SPLIT(D18, "",""))) &gt; 0, ""UA"", 0)"),"UA")</f>
        <v>UA</v>
      </c>
      <c r="J18" s="40">
        <f ca="1">IFERROR(__xludf.DUMMYFUNCTION("IF(SUM(COUNTIF(artists!C:C, SPLIT(D18, "",""))) &gt; 0, ""RU"", 0)"),0)</f>
        <v>0</v>
      </c>
      <c r="K18" s="39">
        <f ca="1">IFERROR(__xludf.DUMMYFUNCTION("IF(SUM(COUNTIF(artists!E:E, SPLIT(D18, "",""))) &gt; 0, ""OTHER"", 0)"),0)</f>
        <v>0</v>
      </c>
    </row>
    <row r="19" spans="1:11" ht="14.25" customHeight="1">
      <c r="A19" s="21">
        <v>18</v>
      </c>
      <c r="B19" s="21">
        <v>18</v>
      </c>
      <c r="C19" s="21" t="s">
        <v>799</v>
      </c>
      <c r="D19" s="21" t="s">
        <v>494</v>
      </c>
      <c r="E19" s="21">
        <v>18</v>
      </c>
      <c r="F19" s="21">
        <v>440683</v>
      </c>
      <c r="G19" s="42">
        <v>-1.2999999999999999E-2</v>
      </c>
      <c r="H19" s="21" t="s">
        <v>800</v>
      </c>
      <c r="I19" s="39" t="str">
        <f ca="1">IFERROR(__xludf.DUMMYFUNCTION("IF(SUM(COUNTIF(artists!A:A, SPLIT(D19, "",""))) &gt; 0, ""UA"", 0)"),"UA")</f>
        <v>UA</v>
      </c>
      <c r="J19" s="40">
        <f ca="1">IFERROR(__xludf.DUMMYFUNCTION("IF(SUM(COUNTIF(artists!C:C, SPLIT(D19, "",""))) &gt; 0, ""RU"", 0)"),0)</f>
        <v>0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B20" s="21">
        <v>16</v>
      </c>
      <c r="C20" s="21" t="s">
        <v>1287</v>
      </c>
      <c r="D20" s="21" t="s">
        <v>1288</v>
      </c>
      <c r="E20" s="21">
        <v>10</v>
      </c>
      <c r="F20" s="21">
        <v>440119</v>
      </c>
      <c r="G20" s="43">
        <v>-7.0000000000000007E-2</v>
      </c>
      <c r="H20" s="21" t="s">
        <v>1289</v>
      </c>
      <c r="I20" s="39">
        <f ca="1">IFERROR(__xludf.DUMMYFUNCTION("IF(SUM(COUNTIF(artists!A:A, SPLIT(D20, "",""))) &gt; 0, ""UA"", 0)"),0)</f>
        <v>0</v>
      </c>
      <c r="J20" s="40">
        <f ca="1">IFERROR(__xludf.DUMMYFUNCTION("IF(SUM(COUNTIF(artists!C:C, SPLIT(D20, "",""))) &gt; 0, ""RU"", 0)"),0)</f>
        <v>0</v>
      </c>
      <c r="K20" s="39" t="str">
        <f ca="1">IFERROR(__xludf.DUMMYFUNCTION("IF(SUM(COUNTIF(artists!E:E, SPLIT(D20, "",""))) &gt; 0, ""OTHER"", 0)"),"OTHER")</f>
        <v>OTHER</v>
      </c>
    </row>
    <row r="21" spans="1:11" ht="14.25" customHeight="1">
      <c r="A21" s="21">
        <v>20</v>
      </c>
      <c r="C21" s="21" t="s">
        <v>1516</v>
      </c>
      <c r="D21" s="21" t="s">
        <v>969</v>
      </c>
      <c r="E21" s="21">
        <v>2</v>
      </c>
      <c r="F21" s="21">
        <v>424616</v>
      </c>
      <c r="H21" s="21" t="s">
        <v>1517</v>
      </c>
      <c r="I21" s="39" t="str">
        <f ca="1">IFERROR(__xludf.DUMMYFUNCTION("IF(SUM(COUNTIF(artists!A:A, SPLIT(D21, "",""))) &gt; 0, ""UA"", 0)"),"UA")</f>
        <v>UA</v>
      </c>
      <c r="J21" s="40">
        <f ca="1">IFERROR(__xludf.DUMMYFUNCTION("IF(SUM(COUNTIF(artists!C:C, SPLIT(D21, "",""))) &gt; 0, ""RU"", 0)"),0)</f>
        <v>0</v>
      </c>
      <c r="K21" s="39">
        <f ca="1">IFERROR(__xludf.DUMMYFUNCTION("IF(SUM(COUNTIF(artists!E:E, SPLIT(D21, "",""))) &gt; 0, ""OTHER"", 0)"),0)</f>
        <v>0</v>
      </c>
    </row>
    <row r="22" spans="1:11" ht="14.25" customHeight="1">
      <c r="A22" s="21">
        <v>21</v>
      </c>
      <c r="B22" s="21">
        <v>37</v>
      </c>
      <c r="C22" s="21" t="s">
        <v>929</v>
      </c>
      <c r="D22" s="21" t="s">
        <v>930</v>
      </c>
      <c r="E22" s="21">
        <v>2</v>
      </c>
      <c r="F22" s="21">
        <v>419759</v>
      </c>
      <c r="G22" s="42">
        <v>0.379</v>
      </c>
      <c r="H22" s="21" t="s">
        <v>931</v>
      </c>
      <c r="I22" s="39" t="str">
        <f ca="1">IFERROR(__xludf.DUMMYFUNCTION("IF(SUM(COUNTIF(artists!A:A, SPLIT(D22, "",""))) &gt; 0, ""UA"", 0)"),"UA")</f>
        <v>UA</v>
      </c>
      <c r="J22" s="40">
        <f ca="1">IFERROR(__xludf.DUMMYFUNCTION("IF(SUM(COUNTIF(artists!C:C, SPLIT(D22, "",""))) &gt; 0, ""RU"", 0)"),0)</f>
        <v>0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B23" s="21">
        <v>22</v>
      </c>
      <c r="C23" s="21" t="s">
        <v>1263</v>
      </c>
      <c r="D23" s="21" t="s">
        <v>1264</v>
      </c>
      <c r="E23" s="21">
        <v>35</v>
      </c>
      <c r="F23" s="21">
        <v>417586</v>
      </c>
      <c r="G23" s="42">
        <v>-2.8000000000000001E-2</v>
      </c>
      <c r="H23" s="21" t="s">
        <v>1265</v>
      </c>
      <c r="I23" s="39">
        <f ca="1">IFERROR(__xludf.DUMMYFUNCTION("IF(SUM(COUNTIF(artists!A:A, SPLIT(D23, "",""))) &gt; 0, ""UA"", 0)"),0)</f>
        <v>0</v>
      </c>
      <c r="J23" s="40" t="str">
        <f ca="1">IFERROR(__xludf.DUMMYFUNCTION("IF(SUM(COUNTIF(artists!C:C, SPLIT(D23, "",""))) &gt; 0, ""RU"", 0)"),"RU")</f>
        <v>RU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B24" s="21">
        <v>19</v>
      </c>
      <c r="C24" s="21" t="s">
        <v>1282</v>
      </c>
      <c r="D24" s="21" t="s">
        <v>108</v>
      </c>
      <c r="E24" s="21">
        <v>36</v>
      </c>
      <c r="F24" s="21">
        <v>417505</v>
      </c>
      <c r="G24" s="42">
        <v>-5.6000000000000001E-2</v>
      </c>
      <c r="H24" s="21" t="s">
        <v>1283</v>
      </c>
      <c r="I24" s="39" t="str">
        <f ca="1">IFERROR(__xludf.DUMMYFUNCTION("IF(SUM(COUNTIF(artists!A:A, SPLIT(D24, "",""))) &gt; 0, ""UA"", 0)"),"UA")</f>
        <v>UA</v>
      </c>
      <c r="J24" s="40">
        <f ca="1">IFERROR(__xludf.DUMMYFUNCTION("IF(SUM(COUNTIF(artists!C:C, SPLIT(D24, "",""))) &gt; 0, ""RU"", 0)"),0)</f>
        <v>0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B25" s="21">
        <v>20</v>
      </c>
      <c r="C25" s="21" t="s">
        <v>968</v>
      </c>
      <c r="D25" s="21" t="s">
        <v>969</v>
      </c>
      <c r="E25" s="21">
        <v>29</v>
      </c>
      <c r="F25" s="21">
        <v>411032</v>
      </c>
      <c r="G25" s="42">
        <v>-6.9000000000000006E-2</v>
      </c>
      <c r="H25" s="21" t="s">
        <v>970</v>
      </c>
      <c r="I25" s="39" t="str">
        <f ca="1">IFERROR(__xludf.DUMMYFUNCTION("IF(SUM(COUNTIF(artists!A:A, SPLIT(D25, "",""))) &gt; 0, ""UA"", 0)"),"UA")</f>
        <v>UA</v>
      </c>
      <c r="J25" s="40">
        <f ca="1">IFERROR(__xludf.DUMMYFUNCTION("IF(SUM(COUNTIF(artists!C:C, SPLIT(D25, "",""))) &gt; 0, ""RU"", 0)"),0)</f>
        <v>0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B26" s="21">
        <v>21</v>
      </c>
      <c r="C26" s="21" t="s">
        <v>1178</v>
      </c>
      <c r="D26" s="21" t="s">
        <v>1117</v>
      </c>
      <c r="E26" s="21">
        <v>5</v>
      </c>
      <c r="F26" s="21">
        <v>410911</v>
      </c>
      <c r="G26" s="42">
        <v>-5.6000000000000001E-2</v>
      </c>
      <c r="H26" s="21" t="s">
        <v>1179</v>
      </c>
      <c r="I26" s="39">
        <f ca="1">IFERROR(__xludf.DUMMYFUNCTION("IF(SUM(COUNTIF(artists!A:A, SPLIT(D26, "",""))) &gt; 0, ""UA"", 0)"),0)</f>
        <v>0</v>
      </c>
      <c r="J26" s="40" t="str">
        <f ca="1">IFERROR(__xludf.DUMMYFUNCTION("IF(SUM(COUNTIF(artists!C:C, SPLIT(D26, "",""))) &gt; 0, ""RU"", 0)"),"RU")</f>
        <v>RU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B27" s="21">
        <v>23</v>
      </c>
      <c r="C27" s="21" t="s">
        <v>909</v>
      </c>
      <c r="D27" s="21" t="s">
        <v>910</v>
      </c>
      <c r="E27" s="21">
        <v>19</v>
      </c>
      <c r="F27" s="21">
        <v>388830</v>
      </c>
      <c r="G27" s="42">
        <v>-8.2000000000000003E-2</v>
      </c>
      <c r="H27" s="21" t="s">
        <v>911</v>
      </c>
      <c r="I27" s="39" t="str">
        <f ca="1">IFERROR(__xludf.DUMMYFUNCTION("IF(SUM(COUNTIF(artists!A:A, SPLIT(D27, "",""))) &gt; 0, ""UA"", 0)"),"UA")</f>
        <v>UA</v>
      </c>
      <c r="J27" s="40">
        <f ca="1">IFERROR(__xludf.DUMMYFUNCTION("IF(SUM(COUNTIF(artists!C:C, SPLIT(D27, "",""))) &gt; 0, ""RU"", 0)"),0)</f>
        <v>0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B28" s="21">
        <v>34</v>
      </c>
      <c r="C28" s="21" t="s">
        <v>186</v>
      </c>
      <c r="D28" s="21" t="s">
        <v>187</v>
      </c>
      <c r="E28" s="21">
        <v>13</v>
      </c>
      <c r="F28" s="21">
        <v>388343</v>
      </c>
      <c r="G28" s="42">
        <v>0.192</v>
      </c>
      <c r="H28" s="21" t="s">
        <v>189</v>
      </c>
      <c r="I28" s="39" t="str">
        <f ca="1">IFERROR(__xludf.DUMMYFUNCTION("IF(SUM(COUNTIF(artists!A:A, SPLIT(D28, "",""))) &gt; 0, ""UA"", 0)"),"UA")</f>
        <v>UA</v>
      </c>
      <c r="J28" s="40">
        <f ca="1">IFERROR(__xludf.DUMMYFUNCTION("IF(SUM(COUNTIF(artists!C:C, SPLIT(D28, "",""))) &gt; 0, ""RU"", 0)"),0)</f>
        <v>0</v>
      </c>
      <c r="K28" s="39">
        <f ca="1">IFERROR(__xludf.DUMMYFUNCTION("IF(SUM(COUNTIF(artists!E:E, SPLIT(D28, "",""))) &gt; 0, ""OTHER"", 0)"),0)</f>
        <v>0</v>
      </c>
    </row>
    <row r="29" spans="1:11" ht="14.25" customHeight="1">
      <c r="A29" s="21">
        <v>28</v>
      </c>
      <c r="B29" s="21">
        <v>17</v>
      </c>
      <c r="C29" s="21" t="s">
        <v>697</v>
      </c>
      <c r="D29" s="21" t="s">
        <v>698</v>
      </c>
      <c r="E29" s="21">
        <v>5</v>
      </c>
      <c r="F29" s="21">
        <v>372775</v>
      </c>
      <c r="G29" s="42">
        <v>-0.182</v>
      </c>
      <c r="H29" s="21" t="s">
        <v>699</v>
      </c>
      <c r="I29" s="39">
        <f ca="1">IFERROR(__xludf.DUMMYFUNCTION("IF(SUM(COUNTIF(artists!A:A, SPLIT(D29, "",""))) &gt; 0, ""UA"", 0)"),0)</f>
        <v>0</v>
      </c>
      <c r="J29" s="40" t="str">
        <f ca="1">IFERROR(__xludf.DUMMYFUNCTION("IF(SUM(COUNTIF(artists!C:C, SPLIT(D29, "",""))) &gt; 0, ""RU"", 0)"),"RU")</f>
        <v>RU</v>
      </c>
      <c r="K29" s="39">
        <f ca="1">IFERROR(__xludf.DUMMYFUNCTION("IF(SUM(COUNTIF(artists!E:E, SPLIT(D29, "",""))) &gt; 0, ""OTHER"", 0)"),0)</f>
        <v>0</v>
      </c>
    </row>
    <row r="30" spans="1:11" ht="14.25" customHeight="1">
      <c r="A30" s="21">
        <v>29</v>
      </c>
      <c r="B30" s="21">
        <v>28</v>
      </c>
      <c r="C30" s="21" t="s">
        <v>1327</v>
      </c>
      <c r="D30" s="21" t="s">
        <v>89</v>
      </c>
      <c r="E30" s="21">
        <v>38</v>
      </c>
      <c r="F30" s="21">
        <v>371864</v>
      </c>
      <c r="G30" s="42">
        <v>3.7999999999999999E-2</v>
      </c>
      <c r="H30" s="21" t="s">
        <v>1328</v>
      </c>
      <c r="I30" s="39" t="str">
        <f ca="1">IFERROR(__xludf.DUMMYFUNCTION("IF(SUM(COUNTIF(artists!A:A, SPLIT(D30, "",""))) &gt; 0, ""UA"", 0)"),"UA")</f>
        <v>UA</v>
      </c>
      <c r="J30" s="40">
        <f ca="1">IFERROR(__xludf.DUMMYFUNCTION("IF(SUM(COUNTIF(artists!C:C, SPLIT(D30, "",""))) &gt; 0, ""RU"", 0)"),0)</f>
        <v>0</v>
      </c>
      <c r="K30" s="39">
        <f ca="1">IFERROR(__xludf.DUMMYFUNCTION("IF(SUM(COUNTIF(artists!E:E, SPLIT(D30, "",""))) &gt; 0, ""OTHER"", 0)"),0)</f>
        <v>0</v>
      </c>
    </row>
    <row r="31" spans="1:11" ht="14.25" customHeight="1">
      <c r="A31" s="21">
        <v>30</v>
      </c>
      <c r="B31" s="21">
        <v>27</v>
      </c>
      <c r="C31" s="21" t="s">
        <v>1354</v>
      </c>
      <c r="D31" s="21" t="s">
        <v>1355</v>
      </c>
      <c r="E31" s="21">
        <v>39</v>
      </c>
      <c r="F31" s="21">
        <v>346779</v>
      </c>
      <c r="G31" s="42">
        <v>-3.5999999999999997E-2</v>
      </c>
      <c r="H31" s="21" t="s">
        <v>1356</v>
      </c>
      <c r="I31" s="39" t="str">
        <f ca="1">IFERROR(__xludf.DUMMYFUNCTION("IF(SUM(COUNTIF(artists!A:A, SPLIT(D31, "",""))) &gt; 0, ""UA"", 0)"),"UA")</f>
        <v>UA</v>
      </c>
      <c r="J31" s="40">
        <f ca="1">IFERROR(__xludf.DUMMYFUNCTION("IF(SUM(COUNTIF(artists!C:C, SPLIT(D31, "",""))) &gt; 0, ""RU"", 0)"),0)</f>
        <v>0</v>
      </c>
      <c r="K31" s="39">
        <f ca="1">IFERROR(__xludf.DUMMYFUNCTION("IF(SUM(COUNTIF(artists!E:E, SPLIT(D31, "",""))) &gt; 0, ""OTHER"", 0)"),0)</f>
        <v>0</v>
      </c>
    </row>
    <row r="32" spans="1:11" ht="14.25" customHeight="1">
      <c r="A32" s="21">
        <v>31</v>
      </c>
      <c r="B32" s="21">
        <v>31</v>
      </c>
      <c r="C32" s="21" t="s">
        <v>1284</v>
      </c>
      <c r="D32" s="21" t="s">
        <v>1285</v>
      </c>
      <c r="E32" s="21">
        <v>10</v>
      </c>
      <c r="F32" s="21">
        <v>342766</v>
      </c>
      <c r="G32" s="42">
        <v>-1.6E-2</v>
      </c>
      <c r="H32" s="21" t="s">
        <v>1286</v>
      </c>
      <c r="I32" s="39">
        <f ca="1">IFERROR(__xludf.DUMMYFUNCTION("IF(SUM(COUNTIF(artists!A:A, SPLIT(D32, "",""))) &gt; 0, ""UA"", 0)"),0)</f>
        <v>0</v>
      </c>
      <c r="J32" s="40" t="str">
        <f ca="1">IFERROR(__xludf.DUMMYFUNCTION("IF(SUM(COUNTIF(artists!C:C, SPLIT(D32, "",""))) &gt; 0, ""RU"", 0)"),"RU")</f>
        <v>RU</v>
      </c>
      <c r="K32" s="39">
        <f ca="1">IFERROR(__xludf.DUMMYFUNCTION("IF(SUM(COUNTIF(artists!E:E, SPLIT(D32, "",""))) &gt; 0, ""OTHER"", 0)"),0)</f>
        <v>0</v>
      </c>
    </row>
    <row r="33" spans="1:11" ht="14.25" customHeight="1">
      <c r="A33" s="21">
        <v>32</v>
      </c>
      <c r="B33" s="21">
        <v>50</v>
      </c>
      <c r="C33" s="21" t="s">
        <v>149</v>
      </c>
      <c r="D33" s="21" t="s">
        <v>150</v>
      </c>
      <c r="E33" s="21">
        <v>2</v>
      </c>
      <c r="F33" s="21">
        <v>337245</v>
      </c>
      <c r="G33" s="42">
        <v>0.26100000000000001</v>
      </c>
      <c r="H33" s="21" t="s">
        <v>152</v>
      </c>
      <c r="I33" s="39" t="str">
        <f ca="1">IFERROR(__xludf.DUMMYFUNCTION("IF(SUM(COUNTIF(artists!A:A, SPLIT(D33, "",""))) &gt; 0, ""UA"", 0)"),"UA")</f>
        <v>UA</v>
      </c>
      <c r="J33" s="40">
        <f ca="1">IFERROR(__xludf.DUMMYFUNCTION("IF(SUM(COUNTIF(artists!C:C, SPLIT(D33, "",""))) &gt; 0, ""RU"", 0)"),0)</f>
        <v>0</v>
      </c>
      <c r="K33" s="39">
        <f ca="1">IFERROR(__xludf.DUMMYFUNCTION("IF(SUM(COUNTIF(artists!E:E, SPLIT(D33, "",""))) &gt; 0, ""OTHER"", 0)"),0)</f>
        <v>0</v>
      </c>
    </row>
    <row r="34" spans="1:11" ht="14.25" customHeight="1">
      <c r="A34" s="21">
        <v>33</v>
      </c>
      <c r="B34" s="21">
        <v>29</v>
      </c>
      <c r="C34" s="21" t="s">
        <v>1332</v>
      </c>
      <c r="D34" s="21" t="s">
        <v>1333</v>
      </c>
      <c r="E34" s="21">
        <v>11</v>
      </c>
      <c r="F34" s="21">
        <v>331295</v>
      </c>
      <c r="G34" s="42">
        <v>-5.6000000000000001E-2</v>
      </c>
      <c r="H34" s="21" t="s">
        <v>1334</v>
      </c>
      <c r="I34" s="39" t="str">
        <f ca="1">IFERROR(__xludf.DUMMYFUNCTION("IF(SUM(COUNTIF(artists!A:A, SPLIT(D34, "",""))) &gt; 0, ""UA"", 0)"),"UA")</f>
        <v>UA</v>
      </c>
      <c r="J34" s="40">
        <f ca="1">IFERROR(__xludf.DUMMYFUNCTION("IF(SUM(COUNTIF(artists!C:C, SPLIT(D34, "",""))) &gt; 0, ""RU"", 0)"),0)</f>
        <v>0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B35" s="21">
        <v>30</v>
      </c>
      <c r="C35" s="21" t="s">
        <v>918</v>
      </c>
      <c r="D35" s="21" t="s">
        <v>108</v>
      </c>
      <c r="E35" s="21">
        <v>45</v>
      </c>
      <c r="F35" s="21">
        <v>326510</v>
      </c>
      <c r="G35" s="42">
        <v>-6.9000000000000006E-2</v>
      </c>
      <c r="H35" s="21" t="s">
        <v>919</v>
      </c>
      <c r="I35" s="39" t="str">
        <f ca="1">IFERROR(__xludf.DUMMYFUNCTION("IF(SUM(COUNTIF(artists!A:A, SPLIT(D35, "",""))) &gt; 0, ""UA"", 0)"),"UA")</f>
        <v>UA</v>
      </c>
      <c r="J35" s="40">
        <f ca="1">IFERROR(__xludf.DUMMYFUNCTION("IF(SUM(COUNTIF(artists!C:C, SPLIT(D35, "",""))) &gt; 0, ""RU"", 0)"),0)</f>
        <v>0</v>
      </c>
      <c r="K35" s="39">
        <f ca="1">IFERROR(__xludf.DUMMYFUNCTION("IF(SUM(COUNTIF(artists!E:E, SPLIT(D35, "",""))) &gt; 0, ""OTHER"", 0)"),0)</f>
        <v>0</v>
      </c>
    </row>
    <row r="36" spans="1:11" ht="14.25" customHeight="1">
      <c r="A36" s="21">
        <v>35</v>
      </c>
      <c r="B36" s="21">
        <v>33</v>
      </c>
      <c r="C36" s="21" t="s">
        <v>253</v>
      </c>
      <c r="D36" s="21" t="s">
        <v>89</v>
      </c>
      <c r="E36" s="21">
        <v>18</v>
      </c>
      <c r="F36" s="21">
        <v>323820</v>
      </c>
      <c r="G36" s="42">
        <v>-1.4999999999999999E-2</v>
      </c>
      <c r="H36" s="21" t="s">
        <v>254</v>
      </c>
      <c r="I36" s="39" t="str">
        <f ca="1">IFERROR(__xludf.DUMMYFUNCTION("IF(SUM(COUNTIF(artists!A:A, SPLIT(D36, "",""))) &gt; 0, ""UA"", 0)"),"UA")</f>
        <v>UA</v>
      </c>
      <c r="J36" s="40">
        <f ca="1">IFERROR(__xludf.DUMMYFUNCTION("IF(SUM(COUNTIF(artists!C:C, SPLIT(D36, "",""))) &gt; 0, ""RU"", 0)"),0)</f>
        <v>0</v>
      </c>
      <c r="K36" s="39">
        <f ca="1">IFERROR(__xludf.DUMMYFUNCTION("IF(SUM(COUNTIF(artists!E:E, SPLIT(D36, "",""))) &gt; 0, ""OTHER"", 0)"),0)</f>
        <v>0</v>
      </c>
    </row>
    <row r="37" spans="1:11" ht="14.25" customHeight="1">
      <c r="A37" s="21">
        <v>36</v>
      </c>
      <c r="B37" s="21">
        <v>35</v>
      </c>
      <c r="C37" s="21" t="s">
        <v>1383</v>
      </c>
      <c r="D37" s="21" t="s">
        <v>463</v>
      </c>
      <c r="E37" s="21">
        <v>14</v>
      </c>
      <c r="F37" s="21">
        <v>322512</v>
      </c>
      <c r="G37" s="42">
        <v>-5.0000000000000001E-3</v>
      </c>
      <c r="H37" s="21" t="s">
        <v>1384</v>
      </c>
      <c r="I37" s="39" t="str">
        <f ca="1">IFERROR(__xludf.DUMMYFUNCTION("IF(SUM(COUNTIF(artists!A:A, SPLIT(D37, "",""))) &gt; 0, ""UA"", 0)"),"UA")</f>
        <v>UA</v>
      </c>
      <c r="J37" s="40">
        <f ca="1">IFERROR(__xludf.DUMMYFUNCTION("IF(SUM(COUNTIF(artists!C:C, SPLIT(D37, "",""))) &gt; 0, ""RU"", 0)"),0)</f>
        <v>0</v>
      </c>
      <c r="K37" s="39">
        <f ca="1">IFERROR(__xludf.DUMMYFUNCTION("IF(SUM(COUNTIF(artists!E:E, SPLIT(D37, "",""))) &gt; 0, ""OTHER"", 0)"),0)</f>
        <v>0</v>
      </c>
    </row>
    <row r="38" spans="1:11" ht="14.25" customHeight="1">
      <c r="A38" s="21">
        <v>37</v>
      </c>
      <c r="B38" s="21">
        <v>42</v>
      </c>
      <c r="C38" s="21" t="s">
        <v>178</v>
      </c>
      <c r="D38" s="21" t="s">
        <v>179</v>
      </c>
      <c r="E38" s="21">
        <v>13</v>
      </c>
      <c r="F38" s="21">
        <v>322430</v>
      </c>
      <c r="G38" s="42">
        <v>9.9000000000000005E-2</v>
      </c>
      <c r="H38" s="21" t="s">
        <v>181</v>
      </c>
      <c r="I38" s="39" t="str">
        <f ca="1">IFERROR(__xludf.DUMMYFUNCTION("IF(SUM(COUNTIF(artists!A:A, SPLIT(D38, "",""))) &gt; 0, ""UA"", 0)"),"UA")</f>
        <v>UA</v>
      </c>
      <c r="J38" s="40">
        <f ca="1">IFERROR(__xludf.DUMMYFUNCTION("IF(SUM(COUNTIF(artists!C:C, SPLIT(D38, "",""))) &gt; 0, ""RU"", 0)"),0)</f>
        <v>0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B39" s="21">
        <v>32</v>
      </c>
      <c r="C39" s="21" t="s">
        <v>935</v>
      </c>
      <c r="D39" s="21" t="s">
        <v>936</v>
      </c>
      <c r="E39" s="21">
        <v>36</v>
      </c>
      <c r="F39" s="21">
        <v>321892</v>
      </c>
      <c r="G39" s="42">
        <v>-4.8000000000000001E-2</v>
      </c>
      <c r="H39" s="21" t="s">
        <v>937</v>
      </c>
      <c r="I39" s="39">
        <f ca="1">IFERROR(__xludf.DUMMYFUNCTION("IF(SUM(COUNTIF(artists!A:A, SPLIT(D39, "",""))) &gt; 0, ""UA"", 0)"),0)</f>
        <v>0</v>
      </c>
      <c r="J39" s="40" t="str">
        <f ca="1">IFERROR(__xludf.DUMMYFUNCTION("IF(SUM(COUNTIF(artists!C:C, SPLIT(D39, "",""))) &gt; 0, ""RU"", 0)"),"RU")</f>
        <v>RU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B40" s="21">
        <v>39</v>
      </c>
      <c r="C40" s="21" t="s">
        <v>887</v>
      </c>
      <c r="D40" s="21" t="s">
        <v>89</v>
      </c>
      <c r="E40" s="21">
        <v>16</v>
      </c>
      <c r="F40" s="21">
        <v>313041</v>
      </c>
      <c r="G40" s="42">
        <v>3.2000000000000001E-2</v>
      </c>
      <c r="H40" s="21" t="s">
        <v>888</v>
      </c>
      <c r="I40" s="39" t="str">
        <f ca="1">IFERROR(__xludf.DUMMYFUNCTION("IF(SUM(COUNTIF(artists!A:A, SPLIT(D40, "",""))) &gt; 0, ""UA"", 0)"),"UA")</f>
        <v>UA</v>
      </c>
      <c r="J40" s="40">
        <f ca="1">IFERROR(__xludf.DUMMYFUNCTION("IF(SUM(COUNTIF(artists!C:C, SPLIT(D40, "",""))) &gt; 0, ""RU"", 0)"),0)</f>
        <v>0</v>
      </c>
      <c r="K40" s="39">
        <f ca="1">IFERROR(__xludf.DUMMYFUNCTION("IF(SUM(COUNTIF(artists!E:E, SPLIT(D40, "",""))) &gt; 0, ""OTHER"", 0)"),0)</f>
        <v>0</v>
      </c>
    </row>
    <row r="41" spans="1:11" ht="14.25" customHeight="1">
      <c r="A41" s="21">
        <v>40</v>
      </c>
      <c r="B41" s="21">
        <v>24</v>
      </c>
      <c r="C41" s="21" t="s">
        <v>1418</v>
      </c>
      <c r="D41" s="21" t="s">
        <v>698</v>
      </c>
      <c r="E41" s="21">
        <v>3</v>
      </c>
      <c r="F41" s="21">
        <v>308291</v>
      </c>
      <c r="G41" s="42">
        <v>-0.26600000000000001</v>
      </c>
      <c r="H41" s="21" t="s">
        <v>1419</v>
      </c>
      <c r="I41" s="39">
        <f ca="1">IFERROR(__xludf.DUMMYFUNCTION("IF(SUM(COUNTIF(artists!A:A, SPLIT(D41, "",""))) &gt; 0, ""UA"", 0)"),0)</f>
        <v>0</v>
      </c>
      <c r="J41" s="40" t="str">
        <f ca="1">IFERROR(__xludf.DUMMYFUNCTION("IF(SUM(COUNTIF(artists!C:C, SPLIT(D41, "",""))) &gt; 0, ""RU"", 0)"),"RU")</f>
        <v>RU</v>
      </c>
      <c r="K41" s="39">
        <f ca="1">IFERROR(__xludf.DUMMYFUNCTION("IF(SUM(COUNTIF(artists!E:E, SPLIT(D41, "",""))) &gt; 0, ""OTHER"", 0)"),0)</f>
        <v>0</v>
      </c>
    </row>
    <row r="42" spans="1:11" ht="14.25" customHeight="1">
      <c r="A42" s="21">
        <v>41</v>
      </c>
      <c r="B42" s="21">
        <v>69</v>
      </c>
      <c r="C42" s="21" t="s">
        <v>160</v>
      </c>
      <c r="D42" s="21" t="s">
        <v>161</v>
      </c>
      <c r="E42" s="21">
        <v>3</v>
      </c>
      <c r="F42" s="21">
        <v>305496</v>
      </c>
      <c r="G42" s="42">
        <v>0.58499999999999996</v>
      </c>
      <c r="H42" s="21" t="s">
        <v>163</v>
      </c>
      <c r="I42" s="39" t="str">
        <f ca="1">IFERROR(__xludf.DUMMYFUNCTION("IF(SUM(COUNTIF(artists!A:A, SPLIT(D42, "",""))) &gt; 0, ""UA"", 0)"),"UA")</f>
        <v>UA</v>
      </c>
      <c r="J42" s="40">
        <f ca="1">IFERROR(__xludf.DUMMYFUNCTION("IF(SUM(COUNTIF(artists!C:C, SPLIT(D42, "",""))) &gt; 0, ""RU"", 0)"),0)</f>
        <v>0</v>
      </c>
      <c r="K42" s="39">
        <f ca="1">IFERROR(__xludf.DUMMYFUNCTION("IF(SUM(COUNTIF(artists!E:E, SPLIT(D42, "",""))) &gt; 0, ""OTHER"", 0)"),0)</f>
        <v>0</v>
      </c>
    </row>
    <row r="43" spans="1:11" ht="14.25" customHeight="1">
      <c r="A43" s="21">
        <v>42</v>
      </c>
      <c r="B43" s="21">
        <v>36</v>
      </c>
      <c r="C43" s="21" t="s">
        <v>1447</v>
      </c>
      <c r="D43" s="21" t="s">
        <v>969</v>
      </c>
      <c r="E43" s="21">
        <v>28</v>
      </c>
      <c r="F43" s="21">
        <v>305335</v>
      </c>
      <c r="G43" s="42">
        <v>-2.3E-2</v>
      </c>
      <c r="H43" s="21" t="s">
        <v>1448</v>
      </c>
      <c r="I43" s="39" t="str">
        <f ca="1">IFERROR(__xludf.DUMMYFUNCTION("IF(SUM(COUNTIF(artists!A:A, SPLIT(D43, "",""))) &gt; 0, ""UA"", 0)"),"UA")</f>
        <v>UA</v>
      </c>
      <c r="J43" s="40">
        <f ca="1">IFERROR(__xludf.DUMMYFUNCTION("IF(SUM(COUNTIF(artists!C:C, SPLIT(D43, "",""))) &gt; 0, ""RU"", 0)"),0)</f>
        <v>0</v>
      </c>
      <c r="K43" s="39">
        <f ca="1">IFERROR(__xludf.DUMMYFUNCTION("IF(SUM(COUNTIF(artists!E:E, SPLIT(D43, "",""))) &gt; 0, ""OTHER"", 0)"),0)</f>
        <v>0</v>
      </c>
    </row>
    <row r="44" spans="1:11" ht="14.25" customHeight="1">
      <c r="A44" s="21">
        <v>43</v>
      </c>
      <c r="B44" s="21">
        <v>38</v>
      </c>
      <c r="C44" s="21" t="s">
        <v>1436</v>
      </c>
      <c r="D44" s="21" t="s">
        <v>896</v>
      </c>
      <c r="E44" s="21">
        <v>16</v>
      </c>
      <c r="F44" s="21">
        <v>300137</v>
      </c>
      <c r="G44" s="42">
        <v>-1.2E-2</v>
      </c>
      <c r="H44" s="21" t="s">
        <v>1437</v>
      </c>
      <c r="I44" s="39" t="str">
        <f ca="1">IFERROR(__xludf.DUMMYFUNCTION("IF(SUM(COUNTIF(artists!A:A, SPLIT(D44, "",""))) &gt; 0, ""UA"", 0)"),"UA")</f>
        <v>UA</v>
      </c>
      <c r="J44" s="40">
        <f ca="1">IFERROR(__xludf.DUMMYFUNCTION("IF(SUM(COUNTIF(artists!C:C, SPLIT(D44, "",""))) &gt; 0, ""RU"", 0)"),0)</f>
        <v>0</v>
      </c>
      <c r="K44" s="39">
        <f ca="1">IFERROR(__xludf.DUMMYFUNCTION("IF(SUM(COUNTIF(artists!E:E, SPLIT(D44, "",""))) &gt; 0, ""OTHER"", 0)"),0)</f>
        <v>0</v>
      </c>
    </row>
    <row r="45" spans="1:11" ht="14.25" customHeight="1">
      <c r="A45" s="21">
        <v>44</v>
      </c>
      <c r="B45" s="21">
        <v>43</v>
      </c>
      <c r="C45" s="21" t="s">
        <v>1500</v>
      </c>
      <c r="D45" s="21" t="s">
        <v>907</v>
      </c>
      <c r="E45" s="21">
        <v>39</v>
      </c>
      <c r="F45" s="21">
        <v>299602</v>
      </c>
      <c r="G45" s="42">
        <v>3.7999999999999999E-2</v>
      </c>
      <c r="H45" s="21" t="s">
        <v>1501</v>
      </c>
      <c r="I45" s="39">
        <f ca="1">IFERROR(__xludf.DUMMYFUNCTION("IF(SUM(COUNTIF(artists!A:A, SPLIT(D45, "",""))) &gt; 0, ""UA"", 0)"),0)</f>
        <v>0</v>
      </c>
      <c r="J45" s="40" t="str">
        <f ca="1">IFERROR(__xludf.DUMMYFUNCTION("IF(SUM(COUNTIF(artists!C:C, SPLIT(D45, "",""))) &gt; 0, ""RU"", 0)"),"RU")</f>
        <v>RU</v>
      </c>
      <c r="K45" s="39">
        <f ca="1">IFERROR(__xludf.DUMMYFUNCTION("IF(SUM(COUNTIF(artists!E:E, SPLIT(D45, "",""))) &gt; 0, ""OTHER"", 0)"),0)</f>
        <v>0</v>
      </c>
    </row>
    <row r="46" spans="1:11" ht="14.25" customHeight="1">
      <c r="A46" s="21">
        <v>45</v>
      </c>
      <c r="B46" s="21">
        <v>47</v>
      </c>
      <c r="C46" s="21" t="s">
        <v>1261</v>
      </c>
      <c r="D46" s="21" t="s">
        <v>137</v>
      </c>
      <c r="E46" s="21">
        <v>26</v>
      </c>
      <c r="F46" s="21">
        <v>295288</v>
      </c>
      <c r="G46" s="42">
        <v>8.3000000000000004E-2</v>
      </c>
      <c r="H46" s="21" t="s">
        <v>1262</v>
      </c>
      <c r="I46" s="39" t="str">
        <f ca="1">IFERROR(__xludf.DUMMYFUNCTION("IF(SUM(COUNTIF(artists!A:A, SPLIT(D46, "",""))) &gt; 0, ""UA"", 0)"),"UA")</f>
        <v>UA</v>
      </c>
      <c r="J46" s="40">
        <f ca="1">IFERROR(__xludf.DUMMYFUNCTION("IF(SUM(COUNTIF(artists!C:C, SPLIT(D46, "",""))) &gt; 0, ""RU"", 0)"),0)</f>
        <v>0</v>
      </c>
      <c r="K46" s="39">
        <f ca="1">IFERROR(__xludf.DUMMYFUNCTION("IF(SUM(COUNTIF(artists!E:E, SPLIT(D46, "",""))) &gt; 0, ""OTHER"", 0)"),0)</f>
        <v>0</v>
      </c>
    </row>
    <row r="47" spans="1:11" ht="14.25" customHeight="1">
      <c r="A47" s="21">
        <v>46</v>
      </c>
      <c r="B47" s="21">
        <v>40</v>
      </c>
      <c r="C47" s="21" t="s">
        <v>632</v>
      </c>
      <c r="D47" s="21" t="s">
        <v>633</v>
      </c>
      <c r="E47" s="21">
        <v>13</v>
      </c>
      <c r="F47" s="21">
        <v>292852</v>
      </c>
      <c r="G47" s="42">
        <v>-2.1999999999999999E-2</v>
      </c>
      <c r="H47" s="21" t="s">
        <v>634</v>
      </c>
      <c r="I47" s="39" t="str">
        <f ca="1">IFERROR(__xludf.DUMMYFUNCTION("IF(SUM(COUNTIF(artists!A:A, SPLIT(D47, "",""))) &gt; 0, ""UA"", 0)"),"UA")</f>
        <v>UA</v>
      </c>
      <c r="J47" s="40">
        <f ca="1">IFERROR(__xludf.DUMMYFUNCTION("IF(SUM(COUNTIF(artists!C:C, SPLIT(D47, "",""))) &gt; 0, ""RU"", 0)"),0)</f>
        <v>0</v>
      </c>
      <c r="K47" s="39">
        <f ca="1">IFERROR(__xludf.DUMMYFUNCTION("IF(SUM(COUNTIF(artists!E:E, SPLIT(D47, "",""))) &gt; 0, ""OTHER"", 0)"),0)</f>
        <v>0</v>
      </c>
    </row>
    <row r="48" spans="1:11" ht="14.25" customHeight="1">
      <c r="A48" s="21">
        <v>47</v>
      </c>
      <c r="B48" s="21">
        <v>48</v>
      </c>
      <c r="C48" s="21" t="s">
        <v>1242</v>
      </c>
      <c r="D48" s="21" t="s">
        <v>969</v>
      </c>
      <c r="E48" s="21">
        <v>8</v>
      </c>
      <c r="F48" s="21">
        <v>285649</v>
      </c>
      <c r="G48" s="43">
        <v>0.06</v>
      </c>
      <c r="H48" s="21" t="s">
        <v>1243</v>
      </c>
      <c r="I48" s="39" t="str">
        <f ca="1">IFERROR(__xludf.DUMMYFUNCTION("IF(SUM(COUNTIF(artists!A:A, SPLIT(D48, "",""))) &gt; 0, ""UA"", 0)"),"UA")</f>
        <v>UA</v>
      </c>
      <c r="J48" s="40">
        <f ca="1">IFERROR(__xludf.DUMMYFUNCTION("IF(SUM(COUNTIF(artists!C:C, SPLIT(D48, "",""))) &gt; 0, ""RU"", 0)"),0)</f>
        <v>0</v>
      </c>
      <c r="K48" s="39">
        <f ca="1">IFERROR(__xludf.DUMMYFUNCTION("IF(SUM(COUNTIF(artists!E:E, SPLIT(D48, "",""))) &gt; 0, ""OTHER"", 0)"),0)</f>
        <v>0</v>
      </c>
    </row>
    <row r="49" spans="1:11" ht="14.25" customHeight="1">
      <c r="A49" s="21">
        <v>48</v>
      </c>
      <c r="B49" s="21">
        <v>25</v>
      </c>
      <c r="C49" s="21" t="s">
        <v>1413</v>
      </c>
      <c r="D49" s="21" t="s">
        <v>1414</v>
      </c>
      <c r="E49" s="21">
        <v>3</v>
      </c>
      <c r="F49" s="21">
        <v>283894</v>
      </c>
      <c r="G49" s="42">
        <v>-0.24299999999999999</v>
      </c>
      <c r="H49" s="21" t="s">
        <v>1415</v>
      </c>
      <c r="I49" s="39" t="str">
        <f ca="1">IFERROR(__xludf.DUMMYFUNCTION("IF(SUM(COUNTIF(artists!A:A, SPLIT(D49, "",""))) &gt; 0, ""UA"", 0)"),"UA")</f>
        <v>UA</v>
      </c>
      <c r="J49" s="40">
        <f ca="1">IFERROR(__xludf.DUMMYFUNCTION("IF(SUM(COUNTIF(artists!C:C, SPLIT(D49, "",""))) &gt; 0, ""RU"", 0)"),0)</f>
        <v>0</v>
      </c>
      <c r="K49" s="39">
        <f ca="1">IFERROR(__xludf.DUMMYFUNCTION("IF(SUM(COUNTIF(artists!E:E, SPLIT(D49, "",""))) &gt; 0, ""OTHER"", 0)"),0)</f>
        <v>0</v>
      </c>
    </row>
    <row r="50" spans="1:11" ht="14.25" customHeight="1">
      <c r="A50" s="21">
        <v>49</v>
      </c>
      <c r="B50" s="21">
        <v>45</v>
      </c>
      <c r="C50" s="21" t="s">
        <v>1518</v>
      </c>
      <c r="D50" s="21" t="s">
        <v>108</v>
      </c>
      <c r="E50" s="21">
        <v>21</v>
      </c>
      <c r="F50" s="21">
        <v>280527</v>
      </c>
      <c r="G50" s="43">
        <v>0</v>
      </c>
      <c r="H50" s="21" t="s">
        <v>1519</v>
      </c>
      <c r="I50" s="39" t="str">
        <f ca="1">IFERROR(__xludf.DUMMYFUNCTION("IF(SUM(COUNTIF(artists!A:A, SPLIT(D50, "",""))) &gt; 0, ""UA"", 0)"),"UA")</f>
        <v>UA</v>
      </c>
      <c r="J50" s="40">
        <f ca="1">IFERROR(__xludf.DUMMYFUNCTION("IF(SUM(COUNTIF(artists!C:C, SPLIT(D50, "",""))) &gt; 0, ""RU"", 0)"),0)</f>
        <v>0</v>
      </c>
      <c r="K50" s="39">
        <f ca="1">IFERROR(__xludf.DUMMYFUNCTION("IF(SUM(COUNTIF(artists!E:E, SPLIT(D50, "",""))) &gt; 0, ""OTHER"", 0)"),0)</f>
        <v>0</v>
      </c>
    </row>
    <row r="51" spans="1:11" ht="14.25" customHeight="1">
      <c r="A51" s="21">
        <v>50</v>
      </c>
      <c r="B51" s="21">
        <v>52</v>
      </c>
      <c r="C51" s="21" t="s">
        <v>118</v>
      </c>
      <c r="D51" s="21" t="s">
        <v>586</v>
      </c>
      <c r="E51" s="21">
        <v>19</v>
      </c>
      <c r="F51" s="21">
        <v>270803</v>
      </c>
      <c r="G51" s="42">
        <v>3.6999999999999998E-2</v>
      </c>
      <c r="H51" s="21" t="s">
        <v>587</v>
      </c>
      <c r="I51" s="39" t="str">
        <f ca="1">IFERROR(__xludf.DUMMYFUNCTION("IF(SUM(COUNTIF(artists!A:A, SPLIT(D51, "",""))) &gt; 0, ""UA"", 0)"),"UA")</f>
        <v>UA</v>
      </c>
      <c r="J51" s="40">
        <f ca="1">IFERROR(__xludf.DUMMYFUNCTION("IF(SUM(COUNTIF(artists!C:C, SPLIT(D51, "",""))) &gt; 0, ""RU"", 0)"),0)</f>
        <v>0</v>
      </c>
      <c r="K51" s="39">
        <f ca="1">IFERROR(__xludf.DUMMYFUNCTION("IF(SUM(COUNTIF(artists!E:E, SPLIT(D51, "",""))) &gt; 0, ""OTHER"", 0)"),0)</f>
        <v>0</v>
      </c>
    </row>
    <row r="52" spans="1:11" ht="14.25" customHeight="1">
      <c r="A52" s="21">
        <v>51</v>
      </c>
      <c r="B52" s="21">
        <v>57</v>
      </c>
      <c r="C52" s="21" t="s">
        <v>1381</v>
      </c>
      <c r="D52" s="21" t="s">
        <v>969</v>
      </c>
      <c r="E52" s="21">
        <v>20</v>
      </c>
      <c r="F52" s="21">
        <v>268621</v>
      </c>
      <c r="G52" s="42">
        <v>7.9000000000000001E-2</v>
      </c>
      <c r="H52" s="21" t="s">
        <v>1382</v>
      </c>
      <c r="I52" s="39" t="str">
        <f ca="1">IFERROR(__xludf.DUMMYFUNCTION("IF(SUM(COUNTIF(artists!A:A, SPLIT(D52, "",""))) &gt; 0, ""UA"", 0)"),"UA")</f>
        <v>UA</v>
      </c>
      <c r="J52" s="40">
        <f ca="1">IFERROR(__xludf.DUMMYFUNCTION("IF(SUM(COUNTIF(artists!C:C, SPLIT(D52, "",""))) &gt; 0, ""RU"", 0)"),0)</f>
        <v>0</v>
      </c>
      <c r="K52" s="39">
        <f ca="1">IFERROR(__xludf.DUMMYFUNCTION("IF(SUM(COUNTIF(artists!E:E, SPLIT(D52, "",""))) &gt; 0, ""OTHER"", 0)"),0)</f>
        <v>0</v>
      </c>
    </row>
    <row r="53" spans="1:11" ht="14.25" customHeight="1">
      <c r="A53" s="21">
        <v>52</v>
      </c>
      <c r="B53" s="21">
        <v>26</v>
      </c>
      <c r="C53" s="21" t="s">
        <v>1460</v>
      </c>
      <c r="D53" s="21" t="s">
        <v>1461</v>
      </c>
      <c r="E53" s="21">
        <v>2</v>
      </c>
      <c r="F53" s="21">
        <v>259290</v>
      </c>
      <c r="G53" s="42">
        <v>-0.28299999999999997</v>
      </c>
      <c r="H53" s="21" t="s">
        <v>1462</v>
      </c>
      <c r="I53" s="39">
        <f ca="1">IFERROR(__xludf.DUMMYFUNCTION("IF(SUM(COUNTIF(artists!A:A, SPLIT(D53, "",""))) &gt; 0, ""UA"", 0)"),0)</f>
        <v>0</v>
      </c>
      <c r="J53" s="40" t="str">
        <f ca="1">IFERROR(__xludf.DUMMYFUNCTION("IF(SUM(COUNTIF(artists!C:C, SPLIT(D53, "",""))) &gt; 0, ""RU"", 0)"),"RU")</f>
        <v>RU</v>
      </c>
      <c r="K53" s="39">
        <f ca="1">IFERROR(__xludf.DUMMYFUNCTION("IF(SUM(COUNTIF(artists!E:E, SPLIT(D53, "",""))) &gt; 0, ""OTHER"", 0)"),0)</f>
        <v>0</v>
      </c>
    </row>
    <row r="54" spans="1:11" ht="14.25" customHeight="1">
      <c r="A54" s="21">
        <v>53</v>
      </c>
      <c r="B54" s="21">
        <v>53</v>
      </c>
      <c r="C54" s="21" t="s">
        <v>1182</v>
      </c>
      <c r="D54" s="21" t="s">
        <v>466</v>
      </c>
      <c r="E54" s="21">
        <v>11</v>
      </c>
      <c r="F54" s="21">
        <v>257441</v>
      </c>
      <c r="G54" s="42">
        <v>-5.0000000000000001E-3</v>
      </c>
      <c r="H54" s="21" t="s">
        <v>1183</v>
      </c>
      <c r="I54" s="39" t="str">
        <f ca="1">IFERROR(__xludf.DUMMYFUNCTION("IF(SUM(COUNTIF(artists!A:A, SPLIT(D54, "",""))) &gt; 0, ""UA"", 0)"),"UA")</f>
        <v>UA</v>
      </c>
      <c r="J54" s="40">
        <f ca="1">IFERROR(__xludf.DUMMYFUNCTION("IF(SUM(COUNTIF(artists!C:C, SPLIT(D54, "",""))) &gt; 0, ""RU"", 0)"),0)</f>
        <v>0</v>
      </c>
      <c r="K54" s="39">
        <f ca="1">IFERROR(__xludf.DUMMYFUNCTION("IF(SUM(COUNTIF(artists!E:E, SPLIT(D54, "",""))) &gt; 0, ""OTHER"", 0)"),0)</f>
        <v>0</v>
      </c>
    </row>
    <row r="55" spans="1:11" ht="14.25" customHeight="1">
      <c r="A55" s="21">
        <v>54</v>
      </c>
      <c r="C55" s="21" t="s">
        <v>1505</v>
      </c>
      <c r="D55" s="21" t="s">
        <v>1506</v>
      </c>
      <c r="E55" s="21">
        <v>1</v>
      </c>
      <c r="F55" s="21">
        <v>243568</v>
      </c>
      <c r="H55" s="21" t="s">
        <v>1507</v>
      </c>
      <c r="I55" s="39" t="str">
        <f ca="1">IFERROR(__xludf.DUMMYFUNCTION("IF(SUM(COUNTIF(artists!A:A, SPLIT(D55, "",""))) &gt; 0, ""UA"", 0)"),"UA")</f>
        <v>UA</v>
      </c>
      <c r="J55" s="40">
        <f ca="1">IFERROR(__xludf.DUMMYFUNCTION("IF(SUM(COUNTIF(artists!C:C, SPLIT(D55, "",""))) &gt; 0, ""RU"", 0)"),0)</f>
        <v>0</v>
      </c>
      <c r="K55" s="39">
        <f ca="1">IFERROR(__xludf.DUMMYFUNCTION("IF(SUM(COUNTIF(artists!E:E, SPLIT(D55, "",""))) &gt; 0, ""OTHER"", 0)"),0)</f>
        <v>0</v>
      </c>
    </row>
    <row r="56" spans="1:11" ht="14.25" customHeight="1">
      <c r="A56" s="21">
        <v>55</v>
      </c>
      <c r="B56" s="21">
        <v>56</v>
      </c>
      <c r="C56" s="21" t="s">
        <v>1410</v>
      </c>
      <c r="D56" s="21" t="s">
        <v>1411</v>
      </c>
      <c r="E56" s="21">
        <v>3</v>
      </c>
      <c r="F56" s="21">
        <v>241406</v>
      </c>
      <c r="G56" s="42">
        <v>-5.8999999999999997E-2</v>
      </c>
      <c r="H56" s="21" t="s">
        <v>1412</v>
      </c>
      <c r="I56" s="39">
        <f ca="1">IFERROR(__xludf.DUMMYFUNCTION("IF(SUM(COUNTIF(artists!A:A, SPLIT(D56, "",""))) &gt; 0, ""UA"", 0)"),0)</f>
        <v>0</v>
      </c>
      <c r="J56" s="40" t="str">
        <f ca="1">IFERROR(__xludf.DUMMYFUNCTION("IF(SUM(COUNTIF(artists!C:C, SPLIT(D56, "",""))) &gt; 0, ""RU"", 0)"),"RU")</f>
        <v>RU</v>
      </c>
      <c r="K56" s="39">
        <f ca="1">IFERROR(__xludf.DUMMYFUNCTION("IF(SUM(COUNTIF(artists!E:E, SPLIT(D56, "",""))) &gt; 0, ""OTHER"", 0)"),0)</f>
        <v>0</v>
      </c>
    </row>
    <row r="57" spans="1:11" ht="14.25" customHeight="1">
      <c r="A57" s="21">
        <v>56</v>
      </c>
      <c r="B57" s="21">
        <v>44</v>
      </c>
      <c r="C57" s="21" t="s">
        <v>1377</v>
      </c>
      <c r="D57" s="21" t="s">
        <v>463</v>
      </c>
      <c r="E57" s="21">
        <v>8</v>
      </c>
      <c r="F57" s="21">
        <v>240464</v>
      </c>
      <c r="G57" s="43">
        <v>-0.15</v>
      </c>
      <c r="H57" s="21" t="s">
        <v>1378</v>
      </c>
      <c r="I57" s="39" t="str">
        <f ca="1">IFERROR(__xludf.DUMMYFUNCTION("IF(SUM(COUNTIF(artists!A:A, SPLIT(D57, "",""))) &gt; 0, ""UA"", 0)"),"UA")</f>
        <v>UA</v>
      </c>
      <c r="J57" s="40">
        <f ca="1">IFERROR(__xludf.DUMMYFUNCTION("IF(SUM(COUNTIF(artists!C:C, SPLIT(D57, "",""))) &gt; 0, ""RU"", 0)"),0)</f>
        <v>0</v>
      </c>
      <c r="K57" s="39">
        <f ca="1">IFERROR(__xludf.DUMMYFUNCTION("IF(SUM(COUNTIF(artists!E:E, SPLIT(D57, "",""))) &gt; 0, ""OTHER"", 0)"),0)</f>
        <v>0</v>
      </c>
    </row>
    <row r="58" spans="1:11" ht="14.25" customHeight="1">
      <c r="A58" s="21">
        <v>57</v>
      </c>
      <c r="C58" s="21" t="s">
        <v>841</v>
      </c>
      <c r="D58" s="21" t="s">
        <v>842</v>
      </c>
      <c r="E58" s="21">
        <v>21</v>
      </c>
      <c r="F58" s="21">
        <v>238711</v>
      </c>
      <c r="H58" s="21" t="s">
        <v>843</v>
      </c>
      <c r="I58" s="39">
        <f ca="1">IFERROR(__xludf.DUMMYFUNCTION("IF(SUM(COUNTIF(artists!A:A, SPLIT(D58, "",""))) &gt; 0, ""UA"", 0)"),0)</f>
        <v>0</v>
      </c>
      <c r="J58" s="40">
        <f ca="1">IFERROR(__xludf.DUMMYFUNCTION("IF(SUM(COUNTIF(artists!C:C, SPLIT(D58, "",""))) &gt; 0, ""RU"", 0)"),0)</f>
        <v>0</v>
      </c>
      <c r="K58" s="39" t="str">
        <f ca="1">IFERROR(__xludf.DUMMYFUNCTION("IF(SUM(COUNTIF(artists!E:E, SPLIT(D58, "",""))) &gt; 0, ""OTHER"", 0)"),"OTHER")</f>
        <v>OTHER</v>
      </c>
    </row>
    <row r="59" spans="1:11" ht="14.25" customHeight="1">
      <c r="A59" s="21">
        <v>58</v>
      </c>
      <c r="C59" s="21" t="s">
        <v>1520</v>
      </c>
      <c r="D59" s="21" t="s">
        <v>1411</v>
      </c>
      <c r="E59" s="21">
        <v>1</v>
      </c>
      <c r="F59" s="21">
        <v>238350</v>
      </c>
      <c r="H59" s="21" t="s">
        <v>1521</v>
      </c>
      <c r="I59" s="39">
        <f ca="1">IFERROR(__xludf.DUMMYFUNCTION("IF(SUM(COUNTIF(artists!A:A, SPLIT(D59, "",""))) &gt; 0, ""UA"", 0)"),0)</f>
        <v>0</v>
      </c>
      <c r="J59" s="40" t="str">
        <f ca="1">IFERROR(__xludf.DUMMYFUNCTION("IF(SUM(COUNTIF(artists!C:C, SPLIT(D59, "",""))) &gt; 0, ""RU"", 0)"),"RU")</f>
        <v>RU</v>
      </c>
      <c r="K59" s="39">
        <f ca="1">IFERROR(__xludf.DUMMYFUNCTION("IF(SUM(COUNTIF(artists!E:E, SPLIT(D59, "",""))) &gt; 0, ""OTHER"", 0)"),0)</f>
        <v>0</v>
      </c>
    </row>
    <row r="60" spans="1:11" ht="14.25" customHeight="1">
      <c r="A60" s="21">
        <v>59</v>
      </c>
      <c r="B60" s="21">
        <v>67</v>
      </c>
      <c r="C60" s="21" t="s">
        <v>1375</v>
      </c>
      <c r="D60" s="21" t="s">
        <v>907</v>
      </c>
      <c r="E60" s="21">
        <v>2</v>
      </c>
      <c r="F60" s="21">
        <v>237699</v>
      </c>
      <c r="G60" s="42">
        <v>0.17699999999999999</v>
      </c>
      <c r="H60" s="21" t="s">
        <v>1376</v>
      </c>
      <c r="I60" s="39">
        <f ca="1">IFERROR(__xludf.DUMMYFUNCTION("IF(SUM(COUNTIF(artists!A:A, SPLIT(D60, "",""))) &gt; 0, ""UA"", 0)"),0)</f>
        <v>0</v>
      </c>
      <c r="J60" s="40" t="str">
        <f ca="1">IFERROR(__xludf.DUMMYFUNCTION("IF(SUM(COUNTIF(artists!C:C, SPLIT(D60, "",""))) &gt; 0, ""RU"", 0)"),"RU")</f>
        <v>RU</v>
      </c>
      <c r="K60" s="39">
        <f ca="1">IFERROR(__xludf.DUMMYFUNCTION("IF(SUM(COUNTIF(artists!E:E, SPLIT(D60, "",""))) &gt; 0, ""OTHER"", 0)"),0)</f>
        <v>0</v>
      </c>
    </row>
    <row r="61" spans="1:11" ht="14.25" customHeight="1">
      <c r="A61" s="21">
        <v>60</v>
      </c>
      <c r="B61" s="21">
        <v>49</v>
      </c>
      <c r="C61" s="21" t="s">
        <v>1343</v>
      </c>
      <c r="D61" s="21" t="s">
        <v>1344</v>
      </c>
      <c r="E61" s="21">
        <v>4</v>
      </c>
      <c r="F61" s="21">
        <v>236062</v>
      </c>
      <c r="G61" s="43">
        <v>-0.12</v>
      </c>
      <c r="H61" s="21" t="s">
        <v>1345</v>
      </c>
      <c r="I61" s="39" t="str">
        <f ca="1">IFERROR(__xludf.DUMMYFUNCTION("IF(SUM(COUNTIF(artists!A:A, SPLIT(D61, "",""))) &gt; 0, ""UA"", 0)"),"UA")</f>
        <v>UA</v>
      </c>
      <c r="J61" s="40">
        <f ca="1">IFERROR(__xludf.DUMMYFUNCTION("IF(SUM(COUNTIF(artists!C:C, SPLIT(D61, "",""))) &gt; 0, ""RU"", 0)"),0)</f>
        <v>0</v>
      </c>
      <c r="K61" s="39">
        <f ca="1">IFERROR(__xludf.DUMMYFUNCTION("IF(SUM(COUNTIF(artists!E:E, SPLIT(D61, "",""))) &gt; 0, ""OTHER"", 0)"),0)</f>
        <v>0</v>
      </c>
    </row>
    <row r="62" spans="1:11" ht="14.25" customHeight="1">
      <c r="A62" s="21">
        <v>61</v>
      </c>
      <c r="B62" s="21">
        <v>61</v>
      </c>
      <c r="C62" s="21" t="s">
        <v>636</v>
      </c>
      <c r="D62" s="21" t="s">
        <v>637</v>
      </c>
      <c r="E62" s="21">
        <v>10</v>
      </c>
      <c r="F62" s="21">
        <v>235432</v>
      </c>
      <c r="G62" s="42">
        <v>3.9E-2</v>
      </c>
      <c r="H62" s="21" t="s">
        <v>638</v>
      </c>
      <c r="I62" s="39">
        <f ca="1">IFERROR(__xludf.DUMMYFUNCTION("IF(SUM(COUNTIF(artists!A:A, SPLIT(D62, "",""))) &gt; 0, ""UA"", 0)"),0)</f>
        <v>0</v>
      </c>
      <c r="J62" s="40">
        <f ca="1">IFERROR(__xludf.DUMMYFUNCTION("IF(SUM(COUNTIF(artists!C:C, SPLIT(D62, "",""))) &gt; 0, ""RU"", 0)"),0)</f>
        <v>0</v>
      </c>
      <c r="K62" s="39" t="str">
        <f ca="1">IFERROR(__xludf.DUMMYFUNCTION("IF(SUM(COUNTIF(artists!E:E, SPLIT(D62, "",""))) &gt; 0, ""OTHER"", 0)"),"OTHER")</f>
        <v>OTHER</v>
      </c>
    </row>
    <row r="63" spans="1:11" ht="14.25" customHeight="1">
      <c r="A63" s="21">
        <v>62</v>
      </c>
      <c r="B63" s="21">
        <v>54</v>
      </c>
      <c r="C63" s="21" t="s">
        <v>1290</v>
      </c>
      <c r="D63" s="21" t="s">
        <v>942</v>
      </c>
      <c r="E63" s="21">
        <v>13</v>
      </c>
      <c r="F63" s="21">
        <v>230349</v>
      </c>
      <c r="G63" s="42">
        <v>-0.106</v>
      </c>
      <c r="H63" s="21" t="s">
        <v>1291</v>
      </c>
      <c r="I63" s="39" t="str">
        <f ca="1">IFERROR(__xludf.DUMMYFUNCTION("IF(SUM(COUNTIF(artists!A:A, SPLIT(D63, "",""))) &gt; 0, ""UA"", 0)"),"UA")</f>
        <v>UA</v>
      </c>
      <c r="J63" s="40">
        <f ca="1">IFERROR(__xludf.DUMMYFUNCTION("IF(SUM(COUNTIF(artists!C:C, SPLIT(D63, "",""))) &gt; 0, ""RU"", 0)"),0)</f>
        <v>0</v>
      </c>
      <c r="K63" s="39">
        <f ca="1">IFERROR(__xludf.DUMMYFUNCTION("IF(SUM(COUNTIF(artists!E:E, SPLIT(D63, "",""))) &gt; 0, ""OTHER"", 0)"),0)</f>
        <v>0</v>
      </c>
    </row>
    <row r="64" spans="1:11" ht="14.25" customHeight="1">
      <c r="A64" s="21">
        <v>63</v>
      </c>
      <c r="B64" s="21">
        <v>51</v>
      </c>
      <c r="C64" s="21" t="s">
        <v>1318</v>
      </c>
      <c r="D64" s="21" t="s">
        <v>1319</v>
      </c>
      <c r="E64" s="21">
        <v>6</v>
      </c>
      <c r="F64" s="21">
        <v>229522</v>
      </c>
      <c r="G64" s="42">
        <v>-0.129</v>
      </c>
      <c r="H64" s="21" t="s">
        <v>1320</v>
      </c>
      <c r="I64" s="39">
        <f ca="1">IFERROR(__xludf.DUMMYFUNCTION("IF(SUM(COUNTIF(artists!A:A, SPLIT(D64, "",""))) &gt; 0, ""UA"", 0)"),0)</f>
        <v>0</v>
      </c>
      <c r="J64" s="40" t="str">
        <f ca="1">IFERROR(__xludf.DUMMYFUNCTION("IF(SUM(COUNTIF(artists!C:C, SPLIT(D64, "",""))) &gt; 0, ""RU"", 0)"),"RU")</f>
        <v>RU</v>
      </c>
      <c r="K64" s="39">
        <f ca="1">IFERROR(__xludf.DUMMYFUNCTION("IF(SUM(COUNTIF(artists!E:E, SPLIT(D64, "",""))) &gt; 0, ""OTHER"", 0)"),0)</f>
        <v>0</v>
      </c>
    </row>
    <row r="65" spans="1:11" ht="14.25" customHeight="1">
      <c r="A65" s="21">
        <v>64</v>
      </c>
      <c r="C65" s="21" t="s">
        <v>1236</v>
      </c>
      <c r="D65" s="21" t="s">
        <v>1237</v>
      </c>
      <c r="E65" s="21">
        <v>1</v>
      </c>
      <c r="F65" s="21">
        <v>225381</v>
      </c>
      <c r="H65" s="21" t="s">
        <v>1238</v>
      </c>
      <c r="I65" s="39">
        <f ca="1">IFERROR(__xludf.DUMMYFUNCTION("IF(SUM(COUNTIF(artists!A:A, SPLIT(D65, "",""))) &gt; 0, ""UA"", 0)"),0)</f>
        <v>0</v>
      </c>
      <c r="J65" s="40" t="str">
        <f ca="1">IFERROR(__xludf.DUMMYFUNCTION("IF(SUM(COUNTIF(artists!C:C, SPLIT(D65, "",""))) &gt; 0, ""RU"", 0)"),"RU")</f>
        <v>RU</v>
      </c>
      <c r="K65" s="39">
        <f ca="1">IFERROR(__xludf.DUMMYFUNCTION("IF(SUM(COUNTIF(artists!E:E, SPLIT(D65, "",""))) &gt; 0, ""OTHER"", 0)"),0)</f>
        <v>0</v>
      </c>
    </row>
    <row r="66" spans="1:11" ht="14.25" customHeight="1">
      <c r="A66" s="21">
        <v>65</v>
      </c>
      <c r="C66" s="21" t="s">
        <v>1323</v>
      </c>
      <c r="D66" s="21" t="s">
        <v>230</v>
      </c>
      <c r="E66" s="21">
        <v>1</v>
      </c>
      <c r="F66" s="21">
        <v>223013</v>
      </c>
      <c r="H66" s="21" t="s">
        <v>1324</v>
      </c>
      <c r="I66" s="39" t="str">
        <f ca="1">IFERROR(__xludf.DUMMYFUNCTION("IF(SUM(COUNTIF(artists!A:A, SPLIT(D66, "",""))) &gt; 0, ""UA"", 0)"),"UA")</f>
        <v>UA</v>
      </c>
      <c r="J66" s="40">
        <f ca="1">IFERROR(__xludf.DUMMYFUNCTION("IF(SUM(COUNTIF(artists!C:C, SPLIT(D66, "",""))) &gt; 0, ""RU"", 0)"),0)</f>
        <v>0</v>
      </c>
      <c r="K66" s="39">
        <f ca="1">IFERROR(__xludf.DUMMYFUNCTION("IF(SUM(COUNTIF(artists!E:E, SPLIT(D66, "",""))) &gt; 0, ""OTHER"", 0)"),0)</f>
        <v>0</v>
      </c>
    </row>
    <row r="67" spans="1:11" ht="14.25" customHeight="1">
      <c r="A67" s="21">
        <v>66</v>
      </c>
      <c r="B67" s="21">
        <v>58</v>
      </c>
      <c r="C67" s="21" t="s">
        <v>1522</v>
      </c>
      <c r="D67" s="21" t="s">
        <v>1025</v>
      </c>
      <c r="E67" s="21">
        <v>2</v>
      </c>
      <c r="F67" s="21">
        <v>221342</v>
      </c>
      <c r="G67" s="42">
        <v>-9.7000000000000003E-2</v>
      </c>
      <c r="H67" s="21" t="s">
        <v>1523</v>
      </c>
      <c r="I67" s="39" t="str">
        <f ca="1">IFERROR(__xludf.DUMMYFUNCTION("IF(SUM(COUNTIF(artists!A:A, SPLIT(D67, "",""))) &gt; 0, ""UA"", 0)"),"UA")</f>
        <v>UA</v>
      </c>
      <c r="J67" s="40">
        <f ca="1">IFERROR(__xludf.DUMMYFUNCTION("IF(SUM(COUNTIF(artists!C:C, SPLIT(D67, "",""))) &gt; 0, ""RU"", 0)"),0)</f>
        <v>0</v>
      </c>
      <c r="K67" s="39">
        <f ca="1">IFERROR(__xludf.DUMMYFUNCTION("IF(SUM(COUNTIF(artists!E:E, SPLIT(D67, "",""))) &gt; 0, ""OTHER"", 0)"),0)</f>
        <v>0</v>
      </c>
    </row>
    <row r="68" spans="1:11" ht="14.25" customHeight="1">
      <c r="A68" s="21">
        <v>67</v>
      </c>
      <c r="B68" s="21">
        <v>60</v>
      </c>
      <c r="C68" s="21" t="s">
        <v>1298</v>
      </c>
      <c r="D68" s="21" t="s">
        <v>226</v>
      </c>
      <c r="E68" s="21">
        <v>15</v>
      </c>
      <c r="F68" s="21">
        <v>215025</v>
      </c>
      <c r="G68" s="42">
        <v>-7.3999999999999996E-2</v>
      </c>
      <c r="H68" s="21" t="s">
        <v>1299</v>
      </c>
      <c r="I68" s="39" t="str">
        <f ca="1">IFERROR(__xludf.DUMMYFUNCTION("IF(SUM(COUNTIF(artists!A:A, SPLIT(D68, "",""))) &gt; 0, ""UA"", 0)"),"UA")</f>
        <v>UA</v>
      </c>
      <c r="J68" s="40">
        <f ca="1">IFERROR(__xludf.DUMMYFUNCTION("IF(SUM(COUNTIF(artists!C:C, SPLIT(D68, "",""))) &gt; 0, ""RU"", 0)"),0)</f>
        <v>0</v>
      </c>
      <c r="K68" s="39">
        <f ca="1">IFERROR(__xludf.DUMMYFUNCTION("IF(SUM(COUNTIF(artists!E:E, SPLIT(D68, "",""))) &gt; 0, ""OTHER"", 0)"),0)</f>
        <v>0</v>
      </c>
    </row>
    <row r="69" spans="1:11" ht="14.25" customHeight="1">
      <c r="A69" s="21">
        <v>68</v>
      </c>
      <c r="C69" s="21" t="s">
        <v>1524</v>
      </c>
      <c r="D69" s="21" t="s">
        <v>1525</v>
      </c>
      <c r="E69" s="21">
        <v>24</v>
      </c>
      <c r="F69" s="21">
        <v>206526</v>
      </c>
      <c r="H69" s="21" t="s">
        <v>1526</v>
      </c>
      <c r="I69" s="39" t="str">
        <f ca="1">IFERROR(__xludf.DUMMYFUNCTION("IF(SUM(COUNTIF(artists!A:A, SPLIT(D69, "",""))) &gt; 0, ""UA"", 0)"),"UA")</f>
        <v>UA</v>
      </c>
      <c r="J69" s="40">
        <f ca="1">IFERROR(__xludf.DUMMYFUNCTION("IF(SUM(COUNTIF(artists!C:C, SPLIT(D69, "",""))) &gt; 0, ""RU"", 0)"),0)</f>
        <v>0</v>
      </c>
      <c r="K69" s="39">
        <f ca="1">IFERROR(__xludf.DUMMYFUNCTION("IF(SUM(COUNTIF(artists!E:E, SPLIT(D69, "",""))) &gt; 0, ""OTHER"", 0)"),0)</f>
        <v>0</v>
      </c>
    </row>
    <row r="70" spans="1:11" ht="14.25" customHeight="1">
      <c r="A70" s="21">
        <v>69</v>
      </c>
      <c r="C70" s="21" t="s">
        <v>516</v>
      </c>
      <c r="D70" s="21" t="s">
        <v>517</v>
      </c>
      <c r="E70" s="21">
        <v>7</v>
      </c>
      <c r="F70" s="21">
        <v>202707</v>
      </c>
      <c r="H70" s="21" t="s">
        <v>518</v>
      </c>
      <c r="I70" s="39">
        <f ca="1">IFERROR(__xludf.DUMMYFUNCTION("IF(SUM(COUNTIF(artists!A:A, SPLIT(D70, "",""))) &gt; 0, ""UA"", 0)"),0)</f>
        <v>0</v>
      </c>
      <c r="J70" s="40">
        <f ca="1">IFERROR(__xludf.DUMMYFUNCTION("IF(SUM(COUNTIF(artists!C:C, SPLIT(D70, "",""))) &gt; 0, ""RU"", 0)"),0)</f>
        <v>0</v>
      </c>
      <c r="K70" s="39" t="str">
        <f ca="1">IFERROR(__xludf.DUMMYFUNCTION("IF(SUM(COUNTIF(artists!E:E, SPLIT(D70, "",""))) &gt; 0, ""OTHER"", 0)"),"OTHER")</f>
        <v>OTHER</v>
      </c>
    </row>
    <row r="71" spans="1:11" ht="14.25" customHeight="1">
      <c r="A71" s="21">
        <v>70</v>
      </c>
      <c r="B71" s="21">
        <v>63</v>
      </c>
      <c r="C71" s="21" t="s">
        <v>470</v>
      </c>
      <c r="D71" s="21" t="s">
        <v>81</v>
      </c>
      <c r="E71" s="21">
        <v>18</v>
      </c>
      <c r="F71" s="21">
        <v>201145</v>
      </c>
      <c r="G71" s="42">
        <v>-6.3E-2</v>
      </c>
      <c r="H71" s="21" t="s">
        <v>472</v>
      </c>
      <c r="I71" s="39" t="str">
        <f ca="1">IFERROR(__xludf.DUMMYFUNCTION("IF(SUM(COUNTIF(artists!A:A, SPLIT(D71, "",""))) &gt; 0, ""UA"", 0)"),"UA")</f>
        <v>UA</v>
      </c>
      <c r="J71" s="40">
        <f ca="1">IFERROR(__xludf.DUMMYFUNCTION("IF(SUM(COUNTIF(artists!C:C, SPLIT(D71, "",""))) &gt; 0, ""RU"", 0)"),0)</f>
        <v>0</v>
      </c>
      <c r="K71" s="39">
        <f ca="1">IFERROR(__xludf.DUMMYFUNCTION("IF(SUM(COUNTIF(artists!E:E, SPLIT(D71, "",""))) &gt; 0, ""OTHER"", 0)"),0)</f>
        <v>0</v>
      </c>
    </row>
    <row r="72" spans="1:11" ht="14.25" customHeight="1">
      <c r="A72" s="21">
        <v>71</v>
      </c>
      <c r="B72" s="21">
        <v>64</v>
      </c>
      <c r="C72" s="21" t="s">
        <v>1480</v>
      </c>
      <c r="D72" s="21" t="s">
        <v>1481</v>
      </c>
      <c r="E72" s="21">
        <v>14</v>
      </c>
      <c r="F72" s="21">
        <v>198517</v>
      </c>
      <c r="G72" s="42">
        <v>-7.4999999999999997E-2</v>
      </c>
      <c r="H72" s="21" t="s">
        <v>1482</v>
      </c>
      <c r="I72" s="39" t="str">
        <f ca="1">IFERROR(__xludf.DUMMYFUNCTION("IF(SUM(COUNTIF(artists!A:A, SPLIT(D72, "",""))) &gt; 0, ""UA"", 0)"),"UA")</f>
        <v>UA</v>
      </c>
      <c r="J72" s="40">
        <f ca="1">IFERROR(__xludf.DUMMYFUNCTION("IF(SUM(COUNTIF(artists!C:C, SPLIT(D72, "",""))) &gt; 0, ""RU"", 0)"),0)</f>
        <v>0</v>
      </c>
      <c r="K72" s="39">
        <f ca="1">IFERROR(__xludf.DUMMYFUNCTION("IF(SUM(COUNTIF(artists!E:E, SPLIT(D72, "",""))) &gt; 0, ""OTHER"", 0)"),0)</f>
        <v>0</v>
      </c>
    </row>
    <row r="73" spans="1:11" ht="14.25" customHeight="1">
      <c r="A73" s="21">
        <v>72</v>
      </c>
      <c r="B73" s="21">
        <v>62</v>
      </c>
      <c r="C73" s="21" t="s">
        <v>1471</v>
      </c>
      <c r="D73" s="21" t="s">
        <v>1472</v>
      </c>
      <c r="E73" s="21">
        <v>18</v>
      </c>
      <c r="F73" s="21">
        <v>197910</v>
      </c>
      <c r="G73" s="42">
        <v>-8.4000000000000005E-2</v>
      </c>
      <c r="H73" s="21" t="s">
        <v>1473</v>
      </c>
      <c r="I73" s="39" t="str">
        <f ca="1">IFERROR(__xludf.DUMMYFUNCTION("IF(SUM(COUNTIF(artists!A:A, SPLIT(D73, "",""))) &gt; 0, ""UA"", 0)"),"UA")</f>
        <v>UA</v>
      </c>
      <c r="J73" s="40">
        <f ca="1">IFERROR(__xludf.DUMMYFUNCTION("IF(SUM(COUNTIF(artists!C:C, SPLIT(D73, "",""))) &gt; 0, ""RU"", 0)"),0)</f>
        <v>0</v>
      </c>
      <c r="K73" s="39">
        <f ca="1">IFERROR(__xludf.DUMMYFUNCTION("IF(SUM(COUNTIF(artists!E:E, SPLIT(D73, "",""))) &gt; 0, ""OTHER"", 0)"),0)</f>
        <v>0</v>
      </c>
    </row>
    <row r="74" spans="1:11" ht="14.25" customHeight="1">
      <c r="A74" s="21">
        <v>73</v>
      </c>
      <c r="B74" s="21">
        <v>68</v>
      </c>
      <c r="C74" s="21" t="s">
        <v>1308</v>
      </c>
      <c r="D74" s="21" t="s">
        <v>1309</v>
      </c>
      <c r="E74" s="21">
        <v>4</v>
      </c>
      <c r="F74" s="21">
        <v>192428</v>
      </c>
      <c r="G74" s="42">
        <v>-1.9E-2</v>
      </c>
      <c r="H74" s="21" t="s">
        <v>1310</v>
      </c>
      <c r="I74" s="39" t="str">
        <f ca="1">IFERROR(__xludf.DUMMYFUNCTION("IF(SUM(COUNTIF(artists!A:A, SPLIT(D74, "",""))) &gt; 0, ""UA"", 0)"),"UA")</f>
        <v>UA</v>
      </c>
      <c r="J74" s="40">
        <f ca="1">IFERROR(__xludf.DUMMYFUNCTION("IF(SUM(COUNTIF(artists!C:C, SPLIT(D74, "",""))) &gt; 0, ""RU"", 0)"),0)</f>
        <v>0</v>
      </c>
      <c r="K74" s="39">
        <f ca="1">IFERROR(__xludf.DUMMYFUNCTION("IF(SUM(COUNTIF(artists!E:E, SPLIT(D74, "",""))) &gt; 0, ""OTHER"", 0)"),0)</f>
        <v>0</v>
      </c>
    </row>
    <row r="75" spans="1:11" ht="14.25" customHeight="1">
      <c r="A75" s="21">
        <v>74</v>
      </c>
      <c r="B75" s="21">
        <v>66</v>
      </c>
      <c r="C75" s="21" t="s">
        <v>1463</v>
      </c>
      <c r="D75" s="21" t="s">
        <v>1344</v>
      </c>
      <c r="E75" s="21">
        <v>17</v>
      </c>
      <c r="F75" s="21">
        <v>190995</v>
      </c>
      <c r="G75" s="42">
        <v>-8.4000000000000005E-2</v>
      </c>
      <c r="H75" s="21" t="s">
        <v>1464</v>
      </c>
      <c r="I75" s="39" t="str">
        <f ca="1">IFERROR(__xludf.DUMMYFUNCTION("IF(SUM(COUNTIF(artists!A:A, SPLIT(D75, "",""))) &gt; 0, ""UA"", 0)"),"UA")</f>
        <v>UA</v>
      </c>
      <c r="J75" s="40">
        <f ca="1">IFERROR(__xludf.DUMMYFUNCTION("IF(SUM(COUNTIF(artists!C:C, SPLIT(D75, "",""))) &gt; 0, ""RU"", 0)"),0)</f>
        <v>0</v>
      </c>
      <c r="K75" s="39">
        <f ca="1">IFERROR(__xludf.DUMMYFUNCTION("IF(SUM(COUNTIF(artists!E:E, SPLIT(D75, "",""))) &gt; 0, ""OTHER"", 0)"),0)</f>
        <v>0</v>
      </c>
    </row>
    <row r="76" spans="1:11" ht="14.25" customHeight="1">
      <c r="A76" s="21">
        <v>75</v>
      </c>
      <c r="B76" s="21">
        <v>65</v>
      </c>
      <c r="C76" s="21" t="s">
        <v>1477</v>
      </c>
      <c r="D76" s="21" t="s">
        <v>1478</v>
      </c>
      <c r="E76" s="21">
        <v>18</v>
      </c>
      <c r="F76" s="21">
        <v>190520</v>
      </c>
      <c r="G76" s="43">
        <v>-0.09</v>
      </c>
      <c r="H76" s="21" t="s">
        <v>1479</v>
      </c>
      <c r="I76" s="39" t="str">
        <f ca="1">IFERROR(__xludf.DUMMYFUNCTION("IF(SUM(COUNTIF(artists!A:A, SPLIT(D76, "",""))) &gt; 0, ""UA"", 0)"),"UA")</f>
        <v>UA</v>
      </c>
      <c r="J76" s="40">
        <f ca="1">IFERROR(__xludf.DUMMYFUNCTION("IF(SUM(COUNTIF(artists!C:C, SPLIT(D76, "",""))) &gt; 0, ""RU"", 0)"),0)</f>
        <v>0</v>
      </c>
      <c r="K76" s="39">
        <f ca="1">IFERROR(__xludf.DUMMYFUNCTION("IF(SUM(COUNTIF(artists!E:E, SPLIT(D76, "",""))) &gt; 0, ""OTHER"", 0)"),0)</f>
        <v>0</v>
      </c>
    </row>
    <row r="77" spans="1:11" ht="14.25" customHeight="1">
      <c r="A77" s="21">
        <v>76</v>
      </c>
      <c r="B77" s="21">
        <v>73</v>
      </c>
      <c r="C77" s="21" t="s">
        <v>1387</v>
      </c>
      <c r="D77" s="21" t="s">
        <v>1388</v>
      </c>
      <c r="E77" s="21">
        <v>13</v>
      </c>
      <c r="F77" s="21">
        <v>185502</v>
      </c>
      <c r="G77" s="43">
        <v>-0.02</v>
      </c>
      <c r="H77" s="21" t="s">
        <v>1389</v>
      </c>
      <c r="I77" s="39">
        <f ca="1">IFERROR(__xludf.DUMMYFUNCTION("IF(SUM(COUNTIF(artists!A:A, SPLIT(D77, "",""))) &gt; 0, ""UA"", 0)"),0)</f>
        <v>0</v>
      </c>
      <c r="J77" s="40">
        <f ca="1">IFERROR(__xludf.DUMMYFUNCTION("IF(SUM(COUNTIF(artists!C:C, SPLIT(D77, "",""))) &gt; 0, ""RU"", 0)"),0)</f>
        <v>0</v>
      </c>
      <c r="K77" s="39" t="str">
        <f ca="1">IFERROR(__xludf.DUMMYFUNCTION("IF(SUM(COUNTIF(artists!E:E, SPLIT(D77, "",""))) &gt; 0, ""OTHER"", 0)"),"OTHER")</f>
        <v>OTHER</v>
      </c>
    </row>
    <row r="78" spans="1:11" ht="14.25" customHeight="1">
      <c r="A78" s="21">
        <v>77</v>
      </c>
      <c r="C78" s="21" t="s">
        <v>1483</v>
      </c>
      <c r="D78" s="21" t="s">
        <v>972</v>
      </c>
      <c r="E78" s="21">
        <v>21</v>
      </c>
      <c r="F78" s="21">
        <v>184479</v>
      </c>
      <c r="H78" s="21" t="s">
        <v>1484</v>
      </c>
      <c r="I78" s="39">
        <f ca="1">IFERROR(__xludf.DUMMYFUNCTION("IF(SUM(COUNTIF(artists!A:A, SPLIT(D78, "",""))) &gt; 0, ""UA"", 0)"),0)</f>
        <v>0</v>
      </c>
      <c r="J78" s="40">
        <f ca="1">IFERROR(__xludf.DUMMYFUNCTION("IF(SUM(COUNTIF(artists!C:C, SPLIT(D78, "",""))) &gt; 0, ""RU"", 0)"),0)</f>
        <v>0</v>
      </c>
      <c r="K78" s="39" t="str">
        <f ca="1">IFERROR(__xludf.DUMMYFUNCTION("IF(SUM(COUNTIF(artists!E:E, SPLIT(D78, "",""))) &gt; 0, ""OTHER"", 0)"),"OTHER")</f>
        <v>OTHER</v>
      </c>
    </row>
    <row r="79" spans="1:11" ht="14.25" customHeight="1">
      <c r="A79" s="21">
        <v>78</v>
      </c>
      <c r="B79" s="21">
        <v>90</v>
      </c>
      <c r="C79" s="21" t="s">
        <v>748</v>
      </c>
      <c r="D79" s="21" t="s">
        <v>586</v>
      </c>
      <c r="E79" s="21">
        <v>18</v>
      </c>
      <c r="F79" s="21">
        <v>181236</v>
      </c>
      <c r="G79" s="42">
        <v>0.113</v>
      </c>
      <c r="H79" s="21" t="s">
        <v>749</v>
      </c>
      <c r="I79" s="39" t="str">
        <f ca="1">IFERROR(__xludf.DUMMYFUNCTION("IF(SUM(COUNTIF(artists!A:A, SPLIT(D79, "",""))) &gt; 0, ""UA"", 0)"),"UA")</f>
        <v>UA</v>
      </c>
      <c r="J79" s="40">
        <f ca="1">IFERROR(__xludf.DUMMYFUNCTION("IF(SUM(COUNTIF(artists!C:C, SPLIT(D79, "",""))) &gt; 0, ""RU"", 0)"),0)</f>
        <v>0</v>
      </c>
      <c r="K79" s="39">
        <f ca="1">IFERROR(__xludf.DUMMYFUNCTION("IF(SUM(COUNTIF(artists!E:E, SPLIT(D79, "",""))) &gt; 0, ""OTHER"", 0)"),0)</f>
        <v>0</v>
      </c>
    </row>
    <row r="80" spans="1:11" ht="14.25" customHeight="1">
      <c r="A80" s="21">
        <v>79</v>
      </c>
      <c r="B80" s="21">
        <v>75</v>
      </c>
      <c r="C80" s="21" t="s">
        <v>1508</v>
      </c>
      <c r="D80" s="21" t="s">
        <v>776</v>
      </c>
      <c r="E80" s="21">
        <v>13</v>
      </c>
      <c r="F80" s="21">
        <v>179852</v>
      </c>
      <c r="G80" s="42">
        <v>5.0000000000000001E-3</v>
      </c>
      <c r="H80" s="21" t="s">
        <v>1509</v>
      </c>
      <c r="I80" s="39" t="str">
        <f ca="1">IFERROR(__xludf.DUMMYFUNCTION("IF(SUM(COUNTIF(artists!A:A, SPLIT(D80, "",""))) &gt; 0, ""UA"", 0)"),"UA")</f>
        <v>UA</v>
      </c>
      <c r="J80" s="40">
        <f ca="1">IFERROR(__xludf.DUMMYFUNCTION("IF(SUM(COUNTIF(artists!C:C, SPLIT(D80, "",""))) &gt; 0, ""RU"", 0)"),0)</f>
        <v>0</v>
      </c>
      <c r="K80" s="39">
        <f ca="1">IFERROR(__xludf.DUMMYFUNCTION("IF(SUM(COUNTIF(artists!E:E, SPLIT(D80, "",""))) &gt; 0, ""OTHER"", 0)"),0)</f>
        <v>0</v>
      </c>
    </row>
    <row r="81" spans="1:11" ht="14.25" customHeight="1">
      <c r="A81" s="21">
        <v>80</v>
      </c>
      <c r="B81" s="21">
        <v>74</v>
      </c>
      <c r="C81" s="21" t="s">
        <v>1390</v>
      </c>
      <c r="D81" s="21" t="s">
        <v>259</v>
      </c>
      <c r="E81" s="21">
        <v>9</v>
      </c>
      <c r="F81" s="21">
        <v>176100</v>
      </c>
      <c r="G81" s="42">
        <v>-6.9000000000000006E-2</v>
      </c>
      <c r="H81" s="21" t="s">
        <v>1391</v>
      </c>
      <c r="I81" s="39" t="str">
        <f ca="1">IFERROR(__xludf.DUMMYFUNCTION("IF(SUM(COUNTIF(artists!A:A, SPLIT(D81, "",""))) &gt; 0, ""UA"", 0)"),"UA")</f>
        <v>UA</v>
      </c>
      <c r="J81" s="40">
        <f ca="1">IFERROR(__xludf.DUMMYFUNCTION("IF(SUM(COUNTIF(artists!C:C, SPLIT(D81, "",""))) &gt; 0, ""RU"", 0)"),0)</f>
        <v>0</v>
      </c>
      <c r="K81" s="39">
        <f ca="1">IFERROR(__xludf.DUMMYFUNCTION("IF(SUM(COUNTIF(artists!E:E, SPLIT(D81, "",""))) &gt; 0, ""OTHER"", 0)"),0)</f>
        <v>0</v>
      </c>
    </row>
    <row r="82" spans="1:11" ht="14.25" customHeight="1">
      <c r="A82" s="21">
        <v>81</v>
      </c>
      <c r="B82" s="21">
        <v>72</v>
      </c>
      <c r="C82" s="21" t="s">
        <v>597</v>
      </c>
      <c r="D82" s="21" t="s">
        <v>598</v>
      </c>
      <c r="E82" s="21">
        <v>14</v>
      </c>
      <c r="F82" s="21">
        <v>175536</v>
      </c>
      <c r="G82" s="42">
        <v>-7.8E-2</v>
      </c>
      <c r="H82" s="21" t="s">
        <v>600</v>
      </c>
      <c r="I82" s="39" t="str">
        <f ca="1">IFERROR(__xludf.DUMMYFUNCTION("IF(SUM(COUNTIF(artists!A:A, SPLIT(D82, "",""))) &gt; 0, ""UA"", 0)"),"UA")</f>
        <v>UA</v>
      </c>
      <c r="J82" s="40">
        <f ca="1">IFERROR(__xludf.DUMMYFUNCTION("IF(SUM(COUNTIF(artists!C:C, SPLIT(D82, "",""))) &gt; 0, ""RU"", 0)"),0)</f>
        <v>0</v>
      </c>
      <c r="K82" s="39">
        <f ca="1">IFERROR(__xludf.DUMMYFUNCTION("IF(SUM(COUNTIF(artists!E:E, SPLIT(D82, "",""))) &gt; 0, ""OTHER"", 0)"),0)</f>
        <v>0</v>
      </c>
    </row>
    <row r="83" spans="1:11" ht="14.25" customHeight="1">
      <c r="A83" s="21">
        <v>82</v>
      </c>
      <c r="B83" s="21">
        <v>88</v>
      </c>
      <c r="C83" s="21" t="s">
        <v>1416</v>
      </c>
      <c r="D83" s="21" t="s">
        <v>137</v>
      </c>
      <c r="E83" s="21">
        <v>14</v>
      </c>
      <c r="F83" s="21">
        <v>174558</v>
      </c>
      <c r="G83" s="42">
        <v>5.6000000000000001E-2</v>
      </c>
      <c r="H83" s="21" t="s">
        <v>1417</v>
      </c>
      <c r="I83" s="39" t="str">
        <f ca="1">IFERROR(__xludf.DUMMYFUNCTION("IF(SUM(COUNTIF(artists!A:A, SPLIT(D83, "",""))) &gt; 0, ""UA"", 0)"),"UA")</f>
        <v>UA</v>
      </c>
      <c r="J83" s="40">
        <f ca="1">IFERROR(__xludf.DUMMYFUNCTION("IF(SUM(COUNTIF(artists!C:C, SPLIT(D83, "",""))) &gt; 0, ""RU"", 0)"),0)</f>
        <v>0</v>
      </c>
      <c r="K83" s="39">
        <f ca="1">IFERROR(__xludf.DUMMYFUNCTION("IF(SUM(COUNTIF(artists!E:E, SPLIT(D83, "",""))) &gt; 0, ""OTHER"", 0)"),0)</f>
        <v>0</v>
      </c>
    </row>
    <row r="84" spans="1:11" ht="14.25" customHeight="1">
      <c r="A84" s="21">
        <v>83</v>
      </c>
      <c r="C84" s="21" t="s">
        <v>1527</v>
      </c>
      <c r="D84" s="21" t="s">
        <v>1528</v>
      </c>
      <c r="E84" s="21">
        <v>1</v>
      </c>
      <c r="F84" s="21">
        <v>173651</v>
      </c>
      <c r="H84" s="21" t="s">
        <v>1529</v>
      </c>
      <c r="I84" s="39">
        <f ca="1">IFERROR(__xludf.DUMMYFUNCTION("IF(SUM(COUNTIF(artists!A:A, SPLIT(D84, "",""))) &gt; 0, ""UA"", 0)"),0)</f>
        <v>0</v>
      </c>
      <c r="J84" s="40" t="str">
        <f ca="1">IFERROR(__xludf.DUMMYFUNCTION("IF(SUM(COUNTIF(artists!C:C, SPLIT(D84, "",""))) &gt; 0, ""RU"", 0)"),"RU")</f>
        <v>RU</v>
      </c>
      <c r="K84" s="39">
        <f ca="1">IFERROR(__xludf.DUMMYFUNCTION("IF(SUM(COUNTIF(artists!E:E, SPLIT(D84, "",""))) &gt; 0, ""OTHER"", 0)"),0)</f>
        <v>0</v>
      </c>
    </row>
    <row r="85" spans="1:11" ht="14.25" customHeight="1">
      <c r="A85" s="21">
        <v>84</v>
      </c>
      <c r="B85" s="21">
        <v>81</v>
      </c>
      <c r="C85" s="21" t="s">
        <v>489</v>
      </c>
      <c r="D85" s="21" t="s">
        <v>490</v>
      </c>
      <c r="E85" s="21">
        <v>17</v>
      </c>
      <c r="F85" s="21">
        <v>172490</v>
      </c>
      <c r="G85" s="42">
        <v>8.0000000000000002E-3</v>
      </c>
      <c r="H85" s="21" t="s">
        <v>491</v>
      </c>
      <c r="I85" s="39" t="str">
        <f ca="1">IFERROR(__xludf.DUMMYFUNCTION("IF(SUM(COUNTIF(artists!A:A, SPLIT(D85, "",""))) &gt; 0, ""UA"", 0)"),"UA")</f>
        <v>UA</v>
      </c>
      <c r="J85" s="40">
        <f ca="1">IFERROR(__xludf.DUMMYFUNCTION("IF(SUM(COUNTIF(artists!C:C, SPLIT(D85, "",""))) &gt; 0, ""RU"", 0)"),0)</f>
        <v>0</v>
      </c>
      <c r="K85" s="39">
        <f ca="1">IFERROR(__xludf.DUMMYFUNCTION("IF(SUM(COUNTIF(artists!E:E, SPLIT(D85, "",""))) &gt; 0, ""OTHER"", 0)"),0)</f>
        <v>0</v>
      </c>
    </row>
    <row r="86" spans="1:11" ht="14.25" customHeight="1">
      <c r="A86" s="21">
        <v>85</v>
      </c>
      <c r="B86" s="21">
        <v>80</v>
      </c>
      <c r="C86" s="21" t="s">
        <v>1007</v>
      </c>
      <c r="D86" s="21" t="s">
        <v>1008</v>
      </c>
      <c r="E86" s="21">
        <v>18</v>
      </c>
      <c r="F86" s="21">
        <v>172150</v>
      </c>
      <c r="G86" s="43">
        <v>0</v>
      </c>
      <c r="H86" s="21" t="s">
        <v>1009</v>
      </c>
      <c r="I86" s="39">
        <f ca="1">IFERROR(__xludf.DUMMYFUNCTION("IF(SUM(COUNTIF(artists!A:A, SPLIT(D86, "",""))) &gt; 0, ""UA"", 0)"),0)</f>
        <v>0</v>
      </c>
      <c r="J86" s="40" t="str">
        <f ca="1">IFERROR(__xludf.DUMMYFUNCTION("IF(SUM(COUNTIF(artists!C:C, SPLIT(D86, "",""))) &gt; 0, ""RU"", 0)"),"RU")</f>
        <v>RU</v>
      </c>
      <c r="K86" s="39">
        <f ca="1">IFERROR(__xludf.DUMMYFUNCTION("IF(SUM(COUNTIF(artists!E:E, SPLIT(D86, "",""))) &gt; 0, ""OTHER"", 0)"),0)</f>
        <v>0</v>
      </c>
    </row>
    <row r="87" spans="1:11" ht="14.25" customHeight="1">
      <c r="A87" s="21">
        <v>86</v>
      </c>
      <c r="B87" s="21">
        <v>82</v>
      </c>
      <c r="C87" s="21" t="s">
        <v>1530</v>
      </c>
      <c r="D87" s="21" t="s">
        <v>1531</v>
      </c>
      <c r="E87" s="21">
        <v>19</v>
      </c>
      <c r="F87" s="21">
        <v>168953</v>
      </c>
      <c r="G87" s="42">
        <v>-1.0999999999999999E-2</v>
      </c>
      <c r="H87" s="21" t="s">
        <v>1532</v>
      </c>
      <c r="I87" s="39">
        <f ca="1">IFERROR(__xludf.DUMMYFUNCTION("IF(SUM(COUNTIF(artists!A:A, SPLIT(D87, "",""))) &gt; 0, ""UA"", 0)"),0)</f>
        <v>0</v>
      </c>
      <c r="J87" s="40">
        <f ca="1">IFERROR(__xludf.DUMMYFUNCTION("IF(SUM(COUNTIF(artists!C:C, SPLIT(D87, "",""))) &gt; 0, ""RU"", 0)"),0)</f>
        <v>0</v>
      </c>
      <c r="K87" s="39" t="str">
        <f ca="1">IFERROR(__xludf.DUMMYFUNCTION("IF(SUM(COUNTIF(artists!E:E, SPLIT(D87, "",""))) &gt; 0, ""OTHER"", 0)"),"OTHER")</f>
        <v>OTHER</v>
      </c>
    </row>
    <row r="88" spans="1:11" ht="14.25" customHeight="1">
      <c r="A88" s="21">
        <v>87</v>
      </c>
      <c r="C88" s="21" t="s">
        <v>1533</v>
      </c>
      <c r="D88" s="21" t="s">
        <v>1534</v>
      </c>
      <c r="E88" s="21">
        <v>1</v>
      </c>
      <c r="F88" s="21">
        <v>168389</v>
      </c>
      <c r="H88" s="21" t="s">
        <v>1535</v>
      </c>
      <c r="I88" s="39">
        <f ca="1">IFERROR(__xludf.DUMMYFUNCTION("IF(SUM(COUNTIF(artists!A:A, SPLIT(D88, "",""))) &gt; 0, ""UA"", 0)"),0)</f>
        <v>0</v>
      </c>
      <c r="J88" s="40" t="str">
        <f ca="1">IFERROR(__xludf.DUMMYFUNCTION("IF(SUM(COUNTIF(artists!C:C, SPLIT(D88, "",""))) &gt; 0, ""RU"", 0)"),"RU")</f>
        <v>RU</v>
      </c>
      <c r="K88" s="39">
        <f ca="1">IFERROR(__xludf.DUMMYFUNCTION("IF(SUM(COUNTIF(artists!E:E, SPLIT(D88, "",""))) &gt; 0, ""OTHER"", 0)"),0)</f>
        <v>0</v>
      </c>
    </row>
    <row r="89" spans="1:11" ht="14.25" customHeight="1">
      <c r="A89" s="21">
        <v>88</v>
      </c>
      <c r="B89" s="21">
        <v>78</v>
      </c>
      <c r="C89" s="21" t="s">
        <v>1536</v>
      </c>
      <c r="D89" s="21" t="s">
        <v>1537</v>
      </c>
      <c r="E89" s="21">
        <v>10</v>
      </c>
      <c r="F89" s="21">
        <v>166423</v>
      </c>
      <c r="G89" s="42">
        <v>-3.9E-2</v>
      </c>
      <c r="H89" s="21" t="s">
        <v>1538</v>
      </c>
      <c r="I89" s="39" t="str">
        <f ca="1">IFERROR(__xludf.DUMMYFUNCTION("IF(SUM(COUNTIF(artists!A:A, SPLIT(D89, "",""))) &gt; 0, ""UA"", 0)"),"UA")</f>
        <v>UA</v>
      </c>
      <c r="J89" s="40">
        <f ca="1">IFERROR(__xludf.DUMMYFUNCTION("IF(SUM(COUNTIF(artists!C:C, SPLIT(D89, "",""))) &gt; 0, ""RU"", 0)"),0)</f>
        <v>0</v>
      </c>
      <c r="K89" s="39">
        <f ca="1">IFERROR(__xludf.DUMMYFUNCTION("IF(SUM(COUNTIF(artists!E:E, SPLIT(D89, "",""))) &gt; 0, ""OTHER"", 0)"),0)</f>
        <v>0</v>
      </c>
    </row>
    <row r="90" spans="1:11" ht="14.25" customHeight="1">
      <c r="A90" s="21">
        <v>89</v>
      </c>
      <c r="C90" s="21" t="s">
        <v>903</v>
      </c>
      <c r="D90" s="21" t="s">
        <v>904</v>
      </c>
      <c r="E90" s="21">
        <v>1</v>
      </c>
      <c r="F90" s="21">
        <v>162901</v>
      </c>
      <c r="H90" s="21" t="s">
        <v>905</v>
      </c>
      <c r="I90" s="39" t="str">
        <f ca="1">IFERROR(__xludf.DUMMYFUNCTION("IF(SUM(COUNTIF(artists!A:A, SPLIT(D90, "",""))) &gt; 0, ""UA"", 0)"),"UA")</f>
        <v>UA</v>
      </c>
      <c r="J90" s="40">
        <f ca="1">IFERROR(__xludf.DUMMYFUNCTION("IF(SUM(COUNTIF(artists!C:C, SPLIT(D90, "",""))) &gt; 0, ""RU"", 0)"),0)</f>
        <v>0</v>
      </c>
      <c r="K90" s="39">
        <f ca="1">IFERROR(__xludf.DUMMYFUNCTION("IF(SUM(COUNTIF(artists!E:E, SPLIT(D90, "",""))) &gt; 0, ""OTHER"", 0)"),0)</f>
        <v>0</v>
      </c>
    </row>
    <row r="91" spans="1:11" ht="14.25" customHeight="1">
      <c r="A91" s="21">
        <v>90</v>
      </c>
      <c r="C91" s="21" t="s">
        <v>1485</v>
      </c>
      <c r="D91" s="21" t="s">
        <v>907</v>
      </c>
      <c r="E91" s="21">
        <v>1</v>
      </c>
      <c r="F91" s="21">
        <v>161430</v>
      </c>
      <c r="H91" s="21" t="s">
        <v>1486</v>
      </c>
      <c r="I91" s="39">
        <f ca="1">IFERROR(__xludf.DUMMYFUNCTION("IF(SUM(COUNTIF(artists!A:A, SPLIT(D91, "",""))) &gt; 0, ""UA"", 0)"),0)</f>
        <v>0</v>
      </c>
      <c r="J91" s="40" t="str">
        <f ca="1">IFERROR(__xludf.DUMMYFUNCTION("IF(SUM(COUNTIF(artists!C:C, SPLIT(D91, "",""))) &gt; 0, ""RU"", 0)"),"RU")</f>
        <v>RU</v>
      </c>
      <c r="K91" s="39">
        <f ca="1">IFERROR(__xludf.DUMMYFUNCTION("IF(SUM(COUNTIF(artists!E:E, SPLIT(D91, "",""))) &gt; 0, ""OTHER"", 0)"),0)</f>
        <v>0</v>
      </c>
    </row>
    <row r="92" spans="1:11" ht="14.25" customHeight="1">
      <c r="A92" s="21">
        <v>91</v>
      </c>
      <c r="C92" s="21" t="s">
        <v>1539</v>
      </c>
      <c r="D92" s="21" t="s">
        <v>187</v>
      </c>
      <c r="E92" s="21">
        <v>1</v>
      </c>
      <c r="F92" s="21">
        <v>160374</v>
      </c>
      <c r="H92" s="21" t="s">
        <v>1540</v>
      </c>
      <c r="I92" s="39" t="str">
        <f ca="1">IFERROR(__xludf.DUMMYFUNCTION("IF(SUM(COUNTIF(artists!A:A, SPLIT(D92, "",""))) &gt; 0, ""UA"", 0)"),"UA")</f>
        <v>UA</v>
      </c>
      <c r="J92" s="40">
        <f ca="1">IFERROR(__xludf.DUMMYFUNCTION("IF(SUM(COUNTIF(artists!C:C, SPLIT(D92, "",""))) &gt; 0, ""RU"", 0)"),0)</f>
        <v>0</v>
      </c>
      <c r="K92" s="39">
        <f ca="1">IFERROR(__xludf.DUMMYFUNCTION("IF(SUM(COUNTIF(artists!E:E, SPLIT(D92, "",""))) &gt; 0, ""OTHER"", 0)"),0)</f>
        <v>0</v>
      </c>
    </row>
    <row r="93" spans="1:11" ht="14.25" customHeight="1">
      <c r="A93" s="21">
        <v>92</v>
      </c>
      <c r="B93" s="21">
        <v>77</v>
      </c>
      <c r="C93" s="21" t="s">
        <v>1385</v>
      </c>
      <c r="D93" s="21" t="s">
        <v>896</v>
      </c>
      <c r="E93" s="21">
        <v>6</v>
      </c>
      <c r="F93" s="21">
        <v>160187</v>
      </c>
      <c r="G93" s="42">
        <v>-9.8000000000000004E-2</v>
      </c>
      <c r="H93" s="21" t="s">
        <v>1386</v>
      </c>
      <c r="I93" s="39" t="str">
        <f ca="1">IFERROR(__xludf.DUMMYFUNCTION("IF(SUM(COUNTIF(artists!A:A, SPLIT(D93, "",""))) &gt; 0, ""UA"", 0)"),"UA")</f>
        <v>UA</v>
      </c>
      <c r="J93" s="40">
        <f ca="1">IFERROR(__xludf.DUMMYFUNCTION("IF(SUM(COUNTIF(artists!C:C, SPLIT(D93, "",""))) &gt; 0, ""RU"", 0)"),0)</f>
        <v>0</v>
      </c>
      <c r="K93" s="39">
        <f ca="1">IFERROR(__xludf.DUMMYFUNCTION("IF(SUM(COUNTIF(artists!E:E, SPLIT(D93, "",""))) &gt; 0, ""OTHER"", 0)"),0)</f>
        <v>0</v>
      </c>
    </row>
    <row r="94" spans="1:11" ht="14.25" customHeight="1">
      <c r="A94" s="21">
        <v>93</v>
      </c>
      <c r="C94" s="21" t="s">
        <v>1541</v>
      </c>
      <c r="D94" s="21" t="s">
        <v>1542</v>
      </c>
      <c r="E94" s="21">
        <v>1</v>
      </c>
      <c r="F94" s="21">
        <v>160174</v>
      </c>
      <c r="H94" s="21" t="s">
        <v>1543</v>
      </c>
      <c r="I94" s="39">
        <f ca="1">IFERROR(__xludf.DUMMYFUNCTION("IF(SUM(COUNTIF(artists!A:A, SPLIT(D94, "",""))) &gt; 0, ""UA"", 0)"),0)</f>
        <v>0</v>
      </c>
      <c r="J94" s="40">
        <f ca="1">IFERROR(__xludf.DUMMYFUNCTION("IF(SUM(COUNTIF(artists!C:C, SPLIT(D94, "",""))) &gt; 0, ""RU"", 0)"),0)</f>
        <v>0</v>
      </c>
      <c r="K94" s="39" t="str">
        <f ca="1">IFERROR(__xludf.DUMMYFUNCTION("IF(SUM(COUNTIF(artists!E:E, SPLIT(D94, "",""))) &gt; 0, ""OTHER"", 0)"),"OTHER")</f>
        <v>OTHER</v>
      </c>
    </row>
    <row r="95" spans="1:11" ht="14.25" customHeight="1">
      <c r="A95" s="21">
        <v>94</v>
      </c>
      <c r="B95" s="21">
        <v>95</v>
      </c>
      <c r="C95" s="21" t="s">
        <v>1544</v>
      </c>
      <c r="D95" s="21" t="s">
        <v>1411</v>
      </c>
      <c r="E95" s="21">
        <v>2</v>
      </c>
      <c r="F95" s="21">
        <v>159867</v>
      </c>
      <c r="G95" s="42">
        <v>3.7999999999999999E-2</v>
      </c>
      <c r="H95" s="21" t="s">
        <v>1545</v>
      </c>
      <c r="I95" s="39">
        <f ca="1">IFERROR(__xludf.DUMMYFUNCTION("IF(SUM(COUNTIF(artists!A:A, SPLIT(D95, "",""))) &gt; 0, ""UA"", 0)"),0)</f>
        <v>0</v>
      </c>
      <c r="J95" s="40" t="str">
        <f ca="1">IFERROR(__xludf.DUMMYFUNCTION("IF(SUM(COUNTIF(artists!C:C, SPLIT(D95, "",""))) &gt; 0, ""RU"", 0)"),"RU")</f>
        <v>RU</v>
      </c>
      <c r="K95" s="39">
        <f ca="1">IFERROR(__xludf.DUMMYFUNCTION("IF(SUM(COUNTIF(artists!E:E, SPLIT(D95, "",""))) &gt; 0, ""OTHER"", 0)"),0)</f>
        <v>0</v>
      </c>
    </row>
    <row r="96" spans="1:11" ht="14.25" customHeight="1">
      <c r="A96" s="21">
        <v>95</v>
      </c>
      <c r="C96" s="21" t="s">
        <v>1546</v>
      </c>
      <c r="D96" s="21" t="s">
        <v>1429</v>
      </c>
      <c r="E96" s="21">
        <v>11</v>
      </c>
      <c r="F96" s="21">
        <v>159733</v>
      </c>
      <c r="H96" s="21" t="s">
        <v>1547</v>
      </c>
      <c r="I96" s="39" t="str">
        <f ca="1">IFERROR(__xludf.DUMMYFUNCTION("IF(SUM(COUNTIF(artists!A:A, SPLIT(D96, "",""))) &gt; 0, ""UA"", 0)"),"UA")</f>
        <v>UA</v>
      </c>
      <c r="J96" s="40">
        <f ca="1">IFERROR(__xludf.DUMMYFUNCTION("IF(SUM(COUNTIF(artists!C:C, SPLIT(D96, "",""))) &gt; 0, ""RU"", 0)"),0)</f>
        <v>0</v>
      </c>
      <c r="K96" s="39">
        <f ca="1">IFERROR(__xludf.DUMMYFUNCTION("IF(SUM(COUNTIF(artists!E:E, SPLIT(D96, "",""))) &gt; 0, ""OTHER"", 0)"),0)</f>
        <v>0</v>
      </c>
    </row>
    <row r="97" spans="1:11" ht="14.25" customHeight="1">
      <c r="A97" s="21">
        <v>96</v>
      </c>
      <c r="C97" s="21" t="s">
        <v>1510</v>
      </c>
      <c r="D97" s="21" t="s">
        <v>1511</v>
      </c>
      <c r="E97" s="21">
        <v>1</v>
      </c>
      <c r="F97" s="21">
        <v>158042</v>
      </c>
      <c r="H97" s="21" t="s">
        <v>1512</v>
      </c>
      <c r="I97" s="39">
        <f ca="1">IFERROR(__xludf.DUMMYFUNCTION("IF(SUM(COUNTIF(artists!A:A, SPLIT(D97, "",""))) &gt; 0, ""UA"", 0)"),0)</f>
        <v>0</v>
      </c>
      <c r="J97" s="40" t="str">
        <f ca="1">IFERROR(__xludf.DUMMYFUNCTION("IF(SUM(COUNTIF(artists!C:C, SPLIT(D97, "",""))) &gt; 0, ""RU"", 0)"),"RU")</f>
        <v>RU</v>
      </c>
      <c r="K97" s="39">
        <f ca="1">IFERROR(__xludf.DUMMYFUNCTION("IF(SUM(COUNTIF(artists!E:E, SPLIT(D97, "",""))) &gt; 0, ""OTHER"", 0)"),0)</f>
        <v>0</v>
      </c>
    </row>
    <row r="98" spans="1:11" ht="14.25" customHeight="1">
      <c r="A98" s="21">
        <v>97</v>
      </c>
      <c r="C98" s="21" t="s">
        <v>1548</v>
      </c>
      <c r="D98" s="21" t="s">
        <v>1549</v>
      </c>
      <c r="E98" s="21">
        <v>1</v>
      </c>
      <c r="F98" s="21">
        <v>157249</v>
      </c>
      <c r="H98" s="21" t="s">
        <v>1550</v>
      </c>
      <c r="I98" s="39">
        <f ca="1">IFERROR(__xludf.DUMMYFUNCTION("IF(SUM(COUNTIF(artists!A:A, SPLIT(D98, "",""))) &gt; 0, ""UA"", 0)"),0)</f>
        <v>0</v>
      </c>
      <c r="J98" s="40" t="str">
        <f ca="1">IFERROR(__xludf.DUMMYFUNCTION("IF(SUM(COUNTIF(artists!C:C, SPLIT(D98, "",""))) &gt; 0, ""RU"", 0)"),"RU")</f>
        <v>RU</v>
      </c>
      <c r="K98" s="39">
        <f ca="1">IFERROR(__xludf.DUMMYFUNCTION("IF(SUM(COUNTIF(artists!E:E, SPLIT(D98, "",""))) &gt; 0, ""OTHER"", 0)"),0)</f>
        <v>0</v>
      </c>
    </row>
    <row r="99" spans="1:11" ht="14.25" customHeight="1">
      <c r="A99" s="21">
        <v>98</v>
      </c>
      <c r="B99" s="21">
        <v>79</v>
      </c>
      <c r="C99" s="21" t="s">
        <v>1494</v>
      </c>
      <c r="D99" s="21" t="s">
        <v>125</v>
      </c>
      <c r="E99" s="21">
        <v>2</v>
      </c>
      <c r="F99" s="21">
        <v>157113</v>
      </c>
      <c r="G99" s="42">
        <v>-9.1999999999999998E-2</v>
      </c>
      <c r="H99" s="21" t="s">
        <v>1495</v>
      </c>
      <c r="I99" s="39">
        <f ca="1">IFERROR(__xludf.DUMMYFUNCTION("IF(SUM(COUNTIF(artists!A:A, SPLIT(D99, "",""))) &gt; 0, ""UA"", 0)"),0)</f>
        <v>0</v>
      </c>
      <c r="J99" s="40" t="str">
        <f ca="1">IFERROR(__xludf.DUMMYFUNCTION("IF(SUM(COUNTIF(artists!C:C, SPLIT(D99, "",""))) &gt; 0, ""RU"", 0)"),"RU")</f>
        <v>RU</v>
      </c>
      <c r="K99" s="39">
        <f ca="1">IFERROR(__xludf.DUMMYFUNCTION("IF(SUM(COUNTIF(artists!E:E, SPLIT(D99, "",""))) &gt; 0, ""OTHER"", 0)"),0)</f>
        <v>0</v>
      </c>
    </row>
    <row r="100" spans="1:11" ht="14.25" customHeight="1">
      <c r="A100" s="21">
        <v>99</v>
      </c>
      <c r="B100" s="21">
        <v>84</v>
      </c>
      <c r="C100" s="21" t="s">
        <v>1551</v>
      </c>
      <c r="D100" s="21" t="s">
        <v>1344</v>
      </c>
      <c r="E100" s="21">
        <v>10</v>
      </c>
      <c r="F100" s="21">
        <v>156493</v>
      </c>
      <c r="G100" s="42">
        <v>-7.8E-2</v>
      </c>
      <c r="H100" s="21" t="s">
        <v>1552</v>
      </c>
      <c r="I100" s="39" t="str">
        <f ca="1">IFERROR(__xludf.DUMMYFUNCTION("IF(SUM(COUNTIF(artists!A:A, SPLIT(D100, "",""))) &gt; 0, ""UA"", 0)"),"UA")</f>
        <v>UA</v>
      </c>
      <c r="J100" s="40">
        <f ca="1">IFERROR(__xludf.DUMMYFUNCTION("IF(SUM(COUNTIF(artists!C:C, SPLIT(D100, "",""))) &gt; 0, ""RU"", 0)"),0)</f>
        <v>0</v>
      </c>
      <c r="K100" s="39">
        <f ca="1">IFERROR(__xludf.DUMMYFUNCTION("IF(SUM(COUNTIF(artists!E:E, SPLIT(D100, "",""))) &gt; 0, ""OTHER"", 0)"),0)</f>
        <v>0</v>
      </c>
    </row>
    <row r="101" spans="1:11" ht="14.25" customHeight="1">
      <c r="A101" s="21">
        <v>100</v>
      </c>
      <c r="B101" s="21">
        <v>100</v>
      </c>
      <c r="C101" s="21" t="s">
        <v>1133</v>
      </c>
      <c r="D101" s="21" t="s">
        <v>89</v>
      </c>
      <c r="E101" s="21">
        <v>3</v>
      </c>
      <c r="F101" s="21">
        <v>155857</v>
      </c>
      <c r="G101" s="42">
        <v>5.5E-2</v>
      </c>
      <c r="H101" s="21" t="s">
        <v>1134</v>
      </c>
      <c r="I101" s="39" t="str">
        <f ca="1">IFERROR(__xludf.DUMMYFUNCTION("IF(SUM(COUNTIF(artists!A:A, SPLIT(D101, "",""))) &gt; 0, ""UA"", 0)"),"UA")</f>
        <v>UA</v>
      </c>
      <c r="J101" s="40">
        <f ca="1">IFERROR(__xludf.DUMMYFUNCTION("IF(SUM(COUNTIF(artists!C:C, SPLIT(D101, "",""))) &gt; 0, ""RU"", 0)"),0)</f>
        <v>0</v>
      </c>
      <c r="K101" s="39">
        <f ca="1">IFERROR(__xludf.DUMMYFUNCTION("IF(SUM(COUNTIF(artists!E:E, SPLIT(D101, "",""))) &gt; 0, ""OTHER"", 0)"),0)</f>
        <v>0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53" priority="1">
      <formula>AND($I2=0, $J2=0, $K2=0)</formula>
    </cfRule>
    <cfRule type="expression" dxfId="52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Аркуш37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4" width="8.6640625" customWidth="1"/>
    <col min="5" max="5" width="8.6640625" hidden="1" customWidth="1"/>
    <col min="6" max="6" width="8.6640625" customWidth="1"/>
    <col min="7" max="7" width="13.10937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B2" s="21">
        <v>6</v>
      </c>
      <c r="C2" s="21" t="s">
        <v>145</v>
      </c>
      <c r="D2" s="21" t="s">
        <v>146</v>
      </c>
      <c r="E2" s="21">
        <v>2</v>
      </c>
      <c r="F2" s="21">
        <v>1773636</v>
      </c>
      <c r="G2" s="42">
        <v>1.0720000000000001</v>
      </c>
      <c r="H2" s="21" t="s">
        <v>148</v>
      </c>
      <c r="I2" s="39" t="str">
        <f ca="1">IFERROR(__xludf.DUMMYFUNCTION("IF(SUM(COUNTIF(artists!A:A, SPLIT(D2, "",""))) &gt; 0, ""UA"", 0)"),"UA")</f>
        <v>UA</v>
      </c>
      <c r="J2" s="40">
        <f ca="1">IFERROR(__xludf.DUMMYFUNCTION("IF(SUM(COUNTIF(artists!C:C, SPLIT(D2, "",""))) &gt; 0, ""RU"", 0)"),0)</f>
        <v>0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B3" s="21">
        <v>1</v>
      </c>
      <c r="C3" s="21" t="s">
        <v>645</v>
      </c>
      <c r="D3" s="21" t="s">
        <v>352</v>
      </c>
      <c r="E3" s="21">
        <v>21</v>
      </c>
      <c r="F3" s="21">
        <v>1454184</v>
      </c>
      <c r="G3" s="42">
        <v>-0.17399999999999999</v>
      </c>
      <c r="H3" s="21" t="s">
        <v>647</v>
      </c>
      <c r="I3" s="39" t="str">
        <f ca="1">IFERROR(__xludf.DUMMYFUNCTION("IF(SUM(COUNTIF(artists!A:A, SPLIT(D3, "",""))) &gt; 0, ""UA"", 0)"),"UA")</f>
        <v>UA</v>
      </c>
      <c r="J3" s="40">
        <f ca="1">IFERROR(__xludf.DUMMYFUNCTION("IF(SUM(COUNTIF(artists!C:C, SPLIT(D3, "",""))) &gt; 0, ""RU"", 0)"),0)</f>
        <v>0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B4" s="21">
        <v>3</v>
      </c>
      <c r="C4" s="21" t="s">
        <v>128</v>
      </c>
      <c r="D4" s="21" t="s">
        <v>129</v>
      </c>
      <c r="E4" s="21">
        <v>4</v>
      </c>
      <c r="F4" s="21">
        <v>1196300</v>
      </c>
      <c r="G4" s="43">
        <v>-0.05</v>
      </c>
      <c r="H4" s="21" t="s">
        <v>131</v>
      </c>
      <c r="I4" s="39" t="str">
        <f ca="1">IFERROR(__xludf.DUMMYFUNCTION("IF(SUM(COUNTIF(artists!A:A, SPLIT(D4, "",""))) &gt; 0, ""UA"", 0)"),"UA")</f>
        <v>UA</v>
      </c>
      <c r="J4" s="40">
        <f ca="1">IFERROR(__xludf.DUMMYFUNCTION("IF(SUM(COUNTIF(artists!C:C, SPLIT(D4, "",""))) &gt; 0, ""RU"", 0)"),0)</f>
        <v>0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B5" s="21">
        <v>4</v>
      </c>
      <c r="C5" s="21" t="s">
        <v>194</v>
      </c>
      <c r="D5" s="21" t="s">
        <v>195</v>
      </c>
      <c r="E5" s="21">
        <v>11</v>
      </c>
      <c r="F5" s="21">
        <v>919249</v>
      </c>
      <c r="G5" s="42">
        <v>-8.6999999999999994E-2</v>
      </c>
      <c r="H5" s="21" t="s">
        <v>197</v>
      </c>
      <c r="I5" s="39" t="str">
        <f ca="1">IFERROR(__xludf.DUMMYFUNCTION("IF(SUM(COUNTIF(artists!A:A, SPLIT(D5, "",""))) &gt; 0, ""UA"", 0)"),"UA")</f>
        <v>UA</v>
      </c>
      <c r="J5" s="40">
        <f ca="1">IFERROR(__xludf.DUMMYFUNCTION("IF(SUM(COUNTIF(artists!C:C, SPLIT(D5, "",""))) &gt; 0, ""RU"", 0)"),0)</f>
        <v>0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B6" s="21">
        <v>5</v>
      </c>
      <c r="C6" s="21" t="s">
        <v>182</v>
      </c>
      <c r="D6" s="21" t="s">
        <v>183</v>
      </c>
      <c r="E6" s="21">
        <v>4</v>
      </c>
      <c r="F6" s="21">
        <v>785182</v>
      </c>
      <c r="G6" s="43">
        <v>-0.18</v>
      </c>
      <c r="H6" s="21" t="s">
        <v>185</v>
      </c>
      <c r="I6" s="39" t="str">
        <f ca="1">IFERROR(__xludf.DUMMYFUNCTION("IF(SUM(COUNTIF(artists!A:A, SPLIT(D6, "",""))) &gt; 0, ""UA"", 0)"),"UA")</f>
        <v>UA</v>
      </c>
      <c r="J6" s="40">
        <f ca="1">IFERROR(__xludf.DUMMYFUNCTION("IF(SUM(COUNTIF(artists!C:C, SPLIT(D6, "",""))) &gt; 0, ""RU"", 0)"),0)</f>
        <v>0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B7" s="21">
        <v>7</v>
      </c>
      <c r="C7" s="21" t="s">
        <v>1010</v>
      </c>
      <c r="D7" s="21" t="s">
        <v>1011</v>
      </c>
      <c r="E7" s="21">
        <v>9</v>
      </c>
      <c r="F7" s="21">
        <v>690935</v>
      </c>
      <c r="G7" s="42">
        <v>-0.153</v>
      </c>
      <c r="H7" s="21" t="s">
        <v>1012</v>
      </c>
      <c r="I7" s="39" t="str">
        <f ca="1">IFERROR(__xludf.DUMMYFUNCTION("IF(SUM(COUNTIF(artists!A:A, SPLIT(D7, "",""))) &gt; 0, ""UA"", 0)"),"UA")</f>
        <v>UA</v>
      </c>
      <c r="J7" s="40">
        <f ca="1">IFERROR(__xludf.DUMMYFUNCTION("IF(SUM(COUNTIF(artists!C:C, SPLIT(D7, "",""))) &gt; 0, ""RU"", 0)"),0)</f>
        <v>0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B8" s="21">
        <v>10</v>
      </c>
      <c r="C8" s="21" t="s">
        <v>175</v>
      </c>
      <c r="D8" s="21" t="s">
        <v>89</v>
      </c>
      <c r="E8" s="21">
        <v>8</v>
      </c>
      <c r="F8" s="21">
        <v>667644</v>
      </c>
      <c r="G8" s="42">
        <v>2.3E-2</v>
      </c>
      <c r="H8" s="21" t="s">
        <v>177</v>
      </c>
      <c r="I8" s="39" t="str">
        <f ca="1">IFERROR(__xludf.DUMMYFUNCTION("IF(SUM(COUNTIF(artists!A:A, SPLIT(D8, "",""))) &gt; 0, ""UA"", 0)"),"UA")</f>
        <v>UA</v>
      </c>
      <c r="J8" s="40">
        <f ca="1">IFERROR(__xludf.DUMMYFUNCTION("IF(SUM(COUNTIF(artists!C:C, SPLIT(D8, "",""))) &gt; 0, ""RU"", 0)"),0)</f>
        <v>0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B9" s="21">
        <v>12</v>
      </c>
      <c r="C9" s="21" t="s">
        <v>1431</v>
      </c>
      <c r="D9" s="21" t="s">
        <v>969</v>
      </c>
      <c r="E9" s="21">
        <v>36</v>
      </c>
      <c r="F9" s="21">
        <v>657864</v>
      </c>
      <c r="G9" s="42">
        <v>5.3999999999999999E-2</v>
      </c>
      <c r="H9" s="21" t="s">
        <v>1432</v>
      </c>
      <c r="I9" s="39" t="str">
        <f ca="1">IFERROR(__xludf.DUMMYFUNCTION("IF(SUM(COUNTIF(artists!A:A, SPLIT(D9, "",""))) &gt; 0, ""UA"", 0)"),"UA")</f>
        <v>UA</v>
      </c>
      <c r="J9" s="40">
        <f ca="1">IFERROR(__xludf.DUMMYFUNCTION("IF(SUM(COUNTIF(artists!C:C, SPLIT(D9, "",""))) &gt; 0, ""RU"", 0)"),0)</f>
        <v>0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B10" s="21">
        <v>8</v>
      </c>
      <c r="C10" s="21" t="s">
        <v>229</v>
      </c>
      <c r="D10" s="21" t="s">
        <v>230</v>
      </c>
      <c r="E10" s="21">
        <v>15</v>
      </c>
      <c r="F10" s="21">
        <v>648169</v>
      </c>
      <c r="G10" s="42">
        <v>-2.9000000000000001E-2</v>
      </c>
      <c r="H10" s="21" t="s">
        <v>232</v>
      </c>
      <c r="I10" s="39" t="str">
        <f ca="1">IFERROR(__xludf.DUMMYFUNCTION("IF(SUM(COUNTIF(artists!A:A, SPLIT(D10, "",""))) &gt; 0, ""UA"", 0)"),"UA")</f>
        <v>UA</v>
      </c>
      <c r="J10" s="40">
        <f ca="1">IFERROR(__xludf.DUMMYFUNCTION("IF(SUM(COUNTIF(artists!C:C, SPLIT(D10, "",""))) &gt; 0, ""RU"", 0)"),0)</f>
        <v>0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B11" s="21">
        <v>11</v>
      </c>
      <c r="C11" s="21" t="s">
        <v>895</v>
      </c>
      <c r="D11" s="21" t="s">
        <v>896</v>
      </c>
      <c r="E11" s="21">
        <v>20</v>
      </c>
      <c r="F11" s="21">
        <v>593190</v>
      </c>
      <c r="G11" s="42">
        <v>-7.3999999999999996E-2</v>
      </c>
      <c r="H11" s="21" t="s">
        <v>897</v>
      </c>
      <c r="I11" s="39" t="str">
        <f ca="1">IFERROR(__xludf.DUMMYFUNCTION("IF(SUM(COUNTIF(artists!A:A, SPLIT(D11, "",""))) &gt; 0, ""UA"", 0)"),"UA")</f>
        <v>UA</v>
      </c>
      <c r="J11" s="40">
        <f ca="1">IFERROR(__xludf.DUMMYFUNCTION("IF(SUM(COUNTIF(artists!C:C, SPLIT(D11, "",""))) &gt; 0, ""RU"", 0)"),0)</f>
        <v>0</v>
      </c>
      <c r="K11" s="39">
        <f ca="1">IFERROR(__xludf.DUMMYFUNCTION("IF(SUM(COUNTIF(artists!E:E, SPLIT(D11, "",""))) &gt; 0, ""OTHER"", 0)"),0)</f>
        <v>0</v>
      </c>
    </row>
    <row r="12" spans="1:11" ht="14.25" customHeight="1">
      <c r="A12" s="21">
        <v>11</v>
      </c>
      <c r="B12" s="21">
        <v>20</v>
      </c>
      <c r="C12" s="21" t="s">
        <v>171</v>
      </c>
      <c r="D12" s="21" t="s">
        <v>172</v>
      </c>
      <c r="E12" s="21">
        <v>3</v>
      </c>
      <c r="F12" s="21">
        <v>566904</v>
      </c>
      <c r="G12" s="42">
        <v>0.13100000000000001</v>
      </c>
      <c r="H12" s="21" t="s">
        <v>174</v>
      </c>
      <c r="I12" s="39">
        <f ca="1">IFERROR(__xludf.DUMMYFUNCTION("IF(SUM(COUNTIF(artists!A:A, SPLIT(D12, "",""))) &gt; 0, ""UA"", 0)"),0)</f>
        <v>0</v>
      </c>
      <c r="J12" s="40" t="str">
        <f ca="1">IFERROR(__xludf.DUMMYFUNCTION("IF(SUM(COUNTIF(artists!C:C, SPLIT(D12, "",""))) &gt; 0, ""RU"", 0)"),"RU")</f>
        <v>RU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B13" s="21">
        <v>14</v>
      </c>
      <c r="C13" s="21" t="s">
        <v>706</v>
      </c>
      <c r="D13" s="21" t="s">
        <v>199</v>
      </c>
      <c r="E13" s="21">
        <v>4</v>
      </c>
      <c r="F13" s="21">
        <v>536935</v>
      </c>
      <c r="G13" s="42">
        <v>-8.4000000000000005E-2</v>
      </c>
      <c r="H13" s="21" t="s">
        <v>1126</v>
      </c>
      <c r="I13" s="39" t="str">
        <f ca="1">IFERROR(__xludf.DUMMYFUNCTION("IF(SUM(COUNTIF(artists!A:A, SPLIT(D13, "",""))) &gt; 0, ""UA"", 0)"),"UA")</f>
        <v>UA</v>
      </c>
      <c r="J13" s="40">
        <f ca="1">IFERROR(__xludf.DUMMYFUNCTION("IF(SUM(COUNTIF(artists!C:C, SPLIT(D13, "",""))) &gt; 0, ""RU"", 0)"),0)</f>
        <v>0</v>
      </c>
      <c r="K13" s="39">
        <f ca="1">IFERROR(__xludf.DUMMYFUNCTION("IF(SUM(COUNTIF(artists!E:E, SPLIT(D13, "",""))) &gt; 0, ""OTHER"", 0)"),0)</f>
        <v>0</v>
      </c>
    </row>
    <row r="14" spans="1:11" ht="14.25" customHeight="1">
      <c r="A14" s="21">
        <v>13</v>
      </c>
      <c r="B14" s="21">
        <v>15</v>
      </c>
      <c r="C14" s="21" t="s">
        <v>132</v>
      </c>
      <c r="D14" s="21" t="s">
        <v>133</v>
      </c>
      <c r="E14" s="21">
        <v>8</v>
      </c>
      <c r="F14" s="21">
        <v>532925</v>
      </c>
      <c r="G14" s="42">
        <v>-8.3000000000000004E-2</v>
      </c>
      <c r="H14" s="21" t="s">
        <v>135</v>
      </c>
      <c r="I14" s="39" t="str">
        <f ca="1">IFERROR(__xludf.DUMMYFUNCTION("IF(SUM(COUNTIF(artists!A:A, SPLIT(D14, "",""))) &gt; 0, ""UA"", 0)"),"UA")</f>
        <v>UA</v>
      </c>
      <c r="J14" s="40">
        <f ca="1">IFERROR(__xludf.DUMMYFUNCTION("IF(SUM(COUNTIF(artists!C:C, SPLIT(D14, "",""))) &gt; 0, ""RU"", 0)"),0)</f>
        <v>0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C15" s="21" t="s">
        <v>1553</v>
      </c>
      <c r="D15" s="21" t="s">
        <v>1554</v>
      </c>
      <c r="E15" s="21">
        <v>1</v>
      </c>
      <c r="F15" s="21">
        <v>518092</v>
      </c>
      <c r="H15" s="21" t="s">
        <v>1555</v>
      </c>
      <c r="I15" s="39">
        <f ca="1">IFERROR(__xludf.DUMMYFUNCTION("IF(SUM(COUNTIF(artists!A:A, SPLIT(D15, "",""))) &gt; 0, ""UA"", 0)"),0)</f>
        <v>0</v>
      </c>
      <c r="J15" s="40" t="str">
        <f ca="1">IFERROR(__xludf.DUMMYFUNCTION("IF(SUM(COUNTIF(artists!C:C, SPLIT(D15, "",""))) &gt; 0, ""RU"", 0)"),"RU")</f>
        <v>RU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B16" s="21">
        <v>13</v>
      </c>
      <c r="C16" s="21" t="s">
        <v>1055</v>
      </c>
      <c r="D16" s="21" t="s">
        <v>776</v>
      </c>
      <c r="E16" s="21">
        <v>5</v>
      </c>
      <c r="F16" s="21">
        <v>478854</v>
      </c>
      <c r="G16" s="42">
        <v>-0.191</v>
      </c>
      <c r="H16" s="21" t="s">
        <v>1056</v>
      </c>
      <c r="I16" s="39" t="str">
        <f ca="1">IFERROR(__xludf.DUMMYFUNCTION("IF(SUM(COUNTIF(artists!A:A, SPLIT(D16, "",""))) &gt; 0, ""UA"", 0)"),"UA")</f>
        <v>UA</v>
      </c>
      <c r="J16" s="40">
        <f ca="1">IFERROR(__xludf.DUMMYFUNCTION("IF(SUM(COUNTIF(artists!C:C, SPLIT(D16, "",""))) &gt; 0, ""RU"", 0)"),0)</f>
        <v>0</v>
      </c>
      <c r="K16" s="39">
        <f ca="1">IFERROR(__xludf.DUMMYFUNCTION("IF(SUM(COUNTIF(artists!E:E, SPLIT(D16, "",""))) &gt; 0, ""OTHER"", 0)"),0)</f>
        <v>0</v>
      </c>
    </row>
    <row r="17" spans="1:11" ht="14.25" customHeight="1">
      <c r="A17" s="21">
        <v>16</v>
      </c>
      <c r="B17" s="21">
        <v>18</v>
      </c>
      <c r="C17" s="21" t="s">
        <v>1287</v>
      </c>
      <c r="D17" s="21" t="s">
        <v>1288</v>
      </c>
      <c r="E17" s="21">
        <v>9</v>
      </c>
      <c r="F17" s="21">
        <v>473230</v>
      </c>
      <c r="G17" s="42">
        <v>-0.109</v>
      </c>
      <c r="H17" s="21" t="s">
        <v>1289</v>
      </c>
      <c r="I17" s="39">
        <f ca="1">IFERROR(__xludf.DUMMYFUNCTION("IF(SUM(COUNTIF(artists!A:A, SPLIT(D17, "",""))) &gt; 0, ""UA"", 0)"),0)</f>
        <v>0</v>
      </c>
      <c r="J17" s="40">
        <f ca="1">IFERROR(__xludf.DUMMYFUNCTION("IF(SUM(COUNTIF(artists!C:C, SPLIT(D17, "",""))) &gt; 0, ""RU"", 0)"),0)</f>
        <v>0</v>
      </c>
      <c r="K17" s="39" t="str">
        <f ca="1">IFERROR(__xludf.DUMMYFUNCTION("IF(SUM(COUNTIF(artists!E:E, SPLIT(D17, "",""))) &gt; 0, ""OTHER"", 0)"),"OTHER")</f>
        <v>OTHER</v>
      </c>
    </row>
    <row r="18" spans="1:11" ht="14.25" customHeight="1">
      <c r="A18" s="21">
        <v>17</v>
      </c>
      <c r="B18" s="21">
        <v>16</v>
      </c>
      <c r="C18" s="21" t="s">
        <v>697</v>
      </c>
      <c r="D18" s="21" t="s">
        <v>698</v>
      </c>
      <c r="E18" s="21">
        <v>4</v>
      </c>
      <c r="F18" s="21">
        <v>455570</v>
      </c>
      <c r="G18" s="42">
        <v>-0.20899999999999999</v>
      </c>
      <c r="H18" s="21" t="s">
        <v>699</v>
      </c>
      <c r="I18" s="39">
        <f ca="1">IFERROR(__xludf.DUMMYFUNCTION("IF(SUM(COUNTIF(artists!A:A, SPLIT(D18, "",""))) &gt; 0, ""UA"", 0)"),0)</f>
        <v>0</v>
      </c>
      <c r="J18" s="40" t="str">
        <f ca="1">IFERROR(__xludf.DUMMYFUNCTION("IF(SUM(COUNTIF(artists!C:C, SPLIT(D18, "",""))) &gt; 0, ""RU"", 0)"),"RU")</f>
        <v>RU</v>
      </c>
      <c r="K18" s="39">
        <f ca="1">IFERROR(__xludf.DUMMYFUNCTION("IF(SUM(COUNTIF(artists!E:E, SPLIT(D18, "",""))) &gt; 0, ""OTHER"", 0)"),0)</f>
        <v>0</v>
      </c>
    </row>
    <row r="19" spans="1:11" ht="14.25" customHeight="1">
      <c r="A19" s="21">
        <v>18</v>
      </c>
      <c r="B19" s="21">
        <v>17</v>
      </c>
      <c r="C19" s="21" t="s">
        <v>799</v>
      </c>
      <c r="D19" s="21" t="s">
        <v>494</v>
      </c>
      <c r="E19" s="21">
        <v>17</v>
      </c>
      <c r="F19" s="21">
        <v>446507</v>
      </c>
      <c r="G19" s="42">
        <v>-0.218</v>
      </c>
      <c r="H19" s="21" t="s">
        <v>800</v>
      </c>
      <c r="I19" s="39" t="str">
        <f ca="1">IFERROR(__xludf.DUMMYFUNCTION("IF(SUM(COUNTIF(artists!A:A, SPLIT(D19, "",""))) &gt; 0, ""UA"", 0)"),"UA")</f>
        <v>UA</v>
      </c>
      <c r="J19" s="40">
        <f ca="1">IFERROR(__xludf.DUMMYFUNCTION("IF(SUM(COUNTIF(artists!C:C, SPLIT(D19, "",""))) &gt; 0, ""RU"", 0)"),0)</f>
        <v>0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B20" s="21">
        <v>22</v>
      </c>
      <c r="C20" s="21" t="s">
        <v>1282</v>
      </c>
      <c r="D20" s="21" t="s">
        <v>108</v>
      </c>
      <c r="E20" s="21">
        <v>35</v>
      </c>
      <c r="F20" s="21">
        <v>442141</v>
      </c>
      <c r="G20" s="42">
        <v>-9.1999999999999998E-2</v>
      </c>
      <c r="H20" s="21" t="s">
        <v>1283</v>
      </c>
      <c r="I20" s="39" t="str">
        <f ca="1">IFERROR(__xludf.DUMMYFUNCTION("IF(SUM(COUNTIF(artists!A:A, SPLIT(D20, "",""))) &gt; 0, ""UA"", 0)"),"UA")</f>
        <v>UA</v>
      </c>
      <c r="J20" s="40">
        <f ca="1">IFERROR(__xludf.DUMMYFUNCTION("IF(SUM(COUNTIF(artists!C:C, SPLIT(D20, "",""))) &gt; 0, ""RU"", 0)"),0)</f>
        <v>0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B21" s="21">
        <v>24</v>
      </c>
      <c r="C21" s="21" t="s">
        <v>968</v>
      </c>
      <c r="D21" s="21" t="s">
        <v>969</v>
      </c>
      <c r="E21" s="21">
        <v>28</v>
      </c>
      <c r="F21" s="21">
        <v>441285</v>
      </c>
      <c r="G21" s="42">
        <v>9.1999999999999998E-2</v>
      </c>
      <c r="H21" s="21" t="s">
        <v>970</v>
      </c>
      <c r="I21" s="39" t="str">
        <f ca="1">IFERROR(__xludf.DUMMYFUNCTION("IF(SUM(COUNTIF(artists!A:A, SPLIT(D21, "",""))) &gt; 0, ""UA"", 0)"),"UA")</f>
        <v>UA</v>
      </c>
      <c r="J21" s="40">
        <f ca="1">IFERROR(__xludf.DUMMYFUNCTION("IF(SUM(COUNTIF(artists!C:C, SPLIT(D21, "",""))) &gt; 0, ""RU"", 0)"),0)</f>
        <v>0</v>
      </c>
      <c r="K21" s="39">
        <f ca="1">IFERROR(__xludf.DUMMYFUNCTION("IF(SUM(COUNTIF(artists!E:E, SPLIT(D21, "",""))) &gt; 0, ""OTHER"", 0)"),0)</f>
        <v>0</v>
      </c>
    </row>
    <row r="22" spans="1:11" ht="14.25" customHeight="1">
      <c r="A22" s="21">
        <v>21</v>
      </c>
      <c r="C22" s="21" t="s">
        <v>1178</v>
      </c>
      <c r="D22" s="21" t="s">
        <v>1117</v>
      </c>
      <c r="E22" s="21">
        <v>4</v>
      </c>
      <c r="F22" s="21">
        <v>435258</v>
      </c>
      <c r="H22" s="21" t="s">
        <v>1179</v>
      </c>
      <c r="I22" s="39">
        <f ca="1">IFERROR(__xludf.DUMMYFUNCTION("IF(SUM(COUNTIF(artists!A:A, SPLIT(D22, "",""))) &gt; 0, ""UA"", 0)"),0)</f>
        <v>0</v>
      </c>
      <c r="J22" s="40" t="str">
        <f ca="1">IFERROR(__xludf.DUMMYFUNCTION("IF(SUM(COUNTIF(artists!C:C, SPLIT(D22, "",""))) &gt; 0, ""RU"", 0)"),"RU")</f>
        <v>RU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B23" s="21">
        <v>19</v>
      </c>
      <c r="C23" s="21" t="s">
        <v>1263</v>
      </c>
      <c r="D23" s="21" t="s">
        <v>1264</v>
      </c>
      <c r="E23" s="21">
        <v>34</v>
      </c>
      <c r="F23" s="21">
        <v>429829</v>
      </c>
      <c r="G23" s="42">
        <v>-0.155</v>
      </c>
      <c r="H23" s="21" t="s">
        <v>1265</v>
      </c>
      <c r="I23" s="39">
        <f ca="1">IFERROR(__xludf.DUMMYFUNCTION("IF(SUM(COUNTIF(artists!A:A, SPLIT(D23, "",""))) &gt; 0, ""UA"", 0)"),0)</f>
        <v>0</v>
      </c>
      <c r="J23" s="40" t="str">
        <f ca="1">IFERROR(__xludf.DUMMYFUNCTION("IF(SUM(COUNTIF(artists!C:C, SPLIT(D23, "",""))) &gt; 0, ""RU"", 0)"),"RU")</f>
        <v>RU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B24" s="21">
        <v>23</v>
      </c>
      <c r="C24" s="21" t="s">
        <v>909</v>
      </c>
      <c r="D24" s="21" t="s">
        <v>910</v>
      </c>
      <c r="E24" s="21">
        <v>18</v>
      </c>
      <c r="F24" s="21">
        <v>423747</v>
      </c>
      <c r="G24" s="42">
        <v>-8.3000000000000004E-2</v>
      </c>
      <c r="H24" s="21" t="s">
        <v>911</v>
      </c>
      <c r="I24" s="39" t="str">
        <f ca="1">IFERROR(__xludf.DUMMYFUNCTION("IF(SUM(COUNTIF(artists!A:A, SPLIT(D24, "",""))) &gt; 0, ""UA"", 0)"),"UA")</f>
        <v>UA</v>
      </c>
      <c r="J24" s="40">
        <f ca="1">IFERROR(__xludf.DUMMYFUNCTION("IF(SUM(COUNTIF(artists!C:C, SPLIT(D24, "",""))) &gt; 0, ""RU"", 0)"),0)</f>
        <v>0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B25" s="21">
        <v>9</v>
      </c>
      <c r="C25" s="21" t="s">
        <v>1418</v>
      </c>
      <c r="D25" s="21" t="s">
        <v>698</v>
      </c>
      <c r="E25" s="21">
        <v>2</v>
      </c>
      <c r="F25" s="21">
        <v>419756</v>
      </c>
      <c r="G25" s="42">
        <v>-0.36399999999999999</v>
      </c>
      <c r="H25" s="21" t="s">
        <v>1419</v>
      </c>
      <c r="I25" s="39">
        <f ca="1">IFERROR(__xludf.DUMMYFUNCTION("IF(SUM(COUNTIF(artists!A:A, SPLIT(D25, "",""))) &gt; 0, ""UA"", 0)"),0)</f>
        <v>0</v>
      </c>
      <c r="J25" s="40" t="str">
        <f ca="1">IFERROR(__xludf.DUMMYFUNCTION("IF(SUM(COUNTIF(artists!C:C, SPLIT(D25, "",""))) &gt; 0, ""RU"", 0)"),"RU")</f>
        <v>RU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B26" s="21">
        <v>21</v>
      </c>
      <c r="C26" s="21" t="s">
        <v>1413</v>
      </c>
      <c r="D26" s="21" t="s">
        <v>1414</v>
      </c>
      <c r="E26" s="21">
        <v>2</v>
      </c>
      <c r="F26" s="21">
        <v>374872</v>
      </c>
      <c r="G26" s="42">
        <v>-0.23799999999999999</v>
      </c>
      <c r="H26" s="21" t="s">
        <v>1415</v>
      </c>
      <c r="I26" s="39" t="str">
        <f ca="1">IFERROR(__xludf.DUMMYFUNCTION("IF(SUM(COUNTIF(artists!A:A, SPLIT(D26, "",""))) &gt; 0, ""UA"", 0)"),"UA")</f>
        <v>UA</v>
      </c>
      <c r="J26" s="40">
        <f ca="1">IFERROR(__xludf.DUMMYFUNCTION("IF(SUM(COUNTIF(artists!C:C, SPLIT(D26, "",""))) &gt; 0, ""RU"", 0)"),0)</f>
        <v>0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C27" s="21" t="s">
        <v>1460</v>
      </c>
      <c r="D27" s="21" t="s">
        <v>1461</v>
      </c>
      <c r="E27" s="21">
        <v>1</v>
      </c>
      <c r="F27" s="21">
        <v>361808</v>
      </c>
      <c r="H27" s="21" t="s">
        <v>1462</v>
      </c>
      <c r="I27" s="39">
        <f ca="1">IFERROR(__xludf.DUMMYFUNCTION("IF(SUM(COUNTIF(artists!A:A, SPLIT(D27, "",""))) &gt; 0, ""UA"", 0)"),0)</f>
        <v>0</v>
      </c>
      <c r="J27" s="40" t="str">
        <f ca="1">IFERROR(__xludf.DUMMYFUNCTION("IF(SUM(COUNTIF(artists!C:C, SPLIT(D27, "",""))) &gt; 0, ""RU"", 0)"),"RU")</f>
        <v>RU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B28" s="21">
        <v>32</v>
      </c>
      <c r="C28" s="21" t="s">
        <v>1354</v>
      </c>
      <c r="D28" s="21" t="s">
        <v>1355</v>
      </c>
      <c r="E28" s="21">
        <v>38</v>
      </c>
      <c r="F28" s="21">
        <v>359730</v>
      </c>
      <c r="G28" s="42">
        <v>-3.9E-2</v>
      </c>
      <c r="H28" s="21" t="s">
        <v>1356</v>
      </c>
      <c r="I28" s="39" t="str">
        <f ca="1">IFERROR(__xludf.DUMMYFUNCTION("IF(SUM(COUNTIF(artists!A:A, SPLIT(D28, "",""))) &gt; 0, ""UA"", 0)"),"UA")</f>
        <v>UA</v>
      </c>
      <c r="J28" s="40">
        <f ca="1">IFERROR(__xludf.DUMMYFUNCTION("IF(SUM(COUNTIF(artists!C:C, SPLIT(D28, "",""))) &gt; 0, ""RU"", 0)"),0)</f>
        <v>0</v>
      </c>
      <c r="K28" s="39">
        <f ca="1">IFERROR(__xludf.DUMMYFUNCTION("IF(SUM(COUNTIF(artists!E:E, SPLIT(D28, "",""))) &gt; 0, ""OTHER"", 0)"),0)</f>
        <v>0</v>
      </c>
    </row>
    <row r="29" spans="1:11" ht="14.25" customHeight="1">
      <c r="A29" s="21">
        <v>28</v>
      </c>
      <c r="B29" s="21">
        <v>39</v>
      </c>
      <c r="C29" s="21" t="s">
        <v>1327</v>
      </c>
      <c r="D29" s="21" t="s">
        <v>89</v>
      </c>
      <c r="E29" s="21">
        <v>37</v>
      </c>
      <c r="F29" s="21">
        <v>358142</v>
      </c>
      <c r="G29" s="42">
        <v>0.13500000000000001</v>
      </c>
      <c r="H29" s="21" t="s">
        <v>1328</v>
      </c>
      <c r="I29" s="39" t="str">
        <f ca="1">IFERROR(__xludf.DUMMYFUNCTION("IF(SUM(COUNTIF(artists!A:A, SPLIT(D29, "",""))) &gt; 0, ""UA"", 0)"),"UA")</f>
        <v>UA</v>
      </c>
      <c r="J29" s="40">
        <f ca="1">IFERROR(__xludf.DUMMYFUNCTION("IF(SUM(COUNTIF(artists!C:C, SPLIT(D29, "",""))) &gt; 0, ""RU"", 0)"),0)</f>
        <v>0</v>
      </c>
      <c r="K29" s="39">
        <f ca="1">IFERROR(__xludf.DUMMYFUNCTION("IF(SUM(COUNTIF(artists!E:E, SPLIT(D29, "",""))) &gt; 0, ""OTHER"", 0)"),0)</f>
        <v>0</v>
      </c>
    </row>
    <row r="30" spans="1:11" ht="14.25" customHeight="1">
      <c r="A30" s="21">
        <v>29</v>
      </c>
      <c r="B30" s="21">
        <v>29</v>
      </c>
      <c r="C30" s="21" t="s">
        <v>1332</v>
      </c>
      <c r="D30" s="21" t="s">
        <v>1333</v>
      </c>
      <c r="E30" s="21">
        <v>10</v>
      </c>
      <c r="F30" s="21">
        <v>350983</v>
      </c>
      <c r="G30" s="42">
        <v>-7.5999999999999998E-2</v>
      </c>
      <c r="H30" s="21" t="s">
        <v>1334</v>
      </c>
      <c r="I30" s="39" t="str">
        <f ca="1">IFERROR(__xludf.DUMMYFUNCTION("IF(SUM(COUNTIF(artists!A:A, SPLIT(D30, "",""))) &gt; 0, ""UA"", 0)"),"UA")</f>
        <v>UA</v>
      </c>
      <c r="J30" s="40">
        <f ca="1">IFERROR(__xludf.DUMMYFUNCTION("IF(SUM(COUNTIF(artists!C:C, SPLIT(D30, "",""))) &gt; 0, ""RU"", 0)"),0)</f>
        <v>0</v>
      </c>
      <c r="K30" s="39">
        <f ca="1">IFERROR(__xludf.DUMMYFUNCTION("IF(SUM(COUNTIF(artists!E:E, SPLIT(D30, "",""))) &gt; 0, ""OTHER"", 0)"),0)</f>
        <v>0</v>
      </c>
    </row>
    <row r="31" spans="1:11" ht="14.25" customHeight="1">
      <c r="A31" s="21">
        <v>30</v>
      </c>
      <c r="B31" s="21">
        <v>25</v>
      </c>
      <c r="C31" s="21" t="s">
        <v>918</v>
      </c>
      <c r="D31" s="21" t="s">
        <v>108</v>
      </c>
      <c r="E31" s="21">
        <v>44</v>
      </c>
      <c r="F31" s="21">
        <v>350836</v>
      </c>
      <c r="G31" s="43">
        <v>-0.13</v>
      </c>
      <c r="H31" s="21" t="s">
        <v>919</v>
      </c>
      <c r="I31" s="39" t="str">
        <f ca="1">IFERROR(__xludf.DUMMYFUNCTION("IF(SUM(COUNTIF(artists!A:A, SPLIT(D31, "",""))) &gt; 0, ""UA"", 0)"),"UA")</f>
        <v>UA</v>
      </c>
      <c r="J31" s="40">
        <f ca="1">IFERROR(__xludf.DUMMYFUNCTION("IF(SUM(COUNTIF(artists!C:C, SPLIT(D31, "",""))) &gt; 0, ""RU"", 0)"),0)</f>
        <v>0</v>
      </c>
      <c r="K31" s="39">
        <f ca="1">IFERROR(__xludf.DUMMYFUNCTION("IF(SUM(COUNTIF(artists!E:E, SPLIT(D31, "",""))) &gt; 0, ""OTHER"", 0)"),0)</f>
        <v>0</v>
      </c>
    </row>
    <row r="32" spans="1:11" ht="14.25" customHeight="1">
      <c r="A32" s="21">
        <v>31</v>
      </c>
      <c r="B32" s="21">
        <v>30</v>
      </c>
      <c r="C32" s="21" t="s">
        <v>1284</v>
      </c>
      <c r="D32" s="21" t="s">
        <v>1285</v>
      </c>
      <c r="E32" s="21">
        <v>9</v>
      </c>
      <c r="F32" s="21">
        <v>348318</v>
      </c>
      <c r="G32" s="42">
        <v>-7.9000000000000001E-2</v>
      </c>
      <c r="H32" s="21" t="s">
        <v>1286</v>
      </c>
      <c r="I32" s="39">
        <f ca="1">IFERROR(__xludf.DUMMYFUNCTION("IF(SUM(COUNTIF(artists!A:A, SPLIT(D32, "",""))) &gt; 0, ""UA"", 0)"),0)</f>
        <v>0</v>
      </c>
      <c r="J32" s="40" t="str">
        <f ca="1">IFERROR(__xludf.DUMMYFUNCTION("IF(SUM(COUNTIF(artists!C:C, SPLIT(D32, "",""))) &gt; 0, ""RU"", 0)"),"RU")</f>
        <v>RU</v>
      </c>
      <c r="K32" s="39">
        <f ca="1">IFERROR(__xludf.DUMMYFUNCTION("IF(SUM(COUNTIF(artists!E:E, SPLIT(D32, "",""))) &gt; 0, ""OTHER"", 0)"),0)</f>
        <v>0</v>
      </c>
    </row>
    <row r="33" spans="1:11" ht="14.25" customHeight="1">
      <c r="A33" s="21">
        <v>32</v>
      </c>
      <c r="B33" s="21">
        <v>27</v>
      </c>
      <c r="C33" s="21" t="s">
        <v>935</v>
      </c>
      <c r="D33" s="21" t="s">
        <v>936</v>
      </c>
      <c r="E33" s="21">
        <v>35</v>
      </c>
      <c r="F33" s="21">
        <v>338041</v>
      </c>
      <c r="G33" s="42">
        <v>-0.11600000000000001</v>
      </c>
      <c r="H33" s="21" t="s">
        <v>937</v>
      </c>
      <c r="I33" s="39">
        <f ca="1">IFERROR(__xludf.DUMMYFUNCTION("IF(SUM(COUNTIF(artists!A:A, SPLIT(D33, "",""))) &gt; 0, ""UA"", 0)"),0)</f>
        <v>0</v>
      </c>
      <c r="J33" s="40" t="str">
        <f ca="1">IFERROR(__xludf.DUMMYFUNCTION("IF(SUM(COUNTIF(artists!C:C, SPLIT(D33, "",""))) &gt; 0, ""RU"", 0)"),"RU")</f>
        <v>RU</v>
      </c>
      <c r="K33" s="39">
        <f ca="1">IFERROR(__xludf.DUMMYFUNCTION("IF(SUM(COUNTIF(artists!E:E, SPLIT(D33, "",""))) &gt; 0, ""OTHER"", 0)"),0)</f>
        <v>0</v>
      </c>
    </row>
    <row r="34" spans="1:11" ht="14.25" customHeight="1">
      <c r="A34" s="21">
        <v>33</v>
      </c>
      <c r="B34" s="21">
        <v>36</v>
      </c>
      <c r="C34" s="21" t="s">
        <v>253</v>
      </c>
      <c r="D34" s="21" t="s">
        <v>89</v>
      </c>
      <c r="E34" s="21">
        <v>17</v>
      </c>
      <c r="F34" s="21">
        <v>328790</v>
      </c>
      <c r="G34" s="42">
        <v>-5.8999999999999997E-2</v>
      </c>
      <c r="H34" s="21" t="s">
        <v>254</v>
      </c>
      <c r="I34" s="39" t="str">
        <f ca="1">IFERROR(__xludf.DUMMYFUNCTION("IF(SUM(COUNTIF(artists!A:A, SPLIT(D34, "",""))) &gt; 0, ""UA"", 0)"),"UA")</f>
        <v>UA</v>
      </c>
      <c r="J34" s="40">
        <f ca="1">IFERROR(__xludf.DUMMYFUNCTION("IF(SUM(COUNTIF(artists!C:C, SPLIT(D34, "",""))) &gt; 0, ""RU"", 0)"),0)</f>
        <v>0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B35" s="21">
        <v>34</v>
      </c>
      <c r="C35" s="21" t="s">
        <v>186</v>
      </c>
      <c r="D35" s="21" t="s">
        <v>187</v>
      </c>
      <c r="E35" s="21">
        <v>12</v>
      </c>
      <c r="F35" s="21">
        <v>325907</v>
      </c>
      <c r="G35" s="42">
        <v>-9.4E-2</v>
      </c>
      <c r="H35" s="21" t="s">
        <v>189</v>
      </c>
      <c r="I35" s="39" t="str">
        <f ca="1">IFERROR(__xludf.DUMMYFUNCTION("IF(SUM(COUNTIF(artists!A:A, SPLIT(D35, "",""))) &gt; 0, ""UA"", 0)"),"UA")</f>
        <v>UA</v>
      </c>
      <c r="J35" s="40">
        <f ca="1">IFERROR(__xludf.DUMMYFUNCTION("IF(SUM(COUNTIF(artists!C:C, SPLIT(D35, "",""))) &gt; 0, ""RU"", 0)"),0)</f>
        <v>0</v>
      </c>
      <c r="K35" s="39">
        <f ca="1">IFERROR(__xludf.DUMMYFUNCTION("IF(SUM(COUNTIF(artists!E:E, SPLIT(D35, "",""))) &gt; 0, ""OTHER"", 0)"),0)</f>
        <v>0</v>
      </c>
    </row>
    <row r="36" spans="1:11" ht="14.25" customHeight="1">
      <c r="A36" s="21">
        <v>35</v>
      </c>
      <c r="B36" s="21">
        <v>33</v>
      </c>
      <c r="C36" s="21" t="s">
        <v>1383</v>
      </c>
      <c r="D36" s="21" t="s">
        <v>463</v>
      </c>
      <c r="E36" s="21">
        <v>13</v>
      </c>
      <c r="F36" s="21">
        <v>324230</v>
      </c>
      <c r="G36" s="42">
        <v>-0.113</v>
      </c>
      <c r="H36" s="21" t="s">
        <v>1384</v>
      </c>
      <c r="I36" s="39" t="str">
        <f ca="1">IFERROR(__xludf.DUMMYFUNCTION("IF(SUM(COUNTIF(artists!A:A, SPLIT(D36, "",""))) &gt; 0, ""UA"", 0)"),"UA")</f>
        <v>UA</v>
      </c>
      <c r="J36" s="40">
        <f ca="1">IFERROR(__xludf.DUMMYFUNCTION("IF(SUM(COUNTIF(artists!C:C, SPLIT(D36, "",""))) &gt; 0, ""RU"", 0)"),0)</f>
        <v>0</v>
      </c>
      <c r="K36" s="39">
        <f ca="1">IFERROR(__xludf.DUMMYFUNCTION("IF(SUM(COUNTIF(artists!E:E, SPLIT(D36, "",""))) &gt; 0, ""OTHER"", 0)"),0)</f>
        <v>0</v>
      </c>
    </row>
    <row r="37" spans="1:11" ht="14.25" customHeight="1">
      <c r="A37" s="21">
        <v>36</v>
      </c>
      <c r="B37" s="21">
        <v>37</v>
      </c>
      <c r="C37" s="21" t="s">
        <v>1447</v>
      </c>
      <c r="D37" s="21" t="s">
        <v>969</v>
      </c>
      <c r="E37" s="21">
        <v>27</v>
      </c>
      <c r="F37" s="21">
        <v>312545</v>
      </c>
      <c r="G37" s="42">
        <v>-6.3E-2</v>
      </c>
      <c r="H37" s="21" t="s">
        <v>1448</v>
      </c>
      <c r="I37" s="39" t="str">
        <f ca="1">IFERROR(__xludf.DUMMYFUNCTION("IF(SUM(COUNTIF(artists!A:A, SPLIT(D37, "",""))) &gt; 0, ""UA"", 0)"),"UA")</f>
        <v>UA</v>
      </c>
      <c r="J37" s="40">
        <f ca="1">IFERROR(__xludf.DUMMYFUNCTION("IF(SUM(COUNTIF(artists!C:C, SPLIT(D37, "",""))) &gt; 0, ""RU"", 0)"),0)</f>
        <v>0</v>
      </c>
      <c r="K37" s="39">
        <f ca="1">IFERROR(__xludf.DUMMYFUNCTION("IF(SUM(COUNTIF(artists!E:E, SPLIT(D37, "",""))) &gt; 0, ""OTHER"", 0)"),0)</f>
        <v>0</v>
      </c>
    </row>
    <row r="38" spans="1:11" ht="14.25" customHeight="1">
      <c r="A38" s="21">
        <v>37</v>
      </c>
      <c r="C38" s="21" t="s">
        <v>929</v>
      </c>
      <c r="D38" s="21" t="s">
        <v>930</v>
      </c>
      <c r="E38" s="21">
        <v>1</v>
      </c>
      <c r="F38" s="21">
        <v>304299</v>
      </c>
      <c r="H38" s="21" t="s">
        <v>931</v>
      </c>
      <c r="I38" s="39" t="str">
        <f ca="1">IFERROR(__xludf.DUMMYFUNCTION("IF(SUM(COUNTIF(artists!A:A, SPLIT(D38, "",""))) &gt; 0, ""UA"", 0)"),"UA")</f>
        <v>UA</v>
      </c>
      <c r="J38" s="40">
        <f ca="1">IFERROR(__xludf.DUMMYFUNCTION("IF(SUM(COUNTIF(artists!C:C, SPLIT(D38, "",""))) &gt; 0, ""RU"", 0)"),0)</f>
        <v>0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B39" s="21">
        <v>41</v>
      </c>
      <c r="C39" s="21" t="s">
        <v>1436</v>
      </c>
      <c r="D39" s="21" t="s">
        <v>896</v>
      </c>
      <c r="E39" s="21">
        <v>15</v>
      </c>
      <c r="F39" s="21">
        <v>303722</v>
      </c>
      <c r="G39" s="42">
        <v>2E-3</v>
      </c>
      <c r="H39" s="21" t="s">
        <v>1437</v>
      </c>
      <c r="I39" s="39" t="str">
        <f ca="1">IFERROR(__xludf.DUMMYFUNCTION("IF(SUM(COUNTIF(artists!A:A, SPLIT(D39, "",""))) &gt; 0, ""UA"", 0)"),"UA")</f>
        <v>UA</v>
      </c>
      <c r="J39" s="40">
        <f ca="1">IFERROR(__xludf.DUMMYFUNCTION("IF(SUM(COUNTIF(artists!C:C, SPLIT(D39, "",""))) &gt; 0, ""RU"", 0)"),0)</f>
        <v>0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B40" s="21">
        <v>40</v>
      </c>
      <c r="C40" s="21" t="s">
        <v>887</v>
      </c>
      <c r="D40" s="21" t="s">
        <v>89</v>
      </c>
      <c r="E40" s="21">
        <v>15</v>
      </c>
      <c r="F40" s="21">
        <v>303273</v>
      </c>
      <c r="G40" s="42">
        <v>-8.9999999999999993E-3</v>
      </c>
      <c r="H40" s="21" t="s">
        <v>888</v>
      </c>
      <c r="I40" s="39" t="str">
        <f ca="1">IFERROR(__xludf.DUMMYFUNCTION("IF(SUM(COUNTIF(artists!A:A, SPLIT(D40, "",""))) &gt; 0, ""UA"", 0)"),"UA")</f>
        <v>UA</v>
      </c>
      <c r="J40" s="40">
        <f ca="1">IFERROR(__xludf.DUMMYFUNCTION("IF(SUM(COUNTIF(artists!C:C, SPLIT(D40, "",""))) &gt; 0, ""RU"", 0)"),0)</f>
        <v>0</v>
      </c>
      <c r="K40" s="39">
        <f ca="1">IFERROR(__xludf.DUMMYFUNCTION("IF(SUM(COUNTIF(artists!E:E, SPLIT(D40, "",""))) &gt; 0, ""OTHER"", 0)"),0)</f>
        <v>0</v>
      </c>
    </row>
    <row r="41" spans="1:11" ht="14.25" customHeight="1">
      <c r="A41" s="21">
        <v>40</v>
      </c>
      <c r="B41" s="21">
        <v>38</v>
      </c>
      <c r="C41" s="21" t="s">
        <v>632</v>
      </c>
      <c r="D41" s="21" t="s">
        <v>633</v>
      </c>
      <c r="E41" s="21">
        <v>12</v>
      </c>
      <c r="F41" s="21">
        <v>299351</v>
      </c>
      <c r="G41" s="42">
        <v>-6.8000000000000005E-2</v>
      </c>
      <c r="H41" s="21" t="s">
        <v>634</v>
      </c>
      <c r="I41" s="39" t="str">
        <f ca="1">IFERROR(__xludf.DUMMYFUNCTION("IF(SUM(COUNTIF(artists!A:A, SPLIT(D41, "",""))) &gt; 0, ""UA"", 0)"),"UA")</f>
        <v>UA</v>
      </c>
      <c r="J41" s="40">
        <f ca="1">IFERROR(__xludf.DUMMYFUNCTION("IF(SUM(COUNTIF(artists!C:C, SPLIT(D41, "",""))) &gt; 0, ""RU"", 0)"),0)</f>
        <v>0</v>
      </c>
      <c r="K41" s="39">
        <f ca="1">IFERROR(__xludf.DUMMYFUNCTION("IF(SUM(COUNTIF(artists!E:E, SPLIT(D41, "",""))) &gt; 0, ""OTHER"", 0)"),0)</f>
        <v>0</v>
      </c>
    </row>
    <row r="42" spans="1:11" ht="14.25" customHeight="1">
      <c r="A42" s="21">
        <v>41</v>
      </c>
      <c r="C42" s="21" t="s">
        <v>882</v>
      </c>
      <c r="D42" s="21" t="s">
        <v>883</v>
      </c>
      <c r="E42" s="21">
        <v>30</v>
      </c>
      <c r="F42" s="21">
        <v>296739</v>
      </c>
      <c r="H42" s="21" t="s">
        <v>867</v>
      </c>
      <c r="I42" s="39">
        <f ca="1">IFERROR(__xludf.DUMMYFUNCTION("IF(SUM(COUNTIF(artists!A:A, SPLIT(D42, "",""))) &gt; 0, ""UA"", 0)"),0)</f>
        <v>0</v>
      </c>
      <c r="J42" s="40" t="str">
        <f ca="1">IFERROR(__xludf.DUMMYFUNCTION("IF(SUM(COUNTIF(artists!C:C, SPLIT(D42, "",""))) &gt; 0, ""RU"", 0)"),"RU")</f>
        <v>RU</v>
      </c>
      <c r="K42" s="39">
        <f ca="1">IFERROR(__xludf.DUMMYFUNCTION("IF(SUM(COUNTIF(artists!E:E, SPLIT(D42, "",""))) &gt; 0, ""OTHER"", 0)"),0)</f>
        <v>0</v>
      </c>
    </row>
    <row r="43" spans="1:11" ht="14.25" customHeight="1">
      <c r="A43" s="21">
        <v>42</v>
      </c>
      <c r="B43" s="21">
        <v>49</v>
      </c>
      <c r="C43" s="21" t="s">
        <v>178</v>
      </c>
      <c r="D43" s="21" t="s">
        <v>179</v>
      </c>
      <c r="E43" s="21">
        <v>12</v>
      </c>
      <c r="F43" s="21">
        <v>293516</v>
      </c>
      <c r="G43" s="42">
        <v>5.5E-2</v>
      </c>
      <c r="H43" s="21" t="s">
        <v>181</v>
      </c>
      <c r="I43" s="39" t="str">
        <f ca="1">IFERROR(__xludf.DUMMYFUNCTION("IF(SUM(COUNTIF(artists!A:A, SPLIT(D43, "",""))) &gt; 0, ""UA"", 0)"),"UA")</f>
        <v>UA</v>
      </c>
      <c r="J43" s="40">
        <f ca="1">IFERROR(__xludf.DUMMYFUNCTION("IF(SUM(COUNTIF(artists!C:C, SPLIT(D43, "",""))) &gt; 0, ""RU"", 0)"),0)</f>
        <v>0</v>
      </c>
      <c r="K43" s="39">
        <f ca="1">IFERROR(__xludf.DUMMYFUNCTION("IF(SUM(COUNTIF(artists!E:E, SPLIT(D43, "",""))) &gt; 0, ""OTHER"", 0)"),0)</f>
        <v>0</v>
      </c>
    </row>
    <row r="44" spans="1:11" ht="14.25" customHeight="1">
      <c r="A44" s="21">
        <v>43</v>
      </c>
      <c r="B44" s="21">
        <v>44</v>
      </c>
      <c r="C44" s="21" t="s">
        <v>1500</v>
      </c>
      <c r="D44" s="21" t="s">
        <v>907</v>
      </c>
      <c r="E44" s="21">
        <v>38</v>
      </c>
      <c r="F44" s="21">
        <v>288744</v>
      </c>
      <c r="G44" s="42">
        <v>-1.0999999999999999E-2</v>
      </c>
      <c r="H44" s="21" t="s">
        <v>1501</v>
      </c>
      <c r="I44" s="39">
        <f ca="1">IFERROR(__xludf.DUMMYFUNCTION("IF(SUM(COUNTIF(artists!A:A, SPLIT(D44, "",""))) &gt; 0, ""UA"", 0)"),0)</f>
        <v>0</v>
      </c>
      <c r="J44" s="40" t="str">
        <f ca="1">IFERROR(__xludf.DUMMYFUNCTION("IF(SUM(COUNTIF(artists!C:C, SPLIT(D44, "",""))) &gt; 0, ""RU"", 0)"),"RU")</f>
        <v>RU</v>
      </c>
      <c r="K44" s="39">
        <f ca="1">IFERROR(__xludf.DUMMYFUNCTION("IF(SUM(COUNTIF(artists!E:E, SPLIT(D44, "",""))) &gt; 0, ""OTHER"", 0)"),0)</f>
        <v>0</v>
      </c>
    </row>
    <row r="45" spans="1:11" ht="14.25" customHeight="1">
      <c r="A45" s="21">
        <v>44</v>
      </c>
      <c r="B45" s="21">
        <v>26</v>
      </c>
      <c r="C45" s="21" t="s">
        <v>1377</v>
      </c>
      <c r="D45" s="21" t="s">
        <v>463</v>
      </c>
      <c r="E45" s="21">
        <v>7</v>
      </c>
      <c r="F45" s="21">
        <v>282935</v>
      </c>
      <c r="G45" s="42">
        <v>-0.27600000000000002</v>
      </c>
      <c r="H45" s="21" t="s">
        <v>1378</v>
      </c>
      <c r="I45" s="39" t="str">
        <f ca="1">IFERROR(__xludf.DUMMYFUNCTION("IF(SUM(COUNTIF(artists!A:A, SPLIT(D45, "",""))) &gt; 0, ""UA"", 0)"),"UA")</f>
        <v>UA</v>
      </c>
      <c r="J45" s="40">
        <f ca="1">IFERROR(__xludf.DUMMYFUNCTION("IF(SUM(COUNTIF(artists!C:C, SPLIT(D45, "",""))) &gt; 0, ""RU"", 0)"),0)</f>
        <v>0</v>
      </c>
      <c r="K45" s="39">
        <f ca="1">IFERROR(__xludf.DUMMYFUNCTION("IF(SUM(COUNTIF(artists!E:E, SPLIT(D45, "",""))) &gt; 0, ""OTHER"", 0)"),0)</f>
        <v>0</v>
      </c>
    </row>
    <row r="46" spans="1:11" ht="14.25" customHeight="1">
      <c r="A46" s="21">
        <v>45</v>
      </c>
      <c r="B46" s="21">
        <v>46</v>
      </c>
      <c r="C46" s="21" t="s">
        <v>1518</v>
      </c>
      <c r="D46" s="21" t="s">
        <v>108</v>
      </c>
      <c r="E46" s="21">
        <v>20</v>
      </c>
      <c r="F46" s="21">
        <v>280515</v>
      </c>
      <c r="G46" s="42">
        <v>-1.7000000000000001E-2</v>
      </c>
      <c r="H46" s="21" t="s">
        <v>1519</v>
      </c>
      <c r="I46" s="39" t="str">
        <f ca="1">IFERROR(__xludf.DUMMYFUNCTION("IF(SUM(COUNTIF(artists!A:A, SPLIT(D46, "",""))) &gt; 0, ""UA"", 0)"),"UA")</f>
        <v>UA</v>
      </c>
      <c r="J46" s="40">
        <f ca="1">IFERROR(__xludf.DUMMYFUNCTION("IF(SUM(COUNTIF(artists!C:C, SPLIT(D46, "",""))) &gt; 0, ""RU"", 0)"),0)</f>
        <v>0</v>
      </c>
      <c r="K46" s="39">
        <f ca="1">IFERROR(__xludf.DUMMYFUNCTION("IF(SUM(COUNTIF(artists!E:E, SPLIT(D46, "",""))) &gt; 0, ""OTHER"", 0)"),0)</f>
        <v>0</v>
      </c>
    </row>
    <row r="47" spans="1:11" ht="14.25" customHeight="1">
      <c r="A47" s="21">
        <v>46</v>
      </c>
      <c r="C47" s="21" t="s">
        <v>1556</v>
      </c>
      <c r="D47" s="21" t="s">
        <v>1411</v>
      </c>
      <c r="E47" s="21">
        <v>31</v>
      </c>
      <c r="F47" s="21">
        <v>274160</v>
      </c>
      <c r="H47" s="21" t="s">
        <v>1557</v>
      </c>
      <c r="I47" s="39">
        <f ca="1">IFERROR(__xludf.DUMMYFUNCTION("IF(SUM(COUNTIF(artists!A:A, SPLIT(D47, "",""))) &gt; 0, ""UA"", 0)"),0)</f>
        <v>0</v>
      </c>
      <c r="J47" s="40" t="str">
        <f ca="1">IFERROR(__xludf.DUMMYFUNCTION("IF(SUM(COUNTIF(artists!C:C, SPLIT(D47, "",""))) &gt; 0, ""RU"", 0)"),"RU")</f>
        <v>RU</v>
      </c>
      <c r="K47" s="39">
        <f ca="1">IFERROR(__xludf.DUMMYFUNCTION("IF(SUM(COUNTIF(artists!E:E, SPLIT(D47, "",""))) &gt; 0, ""OTHER"", 0)"),0)</f>
        <v>0</v>
      </c>
    </row>
    <row r="48" spans="1:11" ht="14.25" customHeight="1">
      <c r="A48" s="21">
        <v>47</v>
      </c>
      <c r="B48" s="21">
        <v>48</v>
      </c>
      <c r="C48" s="21" t="s">
        <v>1261</v>
      </c>
      <c r="D48" s="21" t="s">
        <v>137</v>
      </c>
      <c r="E48" s="21">
        <v>25</v>
      </c>
      <c r="F48" s="21">
        <v>272744</v>
      </c>
      <c r="G48" s="42">
        <v>-2.8000000000000001E-2</v>
      </c>
      <c r="H48" s="21" t="s">
        <v>1262</v>
      </c>
      <c r="I48" s="39" t="str">
        <f ca="1">IFERROR(__xludf.DUMMYFUNCTION("IF(SUM(COUNTIF(artists!A:A, SPLIT(D48, "",""))) &gt; 0, ""UA"", 0)"),"UA")</f>
        <v>UA</v>
      </c>
      <c r="J48" s="40">
        <f ca="1">IFERROR(__xludf.DUMMYFUNCTION("IF(SUM(COUNTIF(artists!C:C, SPLIT(D48, "",""))) &gt; 0, ""RU"", 0)"),0)</f>
        <v>0</v>
      </c>
      <c r="K48" s="39">
        <f ca="1">IFERROR(__xludf.DUMMYFUNCTION("IF(SUM(COUNTIF(artists!E:E, SPLIT(D48, "",""))) &gt; 0, ""OTHER"", 0)"),0)</f>
        <v>0</v>
      </c>
    </row>
    <row r="49" spans="1:11" ht="14.25" customHeight="1">
      <c r="A49" s="21">
        <v>48</v>
      </c>
      <c r="B49" s="21">
        <v>54</v>
      </c>
      <c r="C49" s="21" t="s">
        <v>1242</v>
      </c>
      <c r="D49" s="21" t="s">
        <v>969</v>
      </c>
      <c r="E49" s="21">
        <v>7</v>
      </c>
      <c r="F49" s="21">
        <v>269417</v>
      </c>
      <c r="G49" s="42">
        <v>5.1999999999999998E-2</v>
      </c>
      <c r="H49" s="21" t="s">
        <v>1243</v>
      </c>
      <c r="I49" s="39" t="str">
        <f ca="1">IFERROR(__xludf.DUMMYFUNCTION("IF(SUM(COUNTIF(artists!A:A, SPLIT(D49, "",""))) &gt; 0, ""UA"", 0)"),"UA")</f>
        <v>UA</v>
      </c>
      <c r="J49" s="40">
        <f ca="1">IFERROR(__xludf.DUMMYFUNCTION("IF(SUM(COUNTIF(artists!C:C, SPLIT(D49, "",""))) &gt; 0, ""RU"", 0)"),0)</f>
        <v>0</v>
      </c>
      <c r="K49" s="39">
        <f ca="1">IFERROR(__xludf.DUMMYFUNCTION("IF(SUM(COUNTIF(artists!E:E, SPLIT(D49, "",""))) &gt; 0, ""OTHER"", 0)"),0)</f>
        <v>0</v>
      </c>
    </row>
    <row r="50" spans="1:11" ht="14.25" customHeight="1">
      <c r="A50" s="21">
        <v>49</v>
      </c>
      <c r="B50" s="21">
        <v>45</v>
      </c>
      <c r="C50" s="21" t="s">
        <v>1343</v>
      </c>
      <c r="D50" s="21" t="s">
        <v>1344</v>
      </c>
      <c r="E50" s="21">
        <v>3</v>
      </c>
      <c r="F50" s="21">
        <v>268386</v>
      </c>
      <c r="G50" s="42">
        <v>-7.4999999999999997E-2</v>
      </c>
      <c r="H50" s="21" t="s">
        <v>1345</v>
      </c>
      <c r="I50" s="39" t="str">
        <f ca="1">IFERROR(__xludf.DUMMYFUNCTION("IF(SUM(COUNTIF(artists!A:A, SPLIT(D50, "",""))) &gt; 0, ""UA"", 0)"),"UA")</f>
        <v>UA</v>
      </c>
      <c r="J50" s="40">
        <f ca="1">IFERROR(__xludf.DUMMYFUNCTION("IF(SUM(COUNTIF(artists!C:C, SPLIT(D50, "",""))) &gt; 0, ""RU"", 0)"),0)</f>
        <v>0</v>
      </c>
      <c r="K50" s="39">
        <f ca="1">IFERROR(__xludf.DUMMYFUNCTION("IF(SUM(COUNTIF(artists!E:E, SPLIT(D50, "",""))) &gt; 0, ""OTHER"", 0)"),0)</f>
        <v>0</v>
      </c>
    </row>
    <row r="51" spans="1:11" ht="14.25" customHeight="1">
      <c r="A51" s="21">
        <v>50</v>
      </c>
      <c r="C51" s="21" t="s">
        <v>149</v>
      </c>
      <c r="D51" s="21" t="s">
        <v>150</v>
      </c>
      <c r="E51" s="21">
        <v>1</v>
      </c>
      <c r="F51" s="21">
        <v>267515</v>
      </c>
      <c r="H51" s="21" t="s">
        <v>152</v>
      </c>
      <c r="I51" s="39" t="str">
        <f ca="1">IFERROR(__xludf.DUMMYFUNCTION("IF(SUM(COUNTIF(artists!A:A, SPLIT(D51, "",""))) &gt; 0, ""UA"", 0)"),"UA")</f>
        <v>UA</v>
      </c>
      <c r="J51" s="40">
        <f ca="1">IFERROR(__xludf.DUMMYFUNCTION("IF(SUM(COUNTIF(artists!C:C, SPLIT(D51, "",""))) &gt; 0, ""RU"", 0)"),0)</f>
        <v>0</v>
      </c>
      <c r="K51" s="39">
        <f ca="1">IFERROR(__xludf.DUMMYFUNCTION("IF(SUM(COUNTIF(artists!E:E, SPLIT(D51, "",""))) &gt; 0, ""OTHER"", 0)"),0)</f>
        <v>0</v>
      </c>
    </row>
    <row r="52" spans="1:11" ht="14.25" customHeight="1">
      <c r="A52" s="21">
        <v>51</v>
      </c>
      <c r="B52" s="21">
        <v>42</v>
      </c>
      <c r="C52" s="21" t="s">
        <v>1318</v>
      </c>
      <c r="D52" s="21" t="s">
        <v>1319</v>
      </c>
      <c r="E52" s="21">
        <v>5</v>
      </c>
      <c r="F52" s="21">
        <v>263616</v>
      </c>
      <c r="G52" s="42">
        <v>-0.123</v>
      </c>
      <c r="H52" s="21" t="s">
        <v>1320</v>
      </c>
      <c r="I52" s="39">
        <f ca="1">IFERROR(__xludf.DUMMYFUNCTION("IF(SUM(COUNTIF(artists!A:A, SPLIT(D52, "",""))) &gt; 0, ""UA"", 0)"),0)</f>
        <v>0</v>
      </c>
      <c r="J52" s="40" t="str">
        <f ca="1">IFERROR(__xludf.DUMMYFUNCTION("IF(SUM(COUNTIF(artists!C:C, SPLIT(D52, "",""))) &gt; 0, ""RU"", 0)"),"RU")</f>
        <v>RU</v>
      </c>
      <c r="K52" s="39">
        <f ca="1">IFERROR(__xludf.DUMMYFUNCTION("IF(SUM(COUNTIF(artists!E:E, SPLIT(D52, "",""))) &gt; 0, ""OTHER"", 0)"),0)</f>
        <v>0</v>
      </c>
    </row>
    <row r="53" spans="1:11" ht="14.25" customHeight="1">
      <c r="A53" s="21">
        <v>52</v>
      </c>
      <c r="B53" s="21">
        <v>52</v>
      </c>
      <c r="C53" s="21" t="s">
        <v>118</v>
      </c>
      <c r="D53" s="21" t="s">
        <v>586</v>
      </c>
      <c r="E53" s="21">
        <v>18</v>
      </c>
      <c r="F53" s="21">
        <v>261141</v>
      </c>
      <c r="G53" s="42">
        <v>3.0000000000000001E-3</v>
      </c>
      <c r="H53" s="21" t="s">
        <v>587</v>
      </c>
      <c r="I53" s="39" t="str">
        <f ca="1">IFERROR(__xludf.DUMMYFUNCTION("IF(SUM(COUNTIF(artists!A:A, SPLIT(D53, "",""))) &gt; 0, ""UA"", 0)"),"UA")</f>
        <v>UA</v>
      </c>
      <c r="J53" s="40">
        <f ca="1">IFERROR(__xludf.DUMMYFUNCTION("IF(SUM(COUNTIF(artists!C:C, SPLIT(D53, "",""))) &gt; 0, ""RU"", 0)"),0)</f>
        <v>0</v>
      </c>
      <c r="K53" s="39">
        <f ca="1">IFERROR(__xludf.DUMMYFUNCTION("IF(SUM(COUNTIF(artists!E:E, SPLIT(D53, "",""))) &gt; 0, ""OTHER"", 0)"),0)</f>
        <v>0</v>
      </c>
    </row>
    <row r="54" spans="1:11" ht="14.25" customHeight="1">
      <c r="A54" s="21">
        <v>53</v>
      </c>
      <c r="B54" s="21">
        <v>43</v>
      </c>
      <c r="C54" s="21" t="s">
        <v>1182</v>
      </c>
      <c r="D54" s="21" t="s">
        <v>466</v>
      </c>
      <c r="E54" s="21">
        <v>10</v>
      </c>
      <c r="F54" s="21">
        <v>258611</v>
      </c>
      <c r="G54" s="42">
        <v>-0.11600000000000001</v>
      </c>
      <c r="H54" s="21" t="s">
        <v>1183</v>
      </c>
      <c r="I54" s="39" t="str">
        <f ca="1">IFERROR(__xludf.DUMMYFUNCTION("IF(SUM(COUNTIF(artists!A:A, SPLIT(D54, "",""))) &gt; 0, ""UA"", 0)"),"UA")</f>
        <v>UA</v>
      </c>
      <c r="J54" s="40">
        <f ca="1">IFERROR(__xludf.DUMMYFUNCTION("IF(SUM(COUNTIF(artists!C:C, SPLIT(D54, "",""))) &gt; 0, ""RU"", 0)"),0)</f>
        <v>0</v>
      </c>
      <c r="K54" s="39">
        <f ca="1">IFERROR(__xludf.DUMMYFUNCTION("IF(SUM(COUNTIF(artists!E:E, SPLIT(D54, "",""))) &gt; 0, ""OTHER"", 0)"),0)</f>
        <v>0</v>
      </c>
    </row>
    <row r="55" spans="1:11" ht="14.25" customHeight="1">
      <c r="A55" s="21">
        <v>54</v>
      </c>
      <c r="B55" s="21">
        <v>51</v>
      </c>
      <c r="C55" s="21" t="s">
        <v>1290</v>
      </c>
      <c r="D55" s="21" t="s">
        <v>942</v>
      </c>
      <c r="E55" s="21">
        <v>12</v>
      </c>
      <c r="F55" s="21">
        <v>257573</v>
      </c>
      <c r="G55" s="42">
        <v>-2.4E-2</v>
      </c>
      <c r="H55" s="21" t="s">
        <v>1291</v>
      </c>
      <c r="I55" s="39" t="str">
        <f ca="1">IFERROR(__xludf.DUMMYFUNCTION("IF(SUM(COUNTIF(artists!A:A, SPLIT(D55, "",""))) &gt; 0, ""UA"", 0)"),"UA")</f>
        <v>UA</v>
      </c>
      <c r="J55" s="40">
        <f ca="1">IFERROR(__xludf.DUMMYFUNCTION("IF(SUM(COUNTIF(artists!C:C, SPLIT(D55, "",""))) &gt; 0, ""RU"", 0)"),0)</f>
        <v>0</v>
      </c>
      <c r="K55" s="39">
        <f ca="1">IFERROR(__xludf.DUMMYFUNCTION("IF(SUM(COUNTIF(artists!E:E, SPLIT(D55, "",""))) &gt; 0, ""OTHER"", 0)"),0)</f>
        <v>0</v>
      </c>
    </row>
    <row r="56" spans="1:11" ht="14.25" customHeight="1">
      <c r="A56" s="21">
        <v>55</v>
      </c>
      <c r="C56" s="21" t="s">
        <v>1116</v>
      </c>
      <c r="D56" s="21" t="s">
        <v>1117</v>
      </c>
      <c r="E56" s="21">
        <v>28</v>
      </c>
      <c r="F56" s="21">
        <v>256488</v>
      </c>
      <c r="H56" s="21" t="s">
        <v>1118</v>
      </c>
      <c r="I56" s="39">
        <f ca="1">IFERROR(__xludf.DUMMYFUNCTION("IF(SUM(COUNTIF(artists!A:A, SPLIT(D56, "",""))) &gt; 0, ""UA"", 0)"),0)</f>
        <v>0</v>
      </c>
      <c r="J56" s="40" t="str">
        <f ca="1">IFERROR(__xludf.DUMMYFUNCTION("IF(SUM(COUNTIF(artists!C:C, SPLIT(D56, "",""))) &gt; 0, ""RU"", 0)"),"RU")</f>
        <v>RU</v>
      </c>
      <c r="K56" s="39">
        <f ca="1">IFERROR(__xludf.DUMMYFUNCTION("IF(SUM(COUNTIF(artists!E:E, SPLIT(D56, "",""))) &gt; 0, ""OTHER"", 0)"),0)</f>
        <v>0</v>
      </c>
    </row>
    <row r="57" spans="1:11" ht="14.25" customHeight="1">
      <c r="A57" s="21">
        <v>56</v>
      </c>
      <c r="C57" s="21" t="s">
        <v>1410</v>
      </c>
      <c r="D57" s="21" t="s">
        <v>1411</v>
      </c>
      <c r="E57" s="21">
        <v>2</v>
      </c>
      <c r="F57" s="21">
        <v>256486</v>
      </c>
      <c r="H57" s="21" t="s">
        <v>1412</v>
      </c>
      <c r="I57" s="39">
        <f ca="1">IFERROR(__xludf.DUMMYFUNCTION("IF(SUM(COUNTIF(artists!A:A, SPLIT(D57, "",""))) &gt; 0, ""UA"", 0)"),0)</f>
        <v>0</v>
      </c>
      <c r="J57" s="40" t="str">
        <f ca="1">IFERROR(__xludf.DUMMYFUNCTION("IF(SUM(COUNTIF(artists!C:C, SPLIT(D57, "",""))) &gt; 0, ""RU"", 0)"),"RU")</f>
        <v>RU</v>
      </c>
      <c r="K57" s="39">
        <f ca="1">IFERROR(__xludf.DUMMYFUNCTION("IF(SUM(COUNTIF(artists!E:E, SPLIT(D57, "",""))) &gt; 0, ""OTHER"", 0)"),0)</f>
        <v>0</v>
      </c>
    </row>
    <row r="58" spans="1:11" ht="14.25" customHeight="1">
      <c r="A58" s="21">
        <v>57</v>
      </c>
      <c r="B58" s="21">
        <v>59</v>
      </c>
      <c r="C58" s="21" t="s">
        <v>1381</v>
      </c>
      <c r="D58" s="21" t="s">
        <v>969</v>
      </c>
      <c r="E58" s="21">
        <v>19</v>
      </c>
      <c r="F58" s="21">
        <v>248930</v>
      </c>
      <c r="G58" s="42">
        <v>4.8000000000000001E-2</v>
      </c>
      <c r="H58" s="21" t="s">
        <v>1382</v>
      </c>
      <c r="I58" s="39" t="str">
        <f ca="1">IFERROR(__xludf.DUMMYFUNCTION("IF(SUM(COUNTIF(artists!A:A, SPLIT(D58, "",""))) &gt; 0, ""UA"", 0)"),"UA")</f>
        <v>UA</v>
      </c>
      <c r="J58" s="40">
        <f ca="1">IFERROR(__xludf.DUMMYFUNCTION("IF(SUM(COUNTIF(artists!C:C, SPLIT(D58, "",""))) &gt; 0, ""RU"", 0)"),0)</f>
        <v>0</v>
      </c>
      <c r="K58" s="39">
        <f ca="1">IFERROR(__xludf.DUMMYFUNCTION("IF(SUM(COUNTIF(artists!E:E, SPLIT(D58, "",""))) &gt; 0, ""OTHER"", 0)"),0)</f>
        <v>0</v>
      </c>
    </row>
    <row r="59" spans="1:11" ht="14.25" customHeight="1">
      <c r="A59" s="21">
        <v>58</v>
      </c>
      <c r="C59" s="21" t="s">
        <v>1522</v>
      </c>
      <c r="D59" s="21" t="s">
        <v>1025</v>
      </c>
      <c r="E59" s="21">
        <v>1</v>
      </c>
      <c r="F59" s="21">
        <v>245158</v>
      </c>
      <c r="H59" s="21" t="s">
        <v>1523</v>
      </c>
      <c r="I59" s="39" t="str">
        <f ca="1">IFERROR(__xludf.DUMMYFUNCTION("IF(SUM(COUNTIF(artists!A:A, SPLIT(D59, "",""))) &gt; 0, ""UA"", 0)"),"UA")</f>
        <v>UA</v>
      </c>
      <c r="J59" s="40">
        <f ca="1">IFERROR(__xludf.DUMMYFUNCTION("IF(SUM(COUNTIF(artists!C:C, SPLIT(D59, "",""))) &gt; 0, ""RU"", 0)"),0)</f>
        <v>0</v>
      </c>
      <c r="K59" s="39">
        <f ca="1">IFERROR(__xludf.DUMMYFUNCTION("IF(SUM(COUNTIF(artists!E:E, SPLIT(D59, "",""))) &gt; 0, ""OTHER"", 0)"),0)</f>
        <v>0</v>
      </c>
    </row>
    <row r="60" spans="1:11" ht="14.25" customHeight="1">
      <c r="A60" s="21">
        <v>59</v>
      </c>
      <c r="C60" s="21" t="s">
        <v>1558</v>
      </c>
      <c r="D60" s="21" t="s">
        <v>1411</v>
      </c>
      <c r="E60" s="21">
        <v>1</v>
      </c>
      <c r="F60" s="21">
        <v>244037</v>
      </c>
      <c r="H60" s="21" t="s">
        <v>1559</v>
      </c>
      <c r="I60" s="39">
        <f ca="1">IFERROR(__xludf.DUMMYFUNCTION("IF(SUM(COUNTIF(artists!A:A, SPLIT(D60, "",""))) &gt; 0, ""UA"", 0)"),0)</f>
        <v>0</v>
      </c>
      <c r="J60" s="40" t="str">
        <f ca="1">IFERROR(__xludf.DUMMYFUNCTION("IF(SUM(COUNTIF(artists!C:C, SPLIT(D60, "",""))) &gt; 0, ""RU"", 0)"),"RU")</f>
        <v>RU</v>
      </c>
      <c r="K60" s="39">
        <f ca="1">IFERROR(__xludf.DUMMYFUNCTION("IF(SUM(COUNTIF(artists!E:E, SPLIT(D60, "",""))) &gt; 0, ""OTHER"", 0)"),0)</f>
        <v>0</v>
      </c>
    </row>
    <row r="61" spans="1:11" ht="14.25" customHeight="1">
      <c r="A61" s="21">
        <v>60</v>
      </c>
      <c r="B61" s="21">
        <v>65</v>
      </c>
      <c r="C61" s="21" t="s">
        <v>1298</v>
      </c>
      <c r="D61" s="21" t="s">
        <v>226</v>
      </c>
      <c r="E61" s="21">
        <v>14</v>
      </c>
      <c r="F61" s="21">
        <v>232184</v>
      </c>
      <c r="G61" s="42">
        <v>4.9000000000000002E-2</v>
      </c>
      <c r="H61" s="21" t="s">
        <v>1299</v>
      </c>
      <c r="I61" s="39" t="str">
        <f ca="1">IFERROR(__xludf.DUMMYFUNCTION("IF(SUM(COUNTIF(artists!A:A, SPLIT(D61, "",""))) &gt; 0, ""UA"", 0)"),"UA")</f>
        <v>UA</v>
      </c>
      <c r="J61" s="40">
        <f ca="1">IFERROR(__xludf.DUMMYFUNCTION("IF(SUM(COUNTIF(artists!C:C, SPLIT(D61, "",""))) &gt; 0, ""RU"", 0)"),0)</f>
        <v>0</v>
      </c>
      <c r="K61" s="39">
        <f ca="1">IFERROR(__xludf.DUMMYFUNCTION("IF(SUM(COUNTIF(artists!E:E, SPLIT(D61, "",""))) &gt; 0, ""OTHER"", 0)"),0)</f>
        <v>0</v>
      </c>
    </row>
    <row r="62" spans="1:11" ht="14.25" customHeight="1">
      <c r="A62" s="21">
        <v>61</v>
      </c>
      <c r="B62" s="21">
        <v>61</v>
      </c>
      <c r="C62" s="21" t="s">
        <v>636</v>
      </c>
      <c r="D62" s="21" t="s">
        <v>637</v>
      </c>
      <c r="E62" s="21">
        <v>9</v>
      </c>
      <c r="F62" s="21">
        <v>226663</v>
      </c>
      <c r="G62" s="42">
        <v>-3.1E-2</v>
      </c>
      <c r="H62" s="21" t="s">
        <v>638</v>
      </c>
      <c r="I62" s="39">
        <f ca="1">IFERROR(__xludf.DUMMYFUNCTION("IF(SUM(COUNTIF(artists!A:A, SPLIT(D62, "",""))) &gt; 0, ""UA"", 0)"),0)</f>
        <v>0</v>
      </c>
      <c r="J62" s="40">
        <f ca="1">IFERROR(__xludf.DUMMYFUNCTION("IF(SUM(COUNTIF(artists!C:C, SPLIT(D62, "",""))) &gt; 0, ""RU"", 0)"),0)</f>
        <v>0</v>
      </c>
      <c r="K62" s="39" t="str">
        <f ca="1">IFERROR(__xludf.DUMMYFUNCTION("IF(SUM(COUNTIF(artists!E:E, SPLIT(D62, "",""))) &gt; 0, ""OTHER"", 0)"),"OTHER")</f>
        <v>OTHER</v>
      </c>
    </row>
    <row r="63" spans="1:11" ht="14.25" customHeight="1">
      <c r="A63" s="21">
        <v>62</v>
      </c>
      <c r="B63" s="21">
        <v>28</v>
      </c>
      <c r="C63" s="21" t="s">
        <v>1471</v>
      </c>
      <c r="D63" s="21" t="s">
        <v>1472</v>
      </c>
      <c r="E63" s="21">
        <v>17</v>
      </c>
      <c r="F63" s="21">
        <v>216055</v>
      </c>
      <c r="G63" s="42">
        <v>-0.434</v>
      </c>
      <c r="H63" s="21" t="s">
        <v>1473</v>
      </c>
      <c r="I63" s="39" t="str">
        <f ca="1">IFERROR(__xludf.DUMMYFUNCTION("IF(SUM(COUNTIF(artists!A:A, SPLIT(D63, "",""))) &gt; 0, ""UA"", 0)"),"UA")</f>
        <v>UA</v>
      </c>
      <c r="J63" s="40">
        <f ca="1">IFERROR(__xludf.DUMMYFUNCTION("IF(SUM(COUNTIF(artists!C:C, SPLIT(D63, "",""))) &gt; 0, ""RU"", 0)"),0)</f>
        <v>0</v>
      </c>
      <c r="K63" s="39">
        <f ca="1">IFERROR(__xludf.DUMMYFUNCTION("IF(SUM(COUNTIF(artists!E:E, SPLIT(D63, "",""))) &gt; 0, ""OTHER"", 0)"),0)</f>
        <v>0</v>
      </c>
    </row>
    <row r="64" spans="1:11" ht="14.25" customHeight="1">
      <c r="A64" s="21">
        <v>63</v>
      </c>
      <c r="B64" s="21">
        <v>62</v>
      </c>
      <c r="C64" s="21" t="s">
        <v>470</v>
      </c>
      <c r="D64" s="21" t="s">
        <v>81</v>
      </c>
      <c r="E64" s="21">
        <v>17</v>
      </c>
      <c r="F64" s="21">
        <v>214640</v>
      </c>
      <c r="G64" s="42">
        <v>-6.5000000000000002E-2</v>
      </c>
      <c r="H64" s="21" t="s">
        <v>472</v>
      </c>
      <c r="I64" s="39" t="str">
        <f ca="1">IFERROR(__xludf.DUMMYFUNCTION("IF(SUM(COUNTIF(artists!A:A, SPLIT(D64, "",""))) &gt; 0, ""UA"", 0)"),"UA")</f>
        <v>UA</v>
      </c>
      <c r="J64" s="40">
        <f ca="1">IFERROR(__xludf.DUMMYFUNCTION("IF(SUM(COUNTIF(artists!C:C, SPLIT(D64, "",""))) &gt; 0, ""RU"", 0)"),0)</f>
        <v>0</v>
      </c>
      <c r="K64" s="39">
        <f ca="1">IFERROR(__xludf.DUMMYFUNCTION("IF(SUM(COUNTIF(artists!E:E, SPLIT(D64, "",""))) &gt; 0, ""OTHER"", 0)"),0)</f>
        <v>0</v>
      </c>
    </row>
    <row r="65" spans="1:11" ht="14.25" customHeight="1">
      <c r="A65" s="21">
        <v>64</v>
      </c>
      <c r="B65" s="21">
        <v>64</v>
      </c>
      <c r="C65" s="21" t="s">
        <v>1480</v>
      </c>
      <c r="D65" s="21" t="s">
        <v>1481</v>
      </c>
      <c r="E65" s="21">
        <v>13</v>
      </c>
      <c r="F65" s="21">
        <v>214500</v>
      </c>
      <c r="G65" s="42">
        <v>-3.5000000000000003E-2</v>
      </c>
      <c r="H65" s="21" t="s">
        <v>1482</v>
      </c>
      <c r="I65" s="39" t="str">
        <f ca="1">IFERROR(__xludf.DUMMYFUNCTION("IF(SUM(COUNTIF(artists!A:A, SPLIT(D65, "",""))) &gt; 0, ""UA"", 0)"),"UA")</f>
        <v>UA</v>
      </c>
      <c r="J65" s="40">
        <f ca="1">IFERROR(__xludf.DUMMYFUNCTION("IF(SUM(COUNTIF(artists!C:C, SPLIT(D65, "",""))) &gt; 0, ""RU"", 0)"),0)</f>
        <v>0</v>
      </c>
      <c r="K65" s="39">
        <f ca="1">IFERROR(__xludf.DUMMYFUNCTION("IF(SUM(COUNTIF(artists!E:E, SPLIT(D65, "",""))) &gt; 0, ""OTHER"", 0)"),0)</f>
        <v>0</v>
      </c>
    </row>
    <row r="66" spans="1:11" ht="14.25" customHeight="1">
      <c r="A66" s="21">
        <v>65</v>
      </c>
      <c r="B66" s="21">
        <v>63</v>
      </c>
      <c r="C66" s="21" t="s">
        <v>1477</v>
      </c>
      <c r="D66" s="21" t="s">
        <v>1478</v>
      </c>
      <c r="E66" s="21">
        <v>17</v>
      </c>
      <c r="F66" s="21">
        <v>209283</v>
      </c>
      <c r="G66" s="42">
        <v>-6.3E-2</v>
      </c>
      <c r="H66" s="21" t="s">
        <v>1479</v>
      </c>
      <c r="I66" s="39" t="str">
        <f ca="1">IFERROR(__xludf.DUMMYFUNCTION("IF(SUM(COUNTIF(artists!A:A, SPLIT(D66, "",""))) &gt; 0, ""UA"", 0)"),"UA")</f>
        <v>UA</v>
      </c>
      <c r="J66" s="40">
        <f ca="1">IFERROR(__xludf.DUMMYFUNCTION("IF(SUM(COUNTIF(artists!C:C, SPLIT(D66, "",""))) &gt; 0, ""RU"", 0)"),0)</f>
        <v>0</v>
      </c>
      <c r="K66" s="39">
        <f ca="1">IFERROR(__xludf.DUMMYFUNCTION("IF(SUM(COUNTIF(artists!E:E, SPLIT(D66, "",""))) &gt; 0, ""OTHER"", 0)"),0)</f>
        <v>0</v>
      </c>
    </row>
    <row r="67" spans="1:11" ht="14.25" customHeight="1">
      <c r="A67" s="21">
        <v>66</v>
      </c>
      <c r="B67" s="21">
        <v>57</v>
      </c>
      <c r="C67" s="21" t="s">
        <v>1463</v>
      </c>
      <c r="D67" s="21" t="s">
        <v>1344</v>
      </c>
      <c r="E67" s="21">
        <v>16</v>
      </c>
      <c r="F67" s="21">
        <v>208425</v>
      </c>
      <c r="G67" s="42">
        <v>-0.14399999999999999</v>
      </c>
      <c r="H67" s="21" t="s">
        <v>1464</v>
      </c>
      <c r="I67" s="39" t="str">
        <f ca="1">IFERROR(__xludf.DUMMYFUNCTION("IF(SUM(COUNTIF(artists!A:A, SPLIT(D67, "",""))) &gt; 0, ""UA"", 0)"),"UA")</f>
        <v>UA</v>
      </c>
      <c r="J67" s="40">
        <f ca="1">IFERROR(__xludf.DUMMYFUNCTION("IF(SUM(COUNTIF(artists!C:C, SPLIT(D67, "",""))) &gt; 0, ""RU"", 0)"),0)</f>
        <v>0</v>
      </c>
      <c r="K67" s="39">
        <f ca="1">IFERROR(__xludf.DUMMYFUNCTION("IF(SUM(COUNTIF(artists!E:E, SPLIT(D67, "",""))) &gt; 0, ""OTHER"", 0)"),0)</f>
        <v>0</v>
      </c>
    </row>
    <row r="68" spans="1:11" ht="14.25" customHeight="1">
      <c r="A68" s="21">
        <v>67</v>
      </c>
      <c r="C68" s="21" t="s">
        <v>1375</v>
      </c>
      <c r="D68" s="21" t="s">
        <v>907</v>
      </c>
      <c r="E68" s="21">
        <v>1</v>
      </c>
      <c r="F68" s="21">
        <v>201897</v>
      </c>
      <c r="H68" s="21" t="s">
        <v>1376</v>
      </c>
      <c r="I68" s="39">
        <f ca="1">IFERROR(__xludf.DUMMYFUNCTION("IF(SUM(COUNTIF(artists!A:A, SPLIT(D68, "",""))) &gt; 0, ""UA"", 0)"),0)</f>
        <v>0</v>
      </c>
      <c r="J68" s="40" t="str">
        <f ca="1">IFERROR(__xludf.DUMMYFUNCTION("IF(SUM(COUNTIF(artists!C:C, SPLIT(D68, "",""))) &gt; 0, ""RU"", 0)"),"RU")</f>
        <v>RU</v>
      </c>
      <c r="K68" s="39">
        <f ca="1">IFERROR(__xludf.DUMMYFUNCTION("IF(SUM(COUNTIF(artists!E:E, SPLIT(D68, "",""))) &gt; 0, ""OTHER"", 0)"),0)</f>
        <v>0</v>
      </c>
    </row>
    <row r="69" spans="1:11" ht="14.25" customHeight="1">
      <c r="A69" s="21">
        <v>68</v>
      </c>
      <c r="B69" s="21">
        <v>72</v>
      </c>
      <c r="C69" s="21" t="s">
        <v>1308</v>
      </c>
      <c r="D69" s="21" t="s">
        <v>1309</v>
      </c>
      <c r="E69" s="21">
        <v>3</v>
      </c>
      <c r="F69" s="21">
        <v>196069</v>
      </c>
      <c r="G69" s="42">
        <v>-2E-3</v>
      </c>
      <c r="H69" s="21" t="s">
        <v>1310</v>
      </c>
      <c r="I69" s="39" t="str">
        <f ca="1">IFERROR(__xludf.DUMMYFUNCTION("IF(SUM(COUNTIF(artists!A:A, SPLIT(D69, "",""))) &gt; 0, ""UA"", 0)"),"UA")</f>
        <v>UA</v>
      </c>
      <c r="J69" s="40">
        <f ca="1">IFERROR(__xludf.DUMMYFUNCTION("IF(SUM(COUNTIF(artists!C:C, SPLIT(D69, "",""))) &gt; 0, ""RU"", 0)"),0)</f>
        <v>0</v>
      </c>
      <c r="K69" s="39">
        <f ca="1">IFERROR(__xludf.DUMMYFUNCTION("IF(SUM(COUNTIF(artists!E:E, SPLIT(D69, "",""))) &gt; 0, ""OTHER"", 0)"),0)</f>
        <v>0</v>
      </c>
    </row>
    <row r="70" spans="1:11" ht="14.25" customHeight="1">
      <c r="A70" s="21">
        <v>69</v>
      </c>
      <c r="B70" s="21">
        <v>71</v>
      </c>
      <c r="C70" s="21" t="s">
        <v>160</v>
      </c>
      <c r="D70" s="21" t="s">
        <v>161</v>
      </c>
      <c r="E70" s="21">
        <v>2</v>
      </c>
      <c r="F70" s="21">
        <v>192763</v>
      </c>
      <c r="G70" s="42">
        <v>-2.5999999999999999E-2</v>
      </c>
      <c r="H70" s="21" t="s">
        <v>163</v>
      </c>
      <c r="I70" s="39" t="str">
        <f ca="1">IFERROR(__xludf.DUMMYFUNCTION("IF(SUM(COUNTIF(artists!A:A, SPLIT(D70, "",""))) &gt; 0, ""UA"", 0)"),"UA")</f>
        <v>UA</v>
      </c>
      <c r="J70" s="40">
        <f ca="1">IFERROR(__xludf.DUMMYFUNCTION("IF(SUM(COUNTIF(artists!C:C, SPLIT(D70, "",""))) &gt; 0, ""RU"", 0)"),0)</f>
        <v>0</v>
      </c>
      <c r="K70" s="39">
        <f ca="1">IFERROR(__xludf.DUMMYFUNCTION("IF(SUM(COUNTIF(artists!E:E, SPLIT(D70, "",""))) &gt; 0, ""OTHER"", 0)"),0)</f>
        <v>0</v>
      </c>
    </row>
    <row r="71" spans="1:11" ht="14.25" customHeight="1">
      <c r="A71" s="21">
        <v>70</v>
      </c>
      <c r="C71" s="21" t="s">
        <v>1560</v>
      </c>
      <c r="D71" s="21" t="s">
        <v>1561</v>
      </c>
      <c r="E71" s="21">
        <v>1</v>
      </c>
      <c r="F71" s="21">
        <v>191163</v>
      </c>
      <c r="H71" s="21" t="s">
        <v>1562</v>
      </c>
      <c r="I71" s="39" t="str">
        <f ca="1">IFERROR(__xludf.DUMMYFUNCTION("IF(SUM(COUNTIF(artists!A:A, SPLIT(D71, "",""))) &gt; 0, ""UA"", 0)"),"UA")</f>
        <v>UA</v>
      </c>
      <c r="J71" s="40">
        <f ca="1">IFERROR(__xludf.DUMMYFUNCTION("IF(SUM(COUNTIF(artists!C:C, SPLIT(D71, "",""))) &gt; 0, ""RU"", 0)"),0)</f>
        <v>0</v>
      </c>
      <c r="K71" s="39">
        <f ca="1">IFERROR(__xludf.DUMMYFUNCTION("IF(SUM(COUNTIF(artists!E:E, SPLIT(D71, "",""))) &gt; 0, ""OTHER"", 0)"),0)</f>
        <v>0</v>
      </c>
    </row>
    <row r="72" spans="1:11" ht="14.25" customHeight="1">
      <c r="A72" s="21">
        <v>71</v>
      </c>
      <c r="B72" s="21">
        <v>55</v>
      </c>
      <c r="C72" s="21" t="s">
        <v>1563</v>
      </c>
      <c r="D72" s="21" t="s">
        <v>712</v>
      </c>
      <c r="E72" s="21">
        <v>5</v>
      </c>
      <c r="F72" s="21">
        <v>190872</v>
      </c>
      <c r="G72" s="42">
        <v>-0.22700000000000001</v>
      </c>
      <c r="H72" s="21" t="s">
        <v>1564</v>
      </c>
      <c r="I72" s="39" t="str">
        <f ca="1">IFERROR(__xludf.DUMMYFUNCTION("IF(SUM(COUNTIF(artists!A:A, SPLIT(D72, "",""))) &gt; 0, ""UA"", 0)"),"UA")</f>
        <v>UA</v>
      </c>
      <c r="J72" s="40">
        <f ca="1">IFERROR(__xludf.DUMMYFUNCTION("IF(SUM(COUNTIF(artists!C:C, SPLIT(D72, "",""))) &gt; 0, ""RU"", 0)"),0)</f>
        <v>0</v>
      </c>
      <c r="K72" s="39">
        <f ca="1">IFERROR(__xludf.DUMMYFUNCTION("IF(SUM(COUNTIF(artists!E:E, SPLIT(D72, "",""))) &gt; 0, ""OTHER"", 0)"),0)</f>
        <v>0</v>
      </c>
    </row>
    <row r="73" spans="1:11" ht="14.25" customHeight="1">
      <c r="A73" s="21">
        <v>72</v>
      </c>
      <c r="B73" s="21">
        <v>56</v>
      </c>
      <c r="C73" s="21" t="s">
        <v>597</v>
      </c>
      <c r="D73" s="21" t="s">
        <v>598</v>
      </c>
      <c r="E73" s="21">
        <v>13</v>
      </c>
      <c r="F73" s="21">
        <v>190488</v>
      </c>
      <c r="G73" s="42">
        <v>-0.218</v>
      </c>
      <c r="H73" s="21" t="s">
        <v>600</v>
      </c>
      <c r="I73" s="39" t="str">
        <f ca="1">IFERROR(__xludf.DUMMYFUNCTION("IF(SUM(COUNTIF(artists!A:A, SPLIT(D73, "",""))) &gt; 0, ""UA"", 0)"),"UA")</f>
        <v>UA</v>
      </c>
      <c r="J73" s="40">
        <f ca="1">IFERROR(__xludf.DUMMYFUNCTION("IF(SUM(COUNTIF(artists!C:C, SPLIT(D73, "",""))) &gt; 0, ""RU"", 0)"),0)</f>
        <v>0</v>
      </c>
      <c r="K73" s="39">
        <f ca="1">IFERROR(__xludf.DUMMYFUNCTION("IF(SUM(COUNTIF(artists!E:E, SPLIT(D73, "",""))) &gt; 0, ""OTHER"", 0)"),0)</f>
        <v>0</v>
      </c>
    </row>
    <row r="74" spans="1:11" ht="14.25" customHeight="1">
      <c r="A74" s="21">
        <v>73</v>
      </c>
      <c r="B74" s="21">
        <v>70</v>
      </c>
      <c r="C74" s="21" t="s">
        <v>1387</v>
      </c>
      <c r="D74" s="21" t="s">
        <v>1388</v>
      </c>
      <c r="E74" s="21">
        <v>12</v>
      </c>
      <c r="F74" s="21">
        <v>189303</v>
      </c>
      <c r="G74" s="42">
        <v>-4.5999999999999999E-2</v>
      </c>
      <c r="H74" s="21" t="s">
        <v>1389</v>
      </c>
      <c r="I74" s="39">
        <f ca="1">IFERROR(__xludf.DUMMYFUNCTION("IF(SUM(COUNTIF(artists!A:A, SPLIT(D74, "",""))) &gt; 0, ""UA"", 0)"),0)</f>
        <v>0</v>
      </c>
      <c r="J74" s="40">
        <f ca="1">IFERROR(__xludf.DUMMYFUNCTION("IF(SUM(COUNTIF(artists!C:C, SPLIT(D74, "",""))) &gt; 0, ""RU"", 0)"),0)</f>
        <v>0</v>
      </c>
      <c r="K74" s="39" t="str">
        <f ca="1">IFERROR(__xludf.DUMMYFUNCTION("IF(SUM(COUNTIF(artists!E:E, SPLIT(D74, "",""))) &gt; 0, ""OTHER"", 0)"),"OTHER")</f>
        <v>OTHER</v>
      </c>
    </row>
    <row r="75" spans="1:11" ht="14.25" customHeight="1">
      <c r="A75" s="21">
        <v>74</v>
      </c>
      <c r="B75" s="21">
        <v>68</v>
      </c>
      <c r="C75" s="21" t="s">
        <v>1390</v>
      </c>
      <c r="D75" s="21" t="s">
        <v>259</v>
      </c>
      <c r="E75" s="21">
        <v>8</v>
      </c>
      <c r="F75" s="21">
        <v>189148</v>
      </c>
      <c r="G75" s="42">
        <v>-7.0999999999999994E-2</v>
      </c>
      <c r="H75" s="21" t="s">
        <v>1391</v>
      </c>
      <c r="I75" s="39" t="str">
        <f ca="1">IFERROR(__xludf.DUMMYFUNCTION("IF(SUM(COUNTIF(artists!A:A, SPLIT(D75, "",""))) &gt; 0, ""UA"", 0)"),"UA")</f>
        <v>UA</v>
      </c>
      <c r="J75" s="40">
        <f ca="1">IFERROR(__xludf.DUMMYFUNCTION("IF(SUM(COUNTIF(artists!C:C, SPLIT(D75, "",""))) &gt; 0, ""RU"", 0)"),0)</f>
        <v>0</v>
      </c>
      <c r="K75" s="39">
        <f ca="1">IFERROR(__xludf.DUMMYFUNCTION("IF(SUM(COUNTIF(artists!E:E, SPLIT(D75, "",""))) &gt; 0, ""OTHER"", 0)"),0)</f>
        <v>0</v>
      </c>
    </row>
    <row r="76" spans="1:11" ht="14.25" customHeight="1">
      <c r="A76" s="21">
        <v>75</v>
      </c>
      <c r="B76" s="21">
        <v>69</v>
      </c>
      <c r="C76" s="21" t="s">
        <v>1508</v>
      </c>
      <c r="D76" s="21" t="s">
        <v>776</v>
      </c>
      <c r="E76" s="21">
        <v>12</v>
      </c>
      <c r="F76" s="21">
        <v>179038</v>
      </c>
      <c r="G76" s="42">
        <v>-0.105</v>
      </c>
      <c r="H76" s="21" t="s">
        <v>1509</v>
      </c>
      <c r="I76" s="39" t="str">
        <f ca="1">IFERROR(__xludf.DUMMYFUNCTION("IF(SUM(COUNTIF(artists!A:A, SPLIT(D76, "",""))) &gt; 0, ""UA"", 0)"),"UA")</f>
        <v>UA</v>
      </c>
      <c r="J76" s="40">
        <f ca="1">IFERROR(__xludf.DUMMYFUNCTION("IF(SUM(COUNTIF(artists!C:C, SPLIT(D76, "",""))) &gt; 0, ""RU"", 0)"),0)</f>
        <v>0</v>
      </c>
      <c r="K76" s="39">
        <f ca="1">IFERROR(__xludf.DUMMYFUNCTION("IF(SUM(COUNTIF(artists!E:E, SPLIT(D76, "",""))) &gt; 0, ""OTHER"", 0)"),0)</f>
        <v>0</v>
      </c>
    </row>
    <row r="77" spans="1:11" ht="14.25" customHeight="1">
      <c r="A77" s="21">
        <v>76</v>
      </c>
      <c r="C77" s="21" t="s">
        <v>209</v>
      </c>
      <c r="D77" s="21" t="s">
        <v>210</v>
      </c>
      <c r="E77" s="21">
        <v>1</v>
      </c>
      <c r="F77" s="21">
        <v>177964</v>
      </c>
      <c r="H77" s="21" t="s">
        <v>212</v>
      </c>
      <c r="I77" s="39" t="str">
        <f ca="1">IFERROR(__xludf.DUMMYFUNCTION("IF(SUM(COUNTIF(artists!A:A, SPLIT(D77, "",""))) &gt; 0, ""UA"", 0)"),"UA")</f>
        <v>UA</v>
      </c>
      <c r="J77" s="40">
        <f ca="1">IFERROR(__xludf.DUMMYFUNCTION("IF(SUM(COUNTIF(artists!C:C, SPLIT(D77, "",""))) &gt; 0, ""RU"", 0)"),0)</f>
        <v>0</v>
      </c>
      <c r="K77" s="39">
        <f ca="1">IFERROR(__xludf.DUMMYFUNCTION("IF(SUM(COUNTIF(artists!E:E, SPLIT(D77, "",""))) &gt; 0, ""OTHER"", 0)"),0)</f>
        <v>0</v>
      </c>
    </row>
    <row r="78" spans="1:11" ht="14.25" customHeight="1">
      <c r="A78" s="21">
        <v>77</v>
      </c>
      <c r="B78" s="21">
        <v>90</v>
      </c>
      <c r="C78" s="21" t="s">
        <v>1385</v>
      </c>
      <c r="D78" s="21" t="s">
        <v>896</v>
      </c>
      <c r="E78" s="21">
        <v>5</v>
      </c>
      <c r="F78" s="21">
        <v>177637</v>
      </c>
      <c r="G78" s="42">
        <v>8.2000000000000003E-2</v>
      </c>
      <c r="H78" s="21" t="s">
        <v>1386</v>
      </c>
      <c r="I78" s="39" t="str">
        <f ca="1">IFERROR(__xludf.DUMMYFUNCTION("IF(SUM(COUNTIF(artists!A:A, SPLIT(D78, "",""))) &gt; 0, ""UA"", 0)"),"UA")</f>
        <v>UA</v>
      </c>
      <c r="J78" s="40">
        <f ca="1">IFERROR(__xludf.DUMMYFUNCTION("IF(SUM(COUNTIF(artists!C:C, SPLIT(D78, "",""))) &gt; 0, ""RU"", 0)"),0)</f>
        <v>0</v>
      </c>
      <c r="K78" s="39">
        <f ca="1">IFERROR(__xludf.DUMMYFUNCTION("IF(SUM(COUNTIF(artists!E:E, SPLIT(D78, "",""))) &gt; 0, ""OTHER"", 0)"),0)</f>
        <v>0</v>
      </c>
    </row>
    <row r="79" spans="1:11" ht="14.25" customHeight="1">
      <c r="A79" s="21">
        <v>78</v>
      </c>
      <c r="B79" s="21">
        <v>80</v>
      </c>
      <c r="C79" s="21" t="s">
        <v>1536</v>
      </c>
      <c r="D79" s="21" t="s">
        <v>1537</v>
      </c>
      <c r="E79" s="21">
        <v>9</v>
      </c>
      <c r="F79" s="21">
        <v>173157</v>
      </c>
      <c r="G79" s="42">
        <v>-3.6999999999999998E-2</v>
      </c>
      <c r="H79" s="21" t="s">
        <v>1538</v>
      </c>
      <c r="I79" s="39" t="str">
        <f ca="1">IFERROR(__xludf.DUMMYFUNCTION("IF(SUM(COUNTIF(artists!A:A, SPLIT(D79, "",""))) &gt; 0, ""UA"", 0)"),"UA")</f>
        <v>UA</v>
      </c>
      <c r="J79" s="40">
        <f ca="1">IFERROR(__xludf.DUMMYFUNCTION("IF(SUM(COUNTIF(artists!C:C, SPLIT(D79, "",""))) &gt; 0, ""RU"", 0)"),0)</f>
        <v>0</v>
      </c>
      <c r="K79" s="39">
        <f ca="1">IFERROR(__xludf.DUMMYFUNCTION("IF(SUM(COUNTIF(artists!E:E, SPLIT(D79, "",""))) &gt; 0, ""OTHER"", 0)"),0)</f>
        <v>0</v>
      </c>
    </row>
    <row r="80" spans="1:11" ht="14.25" customHeight="1">
      <c r="A80" s="21">
        <v>79</v>
      </c>
      <c r="C80" s="21" t="s">
        <v>1494</v>
      </c>
      <c r="D80" s="21" t="s">
        <v>125</v>
      </c>
      <c r="E80" s="21">
        <v>1</v>
      </c>
      <c r="F80" s="21">
        <v>173112</v>
      </c>
      <c r="H80" s="21" t="s">
        <v>1495</v>
      </c>
      <c r="I80" s="39">
        <f ca="1">IFERROR(__xludf.DUMMYFUNCTION("IF(SUM(COUNTIF(artists!A:A, SPLIT(D80, "",""))) &gt; 0, ""UA"", 0)"),0)</f>
        <v>0</v>
      </c>
      <c r="J80" s="40" t="str">
        <f ca="1">IFERROR(__xludf.DUMMYFUNCTION("IF(SUM(COUNTIF(artists!C:C, SPLIT(D80, "",""))) &gt; 0, ""RU"", 0)"),"RU")</f>
        <v>RU</v>
      </c>
      <c r="K80" s="39">
        <f ca="1">IFERROR(__xludf.DUMMYFUNCTION("IF(SUM(COUNTIF(artists!E:E, SPLIT(D80, "",""))) &gt; 0, ""OTHER"", 0)"),0)</f>
        <v>0</v>
      </c>
    </row>
    <row r="81" spans="1:11" ht="14.25" customHeight="1">
      <c r="A81" s="21">
        <v>80</v>
      </c>
      <c r="B81" s="21">
        <v>82</v>
      </c>
      <c r="C81" s="21" t="s">
        <v>1007</v>
      </c>
      <c r="D81" s="21" t="s">
        <v>1008</v>
      </c>
      <c r="E81" s="21">
        <v>17</v>
      </c>
      <c r="F81" s="21">
        <v>172156</v>
      </c>
      <c r="G81" s="42">
        <v>-5.0000000000000001E-3</v>
      </c>
      <c r="H81" s="21" t="s">
        <v>1009</v>
      </c>
      <c r="I81" s="39">
        <f ca="1">IFERROR(__xludf.DUMMYFUNCTION("IF(SUM(COUNTIF(artists!A:A, SPLIT(D81, "",""))) &gt; 0, ""UA"", 0)"),0)</f>
        <v>0</v>
      </c>
      <c r="J81" s="40" t="str">
        <f ca="1">IFERROR(__xludf.DUMMYFUNCTION("IF(SUM(COUNTIF(artists!C:C, SPLIT(D81, "",""))) &gt; 0, ""RU"", 0)"),"RU")</f>
        <v>RU</v>
      </c>
      <c r="K81" s="39">
        <f ca="1">IFERROR(__xludf.DUMMYFUNCTION("IF(SUM(COUNTIF(artists!E:E, SPLIT(D81, "",""))) &gt; 0, ""OTHER"", 0)"),0)</f>
        <v>0</v>
      </c>
    </row>
    <row r="82" spans="1:11" ht="14.25" customHeight="1">
      <c r="A82" s="21">
        <v>81</v>
      </c>
      <c r="B82" s="21">
        <v>73</v>
      </c>
      <c r="C82" s="21" t="s">
        <v>489</v>
      </c>
      <c r="D82" s="21" t="s">
        <v>490</v>
      </c>
      <c r="E82" s="21">
        <v>16</v>
      </c>
      <c r="F82" s="21">
        <v>171101</v>
      </c>
      <c r="G82" s="42">
        <v>-0.129</v>
      </c>
      <c r="H82" s="21" t="s">
        <v>491</v>
      </c>
      <c r="I82" s="39" t="str">
        <f ca="1">IFERROR(__xludf.DUMMYFUNCTION("IF(SUM(COUNTIF(artists!A:A, SPLIT(D82, "",""))) &gt; 0, ""UA"", 0)"),"UA")</f>
        <v>UA</v>
      </c>
      <c r="J82" s="40">
        <f ca="1">IFERROR(__xludf.DUMMYFUNCTION("IF(SUM(COUNTIF(artists!C:C, SPLIT(D82, "",""))) &gt; 0, ""RU"", 0)"),0)</f>
        <v>0</v>
      </c>
      <c r="K82" s="39">
        <f ca="1">IFERROR(__xludf.DUMMYFUNCTION("IF(SUM(COUNTIF(artists!E:E, SPLIT(D82, "",""))) &gt; 0, ""OTHER"", 0)"),0)</f>
        <v>0</v>
      </c>
    </row>
    <row r="83" spans="1:11" ht="14.25" customHeight="1">
      <c r="A83" s="21">
        <v>82</v>
      </c>
      <c r="B83" s="21">
        <v>81</v>
      </c>
      <c r="C83" s="21" t="s">
        <v>1530</v>
      </c>
      <c r="D83" s="21" t="s">
        <v>1531</v>
      </c>
      <c r="E83" s="21">
        <v>18</v>
      </c>
      <c r="F83" s="21">
        <v>170885</v>
      </c>
      <c r="G83" s="42">
        <v>-3.6999999999999998E-2</v>
      </c>
      <c r="H83" s="21" t="s">
        <v>1532</v>
      </c>
      <c r="I83" s="39">
        <f ca="1">IFERROR(__xludf.DUMMYFUNCTION("IF(SUM(COUNTIF(artists!A:A, SPLIT(D83, "",""))) &gt; 0, ""UA"", 0)"),0)</f>
        <v>0</v>
      </c>
      <c r="J83" s="40">
        <f ca="1">IFERROR(__xludf.DUMMYFUNCTION("IF(SUM(COUNTIF(artists!C:C, SPLIT(D83, "",""))) &gt; 0, ""RU"", 0)"),0)</f>
        <v>0</v>
      </c>
      <c r="K83" s="39" t="str">
        <f ca="1">IFERROR(__xludf.DUMMYFUNCTION("IF(SUM(COUNTIF(artists!E:E, SPLIT(D83, "",""))) &gt; 0, ""OTHER"", 0)"),"OTHER")</f>
        <v>OTHER</v>
      </c>
    </row>
    <row r="84" spans="1:11" ht="14.25" customHeight="1">
      <c r="A84" s="21">
        <v>83</v>
      </c>
      <c r="B84" s="21">
        <v>78</v>
      </c>
      <c r="C84" s="21" t="s">
        <v>1565</v>
      </c>
      <c r="D84" s="21" t="s">
        <v>1566</v>
      </c>
      <c r="E84" s="21">
        <v>6</v>
      </c>
      <c r="F84" s="21">
        <v>169931</v>
      </c>
      <c r="G84" s="42">
        <v>-6.4000000000000001E-2</v>
      </c>
      <c r="H84" s="21" t="s">
        <v>1567</v>
      </c>
      <c r="I84" s="39" t="str">
        <f ca="1">IFERROR(__xludf.DUMMYFUNCTION("IF(SUM(COUNTIF(artists!A:A, SPLIT(D84, "",""))) &gt; 0, ""UA"", 0)"),"UA")</f>
        <v>UA</v>
      </c>
      <c r="J84" s="40">
        <f ca="1">IFERROR(__xludf.DUMMYFUNCTION("IF(SUM(COUNTIF(artists!C:C, SPLIT(D84, "",""))) &gt; 0, ""RU"", 0)"),0)</f>
        <v>0</v>
      </c>
      <c r="K84" s="39">
        <f ca="1">IFERROR(__xludf.DUMMYFUNCTION("IF(SUM(COUNTIF(artists!E:E, SPLIT(D84, "",""))) &gt; 0, ""OTHER"", 0)"),0)</f>
        <v>0</v>
      </c>
    </row>
    <row r="85" spans="1:11" ht="14.25" customHeight="1">
      <c r="A85" s="21">
        <v>84</v>
      </c>
      <c r="B85" s="21">
        <v>83</v>
      </c>
      <c r="C85" s="21" t="s">
        <v>1551</v>
      </c>
      <c r="D85" s="21" t="s">
        <v>1344</v>
      </c>
      <c r="E85" s="21">
        <v>9</v>
      </c>
      <c r="F85" s="21">
        <v>169788</v>
      </c>
      <c r="G85" s="42">
        <v>-1.0999999999999999E-2</v>
      </c>
      <c r="H85" s="21" t="s">
        <v>1552</v>
      </c>
      <c r="I85" s="39" t="str">
        <f ca="1">IFERROR(__xludf.DUMMYFUNCTION("IF(SUM(COUNTIF(artists!A:A, SPLIT(D85, "",""))) &gt; 0, ""UA"", 0)"),"UA")</f>
        <v>UA</v>
      </c>
      <c r="J85" s="40">
        <f ca="1">IFERROR(__xludf.DUMMYFUNCTION("IF(SUM(COUNTIF(artists!C:C, SPLIT(D85, "",""))) &gt; 0, ""RU"", 0)"),0)</f>
        <v>0</v>
      </c>
      <c r="K85" s="39">
        <f ca="1">IFERROR(__xludf.DUMMYFUNCTION("IF(SUM(COUNTIF(artists!E:E, SPLIT(D85, "",""))) &gt; 0, ""OTHER"", 0)"),0)</f>
        <v>0</v>
      </c>
    </row>
    <row r="86" spans="1:11" ht="14.25" customHeight="1">
      <c r="A86" s="21">
        <v>85</v>
      </c>
      <c r="C86" s="21" t="s">
        <v>1568</v>
      </c>
      <c r="D86" s="21" t="s">
        <v>997</v>
      </c>
      <c r="E86" s="21">
        <v>1</v>
      </c>
      <c r="F86" s="21">
        <v>168983</v>
      </c>
      <c r="H86" s="21" t="s">
        <v>1569</v>
      </c>
      <c r="I86" s="39" t="str">
        <f ca="1">IFERROR(__xludf.DUMMYFUNCTION("IF(SUM(COUNTIF(artists!A:A, SPLIT(D86, "",""))) &gt; 0, ""UA"", 0)"),"UA")</f>
        <v>UA</v>
      </c>
      <c r="J86" s="40">
        <f ca="1">IFERROR(__xludf.DUMMYFUNCTION("IF(SUM(COUNTIF(artists!C:C, SPLIT(D86, "",""))) &gt; 0, ""RU"", 0)"),0)</f>
        <v>0</v>
      </c>
      <c r="K86" s="39">
        <f ca="1">IFERROR(__xludf.DUMMYFUNCTION("IF(SUM(COUNTIF(artists!E:E, SPLIT(D86, "",""))) &gt; 0, ""OTHER"", 0)"),0)</f>
        <v>0</v>
      </c>
    </row>
    <row r="87" spans="1:11" ht="14.25" customHeight="1">
      <c r="A87" s="21">
        <v>86</v>
      </c>
      <c r="B87" s="21">
        <v>76</v>
      </c>
      <c r="C87" s="21" t="s">
        <v>1369</v>
      </c>
      <c r="D87" s="21" t="s">
        <v>1370</v>
      </c>
      <c r="E87" s="21">
        <v>18</v>
      </c>
      <c r="F87" s="21">
        <v>168049</v>
      </c>
      <c r="G87" s="42">
        <v>-0.122</v>
      </c>
      <c r="H87" s="21" t="s">
        <v>1371</v>
      </c>
      <c r="I87" s="39" t="str">
        <f ca="1">IFERROR(__xludf.DUMMYFUNCTION("IF(SUM(COUNTIF(artists!A:A, SPLIT(D87, "",""))) &gt; 0, ""UA"", 0)"),"UA")</f>
        <v>UA</v>
      </c>
      <c r="J87" s="40">
        <f ca="1">IFERROR(__xludf.DUMMYFUNCTION("IF(SUM(COUNTIF(artists!C:C, SPLIT(D87, "",""))) &gt; 0, ""RU"", 0)"),0)</f>
        <v>0</v>
      </c>
      <c r="K87" s="39">
        <f ca="1">IFERROR(__xludf.DUMMYFUNCTION("IF(SUM(COUNTIF(artists!E:E, SPLIT(D87, "",""))) &gt; 0, ""OTHER"", 0)"),0)</f>
        <v>0</v>
      </c>
    </row>
    <row r="88" spans="1:11" ht="14.25" customHeight="1">
      <c r="A88" s="21">
        <v>87</v>
      </c>
      <c r="B88" s="21">
        <v>31</v>
      </c>
      <c r="C88" s="21" t="s">
        <v>1570</v>
      </c>
      <c r="D88" s="21" t="s">
        <v>1042</v>
      </c>
      <c r="E88" s="21">
        <v>3</v>
      </c>
      <c r="F88" s="21">
        <v>167585</v>
      </c>
      <c r="G88" s="42">
        <v>-0.55400000000000005</v>
      </c>
      <c r="H88" s="21" t="s">
        <v>1571</v>
      </c>
      <c r="I88" s="39">
        <f ca="1">IFERROR(__xludf.DUMMYFUNCTION("IF(SUM(COUNTIF(artists!A:A, SPLIT(D88, "",""))) &gt; 0, ""UA"", 0)"),0)</f>
        <v>0</v>
      </c>
      <c r="J88" s="40" t="str">
        <f ca="1">IFERROR(__xludf.DUMMYFUNCTION("IF(SUM(COUNTIF(artists!C:C, SPLIT(D88, "",""))) &gt; 0, ""RU"", 0)"),"RU")</f>
        <v>RU</v>
      </c>
      <c r="K88" s="39">
        <f ca="1">IFERROR(__xludf.DUMMYFUNCTION("IF(SUM(COUNTIF(artists!E:E, SPLIT(D88, "",""))) &gt; 0, ""OTHER"", 0)"),0)</f>
        <v>0</v>
      </c>
    </row>
    <row r="89" spans="1:11" ht="14.25" customHeight="1">
      <c r="A89" s="21">
        <v>88</v>
      </c>
      <c r="B89" s="21">
        <v>89</v>
      </c>
      <c r="C89" s="21" t="s">
        <v>1416</v>
      </c>
      <c r="D89" s="21" t="s">
        <v>137</v>
      </c>
      <c r="E89" s="21">
        <v>13</v>
      </c>
      <c r="F89" s="21">
        <v>165375</v>
      </c>
      <c r="G89" s="43">
        <v>0</v>
      </c>
      <c r="H89" s="21" t="s">
        <v>1417</v>
      </c>
      <c r="I89" s="39" t="str">
        <f ca="1">IFERROR(__xludf.DUMMYFUNCTION("IF(SUM(COUNTIF(artists!A:A, SPLIT(D89, "",""))) &gt; 0, ""UA"", 0)"),"UA")</f>
        <v>UA</v>
      </c>
      <c r="J89" s="40">
        <f ca="1">IFERROR(__xludf.DUMMYFUNCTION("IF(SUM(COUNTIF(artists!C:C, SPLIT(D89, "",""))) &gt; 0, ""RU"", 0)"),0)</f>
        <v>0</v>
      </c>
      <c r="K89" s="39">
        <f ca="1">IFERROR(__xludf.DUMMYFUNCTION("IF(SUM(COUNTIF(artists!E:E, SPLIT(D89, "",""))) &gt; 0, ""OTHER"", 0)"),0)</f>
        <v>0</v>
      </c>
    </row>
    <row r="90" spans="1:11" ht="14.25" customHeight="1">
      <c r="A90" s="21">
        <v>89</v>
      </c>
      <c r="B90" s="21">
        <v>66</v>
      </c>
      <c r="C90" s="21" t="s">
        <v>1487</v>
      </c>
      <c r="D90" s="21" t="s">
        <v>409</v>
      </c>
      <c r="E90" s="21">
        <v>18</v>
      </c>
      <c r="F90" s="21">
        <v>163650</v>
      </c>
      <c r="G90" s="42">
        <v>-0.219</v>
      </c>
      <c r="H90" s="21" t="s">
        <v>1488</v>
      </c>
      <c r="I90" s="39" t="str">
        <f ca="1">IFERROR(__xludf.DUMMYFUNCTION("IF(SUM(COUNTIF(artists!A:A, SPLIT(D90, "",""))) &gt; 0, ""UA"", 0)"),"UA")</f>
        <v>UA</v>
      </c>
      <c r="J90" s="40">
        <f ca="1">IFERROR(__xludf.DUMMYFUNCTION("IF(SUM(COUNTIF(artists!C:C, SPLIT(D90, "",""))) &gt; 0, ""RU"", 0)"),0)</f>
        <v>0</v>
      </c>
      <c r="K90" s="39">
        <f ca="1">IFERROR(__xludf.DUMMYFUNCTION("IF(SUM(COUNTIF(artists!E:E, SPLIT(D90, "",""))) &gt; 0, ""OTHER"", 0)"),0)</f>
        <v>0</v>
      </c>
    </row>
    <row r="91" spans="1:11" ht="14.25" customHeight="1">
      <c r="A91" s="21">
        <v>90</v>
      </c>
      <c r="B91" s="21">
        <v>93</v>
      </c>
      <c r="C91" s="21" t="s">
        <v>748</v>
      </c>
      <c r="D91" s="21" t="s">
        <v>586</v>
      </c>
      <c r="E91" s="21">
        <v>17</v>
      </c>
      <c r="F91" s="21">
        <v>162886</v>
      </c>
      <c r="G91" s="42">
        <v>3.9E-2</v>
      </c>
      <c r="H91" s="21" t="s">
        <v>749</v>
      </c>
      <c r="I91" s="39" t="str">
        <f ca="1">IFERROR(__xludf.DUMMYFUNCTION("IF(SUM(COUNTIF(artists!A:A, SPLIT(D91, "",""))) &gt; 0, ""UA"", 0)"),"UA")</f>
        <v>UA</v>
      </c>
      <c r="J91" s="40">
        <f ca="1">IFERROR(__xludf.DUMMYFUNCTION("IF(SUM(COUNTIF(artists!C:C, SPLIT(D91, "",""))) &gt; 0, ""RU"", 0)"),0)</f>
        <v>0</v>
      </c>
      <c r="K91" s="39">
        <f ca="1">IFERROR(__xludf.DUMMYFUNCTION("IF(SUM(COUNTIF(artists!E:E, SPLIT(D91, "",""))) &gt; 0, ""OTHER"", 0)"),0)</f>
        <v>0</v>
      </c>
    </row>
    <row r="92" spans="1:11" ht="14.25" customHeight="1">
      <c r="A92" s="21">
        <v>91</v>
      </c>
      <c r="B92" s="21">
        <v>75</v>
      </c>
      <c r="C92" s="21" t="s">
        <v>1379</v>
      </c>
      <c r="D92" s="21" t="s">
        <v>598</v>
      </c>
      <c r="E92" s="21">
        <v>6</v>
      </c>
      <c r="F92" s="21">
        <v>161364</v>
      </c>
      <c r="G92" s="42">
        <v>-0.159</v>
      </c>
      <c r="H92" s="21" t="s">
        <v>1380</v>
      </c>
      <c r="I92" s="39" t="str">
        <f ca="1">IFERROR(__xludf.DUMMYFUNCTION("IF(SUM(COUNTIF(artists!A:A, SPLIT(D92, "",""))) &gt; 0, ""UA"", 0)"),"UA")</f>
        <v>UA</v>
      </c>
      <c r="J92" s="40">
        <f ca="1">IFERROR(__xludf.DUMMYFUNCTION("IF(SUM(COUNTIF(artists!C:C, SPLIT(D92, "",""))) &gt; 0, ""RU"", 0)"),0)</f>
        <v>0</v>
      </c>
      <c r="K92" s="39">
        <f ca="1">IFERROR(__xludf.DUMMYFUNCTION("IF(SUM(COUNTIF(artists!E:E, SPLIT(D92, "",""))) &gt; 0, ""OTHER"", 0)"),0)</f>
        <v>0</v>
      </c>
    </row>
    <row r="93" spans="1:11" ht="14.25" customHeight="1">
      <c r="A93" s="21">
        <v>92</v>
      </c>
      <c r="B93" s="21">
        <v>86</v>
      </c>
      <c r="C93" s="21" t="s">
        <v>1234</v>
      </c>
      <c r="D93" s="21" t="s">
        <v>1193</v>
      </c>
      <c r="E93" s="21">
        <v>6</v>
      </c>
      <c r="F93" s="21">
        <v>158464</v>
      </c>
      <c r="G93" s="42">
        <v>-6.8000000000000005E-2</v>
      </c>
      <c r="H93" s="21" t="s">
        <v>1235</v>
      </c>
      <c r="I93" s="39" t="str">
        <f ca="1">IFERROR(__xludf.DUMMYFUNCTION("IF(SUM(COUNTIF(artists!A:A, SPLIT(D93, "",""))) &gt; 0, ""UA"", 0)"),"UA")</f>
        <v>UA</v>
      </c>
      <c r="J93" s="40">
        <f ca="1">IFERROR(__xludf.DUMMYFUNCTION("IF(SUM(COUNTIF(artists!C:C, SPLIT(D93, "",""))) &gt; 0, ""RU"", 0)"),0)</f>
        <v>0</v>
      </c>
      <c r="K93" s="39">
        <f ca="1">IFERROR(__xludf.DUMMYFUNCTION("IF(SUM(COUNTIF(artists!E:E, SPLIT(D93, "",""))) &gt; 0, ""OTHER"", 0)"),0)</f>
        <v>0</v>
      </c>
    </row>
    <row r="94" spans="1:11" ht="14.25" customHeight="1">
      <c r="A94" s="21">
        <v>93</v>
      </c>
      <c r="B94" s="21">
        <v>100</v>
      </c>
      <c r="C94" s="21" t="s">
        <v>678</v>
      </c>
      <c r="D94" s="21" t="s">
        <v>89</v>
      </c>
      <c r="E94" s="21">
        <v>9</v>
      </c>
      <c r="F94" s="21">
        <v>157578</v>
      </c>
      <c r="G94" s="42">
        <v>5.3999999999999999E-2</v>
      </c>
      <c r="H94" s="21" t="s">
        <v>679</v>
      </c>
      <c r="I94" s="39" t="str">
        <f ca="1">IFERROR(__xludf.DUMMYFUNCTION("IF(SUM(COUNTIF(artists!A:A, SPLIT(D94, "",""))) &gt; 0, ""UA"", 0)"),"UA")</f>
        <v>UA</v>
      </c>
      <c r="J94" s="40">
        <f ca="1">IFERROR(__xludf.DUMMYFUNCTION("IF(SUM(COUNTIF(artists!C:C, SPLIT(D94, "",""))) &gt; 0, ""RU"", 0)"),0)</f>
        <v>0</v>
      </c>
      <c r="K94" s="39">
        <f ca="1">IFERROR(__xludf.DUMMYFUNCTION("IF(SUM(COUNTIF(artists!E:E, SPLIT(D94, "",""))) &gt; 0, ""OTHER"", 0)"),0)</f>
        <v>0</v>
      </c>
    </row>
    <row r="95" spans="1:11" ht="14.25" customHeight="1">
      <c r="A95" s="21">
        <v>94</v>
      </c>
      <c r="B95" s="21">
        <v>84</v>
      </c>
      <c r="C95" s="21" t="s">
        <v>1572</v>
      </c>
      <c r="D95" s="21" t="s">
        <v>1573</v>
      </c>
      <c r="E95" s="21">
        <v>2</v>
      </c>
      <c r="F95" s="21">
        <v>154791</v>
      </c>
      <c r="G95" s="42">
        <v>-9.2999999999999999E-2</v>
      </c>
      <c r="H95" s="21" t="s">
        <v>1574</v>
      </c>
      <c r="I95" s="39" t="str">
        <f ca="1">IFERROR(__xludf.DUMMYFUNCTION("IF(SUM(COUNTIF(artists!A:A, SPLIT(D95, "",""))) &gt; 0, ""UA"", 0)"),"UA")</f>
        <v>UA</v>
      </c>
      <c r="J95" s="40">
        <f ca="1">IFERROR(__xludf.DUMMYFUNCTION("IF(SUM(COUNTIF(artists!C:C, SPLIT(D95, "",""))) &gt; 0, ""RU"", 0)"),0)</f>
        <v>0</v>
      </c>
      <c r="K95" s="39">
        <f ca="1">IFERROR(__xludf.DUMMYFUNCTION("IF(SUM(COUNTIF(artists!E:E, SPLIT(D95, "",""))) &gt; 0, ""OTHER"", 0)"),0)</f>
        <v>0</v>
      </c>
    </row>
    <row r="96" spans="1:11" ht="14.25" customHeight="1">
      <c r="A96" s="21">
        <v>95</v>
      </c>
      <c r="C96" s="21" t="s">
        <v>1544</v>
      </c>
      <c r="D96" s="21" t="s">
        <v>1411</v>
      </c>
      <c r="E96" s="21">
        <v>1</v>
      </c>
      <c r="F96" s="21">
        <v>154018</v>
      </c>
      <c r="H96" s="21" t="s">
        <v>1545</v>
      </c>
      <c r="I96" s="39">
        <f ca="1">IFERROR(__xludf.DUMMYFUNCTION("IF(SUM(COUNTIF(artists!A:A, SPLIT(D96, "",""))) &gt; 0, ""UA"", 0)"),0)</f>
        <v>0</v>
      </c>
      <c r="J96" s="40" t="str">
        <f ca="1">IFERROR(__xludf.DUMMYFUNCTION("IF(SUM(COUNTIF(artists!C:C, SPLIT(D96, "",""))) &gt; 0, ""RU"", 0)"),"RU")</f>
        <v>RU</v>
      </c>
      <c r="K96" s="39">
        <f ca="1">IFERROR(__xludf.DUMMYFUNCTION("IF(SUM(COUNTIF(artists!E:E, SPLIT(D96, "",""))) &gt; 0, ""OTHER"", 0)"),0)</f>
        <v>0</v>
      </c>
    </row>
    <row r="97" spans="1:11" ht="14.25" customHeight="1">
      <c r="A97" s="21">
        <v>96</v>
      </c>
      <c r="B97" s="21">
        <v>99</v>
      </c>
      <c r="C97" s="21" t="s">
        <v>1445</v>
      </c>
      <c r="D97" s="21" t="s">
        <v>81</v>
      </c>
      <c r="E97" s="21">
        <v>8</v>
      </c>
      <c r="F97" s="21">
        <v>152906</v>
      </c>
      <c r="G97" s="42">
        <v>1.2999999999999999E-2</v>
      </c>
      <c r="H97" s="21" t="s">
        <v>1446</v>
      </c>
      <c r="I97" s="39" t="str">
        <f ca="1">IFERROR(__xludf.DUMMYFUNCTION("IF(SUM(COUNTIF(artists!A:A, SPLIT(D97, "",""))) &gt; 0, ""UA"", 0)"),"UA")</f>
        <v>UA</v>
      </c>
      <c r="J97" s="40">
        <f ca="1">IFERROR(__xludf.DUMMYFUNCTION("IF(SUM(COUNTIF(artists!C:C, SPLIT(D97, "",""))) &gt; 0, ""RU"", 0)"),0)</f>
        <v>0</v>
      </c>
      <c r="K97" s="39">
        <f ca="1">IFERROR(__xludf.DUMMYFUNCTION("IF(SUM(COUNTIF(artists!E:E, SPLIT(D97, "",""))) &gt; 0, ""OTHER"", 0)"),0)</f>
        <v>0</v>
      </c>
    </row>
    <row r="98" spans="1:11" ht="14.25" customHeight="1">
      <c r="A98" s="21">
        <v>97</v>
      </c>
      <c r="B98" s="21">
        <v>88</v>
      </c>
      <c r="C98" s="21" t="s">
        <v>1575</v>
      </c>
      <c r="D98" s="21" t="s">
        <v>945</v>
      </c>
      <c r="E98" s="21">
        <v>14</v>
      </c>
      <c r="F98" s="21">
        <v>151348</v>
      </c>
      <c r="G98" s="42">
        <v>-8.5999999999999993E-2</v>
      </c>
      <c r="H98" s="21" t="s">
        <v>1576</v>
      </c>
      <c r="I98" s="39" t="str">
        <f ca="1">IFERROR(__xludf.DUMMYFUNCTION("IF(SUM(COUNTIF(artists!A:A, SPLIT(D98, "",""))) &gt; 0, ""UA"", 0)"),"UA")</f>
        <v>UA</v>
      </c>
      <c r="J98" s="40">
        <f ca="1">IFERROR(__xludf.DUMMYFUNCTION("IF(SUM(COUNTIF(artists!C:C, SPLIT(D98, "",""))) &gt; 0, ""RU"", 0)"),0)</f>
        <v>0</v>
      </c>
      <c r="K98" s="39">
        <f ca="1">IFERROR(__xludf.DUMMYFUNCTION("IF(SUM(COUNTIF(artists!E:E, SPLIT(D98, "",""))) &gt; 0, ""OTHER"", 0)"),0)</f>
        <v>0</v>
      </c>
    </row>
    <row r="99" spans="1:11" ht="14.25" customHeight="1">
      <c r="A99" s="21">
        <v>98</v>
      </c>
      <c r="C99" s="21" t="s">
        <v>1577</v>
      </c>
      <c r="D99" s="21" t="s">
        <v>1578</v>
      </c>
      <c r="E99" s="21">
        <v>1</v>
      </c>
      <c r="F99" s="21">
        <v>151258</v>
      </c>
      <c r="H99" s="21" t="s">
        <v>1579</v>
      </c>
      <c r="I99" s="39">
        <f ca="1">IFERROR(__xludf.DUMMYFUNCTION("IF(SUM(COUNTIF(artists!A:A, SPLIT(D99, "",""))) &gt; 0, ""UA"", 0)"),0)</f>
        <v>0</v>
      </c>
      <c r="J99" s="40">
        <f ca="1">IFERROR(__xludf.DUMMYFUNCTION("IF(SUM(COUNTIF(artists!C:C, SPLIT(D99, "",""))) &gt; 0, ""RU"", 0)"),0)</f>
        <v>0</v>
      </c>
      <c r="K99" s="39" t="str">
        <f ca="1">IFERROR(__xludf.DUMMYFUNCTION("IF(SUM(COUNTIF(artists!E:E, SPLIT(D99, "",""))) &gt; 0, ""OTHER"", 0)"),"OTHER")</f>
        <v>OTHER</v>
      </c>
    </row>
    <row r="100" spans="1:11" ht="14.25" customHeight="1">
      <c r="A100" s="21">
        <v>99</v>
      </c>
      <c r="C100" s="21" t="s">
        <v>1580</v>
      </c>
      <c r="D100" s="21" t="s">
        <v>1581</v>
      </c>
      <c r="E100" s="21">
        <v>1</v>
      </c>
      <c r="F100" s="21">
        <v>148308</v>
      </c>
      <c r="H100" s="21" t="s">
        <v>1582</v>
      </c>
      <c r="I100" s="39" t="str">
        <f ca="1">IFERROR(__xludf.DUMMYFUNCTION("IF(SUM(COUNTIF(artists!A:A, SPLIT(D100, "",""))) &gt; 0, ""UA"", 0)"),"UA")</f>
        <v>UA</v>
      </c>
      <c r="J100" s="40">
        <f ca="1">IFERROR(__xludf.DUMMYFUNCTION("IF(SUM(COUNTIF(artists!C:C, SPLIT(D100, "",""))) &gt; 0, ""RU"", 0)"),0)</f>
        <v>0</v>
      </c>
      <c r="K100" s="39">
        <f ca="1">IFERROR(__xludf.DUMMYFUNCTION("IF(SUM(COUNTIF(artists!E:E, SPLIT(D100, "",""))) &gt; 0, ""OTHER"", 0)"),0)</f>
        <v>0</v>
      </c>
    </row>
    <row r="101" spans="1:11" ht="14.25" customHeight="1">
      <c r="A101" s="21">
        <v>100</v>
      </c>
      <c r="C101" s="21" t="s">
        <v>1133</v>
      </c>
      <c r="D101" s="21" t="s">
        <v>89</v>
      </c>
      <c r="E101" s="21">
        <v>2</v>
      </c>
      <c r="F101" s="21">
        <v>147751</v>
      </c>
      <c r="H101" s="21" t="s">
        <v>1134</v>
      </c>
      <c r="I101" s="39" t="str">
        <f ca="1">IFERROR(__xludf.DUMMYFUNCTION("IF(SUM(COUNTIF(artists!A:A, SPLIT(D101, "",""))) &gt; 0, ""UA"", 0)"),"UA")</f>
        <v>UA</v>
      </c>
      <c r="J101" s="40">
        <f ca="1">IFERROR(__xludf.DUMMYFUNCTION("IF(SUM(COUNTIF(artists!C:C, SPLIT(D101, "",""))) &gt; 0, ""RU"", 0)"),0)</f>
        <v>0</v>
      </c>
      <c r="K101" s="39">
        <f ca="1">IFERROR(__xludf.DUMMYFUNCTION("IF(SUM(COUNTIF(artists!E:E, SPLIT(D101, "",""))) &gt; 0, ""OTHER"", 0)"),0)</f>
        <v>0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51" priority="1">
      <formula>AND($I2=0, $J2=0, $K2=0)</formula>
    </cfRule>
    <cfRule type="expression" dxfId="50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Аркуш38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4" width="8.6640625" customWidth="1"/>
    <col min="5" max="5" width="8.6640625" hidden="1" customWidth="1"/>
    <col min="6" max="6" width="8.6640625" customWidth="1"/>
    <col min="7" max="7" width="13.10937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B2" s="21">
        <v>1</v>
      </c>
      <c r="C2" s="21" t="s">
        <v>645</v>
      </c>
      <c r="D2" s="21" t="s">
        <v>352</v>
      </c>
      <c r="E2" s="21">
        <v>20</v>
      </c>
      <c r="F2" s="21">
        <v>1759722</v>
      </c>
      <c r="G2" s="42">
        <v>-7.0999999999999994E-2</v>
      </c>
      <c r="H2" s="21" t="s">
        <v>647</v>
      </c>
      <c r="I2" s="39" t="str">
        <f ca="1">IFERROR(__xludf.DUMMYFUNCTION("IF(SUM(COUNTIF(artists!A:A, SPLIT(D2, "",""))) &gt; 0, ""UA"", 0)"),"UA")</f>
        <v>UA</v>
      </c>
      <c r="J2" s="40">
        <f ca="1">IFERROR(__xludf.DUMMYFUNCTION("IF(SUM(COUNTIF(artists!C:C, SPLIT(D2, "",""))) &gt; 0, ""RU"", 0)"),0)</f>
        <v>0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C3" s="21" t="s">
        <v>1496</v>
      </c>
      <c r="D3" s="21" t="s">
        <v>969</v>
      </c>
      <c r="E3" s="21">
        <v>53</v>
      </c>
      <c r="F3" s="21">
        <v>1269715</v>
      </c>
      <c r="H3" s="21" t="s">
        <v>1497</v>
      </c>
      <c r="I3" s="39" t="str">
        <f ca="1">IFERROR(__xludf.DUMMYFUNCTION("IF(SUM(COUNTIF(artists!A:A, SPLIT(D3, "",""))) &gt; 0, ""UA"", 0)"),"UA")</f>
        <v>UA</v>
      </c>
      <c r="J3" s="40">
        <f ca="1">IFERROR(__xludf.DUMMYFUNCTION("IF(SUM(COUNTIF(artists!C:C, SPLIT(D3, "",""))) &gt; 0, ""RU"", 0)"),0)</f>
        <v>0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B4" s="21">
        <v>2</v>
      </c>
      <c r="C4" s="21" t="s">
        <v>128</v>
      </c>
      <c r="D4" s="21" t="s">
        <v>129</v>
      </c>
      <c r="E4" s="21">
        <v>3</v>
      </c>
      <c r="F4" s="21">
        <v>1259673</v>
      </c>
      <c r="G4" s="42">
        <v>-4.7E-2</v>
      </c>
      <c r="H4" s="21" t="s">
        <v>131</v>
      </c>
      <c r="I4" s="39" t="str">
        <f ca="1">IFERROR(__xludf.DUMMYFUNCTION("IF(SUM(COUNTIF(artists!A:A, SPLIT(D4, "",""))) &gt; 0, ""UA"", 0)"),"UA")</f>
        <v>UA</v>
      </c>
      <c r="J4" s="40">
        <f ca="1">IFERROR(__xludf.DUMMYFUNCTION("IF(SUM(COUNTIF(artists!C:C, SPLIT(D4, "",""))) &gt; 0, ""RU"", 0)"),0)</f>
        <v>0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B5" s="21">
        <v>4</v>
      </c>
      <c r="C5" s="21" t="s">
        <v>194</v>
      </c>
      <c r="D5" s="21" t="s">
        <v>195</v>
      </c>
      <c r="E5" s="21">
        <v>10</v>
      </c>
      <c r="F5" s="21">
        <v>1007391</v>
      </c>
      <c r="G5" s="43">
        <v>-0.12</v>
      </c>
      <c r="H5" s="21" t="s">
        <v>197</v>
      </c>
      <c r="I5" s="39" t="str">
        <f ca="1">IFERROR(__xludf.DUMMYFUNCTION("IF(SUM(COUNTIF(artists!A:A, SPLIT(D5, "",""))) &gt; 0, ""UA"", 0)"),"UA")</f>
        <v>UA</v>
      </c>
      <c r="J5" s="40">
        <f ca="1">IFERROR(__xludf.DUMMYFUNCTION("IF(SUM(COUNTIF(artists!C:C, SPLIT(D5, "",""))) &gt; 0, ""RU"", 0)"),0)</f>
        <v>0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B6" s="21">
        <v>3</v>
      </c>
      <c r="C6" s="21" t="s">
        <v>182</v>
      </c>
      <c r="D6" s="21" t="s">
        <v>183</v>
      </c>
      <c r="E6" s="21">
        <v>3</v>
      </c>
      <c r="F6" s="21">
        <v>957154</v>
      </c>
      <c r="G6" s="42">
        <v>-0.26800000000000002</v>
      </c>
      <c r="H6" s="21" t="s">
        <v>185</v>
      </c>
      <c r="I6" s="39" t="str">
        <f ca="1">IFERROR(__xludf.DUMMYFUNCTION("IF(SUM(COUNTIF(artists!A:A, SPLIT(D6, "",""))) &gt; 0, ""UA"", 0)"),"UA")</f>
        <v>UA</v>
      </c>
      <c r="J6" s="40">
        <f ca="1">IFERROR(__xludf.DUMMYFUNCTION("IF(SUM(COUNTIF(artists!C:C, SPLIT(D6, "",""))) &gt; 0, ""RU"", 0)"),0)</f>
        <v>0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C7" s="21" t="s">
        <v>145</v>
      </c>
      <c r="D7" s="21" t="s">
        <v>146</v>
      </c>
      <c r="E7" s="21">
        <v>1</v>
      </c>
      <c r="F7" s="21">
        <v>856165</v>
      </c>
      <c r="H7" s="21" t="s">
        <v>148</v>
      </c>
      <c r="I7" s="39" t="str">
        <f ca="1">IFERROR(__xludf.DUMMYFUNCTION("IF(SUM(COUNTIF(artists!A:A, SPLIT(D7, "",""))) &gt; 0, ""UA"", 0)"),"UA")</f>
        <v>UA</v>
      </c>
      <c r="J7" s="40">
        <f ca="1">IFERROR(__xludf.DUMMYFUNCTION("IF(SUM(COUNTIF(artists!C:C, SPLIT(D7, "",""))) &gt; 0, ""RU"", 0)"),0)</f>
        <v>0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B8" s="21">
        <v>6</v>
      </c>
      <c r="C8" s="21" t="s">
        <v>1010</v>
      </c>
      <c r="D8" s="21" t="s">
        <v>1011</v>
      </c>
      <c r="E8" s="21">
        <v>8</v>
      </c>
      <c r="F8" s="21">
        <v>815684</v>
      </c>
      <c r="G8" s="42">
        <v>-9.2999999999999999E-2</v>
      </c>
      <c r="H8" s="21" t="s">
        <v>1012</v>
      </c>
      <c r="I8" s="39" t="str">
        <f ca="1">IFERROR(__xludf.DUMMYFUNCTION("IF(SUM(COUNTIF(artists!A:A, SPLIT(D8, "",""))) &gt; 0, ""UA"", 0)"),"UA")</f>
        <v>UA</v>
      </c>
      <c r="J8" s="40">
        <f ca="1">IFERROR(__xludf.DUMMYFUNCTION("IF(SUM(COUNTIF(artists!C:C, SPLIT(D8, "",""))) &gt; 0, ""RU"", 0)"),0)</f>
        <v>0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B9" s="21">
        <v>14</v>
      </c>
      <c r="C9" s="21" t="s">
        <v>229</v>
      </c>
      <c r="D9" s="21" t="s">
        <v>230</v>
      </c>
      <c r="E9" s="21">
        <v>14</v>
      </c>
      <c r="F9" s="21">
        <v>667199</v>
      </c>
      <c r="G9" s="42">
        <v>7.9000000000000001E-2</v>
      </c>
      <c r="H9" s="21" t="s">
        <v>232</v>
      </c>
      <c r="I9" s="39" t="str">
        <f ca="1">IFERROR(__xludf.DUMMYFUNCTION("IF(SUM(COUNTIF(artists!A:A, SPLIT(D9, "",""))) &gt; 0, ""UA"", 0)"),"UA")</f>
        <v>UA</v>
      </c>
      <c r="J9" s="40">
        <f ca="1">IFERROR(__xludf.DUMMYFUNCTION("IF(SUM(COUNTIF(artists!C:C, SPLIT(D9, "",""))) &gt; 0, ""RU"", 0)"),0)</f>
        <v>0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C10" s="21" t="s">
        <v>1418</v>
      </c>
      <c r="D10" s="21" t="s">
        <v>698</v>
      </c>
      <c r="E10" s="21">
        <v>1</v>
      </c>
      <c r="F10" s="21">
        <v>660496</v>
      </c>
      <c r="H10" s="21" t="s">
        <v>1419</v>
      </c>
      <c r="I10" s="39">
        <f ca="1">IFERROR(__xludf.DUMMYFUNCTION("IF(SUM(COUNTIF(artists!A:A, SPLIT(D10, "",""))) &gt; 0, ""UA"", 0)"),0)</f>
        <v>0</v>
      </c>
      <c r="J10" s="40" t="str">
        <f ca="1">IFERROR(__xludf.DUMMYFUNCTION("IF(SUM(COUNTIF(artists!C:C, SPLIT(D10, "",""))) &gt; 0, ""RU"", 0)"),"RU")</f>
        <v>RU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B11" s="21">
        <v>10</v>
      </c>
      <c r="C11" s="21" t="s">
        <v>175</v>
      </c>
      <c r="D11" s="21" t="s">
        <v>89</v>
      </c>
      <c r="E11" s="21">
        <v>7</v>
      </c>
      <c r="F11" s="21">
        <v>652458</v>
      </c>
      <c r="G11" s="42">
        <v>1.2E-2</v>
      </c>
      <c r="H11" s="21" t="s">
        <v>177</v>
      </c>
      <c r="I11" s="39" t="str">
        <f ca="1">IFERROR(__xludf.DUMMYFUNCTION("IF(SUM(COUNTIF(artists!A:A, SPLIT(D11, "",""))) &gt; 0, ""UA"", 0)"),"UA")</f>
        <v>UA</v>
      </c>
      <c r="J11" s="40">
        <f ca="1">IFERROR(__xludf.DUMMYFUNCTION("IF(SUM(COUNTIF(artists!C:C, SPLIT(D11, "",""))) &gt; 0, ""RU"", 0)"),0)</f>
        <v>0</v>
      </c>
      <c r="K11" s="39">
        <f ca="1">IFERROR(__xludf.DUMMYFUNCTION("IF(SUM(COUNTIF(artists!E:E, SPLIT(D11, "",""))) &gt; 0, ""OTHER"", 0)"),0)</f>
        <v>0</v>
      </c>
    </row>
    <row r="12" spans="1:11" ht="14.25" customHeight="1">
      <c r="A12" s="21">
        <v>11</v>
      </c>
      <c r="B12" s="21">
        <v>8</v>
      </c>
      <c r="C12" s="21" t="s">
        <v>895</v>
      </c>
      <c r="D12" s="21" t="s">
        <v>896</v>
      </c>
      <c r="E12" s="21">
        <v>19</v>
      </c>
      <c r="F12" s="21">
        <v>640845</v>
      </c>
      <c r="G12" s="42">
        <v>-7.2999999999999995E-2</v>
      </c>
      <c r="H12" s="21" t="s">
        <v>897</v>
      </c>
      <c r="I12" s="39" t="str">
        <f ca="1">IFERROR(__xludf.DUMMYFUNCTION("IF(SUM(COUNTIF(artists!A:A, SPLIT(D12, "",""))) &gt; 0, ""UA"", 0)"),"UA")</f>
        <v>UA</v>
      </c>
      <c r="J12" s="40">
        <f ca="1">IFERROR(__xludf.DUMMYFUNCTION("IF(SUM(COUNTIF(artists!C:C, SPLIT(D12, "",""))) &gt; 0, ""RU"", 0)"),0)</f>
        <v>0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B13" s="21">
        <v>12</v>
      </c>
      <c r="C13" s="21" t="s">
        <v>1431</v>
      </c>
      <c r="D13" s="21" t="s">
        <v>969</v>
      </c>
      <c r="E13" s="21">
        <v>35</v>
      </c>
      <c r="F13" s="21">
        <v>624149</v>
      </c>
      <c r="G13" s="42">
        <v>-4.0000000000000001E-3</v>
      </c>
      <c r="H13" s="21" t="s">
        <v>1432</v>
      </c>
      <c r="I13" s="39" t="str">
        <f ca="1">IFERROR(__xludf.DUMMYFUNCTION("IF(SUM(COUNTIF(artists!A:A, SPLIT(D13, "",""))) &gt; 0, ""UA"", 0)"),"UA")</f>
        <v>UA</v>
      </c>
      <c r="J13" s="40">
        <f ca="1">IFERROR(__xludf.DUMMYFUNCTION("IF(SUM(COUNTIF(artists!C:C, SPLIT(D13, "",""))) &gt; 0, ""RU"", 0)"),0)</f>
        <v>0</v>
      </c>
      <c r="K13" s="39">
        <f ca="1">IFERROR(__xludf.DUMMYFUNCTION("IF(SUM(COUNTIF(artists!E:E, SPLIT(D13, "",""))) &gt; 0, ""OTHER"", 0)"),0)</f>
        <v>0</v>
      </c>
    </row>
    <row r="14" spans="1:11" ht="14.25" customHeight="1">
      <c r="A14" s="21">
        <v>13</v>
      </c>
      <c r="B14" s="21">
        <v>16</v>
      </c>
      <c r="C14" s="21" t="s">
        <v>1055</v>
      </c>
      <c r="D14" s="21" t="s">
        <v>776</v>
      </c>
      <c r="E14" s="21">
        <v>4</v>
      </c>
      <c r="F14" s="21">
        <v>591592</v>
      </c>
      <c r="G14" s="42">
        <v>4.5999999999999999E-2</v>
      </c>
      <c r="H14" s="21" t="s">
        <v>1056</v>
      </c>
      <c r="I14" s="39" t="str">
        <f ca="1">IFERROR(__xludf.DUMMYFUNCTION("IF(SUM(COUNTIF(artists!A:A, SPLIT(D14, "",""))) &gt; 0, ""UA"", 0)"),"UA")</f>
        <v>UA</v>
      </c>
      <c r="J14" s="40">
        <f ca="1">IFERROR(__xludf.DUMMYFUNCTION("IF(SUM(COUNTIF(artists!C:C, SPLIT(D14, "",""))) &gt; 0, ""RU"", 0)"),0)</f>
        <v>0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B15" s="21">
        <v>11</v>
      </c>
      <c r="C15" s="21" t="s">
        <v>706</v>
      </c>
      <c r="D15" s="21" t="s">
        <v>199</v>
      </c>
      <c r="E15" s="21">
        <v>3</v>
      </c>
      <c r="F15" s="21">
        <v>586359</v>
      </c>
      <c r="G15" s="42">
        <v>-8.1000000000000003E-2</v>
      </c>
      <c r="H15" s="21" t="s">
        <v>1126</v>
      </c>
      <c r="I15" s="39" t="str">
        <f ca="1">IFERROR(__xludf.DUMMYFUNCTION("IF(SUM(COUNTIF(artists!A:A, SPLIT(D15, "",""))) &gt; 0, ""UA"", 0)"),"UA")</f>
        <v>UA</v>
      </c>
      <c r="J15" s="40">
        <f ca="1">IFERROR(__xludf.DUMMYFUNCTION("IF(SUM(COUNTIF(artists!C:C, SPLIT(D15, "",""))) &gt; 0, ""RU"", 0)"),0)</f>
        <v>0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B16" s="21">
        <v>13</v>
      </c>
      <c r="C16" s="21" t="s">
        <v>132</v>
      </c>
      <c r="D16" s="21" t="s">
        <v>133</v>
      </c>
      <c r="E16" s="21">
        <v>7</v>
      </c>
      <c r="F16" s="21">
        <v>581436</v>
      </c>
      <c r="G16" s="42">
        <v>-6.0999999999999999E-2</v>
      </c>
      <c r="H16" s="21" t="s">
        <v>135</v>
      </c>
      <c r="I16" s="39" t="str">
        <f ca="1">IFERROR(__xludf.DUMMYFUNCTION("IF(SUM(COUNTIF(artists!A:A, SPLIT(D16, "",""))) &gt; 0, ""UA"", 0)"),"UA")</f>
        <v>UA</v>
      </c>
      <c r="J16" s="40">
        <f ca="1">IFERROR(__xludf.DUMMYFUNCTION("IF(SUM(COUNTIF(artists!C:C, SPLIT(D16, "",""))) &gt; 0, ""RU"", 0)"),0)</f>
        <v>0</v>
      </c>
      <c r="K16" s="39">
        <f ca="1">IFERROR(__xludf.DUMMYFUNCTION("IF(SUM(COUNTIF(artists!E:E, SPLIT(D16, "",""))) &gt; 0, ""OTHER"", 0)"),0)</f>
        <v>0</v>
      </c>
    </row>
    <row r="17" spans="1:11" ht="14.25" customHeight="1">
      <c r="A17" s="21">
        <v>16</v>
      </c>
      <c r="B17" s="21">
        <v>7</v>
      </c>
      <c r="C17" s="21" t="s">
        <v>697</v>
      </c>
      <c r="D17" s="21" t="s">
        <v>698</v>
      </c>
      <c r="E17" s="21">
        <v>3</v>
      </c>
      <c r="F17" s="21">
        <v>575649</v>
      </c>
      <c r="G17" s="42">
        <v>-0.26400000000000001</v>
      </c>
      <c r="H17" s="21" t="s">
        <v>699</v>
      </c>
      <c r="I17" s="39">
        <f ca="1">IFERROR(__xludf.DUMMYFUNCTION("IF(SUM(COUNTIF(artists!A:A, SPLIT(D17, "",""))) &gt; 0, ""UA"", 0)"),0)</f>
        <v>0</v>
      </c>
      <c r="J17" s="40" t="str">
        <f ca="1">IFERROR(__xludf.DUMMYFUNCTION("IF(SUM(COUNTIF(artists!C:C, SPLIT(D17, "",""))) &gt; 0, ""RU"", 0)"),"RU")</f>
        <v>RU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B18" s="21">
        <v>17</v>
      </c>
      <c r="C18" s="21" t="s">
        <v>799</v>
      </c>
      <c r="D18" s="21" t="s">
        <v>494</v>
      </c>
      <c r="E18" s="21">
        <v>16</v>
      </c>
      <c r="F18" s="21">
        <v>571257</v>
      </c>
      <c r="G18" s="42">
        <v>4.5999999999999999E-2</v>
      </c>
      <c r="H18" s="21" t="s">
        <v>800</v>
      </c>
      <c r="I18" s="39" t="str">
        <f ca="1">IFERROR(__xludf.DUMMYFUNCTION("IF(SUM(COUNTIF(artists!A:A, SPLIT(D18, "",""))) &gt; 0, ""UA"", 0)"),"UA")</f>
        <v>UA</v>
      </c>
      <c r="J18" s="40">
        <f ca="1">IFERROR(__xludf.DUMMYFUNCTION("IF(SUM(COUNTIF(artists!C:C, SPLIT(D18, "",""))) &gt; 0, ""RU"", 0)"),0)</f>
        <v>0</v>
      </c>
      <c r="K18" s="39">
        <f ca="1">IFERROR(__xludf.DUMMYFUNCTION("IF(SUM(COUNTIF(artists!E:E, SPLIT(D18, "",""))) &gt; 0, ""OTHER"", 0)"),0)</f>
        <v>0</v>
      </c>
    </row>
    <row r="19" spans="1:11" ht="14.25" customHeight="1">
      <c r="A19" s="21">
        <v>18</v>
      </c>
      <c r="B19" s="21">
        <v>15</v>
      </c>
      <c r="C19" s="21" t="s">
        <v>1287</v>
      </c>
      <c r="D19" s="21" t="s">
        <v>1288</v>
      </c>
      <c r="E19" s="21">
        <v>8</v>
      </c>
      <c r="F19" s="21">
        <v>531060</v>
      </c>
      <c r="G19" s="42">
        <v>-7.2999999999999995E-2</v>
      </c>
      <c r="H19" s="21" t="s">
        <v>1289</v>
      </c>
      <c r="I19" s="39">
        <f ca="1">IFERROR(__xludf.DUMMYFUNCTION("IF(SUM(COUNTIF(artists!A:A, SPLIT(D19, "",""))) &gt; 0, ""UA"", 0)"),0)</f>
        <v>0</v>
      </c>
      <c r="J19" s="40">
        <f ca="1">IFERROR(__xludf.DUMMYFUNCTION("IF(SUM(COUNTIF(artists!C:C, SPLIT(D19, "",""))) &gt; 0, ""RU"", 0)"),0)</f>
        <v>0</v>
      </c>
      <c r="K19" s="39" t="str">
        <f ca="1">IFERROR(__xludf.DUMMYFUNCTION("IF(SUM(COUNTIF(artists!E:E, SPLIT(D19, "",""))) &gt; 0, ""OTHER"", 0)"),"OTHER")</f>
        <v>OTHER</v>
      </c>
    </row>
    <row r="20" spans="1:11" ht="14.25" customHeight="1">
      <c r="A20" s="21">
        <v>19</v>
      </c>
      <c r="B20" s="21">
        <v>20</v>
      </c>
      <c r="C20" s="21" t="s">
        <v>1263</v>
      </c>
      <c r="D20" s="21" t="s">
        <v>1264</v>
      </c>
      <c r="E20" s="21">
        <v>33</v>
      </c>
      <c r="F20" s="21">
        <v>508813</v>
      </c>
      <c r="G20" s="42">
        <v>5.6000000000000001E-2</v>
      </c>
      <c r="H20" s="21" t="s">
        <v>1265</v>
      </c>
      <c r="I20" s="39">
        <f ca="1">IFERROR(__xludf.DUMMYFUNCTION("IF(SUM(COUNTIF(artists!A:A, SPLIT(D20, "",""))) &gt; 0, ""UA"", 0)"),0)</f>
        <v>0</v>
      </c>
      <c r="J20" s="40" t="str">
        <f ca="1">IFERROR(__xludf.DUMMYFUNCTION("IF(SUM(COUNTIF(artists!C:C, SPLIT(D20, "",""))) &gt; 0, ""RU"", 0)"),"RU")</f>
        <v>RU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B21" s="21">
        <v>22</v>
      </c>
      <c r="C21" s="21" t="s">
        <v>171</v>
      </c>
      <c r="D21" s="21" t="s">
        <v>172</v>
      </c>
      <c r="E21" s="21">
        <v>2</v>
      </c>
      <c r="F21" s="21">
        <v>501100</v>
      </c>
      <c r="G21" s="42">
        <v>0.14099999999999999</v>
      </c>
      <c r="H21" s="21" t="s">
        <v>174</v>
      </c>
      <c r="I21" s="39">
        <f ca="1">IFERROR(__xludf.DUMMYFUNCTION("IF(SUM(COUNTIF(artists!A:A, SPLIT(D21, "",""))) &gt; 0, ""UA"", 0)"),0)</f>
        <v>0</v>
      </c>
      <c r="J21" s="40" t="str">
        <f ca="1">IFERROR(__xludf.DUMMYFUNCTION("IF(SUM(COUNTIF(artists!C:C, SPLIT(D21, "",""))) &gt; 0, ""RU"", 0)"),"RU")</f>
        <v>RU</v>
      </c>
      <c r="K21" s="39">
        <f ca="1">IFERROR(__xludf.DUMMYFUNCTION("IF(SUM(COUNTIF(artists!E:E, SPLIT(D21, "",""))) &gt; 0, ""OTHER"", 0)"),0)</f>
        <v>0</v>
      </c>
    </row>
    <row r="22" spans="1:11" ht="14.25" customHeight="1">
      <c r="A22" s="21">
        <v>21</v>
      </c>
      <c r="C22" s="21" t="s">
        <v>1413</v>
      </c>
      <c r="D22" s="21" t="s">
        <v>1414</v>
      </c>
      <c r="E22" s="21">
        <v>1</v>
      </c>
      <c r="F22" s="21">
        <v>492164</v>
      </c>
      <c r="H22" s="21" t="s">
        <v>1415</v>
      </c>
      <c r="I22" s="39" t="str">
        <f ca="1">IFERROR(__xludf.DUMMYFUNCTION("IF(SUM(COUNTIF(artists!A:A, SPLIT(D22, "",""))) &gt; 0, ""UA"", 0)"),"UA")</f>
        <v>UA</v>
      </c>
      <c r="J22" s="40">
        <f ca="1">IFERROR(__xludf.DUMMYFUNCTION("IF(SUM(COUNTIF(artists!C:C, SPLIT(D22, "",""))) &gt; 0, ""RU"", 0)"),0)</f>
        <v>0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B23" s="21">
        <v>23</v>
      </c>
      <c r="C23" s="21" t="s">
        <v>1282</v>
      </c>
      <c r="D23" s="21" t="s">
        <v>108</v>
      </c>
      <c r="E23" s="21">
        <v>34</v>
      </c>
      <c r="F23" s="21">
        <v>486897</v>
      </c>
      <c r="G23" s="42">
        <v>0.113</v>
      </c>
      <c r="H23" s="21" t="s">
        <v>1283</v>
      </c>
      <c r="I23" s="39" t="str">
        <f ca="1">IFERROR(__xludf.DUMMYFUNCTION("IF(SUM(COUNTIF(artists!A:A, SPLIT(D23, "",""))) &gt; 0, ""UA"", 0)"),"UA")</f>
        <v>UA</v>
      </c>
      <c r="J23" s="40">
        <f ca="1">IFERROR(__xludf.DUMMYFUNCTION("IF(SUM(COUNTIF(artists!C:C, SPLIT(D23, "",""))) &gt; 0, ""RU"", 0)"),0)</f>
        <v>0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B24" s="21">
        <v>19</v>
      </c>
      <c r="C24" s="21" t="s">
        <v>909</v>
      </c>
      <c r="D24" s="21" t="s">
        <v>910</v>
      </c>
      <c r="E24" s="21">
        <v>17</v>
      </c>
      <c r="F24" s="21">
        <v>462168</v>
      </c>
      <c r="G24" s="42">
        <v>-7.0999999999999994E-2</v>
      </c>
      <c r="H24" s="21" t="s">
        <v>911</v>
      </c>
      <c r="I24" s="39" t="str">
        <f ca="1">IFERROR(__xludf.DUMMYFUNCTION("IF(SUM(COUNTIF(artists!A:A, SPLIT(D24, "",""))) &gt; 0, ""UA"", 0)"),"UA")</f>
        <v>UA</v>
      </c>
      <c r="J24" s="40">
        <f ca="1">IFERROR(__xludf.DUMMYFUNCTION("IF(SUM(COUNTIF(artists!C:C, SPLIT(D24, "",""))) &gt; 0, ""RU"", 0)"),0)</f>
        <v>0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B25" s="21">
        <v>26</v>
      </c>
      <c r="C25" s="21" t="s">
        <v>968</v>
      </c>
      <c r="D25" s="21" t="s">
        <v>969</v>
      </c>
      <c r="E25" s="21">
        <v>27</v>
      </c>
      <c r="F25" s="21">
        <v>404046</v>
      </c>
      <c r="G25" s="42">
        <v>-1.7000000000000001E-2</v>
      </c>
      <c r="H25" s="21" t="s">
        <v>970</v>
      </c>
      <c r="I25" s="39" t="str">
        <f ca="1">IFERROR(__xludf.DUMMYFUNCTION("IF(SUM(COUNTIF(artists!A:A, SPLIT(D25, "",""))) &gt; 0, ""UA"", 0)"),"UA")</f>
        <v>UA</v>
      </c>
      <c r="J25" s="40">
        <f ca="1">IFERROR(__xludf.DUMMYFUNCTION("IF(SUM(COUNTIF(artists!C:C, SPLIT(D25, "",""))) &gt; 0, ""RU"", 0)"),0)</f>
        <v>0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B26" s="21">
        <v>30</v>
      </c>
      <c r="C26" s="21" t="s">
        <v>918</v>
      </c>
      <c r="D26" s="21" t="s">
        <v>108</v>
      </c>
      <c r="E26" s="21">
        <v>43</v>
      </c>
      <c r="F26" s="21">
        <v>403489</v>
      </c>
      <c r="G26" s="42">
        <v>8.2000000000000003E-2</v>
      </c>
      <c r="H26" s="21" t="s">
        <v>919</v>
      </c>
      <c r="I26" s="39" t="str">
        <f ca="1">IFERROR(__xludf.DUMMYFUNCTION("IF(SUM(COUNTIF(artists!A:A, SPLIT(D26, "",""))) &gt; 0, ""UA"", 0)"),"UA")</f>
        <v>UA</v>
      </c>
      <c r="J26" s="40">
        <f ca="1">IFERROR(__xludf.DUMMYFUNCTION("IF(SUM(COUNTIF(artists!C:C, SPLIT(D26, "",""))) &gt; 0, ""RU"", 0)"),0)</f>
        <v>0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B27" s="21">
        <v>21</v>
      </c>
      <c r="C27" s="21" t="s">
        <v>1377</v>
      </c>
      <c r="D27" s="21" t="s">
        <v>463</v>
      </c>
      <c r="E27" s="21">
        <v>6</v>
      </c>
      <c r="F27" s="21">
        <v>390752</v>
      </c>
      <c r="G27" s="43">
        <v>-0.17</v>
      </c>
      <c r="H27" s="21" t="s">
        <v>1378</v>
      </c>
      <c r="I27" s="39" t="str">
        <f ca="1">IFERROR(__xludf.DUMMYFUNCTION("IF(SUM(COUNTIF(artists!A:A, SPLIT(D27, "",""))) &gt; 0, ""UA"", 0)"),"UA")</f>
        <v>UA</v>
      </c>
      <c r="J27" s="40">
        <f ca="1">IFERROR(__xludf.DUMMYFUNCTION("IF(SUM(COUNTIF(artists!C:C, SPLIT(D27, "",""))) &gt; 0, ""RU"", 0)"),0)</f>
        <v>0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B28" s="21">
        <v>28</v>
      </c>
      <c r="C28" s="21" t="s">
        <v>935</v>
      </c>
      <c r="D28" s="21" t="s">
        <v>936</v>
      </c>
      <c r="E28" s="21">
        <v>34</v>
      </c>
      <c r="F28" s="21">
        <v>382298</v>
      </c>
      <c r="G28" s="43">
        <v>-0.04</v>
      </c>
      <c r="H28" s="21" t="s">
        <v>937</v>
      </c>
      <c r="I28" s="39">
        <f ca="1">IFERROR(__xludf.DUMMYFUNCTION("IF(SUM(COUNTIF(artists!A:A, SPLIT(D28, "",""))) &gt; 0, ""UA"", 0)"),0)</f>
        <v>0</v>
      </c>
      <c r="J28" s="40" t="str">
        <f ca="1">IFERROR(__xludf.DUMMYFUNCTION("IF(SUM(COUNTIF(artists!C:C, SPLIT(D28, "",""))) &gt; 0, ""RU"", 0)"),"RU")</f>
        <v>RU</v>
      </c>
      <c r="K28" s="39">
        <f ca="1">IFERROR(__xludf.DUMMYFUNCTION("IF(SUM(COUNTIF(artists!E:E, SPLIT(D28, "",""))) &gt; 0, ""OTHER"", 0)"),0)</f>
        <v>0</v>
      </c>
    </row>
    <row r="29" spans="1:11" ht="14.25" customHeight="1">
      <c r="A29" s="21">
        <v>28</v>
      </c>
      <c r="B29" s="21">
        <v>29</v>
      </c>
      <c r="C29" s="21" t="s">
        <v>1471</v>
      </c>
      <c r="D29" s="21" t="s">
        <v>1472</v>
      </c>
      <c r="E29" s="21">
        <v>16</v>
      </c>
      <c r="F29" s="21">
        <v>381805</v>
      </c>
      <c r="G29" s="43">
        <v>0.01</v>
      </c>
      <c r="H29" s="21" t="s">
        <v>1473</v>
      </c>
      <c r="I29" s="39" t="str">
        <f ca="1">IFERROR(__xludf.DUMMYFUNCTION("IF(SUM(COUNTIF(artists!A:A, SPLIT(D29, "",""))) &gt; 0, ""UA"", 0)"),"UA")</f>
        <v>UA</v>
      </c>
      <c r="J29" s="40">
        <f ca="1">IFERROR(__xludf.DUMMYFUNCTION("IF(SUM(COUNTIF(artists!C:C, SPLIT(D29, "",""))) &gt; 0, ""RU"", 0)"),0)</f>
        <v>0</v>
      </c>
      <c r="K29" s="39">
        <f ca="1">IFERROR(__xludf.DUMMYFUNCTION("IF(SUM(COUNTIF(artists!E:E, SPLIT(D29, "",""))) &gt; 0, ""OTHER"", 0)"),0)</f>
        <v>0</v>
      </c>
    </row>
    <row r="30" spans="1:11" ht="14.25" customHeight="1">
      <c r="A30" s="21">
        <v>29</v>
      </c>
      <c r="B30" s="21">
        <v>27</v>
      </c>
      <c r="C30" s="21" t="s">
        <v>1332</v>
      </c>
      <c r="D30" s="21" t="s">
        <v>1333</v>
      </c>
      <c r="E30" s="21">
        <v>9</v>
      </c>
      <c r="F30" s="21">
        <v>379978</v>
      </c>
      <c r="G30" s="42">
        <v>-4.9000000000000002E-2</v>
      </c>
      <c r="H30" s="21" t="s">
        <v>1334</v>
      </c>
      <c r="I30" s="39" t="str">
        <f ca="1">IFERROR(__xludf.DUMMYFUNCTION("IF(SUM(COUNTIF(artists!A:A, SPLIT(D30, "",""))) &gt; 0, ""UA"", 0)"),"UA")</f>
        <v>UA</v>
      </c>
      <c r="J30" s="40">
        <f ca="1">IFERROR(__xludf.DUMMYFUNCTION("IF(SUM(COUNTIF(artists!C:C, SPLIT(D30, "",""))) &gt; 0, ""RU"", 0)"),0)</f>
        <v>0</v>
      </c>
      <c r="K30" s="39">
        <f ca="1">IFERROR(__xludf.DUMMYFUNCTION("IF(SUM(COUNTIF(artists!E:E, SPLIT(D30, "",""))) &gt; 0, ""OTHER"", 0)"),0)</f>
        <v>0</v>
      </c>
    </row>
    <row r="31" spans="1:11" ht="14.25" customHeight="1">
      <c r="A31" s="21">
        <v>30</v>
      </c>
      <c r="B31" s="21">
        <v>24</v>
      </c>
      <c r="C31" s="21" t="s">
        <v>1284</v>
      </c>
      <c r="D31" s="21" t="s">
        <v>1285</v>
      </c>
      <c r="E31" s="21">
        <v>8</v>
      </c>
      <c r="F31" s="21">
        <v>378062</v>
      </c>
      <c r="G31" s="42">
        <v>-0.108</v>
      </c>
      <c r="H31" s="21" t="s">
        <v>1286</v>
      </c>
      <c r="I31" s="39">
        <f ca="1">IFERROR(__xludf.DUMMYFUNCTION("IF(SUM(COUNTIF(artists!A:A, SPLIT(D31, "",""))) &gt; 0, ""UA"", 0)"),0)</f>
        <v>0</v>
      </c>
      <c r="J31" s="40" t="str">
        <f ca="1">IFERROR(__xludf.DUMMYFUNCTION("IF(SUM(COUNTIF(artists!C:C, SPLIT(D31, "",""))) &gt; 0, ""RU"", 0)"),"RU")</f>
        <v>RU</v>
      </c>
      <c r="K31" s="39">
        <f ca="1">IFERROR(__xludf.DUMMYFUNCTION("IF(SUM(COUNTIF(artists!E:E, SPLIT(D31, "",""))) &gt; 0, ""OTHER"", 0)"),0)</f>
        <v>0</v>
      </c>
    </row>
    <row r="32" spans="1:11" ht="14.25" customHeight="1">
      <c r="A32" s="21">
        <v>31</v>
      </c>
      <c r="B32" s="21">
        <v>5</v>
      </c>
      <c r="C32" s="21" t="s">
        <v>1570</v>
      </c>
      <c r="D32" s="21" t="s">
        <v>1042</v>
      </c>
      <c r="E32" s="21">
        <v>2</v>
      </c>
      <c r="F32" s="21">
        <v>375434</v>
      </c>
      <c r="G32" s="43">
        <v>-0.62</v>
      </c>
      <c r="H32" s="21" t="s">
        <v>1571</v>
      </c>
      <c r="I32" s="39">
        <f ca="1">IFERROR(__xludf.DUMMYFUNCTION("IF(SUM(COUNTIF(artists!A:A, SPLIT(D32, "",""))) &gt; 0, ""UA"", 0)"),0)</f>
        <v>0</v>
      </c>
      <c r="J32" s="40" t="str">
        <f ca="1">IFERROR(__xludf.DUMMYFUNCTION("IF(SUM(COUNTIF(artists!C:C, SPLIT(D32, "",""))) &gt; 0, ""RU"", 0)"),"RU")</f>
        <v>RU</v>
      </c>
      <c r="K32" s="39">
        <f ca="1">IFERROR(__xludf.DUMMYFUNCTION("IF(SUM(COUNTIF(artists!E:E, SPLIT(D32, "",""))) &gt; 0, ""OTHER"", 0)"),0)</f>
        <v>0</v>
      </c>
    </row>
    <row r="33" spans="1:11" ht="14.25" customHeight="1">
      <c r="A33" s="21">
        <v>32</v>
      </c>
      <c r="B33" s="21">
        <v>32</v>
      </c>
      <c r="C33" s="21" t="s">
        <v>1354</v>
      </c>
      <c r="D33" s="21" t="s">
        <v>1355</v>
      </c>
      <c r="E33" s="21">
        <v>37</v>
      </c>
      <c r="F33" s="21">
        <v>374388</v>
      </c>
      <c r="G33" s="42">
        <v>2.8000000000000001E-2</v>
      </c>
      <c r="H33" s="21" t="s">
        <v>1356</v>
      </c>
      <c r="I33" s="39" t="str">
        <f ca="1">IFERROR(__xludf.DUMMYFUNCTION("IF(SUM(COUNTIF(artists!A:A, SPLIT(D33, "",""))) &gt; 0, ""UA"", 0)"),"UA")</f>
        <v>UA</v>
      </c>
      <c r="J33" s="40">
        <f ca="1">IFERROR(__xludf.DUMMYFUNCTION("IF(SUM(COUNTIF(artists!C:C, SPLIT(D33, "",""))) &gt; 0, ""RU"", 0)"),0)</f>
        <v>0</v>
      </c>
      <c r="K33" s="39">
        <f ca="1">IFERROR(__xludf.DUMMYFUNCTION("IF(SUM(COUNTIF(artists!E:E, SPLIT(D33, "",""))) &gt; 0, ""OTHER"", 0)"),0)</f>
        <v>0</v>
      </c>
    </row>
    <row r="34" spans="1:11" ht="14.25" customHeight="1">
      <c r="A34" s="21">
        <v>33</v>
      </c>
      <c r="B34" s="21">
        <v>25</v>
      </c>
      <c r="C34" s="21" t="s">
        <v>1383</v>
      </c>
      <c r="D34" s="21" t="s">
        <v>463</v>
      </c>
      <c r="E34" s="21">
        <v>12</v>
      </c>
      <c r="F34" s="21">
        <v>365334</v>
      </c>
      <c r="G34" s="42">
        <v>-0.13400000000000001</v>
      </c>
      <c r="H34" s="21" t="s">
        <v>1384</v>
      </c>
      <c r="I34" s="39" t="str">
        <f ca="1">IFERROR(__xludf.DUMMYFUNCTION("IF(SUM(COUNTIF(artists!A:A, SPLIT(D34, "",""))) &gt; 0, ""UA"", 0)"),"UA")</f>
        <v>UA</v>
      </c>
      <c r="J34" s="40">
        <f ca="1">IFERROR(__xludf.DUMMYFUNCTION("IF(SUM(COUNTIF(artists!C:C, SPLIT(D34, "",""))) &gt; 0, ""RU"", 0)"),0)</f>
        <v>0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B35" s="21">
        <v>40</v>
      </c>
      <c r="C35" s="21" t="s">
        <v>186</v>
      </c>
      <c r="D35" s="21" t="s">
        <v>187</v>
      </c>
      <c r="E35" s="21">
        <v>11</v>
      </c>
      <c r="F35" s="21">
        <v>359683</v>
      </c>
      <c r="G35" s="42">
        <v>0.14399999999999999</v>
      </c>
      <c r="H35" s="21" t="s">
        <v>189</v>
      </c>
      <c r="I35" s="39" t="str">
        <f ca="1">IFERROR(__xludf.DUMMYFUNCTION("IF(SUM(COUNTIF(artists!A:A, SPLIT(D35, "",""))) &gt; 0, ""UA"", 0)"),"UA")</f>
        <v>UA</v>
      </c>
      <c r="J35" s="40">
        <f ca="1">IFERROR(__xludf.DUMMYFUNCTION("IF(SUM(COUNTIF(artists!C:C, SPLIT(D35, "",""))) &gt; 0, ""RU"", 0)"),0)</f>
        <v>0</v>
      </c>
      <c r="K35" s="39">
        <f ca="1">IFERROR(__xludf.DUMMYFUNCTION("IF(SUM(COUNTIF(artists!E:E, SPLIT(D35, "",""))) &gt; 0, ""OTHER"", 0)"),0)</f>
        <v>0</v>
      </c>
    </row>
    <row r="36" spans="1:11" ht="14.25" customHeight="1">
      <c r="A36" s="21">
        <v>35</v>
      </c>
      <c r="B36" s="21">
        <v>31</v>
      </c>
      <c r="C36" s="21" t="s">
        <v>1498</v>
      </c>
      <c r="D36" s="21" t="s">
        <v>969</v>
      </c>
      <c r="E36" s="21">
        <v>39</v>
      </c>
      <c r="F36" s="21">
        <v>357840</v>
      </c>
      <c r="G36" s="42">
        <v>-2.9000000000000001E-2</v>
      </c>
      <c r="H36" s="21" t="s">
        <v>1499</v>
      </c>
      <c r="I36" s="39" t="str">
        <f ca="1">IFERROR(__xludf.DUMMYFUNCTION("IF(SUM(COUNTIF(artists!A:A, SPLIT(D36, "",""))) &gt; 0, ""UA"", 0)"),"UA")</f>
        <v>UA</v>
      </c>
      <c r="J36" s="40">
        <f ca="1">IFERROR(__xludf.DUMMYFUNCTION("IF(SUM(COUNTIF(artists!C:C, SPLIT(D36, "",""))) &gt; 0, ""RU"", 0)"),0)</f>
        <v>0</v>
      </c>
      <c r="K36" s="39">
        <f ca="1">IFERROR(__xludf.DUMMYFUNCTION("IF(SUM(COUNTIF(artists!E:E, SPLIT(D36, "",""))) &gt; 0, ""OTHER"", 0)"),0)</f>
        <v>0</v>
      </c>
    </row>
    <row r="37" spans="1:11" ht="14.25" customHeight="1">
      <c r="A37" s="21">
        <v>36</v>
      </c>
      <c r="B37" s="21">
        <v>33</v>
      </c>
      <c r="C37" s="21" t="s">
        <v>253</v>
      </c>
      <c r="D37" s="21" t="s">
        <v>89</v>
      </c>
      <c r="E37" s="21">
        <v>16</v>
      </c>
      <c r="F37" s="21">
        <v>349508</v>
      </c>
      <c r="G37" s="42">
        <v>-2.7E-2</v>
      </c>
      <c r="H37" s="21" t="s">
        <v>254</v>
      </c>
      <c r="I37" s="39" t="str">
        <f ca="1">IFERROR(__xludf.DUMMYFUNCTION("IF(SUM(COUNTIF(artists!A:A, SPLIT(D37, "",""))) &gt; 0, ""UA"", 0)"),"UA")</f>
        <v>UA</v>
      </c>
      <c r="J37" s="40">
        <f ca="1">IFERROR(__xludf.DUMMYFUNCTION("IF(SUM(COUNTIF(artists!C:C, SPLIT(D37, "",""))) &gt; 0, ""RU"", 0)"),0)</f>
        <v>0</v>
      </c>
      <c r="K37" s="39">
        <f ca="1">IFERROR(__xludf.DUMMYFUNCTION("IF(SUM(COUNTIF(artists!E:E, SPLIT(D37, "",""))) &gt; 0, ""OTHER"", 0)"),0)</f>
        <v>0</v>
      </c>
    </row>
    <row r="38" spans="1:11" ht="14.25" customHeight="1">
      <c r="A38" s="21">
        <v>37</v>
      </c>
      <c r="B38" s="21">
        <v>34</v>
      </c>
      <c r="C38" s="21" t="s">
        <v>1447</v>
      </c>
      <c r="D38" s="21" t="s">
        <v>969</v>
      </c>
      <c r="E38" s="21">
        <v>26</v>
      </c>
      <c r="F38" s="21">
        <v>333388</v>
      </c>
      <c r="G38" s="42">
        <v>-3.3000000000000002E-2</v>
      </c>
      <c r="H38" s="21" t="s">
        <v>1448</v>
      </c>
      <c r="I38" s="39" t="str">
        <f ca="1">IFERROR(__xludf.DUMMYFUNCTION("IF(SUM(COUNTIF(artists!A:A, SPLIT(D38, "",""))) &gt; 0, ""UA"", 0)"),"UA")</f>
        <v>UA</v>
      </c>
      <c r="J38" s="40">
        <f ca="1">IFERROR(__xludf.DUMMYFUNCTION("IF(SUM(COUNTIF(artists!C:C, SPLIT(D38, "",""))) &gt; 0, ""RU"", 0)"),0)</f>
        <v>0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B39" s="21">
        <v>41</v>
      </c>
      <c r="C39" s="21" t="s">
        <v>632</v>
      </c>
      <c r="D39" s="21" t="s">
        <v>633</v>
      </c>
      <c r="E39" s="21">
        <v>11</v>
      </c>
      <c r="F39" s="21">
        <v>321152</v>
      </c>
      <c r="G39" s="42">
        <v>2.9000000000000001E-2</v>
      </c>
      <c r="H39" s="21" t="s">
        <v>634</v>
      </c>
      <c r="I39" s="39" t="str">
        <f ca="1">IFERROR(__xludf.DUMMYFUNCTION("IF(SUM(COUNTIF(artists!A:A, SPLIT(D39, "",""))) &gt; 0, ""UA"", 0)"),"UA")</f>
        <v>UA</v>
      </c>
      <c r="J39" s="40">
        <f ca="1">IFERROR(__xludf.DUMMYFUNCTION("IF(SUM(COUNTIF(artists!C:C, SPLIT(D39, "",""))) &gt; 0, ""RU"", 0)"),0)</f>
        <v>0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B40" s="21">
        <v>35</v>
      </c>
      <c r="C40" s="21" t="s">
        <v>1327</v>
      </c>
      <c r="D40" s="21" t="s">
        <v>89</v>
      </c>
      <c r="E40" s="21">
        <v>36</v>
      </c>
      <c r="F40" s="21">
        <v>315470</v>
      </c>
      <c r="G40" s="42">
        <v>-4.4999999999999998E-2</v>
      </c>
      <c r="H40" s="21" t="s">
        <v>1328</v>
      </c>
      <c r="I40" s="39" t="str">
        <f ca="1">IFERROR(__xludf.DUMMYFUNCTION("IF(SUM(COUNTIF(artists!A:A, SPLIT(D40, "",""))) &gt; 0, ""UA"", 0)"),"UA")</f>
        <v>UA</v>
      </c>
      <c r="J40" s="40">
        <f ca="1">IFERROR(__xludf.DUMMYFUNCTION("IF(SUM(COUNTIF(artists!C:C, SPLIT(D40, "",""))) &gt; 0, ""RU"", 0)"),0)</f>
        <v>0</v>
      </c>
      <c r="K40" s="39">
        <f ca="1">IFERROR(__xludf.DUMMYFUNCTION("IF(SUM(COUNTIF(artists!E:E, SPLIT(D40, "",""))) &gt; 0, ""OTHER"", 0)"),0)</f>
        <v>0</v>
      </c>
    </row>
    <row r="41" spans="1:11" ht="14.25" customHeight="1">
      <c r="A41" s="21">
        <v>40</v>
      </c>
      <c r="B41" s="21">
        <v>43</v>
      </c>
      <c r="C41" s="21" t="s">
        <v>887</v>
      </c>
      <c r="D41" s="21" t="s">
        <v>89</v>
      </c>
      <c r="E41" s="21">
        <v>14</v>
      </c>
      <c r="F41" s="21">
        <v>306155</v>
      </c>
      <c r="G41" s="42">
        <v>1E-3</v>
      </c>
      <c r="H41" s="21" t="s">
        <v>888</v>
      </c>
      <c r="I41" s="39" t="str">
        <f ca="1">IFERROR(__xludf.DUMMYFUNCTION("IF(SUM(COUNTIF(artists!A:A, SPLIT(D41, "",""))) &gt; 0, ""UA"", 0)"),"UA")</f>
        <v>UA</v>
      </c>
      <c r="J41" s="40">
        <f ca="1">IFERROR(__xludf.DUMMYFUNCTION("IF(SUM(COUNTIF(artists!C:C, SPLIT(D41, "",""))) &gt; 0, ""RU"", 0)"),0)</f>
        <v>0</v>
      </c>
      <c r="K41" s="39">
        <f ca="1">IFERROR(__xludf.DUMMYFUNCTION("IF(SUM(COUNTIF(artists!E:E, SPLIT(D41, "",""))) &gt; 0, ""OTHER"", 0)"),0)</f>
        <v>0</v>
      </c>
    </row>
    <row r="42" spans="1:11" ht="14.25" customHeight="1">
      <c r="A42" s="21">
        <v>41</v>
      </c>
      <c r="B42" s="21">
        <v>36</v>
      </c>
      <c r="C42" s="21" t="s">
        <v>1436</v>
      </c>
      <c r="D42" s="21" t="s">
        <v>896</v>
      </c>
      <c r="E42" s="21">
        <v>14</v>
      </c>
      <c r="F42" s="21">
        <v>303248</v>
      </c>
      <c r="G42" s="42">
        <v>-7.1999999999999995E-2</v>
      </c>
      <c r="H42" s="21" t="s">
        <v>1437</v>
      </c>
      <c r="I42" s="39" t="str">
        <f ca="1">IFERROR(__xludf.DUMMYFUNCTION("IF(SUM(COUNTIF(artists!A:A, SPLIT(D42, "",""))) &gt; 0, ""UA"", 0)"),"UA")</f>
        <v>UA</v>
      </c>
      <c r="J42" s="40">
        <f ca="1">IFERROR(__xludf.DUMMYFUNCTION("IF(SUM(COUNTIF(artists!C:C, SPLIT(D42, "",""))) &gt; 0, ""RU"", 0)"),0)</f>
        <v>0</v>
      </c>
      <c r="K42" s="39">
        <f ca="1">IFERROR(__xludf.DUMMYFUNCTION("IF(SUM(COUNTIF(artists!E:E, SPLIT(D42, "",""))) &gt; 0, ""OTHER"", 0)"),0)</f>
        <v>0</v>
      </c>
    </row>
    <row r="43" spans="1:11" ht="14.25" customHeight="1">
      <c r="A43" s="21">
        <v>42</v>
      </c>
      <c r="B43" s="21">
        <v>37</v>
      </c>
      <c r="C43" s="21" t="s">
        <v>1318</v>
      </c>
      <c r="D43" s="21" t="s">
        <v>1319</v>
      </c>
      <c r="E43" s="21">
        <v>4</v>
      </c>
      <c r="F43" s="21">
        <v>300613</v>
      </c>
      <c r="G43" s="42">
        <v>-7.9000000000000001E-2</v>
      </c>
      <c r="H43" s="21" t="s">
        <v>1320</v>
      </c>
      <c r="I43" s="39">
        <f ca="1">IFERROR(__xludf.DUMMYFUNCTION("IF(SUM(COUNTIF(artists!A:A, SPLIT(D43, "",""))) &gt; 0, ""UA"", 0)"),0)</f>
        <v>0</v>
      </c>
      <c r="J43" s="40" t="str">
        <f ca="1">IFERROR(__xludf.DUMMYFUNCTION("IF(SUM(COUNTIF(artists!C:C, SPLIT(D43, "",""))) &gt; 0, ""RU"", 0)"),"RU")</f>
        <v>RU</v>
      </c>
      <c r="K43" s="39">
        <f ca="1">IFERROR(__xludf.DUMMYFUNCTION("IF(SUM(COUNTIF(artists!E:E, SPLIT(D43, "",""))) &gt; 0, ""OTHER"", 0)"),0)</f>
        <v>0</v>
      </c>
    </row>
    <row r="44" spans="1:11" ht="14.25" customHeight="1">
      <c r="A44" s="21">
        <v>43</v>
      </c>
      <c r="B44" s="21">
        <v>39</v>
      </c>
      <c r="C44" s="21" t="s">
        <v>1182</v>
      </c>
      <c r="D44" s="21" t="s">
        <v>466</v>
      </c>
      <c r="E44" s="21">
        <v>9</v>
      </c>
      <c r="F44" s="21">
        <v>292642</v>
      </c>
      <c r="G44" s="42">
        <v>-9.8000000000000004E-2</v>
      </c>
      <c r="H44" s="21" t="s">
        <v>1183</v>
      </c>
      <c r="I44" s="39" t="str">
        <f ca="1">IFERROR(__xludf.DUMMYFUNCTION("IF(SUM(COUNTIF(artists!A:A, SPLIT(D44, "",""))) &gt; 0, ""UA"", 0)"),"UA")</f>
        <v>UA</v>
      </c>
      <c r="J44" s="40">
        <f ca="1">IFERROR(__xludf.DUMMYFUNCTION("IF(SUM(COUNTIF(artists!C:C, SPLIT(D44, "",""))) &gt; 0, ""RU"", 0)"),0)</f>
        <v>0</v>
      </c>
      <c r="K44" s="39">
        <f ca="1">IFERROR(__xludf.DUMMYFUNCTION("IF(SUM(COUNTIF(artists!E:E, SPLIT(D44, "",""))) &gt; 0, ""OTHER"", 0)"),0)</f>
        <v>0</v>
      </c>
    </row>
    <row r="45" spans="1:11" ht="14.25" customHeight="1">
      <c r="A45" s="21">
        <v>44</v>
      </c>
      <c r="B45" s="21">
        <v>45</v>
      </c>
      <c r="C45" s="21" t="s">
        <v>1500</v>
      </c>
      <c r="D45" s="21" t="s">
        <v>907</v>
      </c>
      <c r="E45" s="21">
        <v>37</v>
      </c>
      <c r="F45" s="21">
        <v>292078</v>
      </c>
      <c r="G45" s="42">
        <v>-1.9E-2</v>
      </c>
      <c r="H45" s="21" t="s">
        <v>1501</v>
      </c>
      <c r="I45" s="39">
        <f ca="1">IFERROR(__xludf.DUMMYFUNCTION("IF(SUM(COUNTIF(artists!A:A, SPLIT(D45, "",""))) &gt; 0, ""UA"", 0)"),0)</f>
        <v>0</v>
      </c>
      <c r="J45" s="40" t="str">
        <f ca="1">IFERROR(__xludf.DUMMYFUNCTION("IF(SUM(COUNTIF(artists!C:C, SPLIT(D45, "",""))) &gt; 0, ""RU"", 0)"),"RU")</f>
        <v>RU</v>
      </c>
      <c r="K45" s="39">
        <f ca="1">IFERROR(__xludf.DUMMYFUNCTION("IF(SUM(COUNTIF(artists!E:E, SPLIT(D45, "",""))) &gt; 0, ""OTHER"", 0)"),0)</f>
        <v>0</v>
      </c>
    </row>
    <row r="46" spans="1:11" ht="14.25" customHeight="1">
      <c r="A46" s="21">
        <v>45</v>
      </c>
      <c r="B46" s="21">
        <v>49</v>
      </c>
      <c r="C46" s="21" t="s">
        <v>1343</v>
      </c>
      <c r="D46" s="21" t="s">
        <v>1344</v>
      </c>
      <c r="E46" s="21">
        <v>2</v>
      </c>
      <c r="F46" s="21">
        <v>290248</v>
      </c>
      <c r="G46" s="42">
        <v>5.2999999999999999E-2</v>
      </c>
      <c r="H46" s="21" t="s">
        <v>1345</v>
      </c>
      <c r="I46" s="39" t="str">
        <f ca="1">IFERROR(__xludf.DUMMYFUNCTION("IF(SUM(COUNTIF(artists!A:A, SPLIT(D46, "",""))) &gt; 0, ""UA"", 0)"),"UA")</f>
        <v>UA</v>
      </c>
      <c r="J46" s="40">
        <f ca="1">IFERROR(__xludf.DUMMYFUNCTION("IF(SUM(COUNTIF(artists!C:C, SPLIT(D46, "",""))) &gt; 0, ""RU"", 0)"),0)</f>
        <v>0</v>
      </c>
      <c r="K46" s="39">
        <f ca="1">IFERROR(__xludf.DUMMYFUNCTION("IF(SUM(COUNTIF(artists!E:E, SPLIT(D46, "",""))) &gt; 0, ""OTHER"", 0)"),0)</f>
        <v>0</v>
      </c>
    </row>
    <row r="47" spans="1:11" ht="14.25" customHeight="1">
      <c r="A47" s="21">
        <v>46</v>
      </c>
      <c r="B47" s="21">
        <v>47</v>
      </c>
      <c r="C47" s="21" t="s">
        <v>1518</v>
      </c>
      <c r="D47" s="21" t="s">
        <v>108</v>
      </c>
      <c r="E47" s="21">
        <v>19</v>
      </c>
      <c r="F47" s="21">
        <v>285392</v>
      </c>
      <c r="G47" s="42">
        <v>1.7000000000000001E-2</v>
      </c>
      <c r="H47" s="21" t="s">
        <v>1519</v>
      </c>
      <c r="I47" s="39" t="str">
        <f ca="1">IFERROR(__xludf.DUMMYFUNCTION("IF(SUM(COUNTIF(artists!A:A, SPLIT(D47, "",""))) &gt; 0, ""UA"", 0)"),"UA")</f>
        <v>UA</v>
      </c>
      <c r="J47" s="40">
        <f ca="1">IFERROR(__xludf.DUMMYFUNCTION("IF(SUM(COUNTIF(artists!C:C, SPLIT(D47, "",""))) &gt; 0, ""RU"", 0)"),0)</f>
        <v>0</v>
      </c>
      <c r="K47" s="39">
        <f ca="1">IFERROR(__xludf.DUMMYFUNCTION("IF(SUM(COUNTIF(artists!E:E, SPLIT(D47, "",""))) &gt; 0, ""OTHER"", 0)"),0)</f>
        <v>0</v>
      </c>
    </row>
    <row r="48" spans="1:11" ht="14.25" customHeight="1">
      <c r="A48" s="21">
        <v>47</v>
      </c>
      <c r="C48" s="21" t="s">
        <v>1583</v>
      </c>
      <c r="D48" s="21" t="s">
        <v>1584</v>
      </c>
      <c r="E48" s="21">
        <v>1</v>
      </c>
      <c r="F48" s="21">
        <v>282771</v>
      </c>
      <c r="H48" s="21" t="s">
        <v>1585</v>
      </c>
      <c r="I48" s="39" t="str">
        <f ca="1">IFERROR(__xludf.DUMMYFUNCTION("IF(SUM(COUNTIF(artists!A:A, SPLIT(D48, "",""))) &gt; 0, ""UA"", 0)"),"UA")</f>
        <v>UA</v>
      </c>
      <c r="J48" s="40">
        <f ca="1">IFERROR(__xludf.DUMMYFUNCTION("IF(SUM(COUNTIF(artists!C:C, SPLIT(D48, "",""))) &gt; 0, ""RU"", 0)"),0)</f>
        <v>0</v>
      </c>
      <c r="K48" s="39">
        <f ca="1">IFERROR(__xludf.DUMMYFUNCTION("IF(SUM(COUNTIF(artists!E:E, SPLIT(D48, "",""))) &gt; 0, ""OTHER"", 0)"),0)</f>
        <v>0</v>
      </c>
    </row>
    <row r="49" spans="1:11" ht="14.25" customHeight="1">
      <c r="A49" s="21">
        <v>48</v>
      </c>
      <c r="B49" s="21">
        <v>48</v>
      </c>
      <c r="C49" s="21" t="s">
        <v>1261</v>
      </c>
      <c r="D49" s="21" t="s">
        <v>137</v>
      </c>
      <c r="E49" s="21">
        <v>24</v>
      </c>
      <c r="F49" s="21">
        <v>280626</v>
      </c>
      <c r="G49" s="43">
        <v>0</v>
      </c>
      <c r="H49" s="21" t="s">
        <v>1262</v>
      </c>
      <c r="I49" s="39" t="str">
        <f ca="1">IFERROR(__xludf.DUMMYFUNCTION("IF(SUM(COUNTIF(artists!A:A, SPLIT(D49, "",""))) &gt; 0, ""UA"", 0)"),"UA")</f>
        <v>UA</v>
      </c>
      <c r="J49" s="40">
        <f ca="1">IFERROR(__xludf.DUMMYFUNCTION("IF(SUM(COUNTIF(artists!C:C, SPLIT(D49, "",""))) &gt; 0, ""RU"", 0)"),0)</f>
        <v>0</v>
      </c>
      <c r="K49" s="39">
        <f ca="1">IFERROR(__xludf.DUMMYFUNCTION("IF(SUM(COUNTIF(artists!E:E, SPLIT(D49, "",""))) &gt; 0, ""OTHER"", 0)"),0)</f>
        <v>0</v>
      </c>
    </row>
    <row r="50" spans="1:11" ht="14.25" customHeight="1">
      <c r="A50" s="21">
        <v>49</v>
      </c>
      <c r="B50" s="21">
        <v>55</v>
      </c>
      <c r="C50" s="21" t="s">
        <v>178</v>
      </c>
      <c r="D50" s="21" t="s">
        <v>179</v>
      </c>
      <c r="E50" s="21">
        <v>11</v>
      </c>
      <c r="F50" s="21">
        <v>278214</v>
      </c>
      <c r="G50" s="42">
        <v>0.14099999999999999</v>
      </c>
      <c r="H50" s="21" t="s">
        <v>181</v>
      </c>
      <c r="I50" s="39" t="str">
        <f ca="1">IFERROR(__xludf.DUMMYFUNCTION("IF(SUM(COUNTIF(artists!A:A, SPLIT(D50, "",""))) &gt; 0, ""UA"", 0)"),"UA")</f>
        <v>UA</v>
      </c>
      <c r="J50" s="40">
        <f ca="1">IFERROR(__xludf.DUMMYFUNCTION("IF(SUM(COUNTIF(artists!C:C, SPLIT(D50, "",""))) &gt; 0, ""RU"", 0)"),0)</f>
        <v>0</v>
      </c>
      <c r="K50" s="39">
        <f ca="1">IFERROR(__xludf.DUMMYFUNCTION("IF(SUM(COUNTIF(artists!E:E, SPLIT(D50, "",""))) &gt; 0, ""OTHER"", 0)"),0)</f>
        <v>0</v>
      </c>
    </row>
    <row r="51" spans="1:11" ht="14.25" customHeight="1">
      <c r="A51" s="21">
        <v>50</v>
      </c>
      <c r="B51" s="21">
        <v>42</v>
      </c>
      <c r="C51" s="21" t="s">
        <v>493</v>
      </c>
      <c r="D51" s="21" t="s">
        <v>494</v>
      </c>
      <c r="E51" s="21">
        <v>22</v>
      </c>
      <c r="F51" s="21">
        <v>276684</v>
      </c>
      <c r="G51" s="42">
        <v>-0.10299999999999999</v>
      </c>
      <c r="H51" s="21" t="s">
        <v>495</v>
      </c>
      <c r="I51" s="39" t="str">
        <f ca="1">IFERROR(__xludf.DUMMYFUNCTION("IF(SUM(COUNTIF(artists!A:A, SPLIT(D51, "",""))) &gt; 0, ""UA"", 0)"),"UA")</f>
        <v>UA</v>
      </c>
      <c r="J51" s="40">
        <f ca="1">IFERROR(__xludf.DUMMYFUNCTION("IF(SUM(COUNTIF(artists!C:C, SPLIT(D51, "",""))) &gt; 0, ""RU"", 0)"),0)</f>
        <v>0</v>
      </c>
      <c r="K51" s="39">
        <f ca="1">IFERROR(__xludf.DUMMYFUNCTION("IF(SUM(COUNTIF(artists!E:E, SPLIT(D51, "",""))) &gt; 0, ""OTHER"", 0)"),0)</f>
        <v>0</v>
      </c>
    </row>
    <row r="52" spans="1:11" ht="14.25" customHeight="1">
      <c r="A52" s="21">
        <v>51</v>
      </c>
      <c r="B52" s="21">
        <v>50</v>
      </c>
      <c r="C52" s="21" t="s">
        <v>1290</v>
      </c>
      <c r="D52" s="21" t="s">
        <v>942</v>
      </c>
      <c r="E52" s="21">
        <v>11</v>
      </c>
      <c r="F52" s="21">
        <v>263925</v>
      </c>
      <c r="G52" s="42">
        <v>-2.3E-2</v>
      </c>
      <c r="H52" s="21" t="s">
        <v>1291</v>
      </c>
      <c r="I52" s="39" t="str">
        <f ca="1">IFERROR(__xludf.DUMMYFUNCTION("IF(SUM(COUNTIF(artists!A:A, SPLIT(D52, "",""))) &gt; 0, ""UA"", 0)"),"UA")</f>
        <v>UA</v>
      </c>
      <c r="J52" s="40">
        <f ca="1">IFERROR(__xludf.DUMMYFUNCTION("IF(SUM(COUNTIF(artists!C:C, SPLIT(D52, "",""))) &gt; 0, ""RU"", 0)"),0)</f>
        <v>0</v>
      </c>
      <c r="K52" s="39">
        <f ca="1">IFERROR(__xludf.DUMMYFUNCTION("IF(SUM(COUNTIF(artists!E:E, SPLIT(D52, "",""))) &gt; 0, ""OTHER"", 0)"),0)</f>
        <v>0</v>
      </c>
    </row>
    <row r="53" spans="1:11" ht="14.25" customHeight="1">
      <c r="A53" s="21">
        <v>52</v>
      </c>
      <c r="B53" s="21">
        <v>52</v>
      </c>
      <c r="C53" s="21" t="s">
        <v>118</v>
      </c>
      <c r="D53" s="21" t="s">
        <v>586</v>
      </c>
      <c r="E53" s="21">
        <v>17</v>
      </c>
      <c r="F53" s="21">
        <v>260440</v>
      </c>
      <c r="G53" s="42">
        <v>-1.6E-2</v>
      </c>
      <c r="H53" s="21" t="s">
        <v>587</v>
      </c>
      <c r="I53" s="39" t="str">
        <f ca="1">IFERROR(__xludf.DUMMYFUNCTION("IF(SUM(COUNTIF(artists!A:A, SPLIT(D53, "",""))) &gt; 0, ""UA"", 0)"),"UA")</f>
        <v>UA</v>
      </c>
      <c r="J53" s="40">
        <f ca="1">IFERROR(__xludf.DUMMYFUNCTION("IF(SUM(COUNTIF(artists!C:C, SPLIT(D53, "",""))) &gt; 0, ""RU"", 0)"),0)</f>
        <v>0</v>
      </c>
      <c r="K53" s="39">
        <f ca="1">IFERROR(__xludf.DUMMYFUNCTION("IF(SUM(COUNTIF(artists!E:E, SPLIT(D53, "",""))) &gt; 0, ""OTHER"", 0)"),0)</f>
        <v>0</v>
      </c>
    </row>
    <row r="54" spans="1:11" ht="14.25" customHeight="1">
      <c r="A54" s="21">
        <v>53</v>
      </c>
      <c r="B54" s="21">
        <v>54</v>
      </c>
      <c r="C54" s="21" t="s">
        <v>1586</v>
      </c>
      <c r="D54" s="21" t="s">
        <v>969</v>
      </c>
      <c r="E54" s="21">
        <v>20</v>
      </c>
      <c r="F54" s="21">
        <v>257032</v>
      </c>
      <c r="G54" s="42">
        <v>-2.4E-2</v>
      </c>
      <c r="H54" s="21" t="s">
        <v>1587</v>
      </c>
      <c r="I54" s="39" t="str">
        <f ca="1">IFERROR(__xludf.DUMMYFUNCTION("IF(SUM(COUNTIF(artists!A:A, SPLIT(D54, "",""))) &gt; 0, ""UA"", 0)"),"UA")</f>
        <v>UA</v>
      </c>
      <c r="J54" s="40">
        <f ca="1">IFERROR(__xludf.DUMMYFUNCTION("IF(SUM(COUNTIF(artists!C:C, SPLIT(D54, "",""))) &gt; 0, ""RU"", 0)"),0)</f>
        <v>0</v>
      </c>
      <c r="K54" s="39">
        <f ca="1">IFERROR(__xludf.DUMMYFUNCTION("IF(SUM(COUNTIF(artists!E:E, SPLIT(D54, "",""))) &gt; 0, ""OTHER"", 0)"),0)</f>
        <v>0</v>
      </c>
    </row>
    <row r="55" spans="1:11" ht="14.25" customHeight="1">
      <c r="A55" s="21">
        <v>54</v>
      </c>
      <c r="B55" s="21">
        <v>53</v>
      </c>
      <c r="C55" s="21" t="s">
        <v>1242</v>
      </c>
      <c r="D55" s="21" t="s">
        <v>969</v>
      </c>
      <c r="E55" s="21">
        <v>6</v>
      </c>
      <c r="F55" s="21">
        <v>256094</v>
      </c>
      <c r="G55" s="42">
        <v>-2.9000000000000001E-2</v>
      </c>
      <c r="H55" s="21" t="s">
        <v>1243</v>
      </c>
      <c r="I55" s="39" t="str">
        <f ca="1">IFERROR(__xludf.DUMMYFUNCTION("IF(SUM(COUNTIF(artists!A:A, SPLIT(D55, "",""))) &gt; 0, ""UA"", 0)"),"UA")</f>
        <v>UA</v>
      </c>
      <c r="J55" s="40">
        <f ca="1">IFERROR(__xludf.DUMMYFUNCTION("IF(SUM(COUNTIF(artists!C:C, SPLIT(D55, "",""))) &gt; 0, ""RU"", 0)"),0)</f>
        <v>0</v>
      </c>
      <c r="K55" s="39">
        <f ca="1">IFERROR(__xludf.DUMMYFUNCTION("IF(SUM(COUNTIF(artists!E:E, SPLIT(D55, "",""))) &gt; 0, ""OTHER"", 0)"),0)</f>
        <v>0</v>
      </c>
    </row>
    <row r="56" spans="1:11" ht="14.25" customHeight="1">
      <c r="A56" s="21">
        <v>55</v>
      </c>
      <c r="B56" s="21">
        <v>46</v>
      </c>
      <c r="C56" s="21" t="s">
        <v>1563</v>
      </c>
      <c r="D56" s="21" t="s">
        <v>712</v>
      </c>
      <c r="E56" s="21">
        <v>4</v>
      </c>
      <c r="F56" s="21">
        <v>246952</v>
      </c>
      <c r="G56" s="42">
        <v>-0.157</v>
      </c>
      <c r="H56" s="21" t="s">
        <v>1564</v>
      </c>
      <c r="I56" s="39" t="str">
        <f ca="1">IFERROR(__xludf.DUMMYFUNCTION("IF(SUM(COUNTIF(artists!A:A, SPLIT(D56, "",""))) &gt; 0, ""UA"", 0)"),"UA")</f>
        <v>UA</v>
      </c>
      <c r="J56" s="40">
        <f ca="1">IFERROR(__xludf.DUMMYFUNCTION("IF(SUM(COUNTIF(artists!C:C, SPLIT(D56, "",""))) &gt; 0, ""RU"", 0)"),0)</f>
        <v>0</v>
      </c>
      <c r="K56" s="39">
        <f ca="1">IFERROR(__xludf.DUMMYFUNCTION("IF(SUM(COUNTIF(artists!E:E, SPLIT(D56, "",""))) &gt; 0, ""OTHER"", 0)"),0)</f>
        <v>0</v>
      </c>
    </row>
    <row r="57" spans="1:11" ht="14.25" customHeight="1">
      <c r="A57" s="21">
        <v>56</v>
      </c>
      <c r="B57" s="21">
        <v>56</v>
      </c>
      <c r="C57" s="21" t="s">
        <v>597</v>
      </c>
      <c r="D57" s="21" t="s">
        <v>598</v>
      </c>
      <c r="E57" s="21">
        <v>12</v>
      </c>
      <c r="F57" s="21">
        <v>243530</v>
      </c>
      <c r="G57" s="42">
        <v>2.1999999999999999E-2</v>
      </c>
      <c r="H57" s="21" t="s">
        <v>600</v>
      </c>
      <c r="I57" s="39" t="str">
        <f ca="1">IFERROR(__xludf.DUMMYFUNCTION("IF(SUM(COUNTIF(artists!A:A, SPLIT(D57, "",""))) &gt; 0, ""UA"", 0)"),"UA")</f>
        <v>UA</v>
      </c>
      <c r="J57" s="40">
        <f ca="1">IFERROR(__xludf.DUMMYFUNCTION("IF(SUM(COUNTIF(artists!C:C, SPLIT(D57, "",""))) &gt; 0, ""RU"", 0)"),0)</f>
        <v>0</v>
      </c>
      <c r="K57" s="39">
        <f ca="1">IFERROR(__xludf.DUMMYFUNCTION("IF(SUM(COUNTIF(artists!E:E, SPLIT(D57, "",""))) &gt; 0, ""OTHER"", 0)"),0)</f>
        <v>0</v>
      </c>
    </row>
    <row r="58" spans="1:11" ht="14.25" customHeight="1">
      <c r="A58" s="21">
        <v>57</v>
      </c>
      <c r="B58" s="21">
        <v>51</v>
      </c>
      <c r="C58" s="21" t="s">
        <v>1463</v>
      </c>
      <c r="D58" s="21" t="s">
        <v>1344</v>
      </c>
      <c r="E58" s="21">
        <v>15</v>
      </c>
      <c r="F58" s="21">
        <v>243496</v>
      </c>
      <c r="G58" s="42">
        <v>-8.3000000000000004E-2</v>
      </c>
      <c r="H58" s="21" t="s">
        <v>1464</v>
      </c>
      <c r="I58" s="39" t="str">
        <f ca="1">IFERROR(__xludf.DUMMYFUNCTION("IF(SUM(COUNTIF(artists!A:A, SPLIT(D58, "",""))) &gt; 0, ""UA"", 0)"),"UA")</f>
        <v>UA</v>
      </c>
      <c r="J58" s="40">
        <f ca="1">IFERROR(__xludf.DUMMYFUNCTION("IF(SUM(COUNTIF(artists!C:C, SPLIT(D58, "",""))) &gt; 0, ""RU"", 0)"),0)</f>
        <v>0</v>
      </c>
      <c r="K58" s="39">
        <f ca="1">IFERROR(__xludf.DUMMYFUNCTION("IF(SUM(COUNTIF(artists!E:E, SPLIT(D58, "",""))) &gt; 0, ""OTHER"", 0)"),0)</f>
        <v>0</v>
      </c>
    </row>
    <row r="59" spans="1:11" ht="14.25" customHeight="1">
      <c r="A59" s="21">
        <v>58</v>
      </c>
      <c r="B59" s="21">
        <v>59</v>
      </c>
      <c r="C59" s="21" t="s">
        <v>1588</v>
      </c>
      <c r="D59" s="21" t="s">
        <v>776</v>
      </c>
      <c r="E59" s="21">
        <v>20</v>
      </c>
      <c r="F59" s="21">
        <v>237881</v>
      </c>
      <c r="G59" s="42">
        <v>4.1000000000000002E-2</v>
      </c>
      <c r="H59" s="21" t="s">
        <v>1589</v>
      </c>
      <c r="I59" s="39" t="str">
        <f ca="1">IFERROR(__xludf.DUMMYFUNCTION("IF(SUM(COUNTIF(artists!A:A, SPLIT(D59, "",""))) &gt; 0, ""UA"", 0)"),"UA")</f>
        <v>UA</v>
      </c>
      <c r="J59" s="40">
        <f ca="1">IFERROR(__xludf.DUMMYFUNCTION("IF(SUM(COUNTIF(artists!C:C, SPLIT(D59, "",""))) &gt; 0, ""RU"", 0)"),0)</f>
        <v>0</v>
      </c>
      <c r="K59" s="39">
        <f ca="1">IFERROR(__xludf.DUMMYFUNCTION("IF(SUM(COUNTIF(artists!E:E, SPLIT(D59, "",""))) &gt; 0, ""OTHER"", 0)"),0)</f>
        <v>0</v>
      </c>
    </row>
    <row r="60" spans="1:11" ht="14.25" customHeight="1">
      <c r="A60" s="21">
        <v>59</v>
      </c>
      <c r="B60" s="21">
        <v>57</v>
      </c>
      <c r="C60" s="21" t="s">
        <v>1381</v>
      </c>
      <c r="D60" s="21" t="s">
        <v>969</v>
      </c>
      <c r="E60" s="21">
        <v>18</v>
      </c>
      <c r="F60" s="21">
        <v>237455</v>
      </c>
      <c r="G60" s="42">
        <v>2E-3</v>
      </c>
      <c r="H60" s="21" t="s">
        <v>1382</v>
      </c>
      <c r="I60" s="39" t="str">
        <f ca="1">IFERROR(__xludf.DUMMYFUNCTION("IF(SUM(COUNTIF(artists!A:A, SPLIT(D60, "",""))) &gt; 0, ""UA"", 0)"),"UA")</f>
        <v>UA</v>
      </c>
      <c r="J60" s="40">
        <f ca="1">IFERROR(__xludf.DUMMYFUNCTION("IF(SUM(COUNTIF(artists!C:C, SPLIT(D60, "",""))) &gt; 0, ""RU"", 0)"),0)</f>
        <v>0</v>
      </c>
      <c r="K60" s="39">
        <f ca="1">IFERROR(__xludf.DUMMYFUNCTION("IF(SUM(COUNTIF(artists!E:E, SPLIT(D60, "",""))) &gt; 0, ""OTHER"", 0)"),0)</f>
        <v>0</v>
      </c>
    </row>
    <row r="61" spans="1:11" ht="14.25" customHeight="1">
      <c r="A61" s="21">
        <v>60</v>
      </c>
      <c r="C61" s="21" t="s">
        <v>1590</v>
      </c>
      <c r="D61" s="21" t="s">
        <v>1534</v>
      </c>
      <c r="E61" s="21">
        <v>1</v>
      </c>
      <c r="F61" s="21">
        <v>236069</v>
      </c>
      <c r="H61" s="21" t="s">
        <v>1591</v>
      </c>
      <c r="I61" s="39">
        <f ca="1">IFERROR(__xludf.DUMMYFUNCTION("IF(SUM(COUNTIF(artists!A:A, SPLIT(D61, "",""))) &gt; 0, ""UA"", 0)"),0)</f>
        <v>0</v>
      </c>
      <c r="J61" s="40" t="str">
        <f ca="1">IFERROR(__xludf.DUMMYFUNCTION("IF(SUM(COUNTIF(artists!C:C, SPLIT(D61, "",""))) &gt; 0, ""RU"", 0)"),"RU")</f>
        <v>RU</v>
      </c>
      <c r="K61" s="39">
        <f ca="1">IFERROR(__xludf.DUMMYFUNCTION("IF(SUM(COUNTIF(artists!E:E, SPLIT(D61, "",""))) &gt; 0, ""OTHER"", 0)"),0)</f>
        <v>0</v>
      </c>
    </row>
    <row r="62" spans="1:11" ht="14.25" customHeight="1">
      <c r="A62" s="21">
        <v>61</v>
      </c>
      <c r="B62" s="21">
        <v>69</v>
      </c>
      <c r="C62" s="21" t="s">
        <v>636</v>
      </c>
      <c r="D62" s="21" t="s">
        <v>637</v>
      </c>
      <c r="E62" s="21">
        <v>8</v>
      </c>
      <c r="F62" s="21">
        <v>233876</v>
      </c>
      <c r="G62" s="42">
        <v>0.157</v>
      </c>
      <c r="H62" s="21" t="s">
        <v>638</v>
      </c>
      <c r="I62" s="39">
        <f ca="1">IFERROR(__xludf.DUMMYFUNCTION("IF(SUM(COUNTIF(artists!A:A, SPLIT(D62, "",""))) &gt; 0, ""UA"", 0)"),0)</f>
        <v>0</v>
      </c>
      <c r="J62" s="40">
        <f ca="1">IFERROR(__xludf.DUMMYFUNCTION("IF(SUM(COUNTIF(artists!C:C, SPLIT(D62, "",""))) &gt; 0, ""RU"", 0)"),0)</f>
        <v>0</v>
      </c>
      <c r="K62" s="39" t="str">
        <f ca="1">IFERROR(__xludf.DUMMYFUNCTION("IF(SUM(COUNTIF(artists!E:E, SPLIT(D62, "",""))) &gt; 0, ""OTHER"", 0)"),"OTHER")</f>
        <v>OTHER</v>
      </c>
    </row>
    <row r="63" spans="1:11" ht="14.25" customHeight="1">
      <c r="A63" s="21">
        <v>62</v>
      </c>
      <c r="B63" s="21">
        <v>60</v>
      </c>
      <c r="C63" s="21" t="s">
        <v>470</v>
      </c>
      <c r="D63" s="21" t="s">
        <v>81</v>
      </c>
      <c r="E63" s="21">
        <v>16</v>
      </c>
      <c r="F63" s="21">
        <v>229625</v>
      </c>
      <c r="G63" s="42">
        <v>3.4000000000000002E-2</v>
      </c>
      <c r="H63" s="21" t="s">
        <v>472</v>
      </c>
      <c r="I63" s="39" t="str">
        <f ca="1">IFERROR(__xludf.DUMMYFUNCTION("IF(SUM(COUNTIF(artists!A:A, SPLIT(D63, "",""))) &gt; 0, ""UA"", 0)"),"UA")</f>
        <v>UA</v>
      </c>
      <c r="J63" s="40">
        <f ca="1">IFERROR(__xludf.DUMMYFUNCTION("IF(SUM(COUNTIF(artists!C:C, SPLIT(D63, "",""))) &gt; 0, ""RU"", 0)"),0)</f>
        <v>0</v>
      </c>
      <c r="K63" s="39">
        <f ca="1">IFERROR(__xludf.DUMMYFUNCTION("IF(SUM(COUNTIF(artists!E:E, SPLIT(D63, "",""))) &gt; 0, ""OTHER"", 0)"),0)</f>
        <v>0</v>
      </c>
    </row>
    <row r="64" spans="1:11" ht="14.25" customHeight="1">
      <c r="A64" s="21">
        <v>63</v>
      </c>
      <c r="B64" s="21">
        <v>64</v>
      </c>
      <c r="C64" s="21" t="s">
        <v>1477</v>
      </c>
      <c r="D64" s="21" t="s">
        <v>1478</v>
      </c>
      <c r="E64" s="21">
        <v>16</v>
      </c>
      <c r="F64" s="21">
        <v>223400</v>
      </c>
      <c r="G64" s="42">
        <v>1.6E-2</v>
      </c>
      <c r="H64" s="21" t="s">
        <v>1479</v>
      </c>
      <c r="I64" s="39" t="str">
        <f ca="1">IFERROR(__xludf.DUMMYFUNCTION("IF(SUM(COUNTIF(artists!A:A, SPLIT(D64, "",""))) &gt; 0, ""UA"", 0)"),"UA")</f>
        <v>UA</v>
      </c>
      <c r="J64" s="40">
        <f ca="1">IFERROR(__xludf.DUMMYFUNCTION("IF(SUM(COUNTIF(artists!C:C, SPLIT(D64, "",""))) &gt; 0, ""RU"", 0)"),0)</f>
        <v>0</v>
      </c>
      <c r="K64" s="39">
        <f ca="1">IFERROR(__xludf.DUMMYFUNCTION("IF(SUM(COUNTIF(artists!E:E, SPLIT(D64, "",""))) &gt; 0, ""OTHER"", 0)"),0)</f>
        <v>0</v>
      </c>
    </row>
    <row r="65" spans="1:11" ht="14.25" customHeight="1">
      <c r="A65" s="21">
        <v>64</v>
      </c>
      <c r="B65" s="21">
        <v>58</v>
      </c>
      <c r="C65" s="21" t="s">
        <v>1480</v>
      </c>
      <c r="D65" s="21" t="s">
        <v>1481</v>
      </c>
      <c r="E65" s="21">
        <v>12</v>
      </c>
      <c r="F65" s="21">
        <v>222268</v>
      </c>
      <c r="G65" s="42">
        <v>-3.7999999999999999E-2</v>
      </c>
      <c r="H65" s="21" t="s">
        <v>1482</v>
      </c>
      <c r="I65" s="39" t="str">
        <f ca="1">IFERROR(__xludf.DUMMYFUNCTION("IF(SUM(COUNTIF(artists!A:A, SPLIT(D65, "",""))) &gt; 0, ""UA"", 0)"),"UA")</f>
        <v>UA</v>
      </c>
      <c r="J65" s="40">
        <f ca="1">IFERROR(__xludf.DUMMYFUNCTION("IF(SUM(COUNTIF(artists!C:C, SPLIT(D65, "",""))) &gt; 0, ""RU"", 0)"),0)</f>
        <v>0</v>
      </c>
      <c r="K65" s="39">
        <f ca="1">IFERROR(__xludf.DUMMYFUNCTION("IF(SUM(COUNTIF(artists!E:E, SPLIT(D65, "",""))) &gt; 0, ""OTHER"", 0)"),0)</f>
        <v>0</v>
      </c>
    </row>
    <row r="66" spans="1:11" ht="14.25" customHeight="1">
      <c r="A66" s="21">
        <v>65</v>
      </c>
      <c r="B66" s="21">
        <v>65</v>
      </c>
      <c r="C66" s="21" t="s">
        <v>1298</v>
      </c>
      <c r="D66" s="21" t="s">
        <v>226</v>
      </c>
      <c r="E66" s="21">
        <v>13</v>
      </c>
      <c r="F66" s="21">
        <v>221434</v>
      </c>
      <c r="G66" s="42">
        <v>1.4E-2</v>
      </c>
      <c r="H66" s="21" t="s">
        <v>1299</v>
      </c>
      <c r="I66" s="39" t="str">
        <f ca="1">IFERROR(__xludf.DUMMYFUNCTION("IF(SUM(COUNTIF(artists!A:A, SPLIT(D66, "",""))) &gt; 0, ""UA"", 0)"),"UA")</f>
        <v>UA</v>
      </c>
      <c r="J66" s="40">
        <f ca="1">IFERROR(__xludf.DUMMYFUNCTION("IF(SUM(COUNTIF(artists!C:C, SPLIT(D66, "",""))) &gt; 0, ""RU"", 0)"),0)</f>
        <v>0</v>
      </c>
      <c r="K66" s="39">
        <f ca="1">IFERROR(__xludf.DUMMYFUNCTION("IF(SUM(COUNTIF(artists!E:E, SPLIT(D66, "",""))) &gt; 0, ""OTHER"", 0)"),0)</f>
        <v>0</v>
      </c>
    </row>
    <row r="67" spans="1:11" ht="14.25" customHeight="1">
      <c r="A67" s="21">
        <v>66</v>
      </c>
      <c r="B67" s="21">
        <v>67</v>
      </c>
      <c r="C67" s="21" t="s">
        <v>1487</v>
      </c>
      <c r="D67" s="21" t="s">
        <v>409</v>
      </c>
      <c r="E67" s="21">
        <v>17</v>
      </c>
      <c r="F67" s="21">
        <v>209593</v>
      </c>
      <c r="G67" s="42">
        <v>1.2999999999999999E-2</v>
      </c>
      <c r="H67" s="21" t="s">
        <v>1488</v>
      </c>
      <c r="I67" s="39" t="str">
        <f ca="1">IFERROR(__xludf.DUMMYFUNCTION("IF(SUM(COUNTIF(artists!A:A, SPLIT(D67, "",""))) &gt; 0, ""UA"", 0)"),"UA")</f>
        <v>UA</v>
      </c>
      <c r="J67" s="40">
        <f ca="1">IFERROR(__xludf.DUMMYFUNCTION("IF(SUM(COUNTIF(artists!C:C, SPLIT(D67, "",""))) &gt; 0, ""RU"", 0)"),0)</f>
        <v>0</v>
      </c>
      <c r="K67" s="39">
        <f ca="1">IFERROR(__xludf.DUMMYFUNCTION("IF(SUM(COUNTIF(artists!E:E, SPLIT(D67, "",""))) &gt; 0, ""OTHER"", 0)"),0)</f>
        <v>0</v>
      </c>
    </row>
    <row r="68" spans="1:11" ht="14.25" customHeight="1">
      <c r="A68" s="21">
        <v>67</v>
      </c>
      <c r="B68" s="21">
        <v>61</v>
      </c>
      <c r="C68" s="21" t="s">
        <v>1592</v>
      </c>
      <c r="D68" s="21" t="s">
        <v>1593</v>
      </c>
      <c r="E68" s="21">
        <v>2</v>
      </c>
      <c r="F68" s="21">
        <v>204597</v>
      </c>
      <c r="G68" s="42">
        <v>-7.1999999999999995E-2</v>
      </c>
      <c r="H68" s="21" t="s">
        <v>1594</v>
      </c>
      <c r="I68" s="39">
        <f ca="1">IFERROR(__xludf.DUMMYFUNCTION("IF(SUM(COUNTIF(artists!A:A, SPLIT(D68, "",""))) &gt; 0, ""UA"", 0)"),0)</f>
        <v>0</v>
      </c>
      <c r="J68" s="40" t="str">
        <f ca="1">IFERROR(__xludf.DUMMYFUNCTION("IF(SUM(COUNTIF(artists!C:C, SPLIT(D68, "",""))) &gt; 0, ""RU"", 0)"),"RU")</f>
        <v>RU</v>
      </c>
      <c r="K68" s="39">
        <f ca="1">IFERROR(__xludf.DUMMYFUNCTION("IF(SUM(COUNTIF(artists!E:E, SPLIT(D68, "",""))) &gt; 0, ""OTHER"", 0)"),0)</f>
        <v>0</v>
      </c>
    </row>
    <row r="69" spans="1:11" ht="14.25" customHeight="1">
      <c r="A69" s="21">
        <v>68</v>
      </c>
      <c r="B69" s="21">
        <v>76</v>
      </c>
      <c r="C69" s="21" t="s">
        <v>1390</v>
      </c>
      <c r="D69" s="21" t="s">
        <v>259</v>
      </c>
      <c r="E69" s="21">
        <v>7</v>
      </c>
      <c r="F69" s="21">
        <v>203566</v>
      </c>
      <c r="G69" s="42">
        <v>5.5E-2</v>
      </c>
      <c r="H69" s="21" t="s">
        <v>1391</v>
      </c>
      <c r="I69" s="39" t="str">
        <f ca="1">IFERROR(__xludf.DUMMYFUNCTION("IF(SUM(COUNTIF(artists!A:A, SPLIT(D69, "",""))) &gt; 0, ""UA"", 0)"),"UA")</f>
        <v>UA</v>
      </c>
      <c r="J69" s="40">
        <f ca="1">IFERROR(__xludf.DUMMYFUNCTION("IF(SUM(COUNTIF(artists!C:C, SPLIT(D69, "",""))) &gt; 0, ""RU"", 0)"),0)</f>
        <v>0</v>
      </c>
      <c r="K69" s="39">
        <f ca="1">IFERROR(__xludf.DUMMYFUNCTION("IF(SUM(COUNTIF(artists!E:E, SPLIT(D69, "",""))) &gt; 0, ""OTHER"", 0)"),0)</f>
        <v>0</v>
      </c>
    </row>
    <row r="70" spans="1:11" ht="14.25" customHeight="1">
      <c r="A70" s="21">
        <v>69</v>
      </c>
      <c r="B70" s="21">
        <v>62</v>
      </c>
      <c r="C70" s="21" t="s">
        <v>1508</v>
      </c>
      <c r="D70" s="21" t="s">
        <v>776</v>
      </c>
      <c r="E70" s="21">
        <v>11</v>
      </c>
      <c r="F70" s="21">
        <v>199940</v>
      </c>
      <c r="G70" s="42">
        <v>-9.1999999999999998E-2</v>
      </c>
      <c r="H70" s="21" t="s">
        <v>1509</v>
      </c>
      <c r="I70" s="39" t="str">
        <f ca="1">IFERROR(__xludf.DUMMYFUNCTION("IF(SUM(COUNTIF(artists!A:A, SPLIT(D70, "",""))) &gt; 0, ""UA"", 0)"),"UA")</f>
        <v>UA</v>
      </c>
      <c r="J70" s="40">
        <f ca="1">IFERROR(__xludf.DUMMYFUNCTION("IF(SUM(COUNTIF(artists!C:C, SPLIT(D70, "",""))) &gt; 0, ""RU"", 0)"),0)</f>
        <v>0</v>
      </c>
      <c r="K70" s="39">
        <f ca="1">IFERROR(__xludf.DUMMYFUNCTION("IF(SUM(COUNTIF(artists!E:E, SPLIT(D70, "",""))) &gt; 0, ""OTHER"", 0)"),0)</f>
        <v>0</v>
      </c>
    </row>
    <row r="71" spans="1:11" ht="14.25" customHeight="1">
      <c r="A71" s="21">
        <v>70</v>
      </c>
      <c r="B71" s="21">
        <v>72</v>
      </c>
      <c r="C71" s="21" t="s">
        <v>1387</v>
      </c>
      <c r="D71" s="21" t="s">
        <v>1388</v>
      </c>
      <c r="E71" s="21">
        <v>11</v>
      </c>
      <c r="F71" s="21">
        <v>198510</v>
      </c>
      <c r="G71" s="42">
        <v>2.4E-2</v>
      </c>
      <c r="H71" s="21" t="s">
        <v>1389</v>
      </c>
      <c r="I71" s="39">
        <f ca="1">IFERROR(__xludf.DUMMYFUNCTION("IF(SUM(COUNTIF(artists!A:A, SPLIT(D71, "",""))) &gt; 0, ""UA"", 0)"),0)</f>
        <v>0</v>
      </c>
      <c r="J71" s="40">
        <f ca="1">IFERROR(__xludf.DUMMYFUNCTION("IF(SUM(COUNTIF(artists!C:C, SPLIT(D71, "",""))) &gt; 0, ""RU"", 0)"),0)</f>
        <v>0</v>
      </c>
      <c r="K71" s="39" t="str">
        <f ca="1">IFERROR(__xludf.DUMMYFUNCTION("IF(SUM(COUNTIF(artists!E:E, SPLIT(D71, "",""))) &gt; 0, ""OTHER"", 0)"),"OTHER")</f>
        <v>OTHER</v>
      </c>
    </row>
    <row r="72" spans="1:11" ht="14.25" customHeight="1">
      <c r="A72" s="21">
        <v>71</v>
      </c>
      <c r="C72" s="21" t="s">
        <v>160</v>
      </c>
      <c r="D72" s="21" t="s">
        <v>161</v>
      </c>
      <c r="E72" s="21">
        <v>1</v>
      </c>
      <c r="F72" s="21">
        <v>197966</v>
      </c>
      <c r="H72" s="21" t="s">
        <v>163</v>
      </c>
      <c r="I72" s="39" t="str">
        <f ca="1">IFERROR(__xludf.DUMMYFUNCTION("IF(SUM(COUNTIF(artists!A:A, SPLIT(D72, "",""))) &gt; 0, ""UA"", 0)"),"UA")</f>
        <v>UA</v>
      </c>
      <c r="J72" s="40">
        <f ca="1">IFERROR(__xludf.DUMMYFUNCTION("IF(SUM(COUNTIF(artists!C:C, SPLIT(D72, "",""))) &gt; 0, ""RU"", 0)"),0)</f>
        <v>0</v>
      </c>
      <c r="K72" s="39">
        <f ca="1">IFERROR(__xludf.DUMMYFUNCTION("IF(SUM(COUNTIF(artists!E:E, SPLIT(D72, "",""))) &gt; 0, ""OTHER"", 0)"),0)</f>
        <v>0</v>
      </c>
    </row>
    <row r="73" spans="1:11" ht="14.25" customHeight="1">
      <c r="A73" s="21">
        <v>72</v>
      </c>
      <c r="B73" s="21">
        <v>71</v>
      </c>
      <c r="C73" s="21" t="s">
        <v>1308</v>
      </c>
      <c r="D73" s="21" t="s">
        <v>1309</v>
      </c>
      <c r="E73" s="21">
        <v>2</v>
      </c>
      <c r="F73" s="21">
        <v>196453</v>
      </c>
      <c r="G73" s="43">
        <v>0</v>
      </c>
      <c r="H73" s="21" t="s">
        <v>1310</v>
      </c>
      <c r="I73" s="39" t="str">
        <f ca="1">IFERROR(__xludf.DUMMYFUNCTION("IF(SUM(COUNTIF(artists!A:A, SPLIT(D73, "",""))) &gt; 0, ""UA"", 0)"),"UA")</f>
        <v>UA</v>
      </c>
      <c r="J73" s="40">
        <f ca="1">IFERROR(__xludf.DUMMYFUNCTION("IF(SUM(COUNTIF(artists!C:C, SPLIT(D73, "",""))) &gt; 0, ""RU"", 0)"),0)</f>
        <v>0</v>
      </c>
      <c r="K73" s="39">
        <f ca="1">IFERROR(__xludf.DUMMYFUNCTION("IF(SUM(COUNTIF(artists!E:E, SPLIT(D73, "",""))) &gt; 0, ""OTHER"", 0)"),0)</f>
        <v>0</v>
      </c>
    </row>
    <row r="74" spans="1:11" ht="14.25" customHeight="1">
      <c r="A74" s="21">
        <v>73</v>
      </c>
      <c r="B74" s="21">
        <v>70</v>
      </c>
      <c r="C74" s="21" t="s">
        <v>489</v>
      </c>
      <c r="D74" s="21" t="s">
        <v>490</v>
      </c>
      <c r="E74" s="21">
        <v>15</v>
      </c>
      <c r="F74" s="21">
        <v>196374</v>
      </c>
      <c r="G74" s="42">
        <v>-1.4E-2</v>
      </c>
      <c r="H74" s="21" t="s">
        <v>491</v>
      </c>
      <c r="I74" s="39" t="str">
        <f ca="1">IFERROR(__xludf.DUMMYFUNCTION("IF(SUM(COUNTIF(artists!A:A, SPLIT(D74, "",""))) &gt; 0, ""UA"", 0)"),"UA")</f>
        <v>UA</v>
      </c>
      <c r="J74" s="40">
        <f ca="1">IFERROR(__xludf.DUMMYFUNCTION("IF(SUM(COUNTIF(artists!C:C, SPLIT(D74, "",""))) &gt; 0, ""RU"", 0)"),0)</f>
        <v>0</v>
      </c>
      <c r="K74" s="39">
        <f ca="1">IFERROR(__xludf.DUMMYFUNCTION("IF(SUM(COUNTIF(artists!E:E, SPLIT(D74, "",""))) &gt; 0, ""OTHER"", 0)"),0)</f>
        <v>0</v>
      </c>
    </row>
    <row r="75" spans="1:11" ht="14.25" customHeight="1">
      <c r="A75" s="21">
        <v>74</v>
      </c>
      <c r="B75" s="21">
        <v>68</v>
      </c>
      <c r="C75" s="21" t="s">
        <v>1491</v>
      </c>
      <c r="D75" s="21" t="s">
        <v>1492</v>
      </c>
      <c r="E75" s="21">
        <v>7</v>
      </c>
      <c r="F75" s="21">
        <v>193163</v>
      </c>
      <c r="G75" s="42">
        <v>-4.9000000000000002E-2</v>
      </c>
      <c r="H75" s="21" t="s">
        <v>1493</v>
      </c>
      <c r="I75" s="39" t="str">
        <f ca="1">IFERROR(__xludf.DUMMYFUNCTION("IF(SUM(COUNTIF(artists!A:A, SPLIT(D75, "",""))) &gt; 0, ""UA"", 0)"),"UA")</f>
        <v>UA</v>
      </c>
      <c r="J75" s="40">
        <f ca="1">IFERROR(__xludf.DUMMYFUNCTION("IF(SUM(COUNTIF(artists!C:C, SPLIT(D75, "",""))) &gt; 0, ""RU"", 0)"),0)</f>
        <v>0</v>
      </c>
      <c r="K75" s="39">
        <f ca="1">IFERROR(__xludf.DUMMYFUNCTION("IF(SUM(COUNTIF(artists!E:E, SPLIT(D75, "",""))) &gt; 0, ""OTHER"", 0)"),0)</f>
        <v>0</v>
      </c>
    </row>
    <row r="76" spans="1:11" ht="14.25" customHeight="1">
      <c r="A76" s="21">
        <v>75</v>
      </c>
      <c r="B76" s="21">
        <v>89</v>
      </c>
      <c r="C76" s="21" t="s">
        <v>1379</v>
      </c>
      <c r="D76" s="21" t="s">
        <v>598</v>
      </c>
      <c r="E76" s="21">
        <v>5</v>
      </c>
      <c r="F76" s="21">
        <v>191929</v>
      </c>
      <c r="G76" s="42">
        <v>0.192</v>
      </c>
      <c r="H76" s="21" t="s">
        <v>1380</v>
      </c>
      <c r="I76" s="39" t="str">
        <f ca="1">IFERROR(__xludf.DUMMYFUNCTION("IF(SUM(COUNTIF(artists!A:A, SPLIT(D76, "",""))) &gt; 0, ""UA"", 0)"),"UA")</f>
        <v>UA</v>
      </c>
      <c r="J76" s="40">
        <f ca="1">IFERROR(__xludf.DUMMYFUNCTION("IF(SUM(COUNTIF(artists!C:C, SPLIT(D76, "",""))) &gt; 0, ""RU"", 0)"),0)</f>
        <v>0</v>
      </c>
      <c r="K76" s="39">
        <f ca="1">IFERROR(__xludf.DUMMYFUNCTION("IF(SUM(COUNTIF(artists!E:E, SPLIT(D76, "",""))) &gt; 0, ""OTHER"", 0)"),0)</f>
        <v>0</v>
      </c>
    </row>
    <row r="77" spans="1:11" ht="14.25" customHeight="1">
      <c r="A77" s="21">
        <v>76</v>
      </c>
      <c r="B77" s="21">
        <v>85</v>
      </c>
      <c r="C77" s="21" t="s">
        <v>1369</v>
      </c>
      <c r="D77" s="21" t="s">
        <v>1370</v>
      </c>
      <c r="E77" s="21">
        <v>17</v>
      </c>
      <c r="F77" s="21">
        <v>191478</v>
      </c>
      <c r="G77" s="42">
        <v>0.121</v>
      </c>
      <c r="H77" s="21" t="s">
        <v>1371</v>
      </c>
      <c r="I77" s="39" t="str">
        <f ca="1">IFERROR(__xludf.DUMMYFUNCTION("IF(SUM(COUNTIF(artists!A:A, SPLIT(D77, "",""))) &gt; 0, ""UA"", 0)"),"UA")</f>
        <v>UA</v>
      </c>
      <c r="J77" s="40">
        <f ca="1">IFERROR(__xludf.DUMMYFUNCTION("IF(SUM(COUNTIF(artists!C:C, SPLIT(D77, "",""))) &gt; 0, ""RU"", 0)"),0)</f>
        <v>0</v>
      </c>
      <c r="K77" s="39">
        <f ca="1">IFERROR(__xludf.DUMMYFUNCTION("IF(SUM(COUNTIF(artists!E:E, SPLIT(D77, "",""))) &gt; 0, ""OTHER"", 0)"),0)</f>
        <v>0</v>
      </c>
    </row>
    <row r="78" spans="1:11" ht="14.25" customHeight="1">
      <c r="A78" s="21">
        <v>77</v>
      </c>
      <c r="C78" s="21" t="s">
        <v>1595</v>
      </c>
      <c r="D78" s="21" t="s">
        <v>1596</v>
      </c>
      <c r="E78" s="21">
        <v>6</v>
      </c>
      <c r="F78" s="21">
        <v>184446</v>
      </c>
      <c r="H78" s="21" t="s">
        <v>1597</v>
      </c>
      <c r="I78" s="39" t="str">
        <f ca="1">IFERROR(__xludf.DUMMYFUNCTION("IF(SUM(COUNTIF(artists!A:A, SPLIT(D78, "",""))) &gt; 0, ""UA"", 0)"),"UA")</f>
        <v>UA</v>
      </c>
      <c r="J78" s="40">
        <f ca="1">IFERROR(__xludf.DUMMYFUNCTION("IF(SUM(COUNTIF(artists!C:C, SPLIT(D78, "",""))) &gt; 0, ""RU"", 0)"),0)</f>
        <v>0</v>
      </c>
      <c r="K78" s="39">
        <f ca="1">IFERROR(__xludf.DUMMYFUNCTION("IF(SUM(COUNTIF(artists!E:E, SPLIT(D78, "",""))) &gt; 0, ""OTHER"", 0)"),0)</f>
        <v>0</v>
      </c>
    </row>
    <row r="79" spans="1:11" ht="14.25" customHeight="1">
      <c r="A79" s="21">
        <v>78</v>
      </c>
      <c r="B79" s="21">
        <v>73</v>
      </c>
      <c r="C79" s="21" t="s">
        <v>1565</v>
      </c>
      <c r="D79" s="21" t="s">
        <v>1566</v>
      </c>
      <c r="E79" s="21">
        <v>5</v>
      </c>
      <c r="F79" s="21">
        <v>181521</v>
      </c>
      <c r="G79" s="42">
        <v>-6.0999999999999999E-2</v>
      </c>
      <c r="H79" s="21" t="s">
        <v>1567</v>
      </c>
      <c r="I79" s="39" t="str">
        <f ca="1">IFERROR(__xludf.DUMMYFUNCTION("IF(SUM(COUNTIF(artists!A:A, SPLIT(D79, "",""))) &gt; 0, ""UA"", 0)"),"UA")</f>
        <v>UA</v>
      </c>
      <c r="J79" s="40">
        <f ca="1">IFERROR(__xludf.DUMMYFUNCTION("IF(SUM(COUNTIF(artists!C:C, SPLIT(D79, "",""))) &gt; 0, ""RU"", 0)"),0)</f>
        <v>0</v>
      </c>
      <c r="K79" s="39">
        <f ca="1">IFERROR(__xludf.DUMMYFUNCTION("IF(SUM(COUNTIF(artists!E:E, SPLIT(D79, "",""))) &gt; 0, ""OTHER"", 0)"),0)</f>
        <v>0</v>
      </c>
    </row>
    <row r="80" spans="1:11" ht="14.25" customHeight="1">
      <c r="A80" s="21">
        <v>79</v>
      </c>
      <c r="C80" s="21" t="s">
        <v>470</v>
      </c>
      <c r="D80" s="21" t="s">
        <v>598</v>
      </c>
      <c r="E80" s="21">
        <v>21</v>
      </c>
      <c r="F80" s="21">
        <v>180230</v>
      </c>
      <c r="H80" s="21" t="s">
        <v>1274</v>
      </c>
      <c r="I80" s="39" t="str">
        <f ca="1">IFERROR(__xludf.DUMMYFUNCTION("IF(SUM(COUNTIF(artists!A:A, SPLIT(D80, "",""))) &gt; 0, ""UA"", 0)"),"UA")</f>
        <v>UA</v>
      </c>
      <c r="J80" s="40">
        <f ca="1">IFERROR(__xludf.DUMMYFUNCTION("IF(SUM(COUNTIF(artists!C:C, SPLIT(D80, "",""))) &gt; 0, ""RU"", 0)"),0)</f>
        <v>0</v>
      </c>
      <c r="K80" s="39">
        <f ca="1">IFERROR(__xludf.DUMMYFUNCTION("IF(SUM(COUNTIF(artists!E:E, SPLIT(D80, "",""))) &gt; 0, ""OTHER"", 0)"),0)</f>
        <v>0</v>
      </c>
    </row>
    <row r="81" spans="1:11" ht="14.25" customHeight="1">
      <c r="A81" s="21">
        <v>80</v>
      </c>
      <c r="B81" s="21">
        <v>66</v>
      </c>
      <c r="C81" s="21" t="s">
        <v>1536</v>
      </c>
      <c r="D81" s="21" t="s">
        <v>1537</v>
      </c>
      <c r="E81" s="21">
        <v>8</v>
      </c>
      <c r="F81" s="21">
        <v>179745</v>
      </c>
      <c r="G81" s="43">
        <v>-0.16</v>
      </c>
      <c r="H81" s="21" t="s">
        <v>1538</v>
      </c>
      <c r="I81" s="39" t="str">
        <f ca="1">IFERROR(__xludf.DUMMYFUNCTION("IF(SUM(COUNTIF(artists!A:A, SPLIT(D81, "",""))) &gt; 0, ""UA"", 0)"),"UA")</f>
        <v>UA</v>
      </c>
      <c r="J81" s="40">
        <f ca="1">IFERROR(__xludf.DUMMYFUNCTION("IF(SUM(COUNTIF(artists!C:C, SPLIT(D81, "",""))) &gt; 0, ""RU"", 0)"),0)</f>
        <v>0</v>
      </c>
      <c r="K81" s="39">
        <f ca="1">IFERROR(__xludf.DUMMYFUNCTION("IF(SUM(COUNTIF(artists!E:E, SPLIT(D81, "",""))) &gt; 0, ""OTHER"", 0)"),0)</f>
        <v>0</v>
      </c>
    </row>
    <row r="82" spans="1:11" ht="14.25" customHeight="1">
      <c r="A82" s="21">
        <v>81</v>
      </c>
      <c r="B82" s="21">
        <v>78</v>
      </c>
      <c r="C82" s="21" t="s">
        <v>1530</v>
      </c>
      <c r="D82" s="21" t="s">
        <v>1531</v>
      </c>
      <c r="E82" s="21">
        <v>17</v>
      </c>
      <c r="F82" s="21">
        <v>177542</v>
      </c>
      <c r="G82" s="42">
        <v>-4.8000000000000001E-2</v>
      </c>
      <c r="H82" s="21" t="s">
        <v>1532</v>
      </c>
      <c r="I82" s="39">
        <f ca="1">IFERROR(__xludf.DUMMYFUNCTION("IF(SUM(COUNTIF(artists!A:A, SPLIT(D82, "",""))) &gt; 0, ""UA"", 0)"),0)</f>
        <v>0</v>
      </c>
      <c r="J82" s="40">
        <f ca="1">IFERROR(__xludf.DUMMYFUNCTION("IF(SUM(COUNTIF(artists!C:C, SPLIT(D82, "",""))) &gt; 0, ""RU"", 0)"),0)</f>
        <v>0</v>
      </c>
      <c r="K82" s="39" t="str">
        <f ca="1">IFERROR(__xludf.DUMMYFUNCTION("IF(SUM(COUNTIF(artists!E:E, SPLIT(D82, "",""))) &gt; 0, ""OTHER"", 0)"),"OTHER")</f>
        <v>OTHER</v>
      </c>
    </row>
    <row r="83" spans="1:11" ht="14.25" customHeight="1">
      <c r="A83" s="21">
        <v>82</v>
      </c>
      <c r="B83" s="21">
        <v>80</v>
      </c>
      <c r="C83" s="21" t="s">
        <v>1007</v>
      </c>
      <c r="D83" s="21" t="s">
        <v>1008</v>
      </c>
      <c r="E83" s="21">
        <v>16</v>
      </c>
      <c r="F83" s="21">
        <v>173030</v>
      </c>
      <c r="G83" s="42">
        <v>-1.9E-2</v>
      </c>
      <c r="H83" s="21" t="s">
        <v>1009</v>
      </c>
      <c r="I83" s="39">
        <f ca="1">IFERROR(__xludf.DUMMYFUNCTION("IF(SUM(COUNTIF(artists!A:A, SPLIT(D83, "",""))) &gt; 0, ""UA"", 0)"),0)</f>
        <v>0</v>
      </c>
      <c r="J83" s="40" t="str">
        <f ca="1">IFERROR(__xludf.DUMMYFUNCTION("IF(SUM(COUNTIF(artists!C:C, SPLIT(D83, "",""))) &gt; 0, ""RU"", 0)"),"RU")</f>
        <v>RU</v>
      </c>
      <c r="K83" s="39">
        <f ca="1">IFERROR(__xludf.DUMMYFUNCTION("IF(SUM(COUNTIF(artists!E:E, SPLIT(D83, "",""))) &gt; 0, ""OTHER"", 0)"),0)</f>
        <v>0</v>
      </c>
    </row>
    <row r="84" spans="1:11" ht="14.25" customHeight="1">
      <c r="A84" s="21">
        <v>83</v>
      </c>
      <c r="B84" s="21">
        <v>84</v>
      </c>
      <c r="C84" s="21" t="s">
        <v>1551</v>
      </c>
      <c r="D84" s="21" t="s">
        <v>1344</v>
      </c>
      <c r="E84" s="21">
        <v>8</v>
      </c>
      <c r="F84" s="21">
        <v>171697</v>
      </c>
      <c r="G84" s="42">
        <v>4.0000000000000001E-3</v>
      </c>
      <c r="H84" s="21" t="s">
        <v>1552</v>
      </c>
      <c r="I84" s="39" t="str">
        <f ca="1">IFERROR(__xludf.DUMMYFUNCTION("IF(SUM(COUNTIF(artists!A:A, SPLIT(D84, "",""))) &gt; 0, ""UA"", 0)"),"UA")</f>
        <v>UA</v>
      </c>
      <c r="J84" s="40">
        <f ca="1">IFERROR(__xludf.DUMMYFUNCTION("IF(SUM(COUNTIF(artists!C:C, SPLIT(D84, "",""))) &gt; 0, ""RU"", 0)"),0)</f>
        <v>0</v>
      </c>
      <c r="K84" s="39">
        <f ca="1">IFERROR(__xludf.DUMMYFUNCTION("IF(SUM(COUNTIF(artists!E:E, SPLIT(D84, "",""))) &gt; 0, ""OTHER"", 0)"),0)</f>
        <v>0</v>
      </c>
    </row>
    <row r="85" spans="1:11" ht="14.25" customHeight="1">
      <c r="A85" s="21">
        <v>84</v>
      </c>
      <c r="C85" s="21" t="s">
        <v>1572</v>
      </c>
      <c r="D85" s="21" t="s">
        <v>1573</v>
      </c>
      <c r="E85" s="21">
        <v>1</v>
      </c>
      <c r="F85" s="21">
        <v>170589</v>
      </c>
      <c r="H85" s="21" t="s">
        <v>1574</v>
      </c>
      <c r="I85" s="39" t="str">
        <f ca="1">IFERROR(__xludf.DUMMYFUNCTION("IF(SUM(COUNTIF(artists!A:A, SPLIT(D85, "",""))) &gt; 0, ""UA"", 0)"),"UA")</f>
        <v>UA</v>
      </c>
      <c r="J85" s="40">
        <f ca="1">IFERROR(__xludf.DUMMYFUNCTION("IF(SUM(COUNTIF(artists!C:C, SPLIT(D85, "",""))) &gt; 0, ""RU"", 0)"),0)</f>
        <v>0</v>
      </c>
      <c r="K85" s="39">
        <f ca="1">IFERROR(__xludf.DUMMYFUNCTION("IF(SUM(COUNTIF(artists!E:E, SPLIT(D85, "",""))) &gt; 0, ""OTHER"", 0)"),0)</f>
        <v>0</v>
      </c>
    </row>
    <row r="86" spans="1:11" ht="14.25" customHeight="1">
      <c r="A86" s="21">
        <v>85</v>
      </c>
      <c r="B86" s="21">
        <v>75</v>
      </c>
      <c r="C86" s="21" t="s">
        <v>1598</v>
      </c>
      <c r="D86" s="21" t="s">
        <v>1599</v>
      </c>
      <c r="E86" s="21">
        <v>5</v>
      </c>
      <c r="F86" s="21">
        <v>170017</v>
      </c>
      <c r="G86" s="42">
        <v>-0.11899999999999999</v>
      </c>
      <c r="H86" s="21" t="s">
        <v>1600</v>
      </c>
      <c r="I86" s="39">
        <f ca="1">IFERROR(__xludf.DUMMYFUNCTION("IF(SUM(COUNTIF(artists!A:A, SPLIT(D86, "",""))) &gt; 0, ""UA"", 0)"),0)</f>
        <v>0</v>
      </c>
      <c r="J86" s="40" t="str">
        <f ca="1">IFERROR(__xludf.DUMMYFUNCTION("IF(SUM(COUNTIF(artists!C:C, SPLIT(D86, "",""))) &gt; 0, ""RU"", 0)"),"RU")</f>
        <v>RU</v>
      </c>
      <c r="K86" s="39">
        <f ca="1">IFERROR(__xludf.DUMMYFUNCTION("IF(SUM(COUNTIF(artists!E:E, SPLIT(D86, "",""))) &gt; 0, ""OTHER"", 0)"),0)</f>
        <v>0</v>
      </c>
    </row>
    <row r="87" spans="1:11" ht="14.25" customHeight="1">
      <c r="A87" s="21">
        <v>86</v>
      </c>
      <c r="B87" s="21">
        <v>77</v>
      </c>
      <c r="C87" s="21" t="s">
        <v>1234</v>
      </c>
      <c r="D87" s="21" t="s">
        <v>1193</v>
      </c>
      <c r="E87" s="21">
        <v>5</v>
      </c>
      <c r="F87" s="21">
        <v>169963</v>
      </c>
      <c r="G87" s="42">
        <v>-0.107</v>
      </c>
      <c r="H87" s="21" t="s">
        <v>1235</v>
      </c>
      <c r="I87" s="39" t="str">
        <f ca="1">IFERROR(__xludf.DUMMYFUNCTION("IF(SUM(COUNTIF(artists!A:A, SPLIT(D87, "",""))) &gt; 0, ""UA"", 0)"),"UA")</f>
        <v>UA</v>
      </c>
      <c r="J87" s="40">
        <f ca="1">IFERROR(__xludf.DUMMYFUNCTION("IF(SUM(COUNTIF(artists!C:C, SPLIT(D87, "",""))) &gt; 0, ""RU"", 0)"),0)</f>
        <v>0</v>
      </c>
      <c r="K87" s="39">
        <f ca="1">IFERROR(__xludf.DUMMYFUNCTION("IF(SUM(COUNTIF(artists!E:E, SPLIT(D87, "",""))) &gt; 0, ""OTHER"", 0)"),0)</f>
        <v>0</v>
      </c>
    </row>
    <row r="88" spans="1:11" ht="14.25" customHeight="1">
      <c r="A88" s="21">
        <v>87</v>
      </c>
      <c r="B88" s="21">
        <v>86</v>
      </c>
      <c r="C88" s="21" t="s">
        <v>1601</v>
      </c>
      <c r="D88" s="21" t="s">
        <v>1602</v>
      </c>
      <c r="E88" s="21">
        <v>20</v>
      </c>
      <c r="F88" s="21">
        <v>169806</v>
      </c>
      <c r="G88" s="42">
        <v>1.4999999999999999E-2</v>
      </c>
      <c r="H88" s="21" t="s">
        <v>1603</v>
      </c>
      <c r="I88" s="39">
        <f ca="1">IFERROR(__xludf.DUMMYFUNCTION("IF(SUM(COUNTIF(artists!A:A, SPLIT(D88, "",""))) &gt; 0, ""UA"", 0)"),0)</f>
        <v>0</v>
      </c>
      <c r="J88" s="40" t="str">
        <f ca="1">IFERROR(__xludf.DUMMYFUNCTION("IF(SUM(COUNTIF(artists!C:C, SPLIT(D88, "",""))) &gt; 0, ""RU"", 0)"),"RU")</f>
        <v>RU</v>
      </c>
      <c r="K88" s="39">
        <f ca="1">IFERROR(__xludf.DUMMYFUNCTION("IF(SUM(COUNTIF(artists!E:E, SPLIT(D88, "",""))) &gt; 0, ""OTHER"", 0)"),0)</f>
        <v>0</v>
      </c>
    </row>
    <row r="89" spans="1:11" ht="14.25" customHeight="1">
      <c r="A89" s="21">
        <v>88</v>
      </c>
      <c r="B89" s="21">
        <v>83</v>
      </c>
      <c r="C89" s="21" t="s">
        <v>1575</v>
      </c>
      <c r="D89" s="21" t="s">
        <v>945</v>
      </c>
      <c r="E89" s="21">
        <v>13</v>
      </c>
      <c r="F89" s="21">
        <v>165622</v>
      </c>
      <c r="G89" s="42">
        <v>-4.3999999999999997E-2</v>
      </c>
      <c r="H89" s="21" t="s">
        <v>1576</v>
      </c>
      <c r="I89" s="39" t="str">
        <f ca="1">IFERROR(__xludf.DUMMYFUNCTION("IF(SUM(COUNTIF(artists!A:A, SPLIT(D89, "",""))) &gt; 0, ""UA"", 0)"),"UA")</f>
        <v>UA</v>
      </c>
      <c r="J89" s="40">
        <f ca="1">IFERROR(__xludf.DUMMYFUNCTION("IF(SUM(COUNTIF(artists!C:C, SPLIT(D89, "",""))) &gt; 0, ""RU"", 0)"),0)</f>
        <v>0</v>
      </c>
      <c r="K89" s="39">
        <f ca="1">IFERROR(__xludf.DUMMYFUNCTION("IF(SUM(COUNTIF(artists!E:E, SPLIT(D89, "",""))) &gt; 0, ""OTHER"", 0)"),0)</f>
        <v>0</v>
      </c>
    </row>
    <row r="90" spans="1:11" ht="14.25" customHeight="1">
      <c r="A90" s="21">
        <v>89</v>
      </c>
      <c r="B90" s="21">
        <v>79</v>
      </c>
      <c r="C90" s="21" t="s">
        <v>1416</v>
      </c>
      <c r="D90" s="21" t="s">
        <v>137</v>
      </c>
      <c r="E90" s="21">
        <v>12</v>
      </c>
      <c r="F90" s="21">
        <v>165441</v>
      </c>
      <c r="G90" s="42">
        <v>-8.6999999999999994E-2</v>
      </c>
      <c r="H90" s="21" t="s">
        <v>1417</v>
      </c>
      <c r="I90" s="39" t="str">
        <f ca="1">IFERROR(__xludf.DUMMYFUNCTION("IF(SUM(COUNTIF(artists!A:A, SPLIT(D90, "",""))) &gt; 0, ""UA"", 0)"),"UA")</f>
        <v>UA</v>
      </c>
      <c r="J90" s="40">
        <f ca="1">IFERROR(__xludf.DUMMYFUNCTION("IF(SUM(COUNTIF(artists!C:C, SPLIT(D90, "",""))) &gt; 0, ""RU"", 0)"),0)</f>
        <v>0</v>
      </c>
      <c r="K90" s="39">
        <f ca="1">IFERROR(__xludf.DUMMYFUNCTION("IF(SUM(COUNTIF(artists!E:E, SPLIT(D90, "",""))) &gt; 0, ""OTHER"", 0)"),0)</f>
        <v>0</v>
      </c>
    </row>
    <row r="91" spans="1:11" ht="14.25" customHeight="1">
      <c r="A91" s="21">
        <v>90</v>
      </c>
      <c r="B91" s="21">
        <v>91</v>
      </c>
      <c r="C91" s="21" t="s">
        <v>1385</v>
      </c>
      <c r="D91" s="21" t="s">
        <v>896</v>
      </c>
      <c r="E91" s="21">
        <v>4</v>
      </c>
      <c r="F91" s="21">
        <v>164233</v>
      </c>
      <c r="G91" s="43">
        <v>0.03</v>
      </c>
      <c r="H91" s="21" t="s">
        <v>1386</v>
      </c>
      <c r="I91" s="39" t="str">
        <f ca="1">IFERROR(__xludf.DUMMYFUNCTION("IF(SUM(COUNTIF(artists!A:A, SPLIT(D91, "",""))) &gt; 0, ""UA"", 0)"),"UA")</f>
        <v>UA</v>
      </c>
      <c r="J91" s="40">
        <f ca="1">IFERROR(__xludf.DUMMYFUNCTION("IF(SUM(COUNTIF(artists!C:C, SPLIT(D91, "",""))) &gt; 0, ""RU"", 0)"),0)</f>
        <v>0</v>
      </c>
      <c r="K91" s="39">
        <f ca="1">IFERROR(__xludf.DUMMYFUNCTION("IF(SUM(COUNTIF(artists!E:E, SPLIT(D91, "",""))) &gt; 0, ""OTHER"", 0)"),0)</f>
        <v>0</v>
      </c>
    </row>
    <row r="92" spans="1:11" ht="14.25" customHeight="1">
      <c r="A92" s="21">
        <v>91</v>
      </c>
      <c r="B92" s="21">
        <v>87</v>
      </c>
      <c r="C92" s="21" t="s">
        <v>316</v>
      </c>
      <c r="D92" s="21" t="s">
        <v>317</v>
      </c>
      <c r="E92" s="21">
        <v>7</v>
      </c>
      <c r="F92" s="21">
        <v>163096</v>
      </c>
      <c r="G92" s="42">
        <v>5.0000000000000001E-3</v>
      </c>
      <c r="H92" s="21" t="s">
        <v>319</v>
      </c>
      <c r="I92" s="39" t="str">
        <f ca="1">IFERROR(__xludf.DUMMYFUNCTION("IF(SUM(COUNTIF(artists!A:A, SPLIT(D92, "",""))) &gt; 0, ""UA"", 0)"),"UA")</f>
        <v>UA</v>
      </c>
      <c r="J92" s="40">
        <f ca="1">IFERROR(__xludf.DUMMYFUNCTION("IF(SUM(COUNTIF(artists!C:C, SPLIT(D92, "",""))) &gt; 0, ""RU"", 0)"),0)</f>
        <v>0</v>
      </c>
      <c r="K92" s="39">
        <f ca="1">IFERROR(__xludf.DUMMYFUNCTION("IF(SUM(COUNTIF(artists!E:E, SPLIT(D92, "",""))) &gt; 0, ""OTHER"", 0)"),0)</f>
        <v>0</v>
      </c>
    </row>
    <row r="93" spans="1:11" ht="14.25" customHeight="1">
      <c r="A93" s="21">
        <v>92</v>
      </c>
      <c r="B93" s="21">
        <v>92</v>
      </c>
      <c r="C93" s="21" t="s">
        <v>1604</v>
      </c>
      <c r="D93" s="21" t="s">
        <v>1360</v>
      </c>
      <c r="E93" s="21">
        <v>9</v>
      </c>
      <c r="F93" s="21">
        <v>159738</v>
      </c>
      <c r="G93" s="42">
        <v>1.6E-2</v>
      </c>
      <c r="H93" s="21" t="s">
        <v>1605</v>
      </c>
      <c r="I93" s="39" t="str">
        <f ca="1">IFERROR(__xludf.DUMMYFUNCTION("IF(SUM(COUNTIF(artists!A:A, SPLIT(D93, "",""))) &gt; 0, ""UA"", 0)"),"UA")</f>
        <v>UA</v>
      </c>
      <c r="J93" s="40">
        <f ca="1">IFERROR(__xludf.DUMMYFUNCTION("IF(SUM(COUNTIF(artists!C:C, SPLIT(D93, "",""))) &gt; 0, ""RU"", 0)"),0)</f>
        <v>0</v>
      </c>
      <c r="K93" s="39">
        <f ca="1">IFERROR(__xludf.DUMMYFUNCTION("IF(SUM(COUNTIF(artists!E:E, SPLIT(D93, "",""))) &gt; 0, ""OTHER"", 0)"),0)</f>
        <v>0</v>
      </c>
    </row>
    <row r="94" spans="1:11" ht="14.25" customHeight="1">
      <c r="A94" s="21">
        <v>93</v>
      </c>
      <c r="B94" s="21">
        <v>90</v>
      </c>
      <c r="C94" s="21" t="s">
        <v>748</v>
      </c>
      <c r="D94" s="21" t="s">
        <v>586</v>
      </c>
      <c r="E94" s="21">
        <v>16</v>
      </c>
      <c r="F94" s="21">
        <v>156778</v>
      </c>
      <c r="G94" s="42">
        <v>-2.3E-2</v>
      </c>
      <c r="H94" s="21" t="s">
        <v>749</v>
      </c>
      <c r="I94" s="39" t="str">
        <f ca="1">IFERROR(__xludf.DUMMYFUNCTION("IF(SUM(COUNTIF(artists!A:A, SPLIT(D94, "",""))) &gt; 0, ""UA"", 0)"),"UA")</f>
        <v>UA</v>
      </c>
      <c r="J94" s="40">
        <f ca="1">IFERROR(__xludf.DUMMYFUNCTION("IF(SUM(COUNTIF(artists!C:C, SPLIT(D94, "",""))) &gt; 0, ""RU"", 0)"),0)</f>
        <v>0</v>
      </c>
      <c r="K94" s="39">
        <f ca="1">IFERROR(__xludf.DUMMYFUNCTION("IF(SUM(COUNTIF(artists!E:E, SPLIT(D94, "",""))) &gt; 0, ""OTHER"", 0)"),0)</f>
        <v>0</v>
      </c>
    </row>
    <row r="95" spans="1:11" ht="14.25" customHeight="1">
      <c r="A95" s="21">
        <v>94</v>
      </c>
      <c r="C95" s="21" t="s">
        <v>613</v>
      </c>
      <c r="D95" s="21" t="s">
        <v>614</v>
      </c>
      <c r="E95" s="21">
        <v>17</v>
      </c>
      <c r="F95" s="21">
        <v>156635</v>
      </c>
      <c r="H95" s="21" t="s">
        <v>615</v>
      </c>
      <c r="I95" s="39">
        <f ca="1">IFERROR(__xludf.DUMMYFUNCTION("IF(SUM(COUNTIF(artists!A:A, SPLIT(D95, "",""))) &gt; 0, ""UA"", 0)"),0)</f>
        <v>0</v>
      </c>
      <c r="J95" s="40" t="str">
        <f ca="1">IFERROR(__xludf.DUMMYFUNCTION("IF(SUM(COUNTIF(artists!C:C, SPLIT(D95, "",""))) &gt; 0, ""RU"", 0)"),"RU")</f>
        <v>RU</v>
      </c>
      <c r="K95" s="39">
        <f ca="1">IFERROR(__xludf.DUMMYFUNCTION("IF(SUM(COUNTIF(artists!E:E, SPLIT(D95, "",""))) &gt; 0, ""OTHER"", 0)"),0)</f>
        <v>0</v>
      </c>
    </row>
    <row r="96" spans="1:11" ht="14.25" customHeight="1">
      <c r="A96" s="21">
        <v>95</v>
      </c>
      <c r="C96" s="21" t="s">
        <v>1606</v>
      </c>
      <c r="D96" s="21" t="s">
        <v>1607</v>
      </c>
      <c r="E96" s="21">
        <v>26</v>
      </c>
      <c r="F96" s="21">
        <v>154562</v>
      </c>
      <c r="H96" s="21" t="s">
        <v>1608</v>
      </c>
      <c r="I96" s="39">
        <f ca="1">IFERROR(__xludf.DUMMYFUNCTION("IF(SUM(COUNTIF(artists!A:A, SPLIT(D96, "",""))) &gt; 0, ""UA"", 0)"),0)</f>
        <v>0</v>
      </c>
      <c r="J96" s="40" t="str">
        <f ca="1">IFERROR(__xludf.DUMMYFUNCTION("IF(SUM(COUNTIF(artists!C:C, SPLIT(D96, "",""))) &gt; 0, ""RU"", 0)"),"RU")</f>
        <v>RU</v>
      </c>
      <c r="K96" s="39">
        <f ca="1">IFERROR(__xludf.DUMMYFUNCTION("IF(SUM(COUNTIF(artists!E:E, SPLIT(D96, "",""))) &gt; 0, ""OTHER"", 0)"),0)</f>
        <v>0</v>
      </c>
    </row>
    <row r="97" spans="1:11" ht="14.25" customHeight="1">
      <c r="A97" s="21">
        <v>96</v>
      </c>
      <c r="C97" s="21" t="s">
        <v>1609</v>
      </c>
      <c r="D97" s="21" t="s">
        <v>586</v>
      </c>
      <c r="E97" s="21">
        <v>14</v>
      </c>
      <c r="F97" s="21">
        <v>154289</v>
      </c>
      <c r="H97" s="21" t="s">
        <v>1610</v>
      </c>
      <c r="I97" s="39" t="str">
        <f ca="1">IFERROR(__xludf.DUMMYFUNCTION("IF(SUM(COUNTIF(artists!A:A, SPLIT(D97, "",""))) &gt; 0, ""UA"", 0)"),"UA")</f>
        <v>UA</v>
      </c>
      <c r="J97" s="40">
        <f ca="1">IFERROR(__xludf.DUMMYFUNCTION("IF(SUM(COUNTIF(artists!C:C, SPLIT(D97, "",""))) &gt; 0, ""RU"", 0)"),0)</f>
        <v>0</v>
      </c>
      <c r="K97" s="39">
        <f ca="1">IFERROR(__xludf.DUMMYFUNCTION("IF(SUM(COUNTIF(artists!E:E, SPLIT(D97, "",""))) &gt; 0, ""OTHER"", 0)"),0)</f>
        <v>0</v>
      </c>
    </row>
    <row r="98" spans="1:11" ht="14.25" customHeight="1">
      <c r="A98" s="21">
        <v>97</v>
      </c>
      <c r="B98" s="21">
        <v>88</v>
      </c>
      <c r="C98" s="21" t="s">
        <v>1611</v>
      </c>
      <c r="D98" s="21" t="s">
        <v>1612</v>
      </c>
      <c r="E98" s="21">
        <v>9</v>
      </c>
      <c r="F98" s="21">
        <v>153976</v>
      </c>
      <c r="G98" s="42">
        <v>-4.7E-2</v>
      </c>
      <c r="H98" s="21" t="s">
        <v>1613</v>
      </c>
      <c r="I98" s="39" t="str">
        <f ca="1">IFERROR(__xludf.DUMMYFUNCTION("IF(SUM(COUNTIF(artists!A:A, SPLIT(D98, "",""))) &gt; 0, ""UA"", 0)"),"UA")</f>
        <v>UA</v>
      </c>
      <c r="J98" s="40">
        <f ca="1">IFERROR(__xludf.DUMMYFUNCTION("IF(SUM(COUNTIF(artists!C:C, SPLIT(D98, "",""))) &gt; 0, ""RU"", 0)"),0)</f>
        <v>0</v>
      </c>
      <c r="K98" s="39">
        <f ca="1">IFERROR(__xludf.DUMMYFUNCTION("IF(SUM(COUNTIF(artists!E:E, SPLIT(D98, "",""))) &gt; 0, ""OTHER"", 0)"),0)</f>
        <v>0</v>
      </c>
    </row>
    <row r="99" spans="1:11" ht="14.25" customHeight="1">
      <c r="A99" s="21">
        <v>98</v>
      </c>
      <c r="B99" s="21">
        <v>94</v>
      </c>
      <c r="C99" s="21" t="s">
        <v>1614</v>
      </c>
      <c r="D99" s="21" t="s">
        <v>1027</v>
      </c>
      <c r="E99" s="21">
        <v>14</v>
      </c>
      <c r="F99" s="21">
        <v>153418</v>
      </c>
      <c r="G99" s="42">
        <v>-1.4E-2</v>
      </c>
      <c r="H99" s="21" t="s">
        <v>1615</v>
      </c>
      <c r="I99" s="39" t="str">
        <f ca="1">IFERROR(__xludf.DUMMYFUNCTION("IF(SUM(COUNTIF(artists!A:A, SPLIT(D99, "",""))) &gt; 0, ""UA"", 0)"),"UA")</f>
        <v>UA</v>
      </c>
      <c r="J99" s="40">
        <f ca="1">IFERROR(__xludf.DUMMYFUNCTION("IF(SUM(COUNTIF(artists!C:C, SPLIT(D99, "",""))) &gt; 0, ""RU"", 0)"),0)</f>
        <v>0</v>
      </c>
      <c r="K99" s="39">
        <f ca="1">IFERROR(__xludf.DUMMYFUNCTION("IF(SUM(COUNTIF(artists!E:E, SPLIT(D99, "",""))) &gt; 0, ""OTHER"", 0)"),0)</f>
        <v>0</v>
      </c>
    </row>
    <row r="100" spans="1:11" ht="14.25" customHeight="1">
      <c r="A100" s="21">
        <v>99</v>
      </c>
      <c r="C100" s="21" t="s">
        <v>1445</v>
      </c>
      <c r="D100" s="21" t="s">
        <v>81</v>
      </c>
      <c r="E100" s="21">
        <v>7</v>
      </c>
      <c r="F100" s="21">
        <v>150973</v>
      </c>
      <c r="H100" s="21" t="s">
        <v>1446</v>
      </c>
      <c r="I100" s="39" t="str">
        <f ca="1">IFERROR(__xludf.DUMMYFUNCTION("IF(SUM(COUNTIF(artists!A:A, SPLIT(D100, "",""))) &gt; 0, ""UA"", 0)"),"UA")</f>
        <v>UA</v>
      </c>
      <c r="J100" s="40">
        <f ca="1">IFERROR(__xludf.DUMMYFUNCTION("IF(SUM(COUNTIF(artists!C:C, SPLIT(D100, "",""))) &gt; 0, ""RU"", 0)"),0)</f>
        <v>0</v>
      </c>
      <c r="K100" s="39">
        <f ca="1">IFERROR(__xludf.DUMMYFUNCTION("IF(SUM(COUNTIF(artists!E:E, SPLIT(D100, "",""))) &gt; 0, ""OTHER"", 0)"),0)</f>
        <v>0</v>
      </c>
    </row>
    <row r="101" spans="1:11" ht="14.25" customHeight="1">
      <c r="A101" s="21">
        <v>100</v>
      </c>
      <c r="B101" s="21">
        <v>96</v>
      </c>
      <c r="C101" s="21" t="s">
        <v>678</v>
      </c>
      <c r="D101" s="21" t="s">
        <v>89</v>
      </c>
      <c r="E101" s="21">
        <v>8</v>
      </c>
      <c r="F101" s="21">
        <v>149455</v>
      </c>
      <c r="G101" s="42">
        <v>-2.5000000000000001E-2</v>
      </c>
      <c r="H101" s="21" t="s">
        <v>679</v>
      </c>
      <c r="I101" s="39" t="str">
        <f ca="1">IFERROR(__xludf.DUMMYFUNCTION("IF(SUM(COUNTIF(artists!A:A, SPLIT(D101, "",""))) &gt; 0, ""UA"", 0)"),"UA")</f>
        <v>UA</v>
      </c>
      <c r="J101" s="40">
        <f ca="1">IFERROR(__xludf.DUMMYFUNCTION("IF(SUM(COUNTIF(artists!C:C, SPLIT(D101, "",""))) &gt; 0, ""RU"", 0)"),0)</f>
        <v>0</v>
      </c>
      <c r="K101" s="39">
        <f ca="1">IFERROR(__xludf.DUMMYFUNCTION("IF(SUM(COUNTIF(artists!E:E, SPLIT(D101, "",""))) &gt; 0, ""OTHER"", 0)"),0)</f>
        <v>0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49" priority="1">
      <formula>AND($I2=0, $J2=0, $K2=0)</formula>
    </cfRule>
    <cfRule type="expression" dxfId="48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Аркуш39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4" width="8.6640625" customWidth="1"/>
    <col min="5" max="5" width="8.6640625" hidden="1" customWidth="1"/>
    <col min="6" max="6" width="8.6640625" customWidth="1"/>
    <col min="7" max="7" width="13.10937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B2" s="21">
        <v>1</v>
      </c>
      <c r="C2" s="21" t="s">
        <v>645</v>
      </c>
      <c r="D2" s="21" t="s">
        <v>352</v>
      </c>
      <c r="E2" s="21">
        <v>19</v>
      </c>
      <c r="F2" s="21">
        <v>1894280</v>
      </c>
      <c r="G2" s="42">
        <v>-0.185</v>
      </c>
      <c r="H2" s="21" t="s">
        <v>647</v>
      </c>
      <c r="I2" s="39" t="str">
        <f ca="1">IFERROR(__xludf.DUMMYFUNCTION("IF(SUM(COUNTIF(artists!A:A, SPLIT(D2, "",""))) &gt; 0, ""UA"", 0)"),"UA")</f>
        <v>UA</v>
      </c>
      <c r="J2" s="40">
        <f ca="1">IFERROR(__xludf.DUMMYFUNCTION("IF(SUM(COUNTIF(artists!C:C, SPLIT(D2, "",""))) &gt; 0, ""RU"", 0)"),0)</f>
        <v>0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B3" s="21">
        <v>4</v>
      </c>
      <c r="C3" s="21" t="s">
        <v>128</v>
      </c>
      <c r="D3" s="21" t="s">
        <v>129</v>
      </c>
      <c r="E3" s="21">
        <v>2</v>
      </c>
      <c r="F3" s="21">
        <v>1322270</v>
      </c>
      <c r="G3" s="42">
        <v>6.0000000000000001E-3</v>
      </c>
      <c r="H3" s="21" t="s">
        <v>131</v>
      </c>
      <c r="I3" s="39" t="str">
        <f ca="1">IFERROR(__xludf.DUMMYFUNCTION("IF(SUM(COUNTIF(artists!A:A, SPLIT(D3, "",""))) &gt; 0, ""UA"", 0)"),"UA")</f>
        <v>UA</v>
      </c>
      <c r="J3" s="40">
        <f ca="1">IFERROR(__xludf.DUMMYFUNCTION("IF(SUM(COUNTIF(artists!C:C, SPLIT(D3, "",""))) &gt; 0, ""RU"", 0)"),0)</f>
        <v>0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B4" s="21">
        <v>2</v>
      </c>
      <c r="C4" s="21" t="s">
        <v>182</v>
      </c>
      <c r="D4" s="21" t="s">
        <v>183</v>
      </c>
      <c r="E4" s="21">
        <v>2</v>
      </c>
      <c r="F4" s="21">
        <v>1307611</v>
      </c>
      <c r="G4" s="42">
        <v>-2.9000000000000001E-2</v>
      </c>
      <c r="H4" s="21" t="s">
        <v>185</v>
      </c>
      <c r="I4" s="39" t="str">
        <f ca="1">IFERROR(__xludf.DUMMYFUNCTION("IF(SUM(COUNTIF(artists!A:A, SPLIT(D4, "",""))) &gt; 0, ""UA"", 0)"),"UA")</f>
        <v>UA</v>
      </c>
      <c r="J4" s="40">
        <f ca="1">IFERROR(__xludf.DUMMYFUNCTION("IF(SUM(COUNTIF(artists!C:C, SPLIT(D4, "",""))) &gt; 0, ""RU"", 0)"),0)</f>
        <v>0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B5" s="21">
        <v>5</v>
      </c>
      <c r="C5" s="21" t="s">
        <v>194</v>
      </c>
      <c r="D5" s="21" t="s">
        <v>195</v>
      </c>
      <c r="E5" s="21">
        <v>9</v>
      </c>
      <c r="F5" s="21">
        <v>1145054</v>
      </c>
      <c r="G5" s="42">
        <v>-3.7999999999999999E-2</v>
      </c>
      <c r="H5" s="21" t="s">
        <v>197</v>
      </c>
      <c r="I5" s="39" t="str">
        <f ca="1">IFERROR(__xludf.DUMMYFUNCTION("IF(SUM(COUNTIF(artists!A:A, SPLIT(D5, "",""))) &gt; 0, ""UA"", 0)"),"UA")</f>
        <v>UA</v>
      </c>
      <c r="J5" s="40">
        <f ca="1">IFERROR(__xludf.DUMMYFUNCTION("IF(SUM(COUNTIF(artists!C:C, SPLIT(D5, "",""))) &gt; 0, ""RU"", 0)"),0)</f>
        <v>0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C6" s="21" t="s">
        <v>1570</v>
      </c>
      <c r="D6" s="21" t="s">
        <v>1042</v>
      </c>
      <c r="E6" s="21">
        <v>1</v>
      </c>
      <c r="F6" s="21">
        <v>987461</v>
      </c>
      <c r="H6" s="21" t="s">
        <v>1571</v>
      </c>
      <c r="I6" s="39">
        <f ca="1">IFERROR(__xludf.DUMMYFUNCTION("IF(SUM(COUNTIF(artists!A:A, SPLIT(D6, "",""))) &gt; 0, ""UA"", 0)"),0)</f>
        <v>0</v>
      </c>
      <c r="J6" s="40" t="str">
        <f ca="1">IFERROR(__xludf.DUMMYFUNCTION("IF(SUM(COUNTIF(artists!C:C, SPLIT(D6, "",""))) &gt; 0, ""RU"", 0)"),"RU")</f>
        <v>RU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B7" s="21">
        <v>6</v>
      </c>
      <c r="C7" s="21" t="s">
        <v>1010</v>
      </c>
      <c r="D7" s="21" t="s">
        <v>1011</v>
      </c>
      <c r="E7" s="21">
        <v>7</v>
      </c>
      <c r="F7" s="21">
        <v>899746</v>
      </c>
      <c r="G7" s="42">
        <v>-0.17699999999999999</v>
      </c>
      <c r="H7" s="21" t="s">
        <v>1012</v>
      </c>
      <c r="I7" s="39" t="str">
        <f ca="1">IFERROR(__xludf.DUMMYFUNCTION("IF(SUM(COUNTIF(artists!A:A, SPLIT(D7, "",""))) &gt; 0, ""UA"", 0)"),"UA")</f>
        <v>UA</v>
      </c>
      <c r="J7" s="40">
        <f ca="1">IFERROR(__xludf.DUMMYFUNCTION("IF(SUM(COUNTIF(artists!C:C, SPLIT(D7, "",""))) &gt; 0, ""RU"", 0)"),0)</f>
        <v>0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B8" s="21">
        <v>3</v>
      </c>
      <c r="C8" s="21" t="s">
        <v>697</v>
      </c>
      <c r="D8" s="21" t="s">
        <v>698</v>
      </c>
      <c r="E8" s="21">
        <v>2</v>
      </c>
      <c r="F8" s="21">
        <v>781999</v>
      </c>
      <c r="G8" s="42">
        <v>-0.40600000000000003</v>
      </c>
      <c r="H8" s="21" t="s">
        <v>699</v>
      </c>
      <c r="I8" s="39">
        <f ca="1">IFERROR(__xludf.DUMMYFUNCTION("IF(SUM(COUNTIF(artists!A:A, SPLIT(D8, "",""))) &gt; 0, ""UA"", 0)"),0)</f>
        <v>0</v>
      </c>
      <c r="J8" s="40" t="str">
        <f ca="1">IFERROR(__xludf.DUMMYFUNCTION("IF(SUM(COUNTIF(artists!C:C, SPLIT(D8, "",""))) &gt; 0, ""RU"", 0)"),"RU")</f>
        <v>RU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B9" s="21">
        <v>7</v>
      </c>
      <c r="C9" s="21" t="s">
        <v>895</v>
      </c>
      <c r="D9" s="21" t="s">
        <v>896</v>
      </c>
      <c r="E9" s="21">
        <v>18</v>
      </c>
      <c r="F9" s="21">
        <v>691226</v>
      </c>
      <c r="G9" s="42">
        <v>-0.13700000000000001</v>
      </c>
      <c r="H9" s="21" t="s">
        <v>897</v>
      </c>
      <c r="I9" s="39" t="str">
        <f ca="1">IFERROR(__xludf.DUMMYFUNCTION("IF(SUM(COUNTIF(artists!A:A, SPLIT(D9, "",""))) &gt; 0, ""UA"", 0)"),"UA")</f>
        <v>UA</v>
      </c>
      <c r="J9" s="40">
        <f ca="1">IFERROR(__xludf.DUMMYFUNCTION("IF(SUM(COUNTIF(artists!C:C, SPLIT(D9, "",""))) &gt; 0, ""RU"", 0)"),0)</f>
        <v>0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C10" s="21" t="s">
        <v>1496</v>
      </c>
      <c r="D10" s="21" t="s">
        <v>969</v>
      </c>
      <c r="E10" s="21">
        <v>1</v>
      </c>
      <c r="F10" s="21">
        <v>658758</v>
      </c>
      <c r="H10" s="21" t="s">
        <v>1497</v>
      </c>
      <c r="I10" s="39" t="str">
        <f ca="1">IFERROR(__xludf.DUMMYFUNCTION("IF(SUM(COUNTIF(artists!A:A, SPLIT(D10, "",""))) &gt; 0, ""UA"", 0)"),"UA")</f>
        <v>UA</v>
      </c>
      <c r="J10" s="40">
        <f ca="1">IFERROR(__xludf.DUMMYFUNCTION("IF(SUM(COUNTIF(artists!C:C, SPLIT(D10, "",""))) &gt; 0, ""RU"", 0)"),0)</f>
        <v>0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B11" s="21">
        <v>8</v>
      </c>
      <c r="C11" s="21" t="s">
        <v>175</v>
      </c>
      <c r="D11" s="21" t="s">
        <v>89</v>
      </c>
      <c r="E11" s="21">
        <v>6</v>
      </c>
      <c r="F11" s="21">
        <v>644886</v>
      </c>
      <c r="G11" s="43">
        <v>-7.0000000000000007E-2</v>
      </c>
      <c r="H11" s="21" t="s">
        <v>177</v>
      </c>
      <c r="I11" s="39" t="str">
        <f ca="1">IFERROR(__xludf.DUMMYFUNCTION("IF(SUM(COUNTIF(artists!A:A, SPLIT(D11, "",""))) &gt; 0, ""UA"", 0)"),"UA")</f>
        <v>UA</v>
      </c>
      <c r="J11" s="40">
        <f ca="1">IFERROR(__xludf.DUMMYFUNCTION("IF(SUM(COUNTIF(artists!C:C, SPLIT(D11, "",""))) &gt; 0, ""RU"", 0)"),0)</f>
        <v>0</v>
      </c>
      <c r="K11" s="39">
        <f ca="1">IFERROR(__xludf.DUMMYFUNCTION("IF(SUM(COUNTIF(artists!E:E, SPLIT(D11, "",""))) &gt; 0, ""OTHER"", 0)"),0)</f>
        <v>0</v>
      </c>
    </row>
    <row r="12" spans="1:11" ht="14.25" customHeight="1">
      <c r="A12" s="21">
        <v>11</v>
      </c>
      <c r="B12" s="21">
        <v>14</v>
      </c>
      <c r="C12" s="21" t="s">
        <v>706</v>
      </c>
      <c r="D12" s="21" t="s">
        <v>199</v>
      </c>
      <c r="E12" s="21">
        <v>2</v>
      </c>
      <c r="F12" s="21">
        <v>637698</v>
      </c>
      <c r="G12" s="42">
        <v>4.2999999999999997E-2</v>
      </c>
      <c r="H12" s="21" t="s">
        <v>1126</v>
      </c>
      <c r="I12" s="39" t="str">
        <f ca="1">IFERROR(__xludf.DUMMYFUNCTION("IF(SUM(COUNTIF(artists!A:A, SPLIT(D12, "",""))) &gt; 0, ""UA"", 0)"),"UA")</f>
        <v>UA</v>
      </c>
      <c r="J12" s="40">
        <f ca="1">IFERROR(__xludf.DUMMYFUNCTION("IF(SUM(COUNTIF(artists!C:C, SPLIT(D12, "",""))) &gt; 0, ""RU"", 0)"),0)</f>
        <v>0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B13" s="21">
        <v>9</v>
      </c>
      <c r="C13" s="21" t="s">
        <v>1431</v>
      </c>
      <c r="D13" s="21" t="s">
        <v>969</v>
      </c>
      <c r="E13" s="21">
        <v>34</v>
      </c>
      <c r="F13" s="21">
        <v>626697</v>
      </c>
      <c r="G13" s="42">
        <v>-7.6999999999999999E-2</v>
      </c>
      <c r="H13" s="21" t="s">
        <v>1432</v>
      </c>
      <c r="I13" s="39" t="str">
        <f ca="1">IFERROR(__xludf.DUMMYFUNCTION("IF(SUM(COUNTIF(artists!A:A, SPLIT(D13, "",""))) &gt; 0, ""UA"", 0)"),"UA")</f>
        <v>UA</v>
      </c>
      <c r="J13" s="40">
        <f ca="1">IFERROR(__xludf.DUMMYFUNCTION("IF(SUM(COUNTIF(artists!C:C, SPLIT(D13, "",""))) &gt; 0, ""RU"", 0)"),0)</f>
        <v>0</v>
      </c>
      <c r="K13" s="39">
        <f ca="1">IFERROR(__xludf.DUMMYFUNCTION("IF(SUM(COUNTIF(artists!E:E, SPLIT(D13, "",""))) &gt; 0, ""OTHER"", 0)"),0)</f>
        <v>0</v>
      </c>
    </row>
    <row r="14" spans="1:11" ht="14.25" customHeight="1">
      <c r="A14" s="21">
        <v>13</v>
      </c>
      <c r="B14" s="21">
        <v>10</v>
      </c>
      <c r="C14" s="21" t="s">
        <v>132</v>
      </c>
      <c r="D14" s="21" t="s">
        <v>133</v>
      </c>
      <c r="E14" s="21">
        <v>6</v>
      </c>
      <c r="F14" s="21">
        <v>619077</v>
      </c>
      <c r="G14" s="42">
        <v>-7.9000000000000001E-2</v>
      </c>
      <c r="H14" s="21" t="s">
        <v>135</v>
      </c>
      <c r="I14" s="39" t="str">
        <f ca="1">IFERROR(__xludf.DUMMYFUNCTION("IF(SUM(COUNTIF(artists!A:A, SPLIT(D14, "",""))) &gt; 0, ""UA"", 0)"),"UA")</f>
        <v>UA</v>
      </c>
      <c r="J14" s="40">
        <f ca="1">IFERROR(__xludf.DUMMYFUNCTION("IF(SUM(COUNTIF(artists!C:C, SPLIT(D14, "",""))) &gt; 0, ""RU"", 0)"),0)</f>
        <v>0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B15" s="21">
        <v>13</v>
      </c>
      <c r="C15" s="21" t="s">
        <v>229</v>
      </c>
      <c r="D15" s="21" t="s">
        <v>230</v>
      </c>
      <c r="E15" s="21">
        <v>13</v>
      </c>
      <c r="F15" s="21">
        <v>618153</v>
      </c>
      <c r="G15" s="42">
        <v>-7.0000000000000001E-3</v>
      </c>
      <c r="H15" s="21" t="s">
        <v>232</v>
      </c>
      <c r="I15" s="39" t="str">
        <f ca="1">IFERROR(__xludf.DUMMYFUNCTION("IF(SUM(COUNTIF(artists!A:A, SPLIT(D15, "",""))) &gt; 0, ""UA"", 0)"),"UA")</f>
        <v>UA</v>
      </c>
      <c r="J15" s="40">
        <f ca="1">IFERROR(__xludf.DUMMYFUNCTION("IF(SUM(COUNTIF(artists!C:C, SPLIT(D15, "",""))) &gt; 0, ""RU"", 0)"),0)</f>
        <v>0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B16" s="21">
        <v>12</v>
      </c>
      <c r="C16" s="21" t="s">
        <v>1287</v>
      </c>
      <c r="D16" s="21" t="s">
        <v>1288</v>
      </c>
      <c r="E16" s="21">
        <v>7</v>
      </c>
      <c r="F16" s="21">
        <v>573067</v>
      </c>
      <c r="G16" s="42">
        <v>-0.10299999999999999</v>
      </c>
      <c r="H16" s="21" t="s">
        <v>1289</v>
      </c>
      <c r="I16" s="39">
        <f ca="1">IFERROR(__xludf.DUMMYFUNCTION("IF(SUM(COUNTIF(artists!A:A, SPLIT(D16, "",""))) &gt; 0, ""UA"", 0)"),0)</f>
        <v>0</v>
      </c>
      <c r="J16" s="40">
        <f ca="1">IFERROR(__xludf.DUMMYFUNCTION("IF(SUM(COUNTIF(artists!C:C, SPLIT(D16, "",""))) &gt; 0, ""RU"", 0)"),0)</f>
        <v>0</v>
      </c>
      <c r="K16" s="39" t="str">
        <f ca="1">IFERROR(__xludf.DUMMYFUNCTION("IF(SUM(COUNTIF(artists!E:E, SPLIT(D16, "",""))) &gt; 0, ""OTHER"", 0)"),"OTHER")</f>
        <v>OTHER</v>
      </c>
    </row>
    <row r="17" spans="1:11" ht="14.25" customHeight="1">
      <c r="A17" s="21">
        <v>16</v>
      </c>
      <c r="B17" s="21">
        <v>24</v>
      </c>
      <c r="C17" s="21" t="s">
        <v>1055</v>
      </c>
      <c r="D17" s="21" t="s">
        <v>776</v>
      </c>
      <c r="E17" s="21">
        <v>3</v>
      </c>
      <c r="F17" s="21">
        <v>565497</v>
      </c>
      <c r="G17" s="42">
        <v>0.32400000000000001</v>
      </c>
      <c r="H17" s="21" t="s">
        <v>1056</v>
      </c>
      <c r="I17" s="39" t="str">
        <f ca="1">IFERROR(__xludf.DUMMYFUNCTION("IF(SUM(COUNTIF(artists!A:A, SPLIT(D17, "",""))) &gt; 0, ""UA"", 0)"),"UA")</f>
        <v>UA</v>
      </c>
      <c r="J17" s="40">
        <f ca="1">IFERROR(__xludf.DUMMYFUNCTION("IF(SUM(COUNTIF(artists!C:C, SPLIT(D17, "",""))) &gt; 0, ""RU"", 0)"),0)</f>
        <v>0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B18" s="21">
        <v>15</v>
      </c>
      <c r="C18" s="21" t="s">
        <v>799</v>
      </c>
      <c r="D18" s="21" t="s">
        <v>494</v>
      </c>
      <c r="E18" s="21">
        <v>15</v>
      </c>
      <c r="F18" s="21">
        <v>546351</v>
      </c>
      <c r="G18" s="42">
        <v>-1.6E-2</v>
      </c>
      <c r="H18" s="21" t="s">
        <v>800</v>
      </c>
      <c r="I18" s="39" t="str">
        <f ca="1">IFERROR(__xludf.DUMMYFUNCTION("IF(SUM(COUNTIF(artists!A:A, SPLIT(D18, "",""))) &gt; 0, ""UA"", 0)"),"UA")</f>
        <v>UA</v>
      </c>
      <c r="J18" s="40">
        <f ca="1">IFERROR(__xludf.DUMMYFUNCTION("IF(SUM(COUNTIF(artists!C:C, SPLIT(D18, "",""))) &gt; 0, ""RU"", 0)"),0)</f>
        <v>0</v>
      </c>
      <c r="K18" s="39">
        <f ca="1">IFERROR(__xludf.DUMMYFUNCTION("IF(SUM(COUNTIF(artists!E:E, SPLIT(D18, "",""))) &gt; 0, ""OTHER"", 0)"),0)</f>
        <v>0</v>
      </c>
    </row>
    <row r="19" spans="1:11" ht="14.25" customHeight="1">
      <c r="A19" s="21">
        <v>18</v>
      </c>
      <c r="B19" s="21">
        <v>22</v>
      </c>
      <c r="C19" s="21" t="s">
        <v>1178</v>
      </c>
      <c r="D19" s="21" t="s">
        <v>1117</v>
      </c>
      <c r="E19" s="21">
        <v>3</v>
      </c>
      <c r="F19" s="21">
        <v>536316</v>
      </c>
      <c r="G19" s="42">
        <v>0.22900000000000001</v>
      </c>
      <c r="H19" s="21" t="s">
        <v>1179</v>
      </c>
      <c r="I19" s="39">
        <f ca="1">IFERROR(__xludf.DUMMYFUNCTION("IF(SUM(COUNTIF(artists!A:A, SPLIT(D19, "",""))) &gt; 0, ""UA"", 0)"),0)</f>
        <v>0</v>
      </c>
      <c r="J19" s="40" t="str">
        <f ca="1">IFERROR(__xludf.DUMMYFUNCTION("IF(SUM(COUNTIF(artists!C:C, SPLIT(D19, "",""))) &gt; 0, ""RU"", 0)"),"RU")</f>
        <v>RU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B20" s="21">
        <v>17</v>
      </c>
      <c r="C20" s="21" t="s">
        <v>909</v>
      </c>
      <c r="D20" s="21" t="s">
        <v>910</v>
      </c>
      <c r="E20" s="21">
        <v>16</v>
      </c>
      <c r="F20" s="21">
        <v>497561</v>
      </c>
      <c r="G20" s="42">
        <v>-1.9E-2</v>
      </c>
      <c r="H20" s="21" t="s">
        <v>911</v>
      </c>
      <c r="I20" s="39" t="str">
        <f ca="1">IFERROR(__xludf.DUMMYFUNCTION("IF(SUM(COUNTIF(artists!A:A, SPLIT(D20, "",""))) &gt; 0, ""UA"", 0)"),"UA")</f>
        <v>UA</v>
      </c>
      <c r="J20" s="40">
        <f ca="1">IFERROR(__xludf.DUMMYFUNCTION("IF(SUM(COUNTIF(artists!C:C, SPLIT(D20, "",""))) &gt; 0, ""RU"", 0)"),0)</f>
        <v>0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B21" s="21">
        <v>16</v>
      </c>
      <c r="C21" s="21" t="s">
        <v>1263</v>
      </c>
      <c r="D21" s="21" t="s">
        <v>1264</v>
      </c>
      <c r="E21" s="21">
        <v>32</v>
      </c>
      <c r="F21" s="21">
        <v>481926</v>
      </c>
      <c r="G21" s="42">
        <v>-6.9000000000000006E-2</v>
      </c>
      <c r="H21" s="21" t="s">
        <v>1265</v>
      </c>
      <c r="I21" s="39">
        <f ca="1">IFERROR(__xludf.DUMMYFUNCTION("IF(SUM(COUNTIF(artists!A:A, SPLIT(D21, "",""))) &gt; 0, ""UA"", 0)"),0)</f>
        <v>0</v>
      </c>
      <c r="J21" s="40" t="str">
        <f ca="1">IFERROR(__xludf.DUMMYFUNCTION("IF(SUM(COUNTIF(artists!C:C, SPLIT(D21, "",""))) &gt; 0, ""RU"", 0)"),"RU")</f>
        <v>RU</v>
      </c>
      <c r="K21" s="39">
        <f ca="1">IFERROR(__xludf.DUMMYFUNCTION("IF(SUM(COUNTIF(artists!E:E, SPLIT(D21, "",""))) &gt; 0, ""OTHER"", 0)"),0)</f>
        <v>0</v>
      </c>
    </row>
    <row r="22" spans="1:11" ht="14.25" customHeight="1">
      <c r="A22" s="21">
        <v>21</v>
      </c>
      <c r="B22" s="21">
        <v>11</v>
      </c>
      <c r="C22" s="21" t="s">
        <v>1377</v>
      </c>
      <c r="D22" s="21" t="s">
        <v>463</v>
      </c>
      <c r="E22" s="21">
        <v>5</v>
      </c>
      <c r="F22" s="21">
        <v>471026</v>
      </c>
      <c r="G22" s="42">
        <v>-0.27100000000000002</v>
      </c>
      <c r="H22" s="21" t="s">
        <v>1378</v>
      </c>
      <c r="I22" s="39" t="str">
        <f ca="1">IFERROR(__xludf.DUMMYFUNCTION("IF(SUM(COUNTIF(artists!A:A, SPLIT(D22, "",""))) &gt; 0, ""UA"", 0)"),"UA")</f>
        <v>UA</v>
      </c>
      <c r="J22" s="40">
        <f ca="1">IFERROR(__xludf.DUMMYFUNCTION("IF(SUM(COUNTIF(artists!C:C, SPLIT(D22, "",""))) &gt; 0, ""RU"", 0)"),0)</f>
        <v>0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C23" s="21" t="s">
        <v>171</v>
      </c>
      <c r="D23" s="21" t="s">
        <v>172</v>
      </c>
      <c r="E23" s="21">
        <v>1</v>
      </c>
      <c r="F23" s="21">
        <v>439100</v>
      </c>
      <c r="H23" s="21" t="s">
        <v>174</v>
      </c>
      <c r="I23" s="39">
        <f ca="1">IFERROR(__xludf.DUMMYFUNCTION("IF(SUM(COUNTIF(artists!A:A, SPLIT(D23, "",""))) &gt; 0, ""UA"", 0)"),0)</f>
        <v>0</v>
      </c>
      <c r="J23" s="40" t="str">
        <f ca="1">IFERROR(__xludf.DUMMYFUNCTION("IF(SUM(COUNTIF(artists!C:C, SPLIT(D23, "",""))) &gt; 0, ""RU"", 0)"),"RU")</f>
        <v>RU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B24" s="21">
        <v>23</v>
      </c>
      <c r="C24" s="21" t="s">
        <v>1282</v>
      </c>
      <c r="D24" s="21" t="s">
        <v>108</v>
      </c>
      <c r="E24" s="21">
        <v>33</v>
      </c>
      <c r="F24" s="21">
        <v>437306</v>
      </c>
      <c r="G24" s="42">
        <v>1.2999999999999999E-2</v>
      </c>
      <c r="H24" s="21" t="s">
        <v>1283</v>
      </c>
      <c r="I24" s="39" t="str">
        <f ca="1">IFERROR(__xludf.DUMMYFUNCTION("IF(SUM(COUNTIF(artists!A:A, SPLIT(D24, "",""))) &gt; 0, ""UA"", 0)"),"UA")</f>
        <v>UA</v>
      </c>
      <c r="J24" s="40">
        <f ca="1">IFERROR(__xludf.DUMMYFUNCTION("IF(SUM(COUNTIF(artists!C:C, SPLIT(D24, "",""))) &gt; 0, ""RU"", 0)"),0)</f>
        <v>0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B25" s="21">
        <v>18</v>
      </c>
      <c r="C25" s="21" t="s">
        <v>1284</v>
      </c>
      <c r="D25" s="21" t="s">
        <v>1285</v>
      </c>
      <c r="E25" s="21">
        <v>7</v>
      </c>
      <c r="F25" s="21">
        <v>423750</v>
      </c>
      <c r="G25" s="42">
        <v>-0.124</v>
      </c>
      <c r="H25" s="21" t="s">
        <v>1286</v>
      </c>
      <c r="I25" s="39">
        <f ca="1">IFERROR(__xludf.DUMMYFUNCTION("IF(SUM(COUNTIF(artists!A:A, SPLIT(D25, "",""))) &gt; 0, ""UA"", 0)"),0)</f>
        <v>0</v>
      </c>
      <c r="J25" s="40" t="str">
        <f ca="1">IFERROR(__xludf.DUMMYFUNCTION("IF(SUM(COUNTIF(artists!C:C, SPLIT(D25, "",""))) &gt; 0, ""RU"", 0)"),"RU")</f>
        <v>RU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B26" s="21">
        <v>25</v>
      </c>
      <c r="C26" s="21" t="s">
        <v>1383</v>
      </c>
      <c r="D26" s="21" t="s">
        <v>463</v>
      </c>
      <c r="E26" s="21">
        <v>11</v>
      </c>
      <c r="F26" s="21">
        <v>421787</v>
      </c>
      <c r="G26" s="42">
        <v>3.5999999999999997E-2</v>
      </c>
      <c r="H26" s="21" t="s">
        <v>1384</v>
      </c>
      <c r="I26" s="39" t="str">
        <f ca="1">IFERROR(__xludf.DUMMYFUNCTION("IF(SUM(COUNTIF(artists!A:A, SPLIT(D26, "",""))) &gt; 0, ""UA"", 0)"),"UA")</f>
        <v>UA</v>
      </c>
      <c r="J26" s="40">
        <f ca="1">IFERROR(__xludf.DUMMYFUNCTION("IF(SUM(COUNTIF(artists!C:C, SPLIT(D26, "",""))) &gt; 0, ""RU"", 0)"),0)</f>
        <v>0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B27" s="21">
        <v>20</v>
      </c>
      <c r="C27" s="21" t="s">
        <v>968</v>
      </c>
      <c r="D27" s="21" t="s">
        <v>969</v>
      </c>
      <c r="E27" s="21">
        <v>26</v>
      </c>
      <c r="F27" s="21">
        <v>411206</v>
      </c>
      <c r="G27" s="43">
        <v>-0.14000000000000001</v>
      </c>
      <c r="H27" s="21" t="s">
        <v>970</v>
      </c>
      <c r="I27" s="39" t="str">
        <f ca="1">IFERROR(__xludf.DUMMYFUNCTION("IF(SUM(COUNTIF(artists!A:A, SPLIT(D27, "",""))) &gt; 0, ""UA"", 0)"),"UA")</f>
        <v>UA</v>
      </c>
      <c r="J27" s="40">
        <f ca="1">IFERROR(__xludf.DUMMYFUNCTION("IF(SUM(COUNTIF(artists!C:C, SPLIT(D27, "",""))) &gt; 0, ""RU"", 0)"),0)</f>
        <v>0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B28" s="21">
        <v>19</v>
      </c>
      <c r="C28" s="21" t="s">
        <v>1332</v>
      </c>
      <c r="D28" s="21" t="s">
        <v>1333</v>
      </c>
      <c r="E28" s="21">
        <v>8</v>
      </c>
      <c r="F28" s="21">
        <v>399387</v>
      </c>
      <c r="G28" s="42">
        <v>-0.17299999999999999</v>
      </c>
      <c r="H28" s="21" t="s">
        <v>1334</v>
      </c>
      <c r="I28" s="39" t="str">
        <f ca="1">IFERROR(__xludf.DUMMYFUNCTION("IF(SUM(COUNTIF(artists!A:A, SPLIT(D28, "",""))) &gt; 0, ""UA"", 0)"),"UA")</f>
        <v>UA</v>
      </c>
      <c r="J28" s="40">
        <f ca="1">IFERROR(__xludf.DUMMYFUNCTION("IF(SUM(COUNTIF(artists!C:C, SPLIT(D28, "",""))) &gt; 0, ""RU"", 0)"),0)</f>
        <v>0</v>
      </c>
      <c r="K28" s="39">
        <f ca="1">IFERROR(__xludf.DUMMYFUNCTION("IF(SUM(COUNTIF(artists!E:E, SPLIT(D28, "",""))) &gt; 0, ""OTHER"", 0)"),0)</f>
        <v>0</v>
      </c>
    </row>
    <row r="29" spans="1:11" ht="14.25" customHeight="1">
      <c r="A29" s="21">
        <v>28</v>
      </c>
      <c r="B29" s="21">
        <v>21</v>
      </c>
      <c r="C29" s="21" t="s">
        <v>935</v>
      </c>
      <c r="D29" s="21" t="s">
        <v>936</v>
      </c>
      <c r="E29" s="21">
        <v>33</v>
      </c>
      <c r="F29" s="21">
        <v>398188</v>
      </c>
      <c r="G29" s="42">
        <v>-0.127</v>
      </c>
      <c r="H29" s="21" t="s">
        <v>937</v>
      </c>
      <c r="I29" s="39">
        <f ca="1">IFERROR(__xludf.DUMMYFUNCTION("IF(SUM(COUNTIF(artists!A:A, SPLIT(D29, "",""))) &gt; 0, ""UA"", 0)"),0)</f>
        <v>0</v>
      </c>
      <c r="J29" s="40" t="str">
        <f ca="1">IFERROR(__xludf.DUMMYFUNCTION("IF(SUM(COUNTIF(artists!C:C, SPLIT(D29, "",""))) &gt; 0, ""RU"", 0)"),"RU")</f>
        <v>RU</v>
      </c>
      <c r="K29" s="39">
        <f ca="1">IFERROR(__xludf.DUMMYFUNCTION("IF(SUM(COUNTIF(artists!E:E, SPLIT(D29, "",""))) &gt; 0, ""OTHER"", 0)"),0)</f>
        <v>0</v>
      </c>
    </row>
    <row r="30" spans="1:11" ht="14.25" customHeight="1">
      <c r="A30" s="21">
        <v>29</v>
      </c>
      <c r="B30" s="21">
        <v>44</v>
      </c>
      <c r="C30" s="21" t="s">
        <v>1471</v>
      </c>
      <c r="D30" s="21" t="s">
        <v>1472</v>
      </c>
      <c r="E30" s="21">
        <v>15</v>
      </c>
      <c r="F30" s="21">
        <v>378022</v>
      </c>
      <c r="G30" s="42">
        <v>0.28499999999999998</v>
      </c>
      <c r="H30" s="21" t="s">
        <v>1473</v>
      </c>
      <c r="I30" s="39" t="str">
        <f ca="1">IFERROR(__xludf.DUMMYFUNCTION("IF(SUM(COUNTIF(artists!A:A, SPLIT(D30, "",""))) &gt; 0, ""UA"", 0)"),"UA")</f>
        <v>UA</v>
      </c>
      <c r="J30" s="40">
        <f ca="1">IFERROR(__xludf.DUMMYFUNCTION("IF(SUM(COUNTIF(artists!C:C, SPLIT(D30, "",""))) &gt; 0, ""RU"", 0)"),0)</f>
        <v>0</v>
      </c>
      <c r="K30" s="39">
        <f ca="1">IFERROR(__xludf.DUMMYFUNCTION("IF(SUM(COUNTIF(artists!E:E, SPLIT(D30, "",""))) &gt; 0, ""OTHER"", 0)"),0)</f>
        <v>0</v>
      </c>
    </row>
    <row r="31" spans="1:11" ht="14.25" customHeight="1">
      <c r="A31" s="21">
        <v>30</v>
      </c>
      <c r="B31" s="21">
        <v>26</v>
      </c>
      <c r="C31" s="21" t="s">
        <v>918</v>
      </c>
      <c r="D31" s="21" t="s">
        <v>108</v>
      </c>
      <c r="E31" s="21">
        <v>42</v>
      </c>
      <c r="F31" s="21">
        <v>373047</v>
      </c>
      <c r="G31" s="42">
        <v>-5.8000000000000003E-2</v>
      </c>
      <c r="H31" s="21" t="s">
        <v>919</v>
      </c>
      <c r="I31" s="39" t="str">
        <f ca="1">IFERROR(__xludf.DUMMYFUNCTION("IF(SUM(COUNTIF(artists!A:A, SPLIT(D31, "",""))) &gt; 0, ""UA"", 0)"),"UA")</f>
        <v>UA</v>
      </c>
      <c r="J31" s="40">
        <f ca="1">IFERROR(__xludf.DUMMYFUNCTION("IF(SUM(COUNTIF(artists!C:C, SPLIT(D31, "",""))) &gt; 0, ""RU"", 0)"),0)</f>
        <v>0</v>
      </c>
      <c r="K31" s="39">
        <f ca="1">IFERROR(__xludf.DUMMYFUNCTION("IF(SUM(COUNTIF(artists!E:E, SPLIT(D31, "",""))) &gt; 0, ""OTHER"", 0)"),0)</f>
        <v>0</v>
      </c>
    </row>
    <row r="32" spans="1:11" ht="14.25" customHeight="1">
      <c r="A32" s="21">
        <v>31</v>
      </c>
      <c r="B32" s="21">
        <v>34</v>
      </c>
      <c r="C32" s="21" t="s">
        <v>1498</v>
      </c>
      <c r="D32" s="21" t="s">
        <v>969</v>
      </c>
      <c r="E32" s="21">
        <v>38</v>
      </c>
      <c r="F32" s="21">
        <v>368638</v>
      </c>
      <c r="G32" s="42">
        <v>4.1000000000000002E-2</v>
      </c>
      <c r="H32" s="21" t="s">
        <v>1499</v>
      </c>
      <c r="I32" s="39" t="str">
        <f ca="1">IFERROR(__xludf.DUMMYFUNCTION("IF(SUM(COUNTIF(artists!A:A, SPLIT(D32, "",""))) &gt; 0, ""UA"", 0)"),"UA")</f>
        <v>UA</v>
      </c>
      <c r="J32" s="40">
        <f ca="1">IFERROR(__xludf.DUMMYFUNCTION("IF(SUM(COUNTIF(artists!C:C, SPLIT(D32, "",""))) &gt; 0, ""RU"", 0)"),0)</f>
        <v>0</v>
      </c>
      <c r="K32" s="39">
        <f ca="1">IFERROR(__xludf.DUMMYFUNCTION("IF(SUM(COUNTIF(artists!E:E, SPLIT(D32, "",""))) &gt; 0, ""OTHER"", 0)"),0)</f>
        <v>0</v>
      </c>
    </row>
    <row r="33" spans="1:11" ht="14.25" customHeight="1">
      <c r="A33" s="21">
        <v>32</v>
      </c>
      <c r="B33" s="21">
        <v>32</v>
      </c>
      <c r="C33" s="21" t="s">
        <v>1354</v>
      </c>
      <c r="D33" s="21" t="s">
        <v>1355</v>
      </c>
      <c r="E33" s="21">
        <v>36</v>
      </c>
      <c r="F33" s="21">
        <v>364257</v>
      </c>
      <c r="G33" s="42">
        <v>3.0000000000000001E-3</v>
      </c>
      <c r="H33" s="21" t="s">
        <v>1356</v>
      </c>
      <c r="I33" s="39" t="str">
        <f ca="1">IFERROR(__xludf.DUMMYFUNCTION("IF(SUM(COUNTIF(artists!A:A, SPLIT(D33, "",""))) &gt; 0, ""UA"", 0)"),"UA")</f>
        <v>UA</v>
      </c>
      <c r="J33" s="40">
        <f ca="1">IFERROR(__xludf.DUMMYFUNCTION("IF(SUM(COUNTIF(artists!C:C, SPLIT(D33, "",""))) &gt; 0, ""RU"", 0)"),0)</f>
        <v>0</v>
      </c>
      <c r="K33" s="39">
        <f ca="1">IFERROR(__xludf.DUMMYFUNCTION("IF(SUM(COUNTIF(artists!E:E, SPLIT(D33, "",""))) &gt; 0, ""OTHER"", 0)"),0)</f>
        <v>0</v>
      </c>
    </row>
    <row r="34" spans="1:11" ht="14.25" customHeight="1">
      <c r="A34" s="21">
        <v>33</v>
      </c>
      <c r="B34" s="21">
        <v>31</v>
      </c>
      <c r="C34" s="21" t="s">
        <v>253</v>
      </c>
      <c r="D34" s="21" t="s">
        <v>89</v>
      </c>
      <c r="E34" s="21">
        <v>15</v>
      </c>
      <c r="F34" s="21">
        <v>359105</v>
      </c>
      <c r="G34" s="42">
        <v>-1.7000000000000001E-2</v>
      </c>
      <c r="H34" s="21" t="s">
        <v>254</v>
      </c>
      <c r="I34" s="39" t="str">
        <f ca="1">IFERROR(__xludf.DUMMYFUNCTION("IF(SUM(COUNTIF(artists!A:A, SPLIT(D34, "",""))) &gt; 0, ""UA"", 0)"),"UA")</f>
        <v>UA</v>
      </c>
      <c r="J34" s="40">
        <f ca="1">IFERROR(__xludf.DUMMYFUNCTION("IF(SUM(COUNTIF(artists!C:C, SPLIT(D34, "",""))) &gt; 0, ""RU"", 0)"),0)</f>
        <v>0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B35" s="21">
        <v>28</v>
      </c>
      <c r="C35" s="21" t="s">
        <v>1447</v>
      </c>
      <c r="D35" s="21" t="s">
        <v>969</v>
      </c>
      <c r="E35" s="21">
        <v>25</v>
      </c>
      <c r="F35" s="21">
        <v>344747</v>
      </c>
      <c r="G35" s="42">
        <v>-8.4000000000000005E-2</v>
      </c>
      <c r="H35" s="21" t="s">
        <v>1448</v>
      </c>
      <c r="I35" s="39" t="str">
        <f ca="1">IFERROR(__xludf.DUMMYFUNCTION("IF(SUM(COUNTIF(artists!A:A, SPLIT(D35, "",""))) &gt; 0, ""UA"", 0)"),"UA")</f>
        <v>UA</v>
      </c>
      <c r="J35" s="40">
        <f ca="1">IFERROR(__xludf.DUMMYFUNCTION("IF(SUM(COUNTIF(artists!C:C, SPLIT(D35, "",""))) &gt; 0, ""RU"", 0)"),0)</f>
        <v>0</v>
      </c>
      <c r="K35" s="39">
        <f ca="1">IFERROR(__xludf.DUMMYFUNCTION("IF(SUM(COUNTIF(artists!E:E, SPLIT(D35, "",""))) &gt; 0, ""OTHER"", 0)"),0)</f>
        <v>0</v>
      </c>
    </row>
    <row r="36" spans="1:11" ht="14.25" customHeight="1">
      <c r="A36" s="21">
        <v>35</v>
      </c>
      <c r="B36" s="21">
        <v>30</v>
      </c>
      <c r="C36" s="21" t="s">
        <v>1327</v>
      </c>
      <c r="D36" s="21" t="s">
        <v>89</v>
      </c>
      <c r="E36" s="21">
        <v>35</v>
      </c>
      <c r="F36" s="21">
        <v>330344</v>
      </c>
      <c r="G36" s="42">
        <v>-9.9000000000000005E-2</v>
      </c>
      <c r="H36" s="21" t="s">
        <v>1328</v>
      </c>
      <c r="I36" s="39" t="str">
        <f ca="1">IFERROR(__xludf.DUMMYFUNCTION("IF(SUM(COUNTIF(artists!A:A, SPLIT(D36, "",""))) &gt; 0, ""UA"", 0)"),"UA")</f>
        <v>UA</v>
      </c>
      <c r="J36" s="40">
        <f ca="1">IFERROR(__xludf.DUMMYFUNCTION("IF(SUM(COUNTIF(artists!C:C, SPLIT(D36, "",""))) &gt; 0, ""RU"", 0)"),0)</f>
        <v>0</v>
      </c>
      <c r="K36" s="39">
        <f ca="1">IFERROR(__xludf.DUMMYFUNCTION("IF(SUM(COUNTIF(artists!E:E, SPLIT(D36, "",""))) &gt; 0, ""OTHER"", 0)"),0)</f>
        <v>0</v>
      </c>
    </row>
    <row r="37" spans="1:11" ht="14.25" customHeight="1">
      <c r="A37" s="21">
        <v>36</v>
      </c>
      <c r="B37" s="21">
        <v>35</v>
      </c>
      <c r="C37" s="21" t="s">
        <v>1436</v>
      </c>
      <c r="D37" s="21" t="s">
        <v>896</v>
      </c>
      <c r="E37" s="21">
        <v>13</v>
      </c>
      <c r="F37" s="21">
        <v>326807</v>
      </c>
      <c r="G37" s="42">
        <v>-3.6999999999999998E-2</v>
      </c>
      <c r="H37" s="21" t="s">
        <v>1437</v>
      </c>
      <c r="I37" s="39" t="str">
        <f ca="1">IFERROR(__xludf.DUMMYFUNCTION("IF(SUM(COUNTIF(artists!A:A, SPLIT(D37, "",""))) &gt; 0, ""UA"", 0)"),"UA")</f>
        <v>UA</v>
      </c>
      <c r="J37" s="40">
        <f ca="1">IFERROR(__xludf.DUMMYFUNCTION("IF(SUM(COUNTIF(artists!C:C, SPLIT(D37, "",""))) &gt; 0, ""RU"", 0)"),0)</f>
        <v>0</v>
      </c>
      <c r="K37" s="39">
        <f ca="1">IFERROR(__xludf.DUMMYFUNCTION("IF(SUM(COUNTIF(artists!E:E, SPLIT(D37, "",""))) &gt; 0, ""OTHER"", 0)"),0)</f>
        <v>0</v>
      </c>
    </row>
    <row r="38" spans="1:11" ht="14.25" customHeight="1">
      <c r="A38" s="21">
        <v>37</v>
      </c>
      <c r="B38" s="21">
        <v>27</v>
      </c>
      <c r="C38" s="21" t="s">
        <v>1318</v>
      </c>
      <c r="D38" s="21" t="s">
        <v>1319</v>
      </c>
      <c r="E38" s="21">
        <v>3</v>
      </c>
      <c r="F38" s="21">
        <v>326348</v>
      </c>
      <c r="G38" s="42">
        <v>-0.16600000000000001</v>
      </c>
      <c r="H38" s="21" t="s">
        <v>1320</v>
      </c>
      <c r="I38" s="39">
        <f ca="1">IFERROR(__xludf.DUMMYFUNCTION("IF(SUM(COUNTIF(artists!A:A, SPLIT(D38, "",""))) &gt; 0, ""UA"", 0)"),0)</f>
        <v>0</v>
      </c>
      <c r="J38" s="40" t="str">
        <f ca="1">IFERROR(__xludf.DUMMYFUNCTION("IF(SUM(COUNTIF(artists!C:C, SPLIT(D38, "",""))) &gt; 0, ""RU"", 0)"),"RU")</f>
        <v>RU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B39" s="21">
        <v>29</v>
      </c>
      <c r="C39" s="21" t="s">
        <v>1616</v>
      </c>
      <c r="D39" s="21" t="s">
        <v>1617</v>
      </c>
      <c r="E39" s="21">
        <v>48</v>
      </c>
      <c r="F39" s="21">
        <v>326061</v>
      </c>
      <c r="G39" s="42">
        <v>-0.13100000000000001</v>
      </c>
      <c r="H39" s="21" t="s">
        <v>1618</v>
      </c>
      <c r="I39" s="39">
        <f ca="1">IFERROR(__xludf.DUMMYFUNCTION("IF(SUM(COUNTIF(artists!A:A, SPLIT(D39, "",""))) &gt; 0, ""UA"", 0)"),0)</f>
        <v>0</v>
      </c>
      <c r="J39" s="40" t="str">
        <f ca="1">IFERROR(__xludf.DUMMYFUNCTION("IF(SUM(COUNTIF(artists!C:C, SPLIT(D39, "",""))) &gt; 0, ""RU"", 0)"),"RU")</f>
        <v>RU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B40" s="21">
        <v>33</v>
      </c>
      <c r="C40" s="21" t="s">
        <v>1182</v>
      </c>
      <c r="D40" s="21" t="s">
        <v>466</v>
      </c>
      <c r="E40" s="21">
        <v>8</v>
      </c>
      <c r="F40" s="21">
        <v>324454</v>
      </c>
      <c r="G40" s="42">
        <v>-0.10199999999999999</v>
      </c>
      <c r="H40" s="21" t="s">
        <v>1183</v>
      </c>
      <c r="I40" s="39" t="str">
        <f ca="1">IFERROR(__xludf.DUMMYFUNCTION("IF(SUM(COUNTIF(artists!A:A, SPLIT(D40, "",""))) &gt; 0, ""UA"", 0)"),"UA")</f>
        <v>UA</v>
      </c>
      <c r="J40" s="40">
        <f ca="1">IFERROR(__xludf.DUMMYFUNCTION("IF(SUM(COUNTIF(artists!C:C, SPLIT(D40, "",""))) &gt; 0, ""RU"", 0)"),0)</f>
        <v>0</v>
      </c>
      <c r="K40" s="39">
        <f ca="1">IFERROR(__xludf.DUMMYFUNCTION("IF(SUM(COUNTIF(artists!E:E, SPLIT(D40, "",""))) &gt; 0, ""OTHER"", 0)"),0)</f>
        <v>0</v>
      </c>
    </row>
    <row r="41" spans="1:11" ht="14.25" customHeight="1">
      <c r="A41" s="21">
        <v>40</v>
      </c>
      <c r="B41" s="21">
        <v>43</v>
      </c>
      <c r="C41" s="21" t="s">
        <v>186</v>
      </c>
      <c r="D41" s="21" t="s">
        <v>187</v>
      </c>
      <c r="E41" s="21">
        <v>10</v>
      </c>
      <c r="F41" s="21">
        <v>314374</v>
      </c>
      <c r="G41" s="42">
        <v>4.2999999999999997E-2</v>
      </c>
      <c r="H41" s="21" t="s">
        <v>189</v>
      </c>
      <c r="I41" s="39" t="str">
        <f ca="1">IFERROR(__xludf.DUMMYFUNCTION("IF(SUM(COUNTIF(artists!A:A, SPLIT(D41, "",""))) &gt; 0, ""UA"", 0)"),"UA")</f>
        <v>UA</v>
      </c>
      <c r="J41" s="40">
        <f ca="1">IFERROR(__xludf.DUMMYFUNCTION("IF(SUM(COUNTIF(artists!C:C, SPLIT(D41, "",""))) &gt; 0, ""RU"", 0)"),0)</f>
        <v>0</v>
      </c>
      <c r="K41" s="39">
        <f ca="1">IFERROR(__xludf.DUMMYFUNCTION("IF(SUM(COUNTIF(artists!E:E, SPLIT(D41, "",""))) &gt; 0, ""OTHER"", 0)"),0)</f>
        <v>0</v>
      </c>
    </row>
    <row r="42" spans="1:11" ht="14.25" customHeight="1">
      <c r="A42" s="21">
        <v>41</v>
      </c>
      <c r="B42" s="21">
        <v>39</v>
      </c>
      <c r="C42" s="21" t="s">
        <v>632</v>
      </c>
      <c r="D42" s="21" t="s">
        <v>633</v>
      </c>
      <c r="E42" s="21">
        <v>10</v>
      </c>
      <c r="F42" s="21">
        <v>312168</v>
      </c>
      <c r="G42" s="42">
        <v>-2.7E-2</v>
      </c>
      <c r="H42" s="21" t="s">
        <v>634</v>
      </c>
      <c r="I42" s="39" t="str">
        <f ca="1">IFERROR(__xludf.DUMMYFUNCTION("IF(SUM(COUNTIF(artists!A:A, SPLIT(D42, "",""))) &gt; 0, ""UA"", 0)"),"UA")</f>
        <v>UA</v>
      </c>
      <c r="J42" s="40">
        <f ca="1">IFERROR(__xludf.DUMMYFUNCTION("IF(SUM(COUNTIF(artists!C:C, SPLIT(D42, "",""))) &gt; 0, ""RU"", 0)"),0)</f>
        <v>0</v>
      </c>
      <c r="K42" s="39">
        <f ca="1">IFERROR(__xludf.DUMMYFUNCTION("IF(SUM(COUNTIF(artists!E:E, SPLIT(D42, "",""))) &gt; 0, ""OTHER"", 0)"),0)</f>
        <v>0</v>
      </c>
    </row>
    <row r="43" spans="1:11" ht="14.25" customHeight="1">
      <c r="A43" s="21">
        <v>42</v>
      </c>
      <c r="B43" s="21">
        <v>37</v>
      </c>
      <c r="C43" s="21" t="s">
        <v>493</v>
      </c>
      <c r="D43" s="21" t="s">
        <v>494</v>
      </c>
      <c r="E43" s="21">
        <v>21</v>
      </c>
      <c r="F43" s="21">
        <v>308498</v>
      </c>
      <c r="G43" s="43">
        <v>-0.05</v>
      </c>
      <c r="H43" s="21" t="s">
        <v>495</v>
      </c>
      <c r="I43" s="39" t="str">
        <f ca="1">IFERROR(__xludf.DUMMYFUNCTION("IF(SUM(COUNTIF(artists!A:A, SPLIT(D43, "",""))) &gt; 0, ""UA"", 0)"),"UA")</f>
        <v>UA</v>
      </c>
      <c r="J43" s="40">
        <f ca="1">IFERROR(__xludf.DUMMYFUNCTION("IF(SUM(COUNTIF(artists!C:C, SPLIT(D43, "",""))) &gt; 0, ""RU"", 0)"),0)</f>
        <v>0</v>
      </c>
      <c r="K43" s="39">
        <f ca="1">IFERROR(__xludf.DUMMYFUNCTION("IF(SUM(COUNTIF(artists!E:E, SPLIT(D43, "",""))) &gt; 0, ""OTHER"", 0)"),0)</f>
        <v>0</v>
      </c>
    </row>
    <row r="44" spans="1:11" ht="14.25" customHeight="1">
      <c r="A44" s="21">
        <v>43</v>
      </c>
      <c r="B44" s="21">
        <v>40</v>
      </c>
      <c r="C44" s="21" t="s">
        <v>887</v>
      </c>
      <c r="D44" s="21" t="s">
        <v>89</v>
      </c>
      <c r="E44" s="21">
        <v>13</v>
      </c>
      <c r="F44" s="21">
        <v>305705</v>
      </c>
      <c r="G44" s="42">
        <v>-2.1000000000000001E-2</v>
      </c>
      <c r="H44" s="21" t="s">
        <v>888</v>
      </c>
      <c r="I44" s="39" t="str">
        <f ca="1">IFERROR(__xludf.DUMMYFUNCTION("IF(SUM(COUNTIF(artists!A:A, SPLIT(D44, "",""))) &gt; 0, ""UA"", 0)"),"UA")</f>
        <v>UA</v>
      </c>
      <c r="J44" s="40">
        <f ca="1">IFERROR(__xludf.DUMMYFUNCTION("IF(SUM(COUNTIF(artists!C:C, SPLIT(D44, "",""))) &gt; 0, ""RU"", 0)"),0)</f>
        <v>0</v>
      </c>
      <c r="K44" s="39">
        <f ca="1">IFERROR(__xludf.DUMMYFUNCTION("IF(SUM(COUNTIF(artists!E:E, SPLIT(D44, "",""))) &gt; 0, ""OTHER"", 0)"),0)</f>
        <v>0</v>
      </c>
    </row>
    <row r="45" spans="1:11" ht="14.25" customHeight="1">
      <c r="A45" s="21">
        <v>44</v>
      </c>
      <c r="B45" s="21">
        <v>38</v>
      </c>
      <c r="C45" s="21" t="s">
        <v>1116</v>
      </c>
      <c r="D45" s="21" t="s">
        <v>1117</v>
      </c>
      <c r="E45" s="21">
        <v>27</v>
      </c>
      <c r="F45" s="21">
        <v>301499</v>
      </c>
      <c r="G45" s="43">
        <v>-7.0000000000000007E-2</v>
      </c>
      <c r="H45" s="21" t="s">
        <v>1118</v>
      </c>
      <c r="I45" s="39">
        <f ca="1">IFERROR(__xludf.DUMMYFUNCTION("IF(SUM(COUNTIF(artists!A:A, SPLIT(D45, "",""))) &gt; 0, ""UA"", 0)"),0)</f>
        <v>0</v>
      </c>
      <c r="J45" s="40" t="str">
        <f ca="1">IFERROR(__xludf.DUMMYFUNCTION("IF(SUM(COUNTIF(artists!C:C, SPLIT(D45, "",""))) &gt; 0, ""RU"", 0)"),"RU")</f>
        <v>RU</v>
      </c>
      <c r="K45" s="39">
        <f ca="1">IFERROR(__xludf.DUMMYFUNCTION("IF(SUM(COUNTIF(artists!E:E, SPLIT(D45, "",""))) &gt; 0, ""OTHER"", 0)"),0)</f>
        <v>0</v>
      </c>
    </row>
    <row r="46" spans="1:11" ht="14.25" customHeight="1">
      <c r="A46" s="21">
        <v>45</v>
      </c>
      <c r="B46" s="21">
        <v>36</v>
      </c>
      <c r="C46" s="21" t="s">
        <v>1500</v>
      </c>
      <c r="D46" s="21" t="s">
        <v>907</v>
      </c>
      <c r="E46" s="21">
        <v>36</v>
      </c>
      <c r="F46" s="21">
        <v>297849</v>
      </c>
      <c r="G46" s="42">
        <v>-0.107</v>
      </c>
      <c r="H46" s="21" t="s">
        <v>1501</v>
      </c>
      <c r="I46" s="39">
        <f ca="1">IFERROR(__xludf.DUMMYFUNCTION("IF(SUM(COUNTIF(artists!A:A, SPLIT(D46, "",""))) &gt; 0, ""UA"", 0)"),0)</f>
        <v>0</v>
      </c>
      <c r="J46" s="40" t="str">
        <f ca="1">IFERROR(__xludf.DUMMYFUNCTION("IF(SUM(COUNTIF(artists!C:C, SPLIT(D46, "",""))) &gt; 0, ""RU"", 0)"),"RU")</f>
        <v>RU</v>
      </c>
      <c r="K46" s="39">
        <f ca="1">IFERROR(__xludf.DUMMYFUNCTION("IF(SUM(COUNTIF(artists!E:E, SPLIT(D46, "",""))) &gt; 0, ""OTHER"", 0)"),0)</f>
        <v>0</v>
      </c>
    </row>
    <row r="47" spans="1:11" ht="14.25" customHeight="1">
      <c r="A47" s="21">
        <v>46</v>
      </c>
      <c r="B47" s="21">
        <v>56</v>
      </c>
      <c r="C47" s="21" t="s">
        <v>1563</v>
      </c>
      <c r="D47" s="21" t="s">
        <v>712</v>
      </c>
      <c r="E47" s="21">
        <v>3</v>
      </c>
      <c r="F47" s="21">
        <v>292895</v>
      </c>
      <c r="G47" s="42">
        <v>0.20799999999999999</v>
      </c>
      <c r="H47" s="21" t="s">
        <v>1564</v>
      </c>
      <c r="I47" s="39" t="str">
        <f ca="1">IFERROR(__xludf.DUMMYFUNCTION("IF(SUM(COUNTIF(artists!A:A, SPLIT(D47, "",""))) &gt; 0, ""UA"", 0)"),"UA")</f>
        <v>UA</v>
      </c>
      <c r="J47" s="40">
        <f ca="1">IFERROR(__xludf.DUMMYFUNCTION("IF(SUM(COUNTIF(artists!C:C, SPLIT(D47, "",""))) &gt; 0, ""RU"", 0)"),0)</f>
        <v>0</v>
      </c>
      <c r="K47" s="39">
        <f ca="1">IFERROR(__xludf.DUMMYFUNCTION("IF(SUM(COUNTIF(artists!E:E, SPLIT(D47, "",""))) &gt; 0, ""OTHER"", 0)"),0)</f>
        <v>0</v>
      </c>
    </row>
    <row r="48" spans="1:11" ht="14.25" customHeight="1">
      <c r="A48" s="21">
        <v>47</v>
      </c>
      <c r="B48" s="21">
        <v>47</v>
      </c>
      <c r="C48" s="21" t="s">
        <v>1518</v>
      </c>
      <c r="D48" s="21" t="s">
        <v>108</v>
      </c>
      <c r="E48" s="21">
        <v>18</v>
      </c>
      <c r="F48" s="21">
        <v>280723</v>
      </c>
      <c r="G48" s="42">
        <v>-2.9000000000000001E-2</v>
      </c>
      <c r="H48" s="21" t="s">
        <v>1519</v>
      </c>
      <c r="I48" s="39" t="str">
        <f ca="1">IFERROR(__xludf.DUMMYFUNCTION("IF(SUM(COUNTIF(artists!A:A, SPLIT(D48, "",""))) &gt; 0, ""UA"", 0)"),"UA")</f>
        <v>UA</v>
      </c>
      <c r="J48" s="40">
        <f ca="1">IFERROR(__xludf.DUMMYFUNCTION("IF(SUM(COUNTIF(artists!C:C, SPLIT(D48, "",""))) &gt; 0, ""RU"", 0)"),0)</f>
        <v>0</v>
      </c>
      <c r="K48" s="39">
        <f ca="1">IFERROR(__xludf.DUMMYFUNCTION("IF(SUM(COUNTIF(artists!E:E, SPLIT(D48, "",""))) &gt; 0, ""OTHER"", 0)"),0)</f>
        <v>0</v>
      </c>
    </row>
    <row r="49" spans="1:11" ht="14.25" customHeight="1">
      <c r="A49" s="21">
        <v>48</v>
      </c>
      <c r="B49" s="21">
        <v>49</v>
      </c>
      <c r="C49" s="21" t="s">
        <v>1261</v>
      </c>
      <c r="D49" s="21" t="s">
        <v>137</v>
      </c>
      <c r="E49" s="21">
        <v>23</v>
      </c>
      <c r="F49" s="21">
        <v>280701</v>
      </c>
      <c r="G49" s="42">
        <v>4.3999999999999997E-2</v>
      </c>
      <c r="H49" s="21" t="s">
        <v>1262</v>
      </c>
      <c r="I49" s="39" t="str">
        <f ca="1">IFERROR(__xludf.DUMMYFUNCTION("IF(SUM(COUNTIF(artists!A:A, SPLIT(D49, "",""))) &gt; 0, ""UA"", 0)"),"UA")</f>
        <v>UA</v>
      </c>
      <c r="J49" s="40">
        <f ca="1">IFERROR(__xludf.DUMMYFUNCTION("IF(SUM(COUNTIF(artists!C:C, SPLIT(D49, "",""))) &gt; 0, ""RU"", 0)"),0)</f>
        <v>0</v>
      </c>
      <c r="K49" s="39">
        <f ca="1">IFERROR(__xludf.DUMMYFUNCTION("IF(SUM(COUNTIF(artists!E:E, SPLIT(D49, "",""))) &gt; 0, ""OTHER"", 0)"),0)</f>
        <v>0</v>
      </c>
    </row>
    <row r="50" spans="1:11" ht="14.25" customHeight="1">
      <c r="A50" s="21">
        <v>49</v>
      </c>
      <c r="C50" s="21" t="s">
        <v>1343</v>
      </c>
      <c r="D50" s="21" t="s">
        <v>1344</v>
      </c>
      <c r="E50" s="21">
        <v>1</v>
      </c>
      <c r="F50" s="21">
        <v>275751</v>
      </c>
      <c r="H50" s="21" t="s">
        <v>1345</v>
      </c>
      <c r="I50" s="39" t="str">
        <f ca="1">IFERROR(__xludf.DUMMYFUNCTION("IF(SUM(COUNTIF(artists!A:A, SPLIT(D50, "",""))) &gt; 0, ""UA"", 0)"),"UA")</f>
        <v>UA</v>
      </c>
      <c r="J50" s="40">
        <f ca="1">IFERROR(__xludf.DUMMYFUNCTION("IF(SUM(COUNTIF(artists!C:C, SPLIT(D50, "",""))) &gt; 0, ""RU"", 0)"),0)</f>
        <v>0</v>
      </c>
      <c r="K50" s="39">
        <f ca="1">IFERROR(__xludf.DUMMYFUNCTION("IF(SUM(COUNTIF(artists!E:E, SPLIT(D50, "",""))) &gt; 0, ""OTHER"", 0)"),0)</f>
        <v>0</v>
      </c>
    </row>
    <row r="51" spans="1:11" ht="14.25" customHeight="1">
      <c r="A51" s="21">
        <v>50</v>
      </c>
      <c r="B51" s="21">
        <v>48</v>
      </c>
      <c r="C51" s="21" t="s">
        <v>1290</v>
      </c>
      <c r="D51" s="21" t="s">
        <v>942</v>
      </c>
      <c r="E51" s="21">
        <v>10</v>
      </c>
      <c r="F51" s="21">
        <v>270151</v>
      </c>
      <c r="G51" s="42">
        <v>-1.4999999999999999E-2</v>
      </c>
      <c r="H51" s="21" t="s">
        <v>1291</v>
      </c>
      <c r="I51" s="39" t="str">
        <f ca="1">IFERROR(__xludf.DUMMYFUNCTION("IF(SUM(COUNTIF(artists!A:A, SPLIT(D51, "",""))) &gt; 0, ""UA"", 0)"),"UA")</f>
        <v>UA</v>
      </c>
      <c r="J51" s="40">
        <f ca="1">IFERROR(__xludf.DUMMYFUNCTION("IF(SUM(COUNTIF(artists!C:C, SPLIT(D51, "",""))) &gt; 0, ""RU"", 0)"),0)</f>
        <v>0</v>
      </c>
      <c r="K51" s="39">
        <f ca="1">IFERROR(__xludf.DUMMYFUNCTION("IF(SUM(COUNTIF(artists!E:E, SPLIT(D51, "",""))) &gt; 0, ""OTHER"", 0)"),0)</f>
        <v>0</v>
      </c>
    </row>
    <row r="52" spans="1:11" ht="14.25" customHeight="1">
      <c r="A52" s="21">
        <v>51</v>
      </c>
      <c r="B52" s="21">
        <v>42</v>
      </c>
      <c r="C52" s="21" t="s">
        <v>1463</v>
      </c>
      <c r="D52" s="21" t="s">
        <v>1344</v>
      </c>
      <c r="E52" s="21">
        <v>14</v>
      </c>
      <c r="F52" s="21">
        <v>265512</v>
      </c>
      <c r="G52" s="42">
        <v>-0.13200000000000001</v>
      </c>
      <c r="H52" s="21" t="s">
        <v>1464</v>
      </c>
      <c r="I52" s="39" t="str">
        <f ca="1">IFERROR(__xludf.DUMMYFUNCTION("IF(SUM(COUNTIF(artists!A:A, SPLIT(D52, "",""))) &gt; 0, ""UA"", 0)"),"UA")</f>
        <v>UA</v>
      </c>
      <c r="J52" s="40">
        <f ca="1">IFERROR(__xludf.DUMMYFUNCTION("IF(SUM(COUNTIF(artists!C:C, SPLIT(D52, "",""))) &gt; 0, ""RU"", 0)"),0)</f>
        <v>0</v>
      </c>
      <c r="K52" s="39">
        <f ca="1">IFERROR(__xludf.DUMMYFUNCTION("IF(SUM(COUNTIF(artists!E:E, SPLIT(D52, "",""))) &gt; 0, ""OTHER"", 0)"),0)</f>
        <v>0</v>
      </c>
    </row>
    <row r="53" spans="1:11" ht="14.25" customHeight="1">
      <c r="A53" s="21">
        <v>52</v>
      </c>
      <c r="B53" s="21">
        <v>57</v>
      </c>
      <c r="C53" s="21" t="s">
        <v>118</v>
      </c>
      <c r="D53" s="21" t="s">
        <v>586</v>
      </c>
      <c r="E53" s="21">
        <v>16</v>
      </c>
      <c r="F53" s="21">
        <v>264682</v>
      </c>
      <c r="G53" s="42">
        <v>0.10100000000000001</v>
      </c>
      <c r="H53" s="21" t="s">
        <v>587</v>
      </c>
      <c r="I53" s="39" t="str">
        <f ca="1">IFERROR(__xludf.DUMMYFUNCTION("IF(SUM(COUNTIF(artists!A:A, SPLIT(D53, "",""))) &gt; 0, ""UA"", 0)"),"UA")</f>
        <v>UA</v>
      </c>
      <c r="J53" s="40">
        <f ca="1">IFERROR(__xludf.DUMMYFUNCTION("IF(SUM(COUNTIF(artists!C:C, SPLIT(D53, "",""))) &gt; 0, ""RU"", 0)"),0)</f>
        <v>0</v>
      </c>
      <c r="K53" s="39">
        <f ca="1">IFERROR(__xludf.DUMMYFUNCTION("IF(SUM(COUNTIF(artists!E:E, SPLIT(D53, "",""))) &gt; 0, ""OTHER"", 0)"),0)</f>
        <v>0</v>
      </c>
    </row>
    <row r="54" spans="1:11" ht="14.25" customHeight="1">
      <c r="A54" s="21">
        <v>53</v>
      </c>
      <c r="B54" s="21">
        <v>41</v>
      </c>
      <c r="C54" s="21" t="s">
        <v>1242</v>
      </c>
      <c r="D54" s="21" t="s">
        <v>969</v>
      </c>
      <c r="E54" s="21">
        <v>5</v>
      </c>
      <c r="F54" s="21">
        <v>263834</v>
      </c>
      <c r="G54" s="43">
        <v>-0.14000000000000001</v>
      </c>
      <c r="H54" s="21" t="s">
        <v>1243</v>
      </c>
      <c r="I54" s="39" t="str">
        <f ca="1">IFERROR(__xludf.DUMMYFUNCTION("IF(SUM(COUNTIF(artists!A:A, SPLIT(D54, "",""))) &gt; 0, ""UA"", 0)"),"UA")</f>
        <v>UA</v>
      </c>
      <c r="J54" s="40">
        <f ca="1">IFERROR(__xludf.DUMMYFUNCTION("IF(SUM(COUNTIF(artists!C:C, SPLIT(D54, "",""))) &gt; 0, ""RU"", 0)"),0)</f>
        <v>0</v>
      </c>
      <c r="K54" s="39">
        <f ca="1">IFERROR(__xludf.DUMMYFUNCTION("IF(SUM(COUNTIF(artists!E:E, SPLIT(D54, "",""))) &gt; 0, ""OTHER"", 0)"),0)</f>
        <v>0</v>
      </c>
    </row>
    <row r="55" spans="1:11" ht="14.25" customHeight="1">
      <c r="A55" s="21">
        <v>54</v>
      </c>
      <c r="B55" s="21">
        <v>45</v>
      </c>
      <c r="C55" s="21" t="s">
        <v>1586</v>
      </c>
      <c r="D55" s="21" t="s">
        <v>969</v>
      </c>
      <c r="E55" s="21">
        <v>19</v>
      </c>
      <c r="F55" s="21">
        <v>263343</v>
      </c>
      <c r="G55" s="42">
        <v>-9.8000000000000004E-2</v>
      </c>
      <c r="H55" s="21" t="s">
        <v>1587</v>
      </c>
      <c r="I55" s="39" t="str">
        <f ca="1">IFERROR(__xludf.DUMMYFUNCTION("IF(SUM(COUNTIF(artists!A:A, SPLIT(D55, "",""))) &gt; 0, ""UA"", 0)"),"UA")</f>
        <v>UA</v>
      </c>
      <c r="J55" s="40">
        <f ca="1">IFERROR(__xludf.DUMMYFUNCTION("IF(SUM(COUNTIF(artists!C:C, SPLIT(D55, "",""))) &gt; 0, ""RU"", 0)"),0)</f>
        <v>0</v>
      </c>
      <c r="K55" s="39">
        <f ca="1">IFERROR(__xludf.DUMMYFUNCTION("IF(SUM(COUNTIF(artists!E:E, SPLIT(D55, "",""))) &gt; 0, ""OTHER"", 0)"),0)</f>
        <v>0</v>
      </c>
    </row>
    <row r="56" spans="1:11" ht="14.25" customHeight="1">
      <c r="A56" s="21">
        <v>55</v>
      </c>
      <c r="B56" s="21">
        <v>59</v>
      </c>
      <c r="C56" s="21" t="s">
        <v>178</v>
      </c>
      <c r="D56" s="21" t="s">
        <v>179</v>
      </c>
      <c r="E56" s="21">
        <v>10</v>
      </c>
      <c r="F56" s="21">
        <v>243904</v>
      </c>
      <c r="G56" s="43">
        <v>0.02</v>
      </c>
      <c r="H56" s="21" t="s">
        <v>181</v>
      </c>
      <c r="I56" s="39" t="str">
        <f ca="1">IFERROR(__xludf.DUMMYFUNCTION("IF(SUM(COUNTIF(artists!A:A, SPLIT(D56, "",""))) &gt; 0, ""UA"", 0)"),"UA")</f>
        <v>UA</v>
      </c>
      <c r="J56" s="40">
        <f ca="1">IFERROR(__xludf.DUMMYFUNCTION("IF(SUM(COUNTIF(artists!C:C, SPLIT(D56, "",""))) &gt; 0, ""RU"", 0)"),0)</f>
        <v>0</v>
      </c>
      <c r="K56" s="39">
        <f ca="1">IFERROR(__xludf.DUMMYFUNCTION("IF(SUM(COUNTIF(artists!E:E, SPLIT(D56, "",""))) &gt; 0, ""OTHER"", 0)"),0)</f>
        <v>0</v>
      </c>
    </row>
    <row r="57" spans="1:11" ht="14.25" customHeight="1">
      <c r="A57" s="21">
        <v>56</v>
      </c>
      <c r="B57" s="21">
        <v>62</v>
      </c>
      <c r="C57" s="21" t="s">
        <v>597</v>
      </c>
      <c r="D57" s="21" t="s">
        <v>598</v>
      </c>
      <c r="E57" s="21">
        <v>11</v>
      </c>
      <c r="F57" s="21">
        <v>238186</v>
      </c>
      <c r="G57" s="42">
        <v>3.2000000000000001E-2</v>
      </c>
      <c r="H57" s="21" t="s">
        <v>600</v>
      </c>
      <c r="I57" s="39" t="str">
        <f ca="1">IFERROR(__xludf.DUMMYFUNCTION("IF(SUM(COUNTIF(artists!A:A, SPLIT(D57, "",""))) &gt; 0, ""UA"", 0)"),"UA")</f>
        <v>UA</v>
      </c>
      <c r="J57" s="40">
        <f ca="1">IFERROR(__xludf.DUMMYFUNCTION("IF(SUM(COUNTIF(artists!C:C, SPLIT(D57, "",""))) &gt; 0, ""RU"", 0)"),0)</f>
        <v>0</v>
      </c>
      <c r="K57" s="39">
        <f ca="1">IFERROR(__xludf.DUMMYFUNCTION("IF(SUM(COUNTIF(artists!E:E, SPLIT(D57, "",""))) &gt; 0, ""OTHER"", 0)"),0)</f>
        <v>0</v>
      </c>
    </row>
    <row r="58" spans="1:11" ht="14.25" customHeight="1">
      <c r="A58" s="21">
        <v>57</v>
      </c>
      <c r="B58" s="21">
        <v>58</v>
      </c>
      <c r="C58" s="21" t="s">
        <v>1381</v>
      </c>
      <c r="D58" s="21" t="s">
        <v>969</v>
      </c>
      <c r="E58" s="21">
        <v>17</v>
      </c>
      <c r="F58" s="21">
        <v>236912</v>
      </c>
      <c r="G58" s="42">
        <v>-8.9999999999999993E-3</v>
      </c>
      <c r="H58" s="21" t="s">
        <v>1382</v>
      </c>
      <c r="I58" s="39" t="str">
        <f ca="1">IFERROR(__xludf.DUMMYFUNCTION("IF(SUM(COUNTIF(artists!A:A, SPLIT(D58, "",""))) &gt; 0, ""UA"", 0)"),"UA")</f>
        <v>UA</v>
      </c>
      <c r="J58" s="40">
        <f ca="1">IFERROR(__xludf.DUMMYFUNCTION("IF(SUM(COUNTIF(artists!C:C, SPLIT(D58, "",""))) &gt; 0, ""RU"", 0)"),0)</f>
        <v>0</v>
      </c>
      <c r="K58" s="39">
        <f ca="1">IFERROR(__xludf.DUMMYFUNCTION("IF(SUM(COUNTIF(artists!E:E, SPLIT(D58, "",""))) &gt; 0, ""OTHER"", 0)"),0)</f>
        <v>0</v>
      </c>
    </row>
    <row r="59" spans="1:11" ht="14.25" customHeight="1">
      <c r="A59" s="21">
        <v>58</v>
      </c>
      <c r="B59" s="21">
        <v>60</v>
      </c>
      <c r="C59" s="21" t="s">
        <v>1480</v>
      </c>
      <c r="D59" s="21" t="s">
        <v>1481</v>
      </c>
      <c r="E59" s="21">
        <v>11</v>
      </c>
      <c r="F59" s="21">
        <v>231159</v>
      </c>
      <c r="G59" s="42">
        <v>-1.7999999999999999E-2</v>
      </c>
      <c r="H59" s="21" t="s">
        <v>1482</v>
      </c>
      <c r="I59" s="39" t="str">
        <f ca="1">IFERROR(__xludf.DUMMYFUNCTION("IF(SUM(COUNTIF(artists!A:A, SPLIT(D59, "",""))) &gt; 0, ""UA"", 0)"),"UA")</f>
        <v>UA</v>
      </c>
      <c r="J59" s="40">
        <f ca="1">IFERROR(__xludf.DUMMYFUNCTION("IF(SUM(COUNTIF(artists!C:C, SPLIT(D59, "",""))) &gt; 0, ""RU"", 0)"),0)</f>
        <v>0</v>
      </c>
      <c r="K59" s="39">
        <f ca="1">IFERROR(__xludf.DUMMYFUNCTION("IF(SUM(COUNTIF(artists!E:E, SPLIT(D59, "",""))) &gt; 0, ""OTHER"", 0)"),0)</f>
        <v>0</v>
      </c>
    </row>
    <row r="60" spans="1:11" ht="14.25" customHeight="1">
      <c r="A60" s="21">
        <v>59</v>
      </c>
      <c r="B60" s="21">
        <v>64</v>
      </c>
      <c r="C60" s="21" t="s">
        <v>1588</v>
      </c>
      <c r="D60" s="21" t="s">
        <v>776</v>
      </c>
      <c r="E60" s="21">
        <v>19</v>
      </c>
      <c r="F60" s="21">
        <v>228568</v>
      </c>
      <c r="G60" s="42">
        <v>6.0000000000000001E-3</v>
      </c>
      <c r="H60" s="21" t="s">
        <v>1589</v>
      </c>
      <c r="I60" s="39" t="str">
        <f ca="1">IFERROR(__xludf.DUMMYFUNCTION("IF(SUM(COUNTIF(artists!A:A, SPLIT(D60, "",""))) &gt; 0, ""UA"", 0)"),"UA")</f>
        <v>UA</v>
      </c>
      <c r="J60" s="40">
        <f ca="1">IFERROR(__xludf.DUMMYFUNCTION("IF(SUM(COUNTIF(artists!C:C, SPLIT(D60, "",""))) &gt; 0, ""RU"", 0)"),0)</f>
        <v>0</v>
      </c>
      <c r="K60" s="39">
        <f ca="1">IFERROR(__xludf.DUMMYFUNCTION("IF(SUM(COUNTIF(artists!E:E, SPLIT(D60, "",""))) &gt; 0, ""OTHER"", 0)"),0)</f>
        <v>0</v>
      </c>
    </row>
    <row r="61" spans="1:11" ht="14.25" customHeight="1">
      <c r="A61" s="21">
        <v>60</v>
      </c>
      <c r="B61" s="21">
        <v>71</v>
      </c>
      <c r="C61" s="21" t="s">
        <v>470</v>
      </c>
      <c r="D61" s="21" t="s">
        <v>81</v>
      </c>
      <c r="E61" s="21">
        <v>15</v>
      </c>
      <c r="F61" s="21">
        <v>221996</v>
      </c>
      <c r="G61" s="42">
        <v>0.125</v>
      </c>
      <c r="H61" s="21" t="s">
        <v>472</v>
      </c>
      <c r="I61" s="39" t="str">
        <f ca="1">IFERROR(__xludf.DUMMYFUNCTION("IF(SUM(COUNTIF(artists!A:A, SPLIT(D61, "",""))) &gt; 0, ""UA"", 0)"),"UA")</f>
        <v>UA</v>
      </c>
      <c r="J61" s="40">
        <f ca="1">IFERROR(__xludf.DUMMYFUNCTION("IF(SUM(COUNTIF(artists!C:C, SPLIT(D61, "",""))) &gt; 0, ""RU"", 0)"),0)</f>
        <v>0</v>
      </c>
      <c r="K61" s="39">
        <f ca="1">IFERROR(__xludf.DUMMYFUNCTION("IF(SUM(COUNTIF(artists!E:E, SPLIT(D61, "",""))) &gt; 0, ""OTHER"", 0)"),0)</f>
        <v>0</v>
      </c>
    </row>
    <row r="62" spans="1:11" ht="14.25" customHeight="1">
      <c r="A62" s="21">
        <v>61</v>
      </c>
      <c r="C62" s="21" t="s">
        <v>1592</v>
      </c>
      <c r="D62" s="21" t="s">
        <v>1593</v>
      </c>
      <c r="E62" s="21">
        <v>1</v>
      </c>
      <c r="F62" s="21">
        <v>220532</v>
      </c>
      <c r="H62" s="21" t="s">
        <v>1594</v>
      </c>
      <c r="I62" s="39">
        <f ca="1">IFERROR(__xludf.DUMMYFUNCTION("IF(SUM(COUNTIF(artists!A:A, SPLIT(D62, "",""))) &gt; 0, ""UA"", 0)"),0)</f>
        <v>0</v>
      </c>
      <c r="J62" s="40" t="str">
        <f ca="1">IFERROR(__xludf.DUMMYFUNCTION("IF(SUM(COUNTIF(artists!C:C, SPLIT(D62, "",""))) &gt; 0, ""RU"", 0)"),"RU")</f>
        <v>RU</v>
      </c>
      <c r="K62" s="39">
        <f ca="1">IFERROR(__xludf.DUMMYFUNCTION("IF(SUM(COUNTIF(artists!E:E, SPLIT(D62, "",""))) &gt; 0, ""OTHER"", 0)"),0)</f>
        <v>0</v>
      </c>
    </row>
    <row r="63" spans="1:11" ht="14.25" customHeight="1">
      <c r="A63" s="21">
        <v>62</v>
      </c>
      <c r="B63" s="21">
        <v>54</v>
      </c>
      <c r="C63" s="21" t="s">
        <v>1508</v>
      </c>
      <c r="D63" s="21" t="s">
        <v>776</v>
      </c>
      <c r="E63" s="21">
        <v>10</v>
      </c>
      <c r="F63" s="21">
        <v>220193</v>
      </c>
      <c r="G63" s="42">
        <v>-0.113</v>
      </c>
      <c r="H63" s="21" t="s">
        <v>1509</v>
      </c>
      <c r="I63" s="39" t="str">
        <f ca="1">IFERROR(__xludf.DUMMYFUNCTION("IF(SUM(COUNTIF(artists!A:A, SPLIT(D63, "",""))) &gt; 0, ""UA"", 0)"),"UA")</f>
        <v>UA</v>
      </c>
      <c r="J63" s="40">
        <f ca="1">IFERROR(__xludf.DUMMYFUNCTION("IF(SUM(COUNTIF(artists!C:C, SPLIT(D63, "",""))) &gt; 0, ""RU"", 0)"),0)</f>
        <v>0</v>
      </c>
      <c r="K63" s="39">
        <f ca="1">IFERROR(__xludf.DUMMYFUNCTION("IF(SUM(COUNTIF(artists!E:E, SPLIT(D63, "",""))) &gt; 0, ""OTHER"", 0)"),0)</f>
        <v>0</v>
      </c>
    </row>
    <row r="64" spans="1:11" ht="14.25" customHeight="1">
      <c r="A64" s="21">
        <v>63</v>
      </c>
      <c r="C64" s="21" t="s">
        <v>1619</v>
      </c>
      <c r="D64" s="21" t="s">
        <v>1620</v>
      </c>
      <c r="E64" s="21">
        <v>1</v>
      </c>
      <c r="F64" s="21">
        <v>220191</v>
      </c>
      <c r="H64" s="21" t="s">
        <v>1621</v>
      </c>
      <c r="I64" s="39">
        <f ca="1">IFERROR(__xludf.DUMMYFUNCTION("IF(SUM(COUNTIF(artists!A:A, SPLIT(D64, "",""))) &gt; 0, ""UA"", 0)"),0)</f>
        <v>0</v>
      </c>
      <c r="J64" s="40">
        <f ca="1">IFERROR(__xludf.DUMMYFUNCTION("IF(SUM(COUNTIF(artists!C:C, SPLIT(D64, "",""))) &gt; 0, ""RU"", 0)"),0)</f>
        <v>0</v>
      </c>
      <c r="K64" s="39" t="str">
        <f ca="1">IFERROR(__xludf.DUMMYFUNCTION("IF(SUM(COUNTIF(artists!E:E, SPLIT(D64, "",""))) &gt; 0, ""OTHER"", 0)"),"OTHER")</f>
        <v>OTHER</v>
      </c>
    </row>
    <row r="65" spans="1:11" ht="14.25" customHeight="1">
      <c r="A65" s="21">
        <v>64</v>
      </c>
      <c r="B65" s="21">
        <v>66</v>
      </c>
      <c r="C65" s="21" t="s">
        <v>1477</v>
      </c>
      <c r="D65" s="21" t="s">
        <v>1478</v>
      </c>
      <c r="E65" s="21">
        <v>15</v>
      </c>
      <c r="F65" s="21">
        <v>219952</v>
      </c>
      <c r="G65" s="43">
        <v>0.01</v>
      </c>
      <c r="H65" s="21" t="s">
        <v>1479</v>
      </c>
      <c r="I65" s="39" t="str">
        <f ca="1">IFERROR(__xludf.DUMMYFUNCTION("IF(SUM(COUNTIF(artists!A:A, SPLIT(D65, "",""))) &gt; 0, ""UA"", 0)"),"UA")</f>
        <v>UA</v>
      </c>
      <c r="J65" s="40">
        <f ca="1">IFERROR(__xludf.DUMMYFUNCTION("IF(SUM(COUNTIF(artists!C:C, SPLIT(D65, "",""))) &gt; 0, ""RU"", 0)"),0)</f>
        <v>0</v>
      </c>
      <c r="K65" s="39">
        <f ca="1">IFERROR(__xludf.DUMMYFUNCTION("IF(SUM(COUNTIF(artists!E:E, SPLIT(D65, "",""))) &gt; 0, ""OTHER"", 0)"),0)</f>
        <v>0</v>
      </c>
    </row>
    <row r="66" spans="1:11" ht="14.25" customHeight="1">
      <c r="A66" s="21">
        <v>65</v>
      </c>
      <c r="B66" s="21">
        <v>51</v>
      </c>
      <c r="C66" s="21" t="s">
        <v>1298</v>
      </c>
      <c r="D66" s="21" t="s">
        <v>226</v>
      </c>
      <c r="E66" s="21">
        <v>12</v>
      </c>
      <c r="F66" s="21">
        <v>218347</v>
      </c>
      <c r="G66" s="42">
        <v>-0.158</v>
      </c>
      <c r="H66" s="21" t="s">
        <v>1299</v>
      </c>
      <c r="I66" s="39" t="str">
        <f ca="1">IFERROR(__xludf.DUMMYFUNCTION("IF(SUM(COUNTIF(artists!A:A, SPLIT(D66, "",""))) &gt; 0, ""UA"", 0)"),"UA")</f>
        <v>UA</v>
      </c>
      <c r="J66" s="40">
        <f ca="1">IFERROR(__xludf.DUMMYFUNCTION("IF(SUM(COUNTIF(artists!C:C, SPLIT(D66, "",""))) &gt; 0, ""RU"", 0)"),0)</f>
        <v>0</v>
      </c>
      <c r="K66" s="39">
        <f ca="1">IFERROR(__xludf.DUMMYFUNCTION("IF(SUM(COUNTIF(artists!E:E, SPLIT(D66, "",""))) &gt; 0, ""OTHER"", 0)"),0)</f>
        <v>0</v>
      </c>
    </row>
    <row r="67" spans="1:11" ht="14.25" customHeight="1">
      <c r="A67" s="21">
        <v>66</v>
      </c>
      <c r="B67" s="21">
        <v>53</v>
      </c>
      <c r="C67" s="21" t="s">
        <v>1536</v>
      </c>
      <c r="D67" s="21" t="s">
        <v>1537</v>
      </c>
      <c r="E67" s="21">
        <v>7</v>
      </c>
      <c r="F67" s="21">
        <v>213882</v>
      </c>
      <c r="G67" s="42">
        <v>-0.14599999999999999</v>
      </c>
      <c r="H67" s="21" t="s">
        <v>1538</v>
      </c>
      <c r="I67" s="39" t="str">
        <f ca="1">IFERROR(__xludf.DUMMYFUNCTION("IF(SUM(COUNTIF(artists!A:A, SPLIT(D67, "",""))) &gt; 0, ""UA"", 0)"),"UA")</f>
        <v>UA</v>
      </c>
      <c r="J67" s="40">
        <f ca="1">IFERROR(__xludf.DUMMYFUNCTION("IF(SUM(COUNTIF(artists!C:C, SPLIT(D67, "",""))) &gt; 0, ""RU"", 0)"),0)</f>
        <v>0</v>
      </c>
      <c r="K67" s="39">
        <f ca="1">IFERROR(__xludf.DUMMYFUNCTION("IF(SUM(COUNTIF(artists!E:E, SPLIT(D67, "",""))) &gt; 0, ""OTHER"", 0)"),0)</f>
        <v>0</v>
      </c>
    </row>
    <row r="68" spans="1:11" ht="14.25" customHeight="1">
      <c r="A68" s="21">
        <v>67</v>
      </c>
      <c r="B68" s="21">
        <v>50</v>
      </c>
      <c r="C68" s="21" t="s">
        <v>1487</v>
      </c>
      <c r="D68" s="21" t="s">
        <v>409</v>
      </c>
      <c r="E68" s="21">
        <v>16</v>
      </c>
      <c r="F68" s="21">
        <v>206999</v>
      </c>
      <c r="G68" s="42">
        <v>-0.20699999999999999</v>
      </c>
      <c r="H68" s="21" t="s">
        <v>1488</v>
      </c>
      <c r="I68" s="39" t="str">
        <f ca="1">IFERROR(__xludf.DUMMYFUNCTION("IF(SUM(COUNTIF(artists!A:A, SPLIT(D68, "",""))) &gt; 0, ""UA"", 0)"),"UA")</f>
        <v>UA</v>
      </c>
      <c r="J68" s="40">
        <f ca="1">IFERROR(__xludf.DUMMYFUNCTION("IF(SUM(COUNTIF(artists!C:C, SPLIT(D68, "",""))) &gt; 0, ""RU"", 0)"),0)</f>
        <v>0</v>
      </c>
      <c r="K68" s="39">
        <f ca="1">IFERROR(__xludf.DUMMYFUNCTION("IF(SUM(COUNTIF(artists!E:E, SPLIT(D68, "",""))) &gt; 0, ""OTHER"", 0)"),0)</f>
        <v>0</v>
      </c>
    </row>
    <row r="69" spans="1:11" ht="14.25" customHeight="1">
      <c r="A69" s="21">
        <v>68</v>
      </c>
      <c r="B69" s="21">
        <v>91</v>
      </c>
      <c r="C69" s="21" t="s">
        <v>1491</v>
      </c>
      <c r="D69" s="21" t="s">
        <v>1492</v>
      </c>
      <c r="E69" s="21">
        <v>6</v>
      </c>
      <c r="F69" s="21">
        <v>203095</v>
      </c>
      <c r="G69" s="42">
        <v>0.32400000000000001</v>
      </c>
      <c r="H69" s="21" t="s">
        <v>1493</v>
      </c>
      <c r="I69" s="39" t="str">
        <f ca="1">IFERROR(__xludf.DUMMYFUNCTION("IF(SUM(COUNTIF(artists!A:A, SPLIT(D69, "",""))) &gt; 0, ""UA"", 0)"),"UA")</f>
        <v>UA</v>
      </c>
      <c r="J69" s="40">
        <f ca="1">IFERROR(__xludf.DUMMYFUNCTION("IF(SUM(COUNTIF(artists!C:C, SPLIT(D69, "",""))) &gt; 0, ""RU"", 0)"),0)</f>
        <v>0</v>
      </c>
      <c r="K69" s="39">
        <f ca="1">IFERROR(__xludf.DUMMYFUNCTION("IF(SUM(COUNTIF(artists!E:E, SPLIT(D69, "",""))) &gt; 0, ""OTHER"", 0)"),0)</f>
        <v>0</v>
      </c>
    </row>
    <row r="70" spans="1:11" ht="14.25" customHeight="1">
      <c r="A70" s="21">
        <v>69</v>
      </c>
      <c r="B70" s="21">
        <v>75</v>
      </c>
      <c r="C70" s="21" t="s">
        <v>636</v>
      </c>
      <c r="D70" s="21" t="s">
        <v>637</v>
      </c>
      <c r="E70" s="21">
        <v>7</v>
      </c>
      <c r="F70" s="21">
        <v>202132</v>
      </c>
      <c r="G70" s="42">
        <v>7.5999999999999998E-2</v>
      </c>
      <c r="H70" s="21" t="s">
        <v>638</v>
      </c>
      <c r="I70" s="39">
        <f ca="1">IFERROR(__xludf.DUMMYFUNCTION("IF(SUM(COUNTIF(artists!A:A, SPLIT(D70, "",""))) &gt; 0, ""UA"", 0)"),0)</f>
        <v>0</v>
      </c>
      <c r="J70" s="40">
        <f ca="1">IFERROR(__xludf.DUMMYFUNCTION("IF(SUM(COUNTIF(artists!C:C, SPLIT(D70, "",""))) &gt; 0, ""RU"", 0)"),0)</f>
        <v>0</v>
      </c>
      <c r="K70" s="39" t="str">
        <f ca="1">IFERROR(__xludf.DUMMYFUNCTION("IF(SUM(COUNTIF(artists!E:E, SPLIT(D70, "",""))) &gt; 0, ""OTHER"", 0)"),"OTHER")</f>
        <v>OTHER</v>
      </c>
    </row>
    <row r="71" spans="1:11" ht="14.25" customHeight="1">
      <c r="A71" s="21">
        <v>70</v>
      </c>
      <c r="B71" s="21">
        <v>67</v>
      </c>
      <c r="C71" s="21" t="s">
        <v>489</v>
      </c>
      <c r="D71" s="21" t="s">
        <v>490</v>
      </c>
      <c r="E71" s="21">
        <v>14</v>
      </c>
      <c r="F71" s="21">
        <v>199166</v>
      </c>
      <c r="G71" s="42">
        <v>-7.5999999999999998E-2</v>
      </c>
      <c r="H71" s="21" t="s">
        <v>491</v>
      </c>
      <c r="I71" s="39" t="str">
        <f ca="1">IFERROR(__xludf.DUMMYFUNCTION("IF(SUM(COUNTIF(artists!A:A, SPLIT(D71, "",""))) &gt; 0, ""UA"", 0)"),"UA")</f>
        <v>UA</v>
      </c>
      <c r="J71" s="40">
        <f ca="1">IFERROR(__xludf.DUMMYFUNCTION("IF(SUM(COUNTIF(artists!C:C, SPLIT(D71, "",""))) &gt; 0, ""RU"", 0)"),0)</f>
        <v>0</v>
      </c>
      <c r="K71" s="39">
        <f ca="1">IFERROR(__xludf.DUMMYFUNCTION("IF(SUM(COUNTIF(artists!E:E, SPLIT(D71, "",""))) &gt; 0, ""OTHER"", 0)"),0)</f>
        <v>0</v>
      </c>
    </row>
    <row r="72" spans="1:11" ht="14.25" customHeight="1">
      <c r="A72" s="21">
        <v>71</v>
      </c>
      <c r="C72" s="21" t="s">
        <v>1308</v>
      </c>
      <c r="D72" s="21" t="s">
        <v>1309</v>
      </c>
      <c r="E72" s="21">
        <v>1</v>
      </c>
      <c r="F72" s="21">
        <v>196544</v>
      </c>
      <c r="H72" s="21" t="s">
        <v>1310</v>
      </c>
      <c r="I72" s="39" t="str">
        <f ca="1">IFERROR(__xludf.DUMMYFUNCTION("IF(SUM(COUNTIF(artists!A:A, SPLIT(D72, "",""))) &gt; 0, ""UA"", 0)"),"UA")</f>
        <v>UA</v>
      </c>
      <c r="J72" s="40">
        <f ca="1">IFERROR(__xludf.DUMMYFUNCTION("IF(SUM(COUNTIF(artists!C:C, SPLIT(D72, "",""))) &gt; 0, ""RU"", 0)"),0)</f>
        <v>0</v>
      </c>
      <c r="K72" s="39">
        <f ca="1">IFERROR(__xludf.DUMMYFUNCTION("IF(SUM(COUNTIF(artists!E:E, SPLIT(D72, "",""))) &gt; 0, ""OTHER"", 0)"),0)</f>
        <v>0</v>
      </c>
    </row>
    <row r="73" spans="1:11" ht="14.25" customHeight="1">
      <c r="A73" s="21">
        <v>72</v>
      </c>
      <c r="B73" s="21">
        <v>68</v>
      </c>
      <c r="C73" s="21" t="s">
        <v>1387</v>
      </c>
      <c r="D73" s="21" t="s">
        <v>1388</v>
      </c>
      <c r="E73" s="21">
        <v>10</v>
      </c>
      <c r="F73" s="21">
        <v>193876</v>
      </c>
      <c r="G73" s="42">
        <v>-8.7999999999999995E-2</v>
      </c>
      <c r="H73" s="21" t="s">
        <v>1389</v>
      </c>
      <c r="I73" s="39">
        <f ca="1">IFERROR(__xludf.DUMMYFUNCTION("IF(SUM(COUNTIF(artists!A:A, SPLIT(D73, "",""))) &gt; 0, ""UA"", 0)"),0)</f>
        <v>0</v>
      </c>
      <c r="J73" s="40">
        <f ca="1">IFERROR(__xludf.DUMMYFUNCTION("IF(SUM(COUNTIF(artists!C:C, SPLIT(D73, "",""))) &gt; 0, ""RU"", 0)"),0)</f>
        <v>0</v>
      </c>
      <c r="K73" s="39" t="str">
        <f ca="1">IFERROR(__xludf.DUMMYFUNCTION("IF(SUM(COUNTIF(artists!E:E, SPLIT(D73, "",""))) &gt; 0, ""OTHER"", 0)"),"OTHER")</f>
        <v>OTHER</v>
      </c>
    </row>
    <row r="74" spans="1:11" ht="14.25" customHeight="1">
      <c r="A74" s="21">
        <v>73</v>
      </c>
      <c r="B74" s="21">
        <v>61</v>
      </c>
      <c r="C74" s="21" t="s">
        <v>1565</v>
      </c>
      <c r="D74" s="21" t="s">
        <v>1566</v>
      </c>
      <c r="E74" s="21">
        <v>4</v>
      </c>
      <c r="F74" s="21">
        <v>193368</v>
      </c>
      <c r="G74" s="43">
        <v>-0.17</v>
      </c>
      <c r="H74" s="21" t="s">
        <v>1567</v>
      </c>
      <c r="I74" s="39" t="str">
        <f ca="1">IFERROR(__xludf.DUMMYFUNCTION("IF(SUM(COUNTIF(artists!A:A, SPLIT(D74, "",""))) &gt; 0, ""UA"", 0)"),"UA")</f>
        <v>UA</v>
      </c>
      <c r="J74" s="40">
        <f ca="1">IFERROR(__xludf.DUMMYFUNCTION("IF(SUM(COUNTIF(artists!C:C, SPLIT(D74, "",""))) &gt; 0, ""RU"", 0)"),0)</f>
        <v>0</v>
      </c>
      <c r="K74" s="39">
        <f ca="1">IFERROR(__xludf.DUMMYFUNCTION("IF(SUM(COUNTIF(artists!E:E, SPLIT(D74, "",""))) &gt; 0, ""OTHER"", 0)"),0)</f>
        <v>0</v>
      </c>
    </row>
    <row r="75" spans="1:11" ht="14.25" customHeight="1">
      <c r="A75" s="21">
        <v>74</v>
      </c>
      <c r="B75" s="21">
        <v>72</v>
      </c>
      <c r="C75" s="21" t="s">
        <v>1622</v>
      </c>
      <c r="D75" s="21" t="s">
        <v>137</v>
      </c>
      <c r="E75" s="21">
        <v>20</v>
      </c>
      <c r="F75" s="21">
        <v>193137</v>
      </c>
      <c r="G75" s="42">
        <v>-1E-3</v>
      </c>
      <c r="H75" s="21" t="s">
        <v>1623</v>
      </c>
      <c r="I75" s="39" t="str">
        <f ca="1">IFERROR(__xludf.DUMMYFUNCTION("IF(SUM(COUNTIF(artists!A:A, SPLIT(D75, "",""))) &gt; 0, ""UA"", 0)"),"UA")</f>
        <v>UA</v>
      </c>
      <c r="J75" s="40">
        <f ca="1">IFERROR(__xludf.DUMMYFUNCTION("IF(SUM(COUNTIF(artists!C:C, SPLIT(D75, "",""))) &gt; 0, ""RU"", 0)"),0)</f>
        <v>0</v>
      </c>
      <c r="K75" s="39">
        <f ca="1">IFERROR(__xludf.DUMMYFUNCTION("IF(SUM(COUNTIF(artists!E:E, SPLIT(D75, "",""))) &gt; 0, ""OTHER"", 0)"),0)</f>
        <v>0</v>
      </c>
    </row>
    <row r="76" spans="1:11" ht="14.25" customHeight="1">
      <c r="A76" s="21">
        <v>75</v>
      </c>
      <c r="B76" s="21">
        <v>46</v>
      </c>
      <c r="C76" s="21" t="s">
        <v>1598</v>
      </c>
      <c r="D76" s="21" t="s">
        <v>1599</v>
      </c>
      <c r="E76" s="21">
        <v>4</v>
      </c>
      <c r="F76" s="21">
        <v>192969</v>
      </c>
      <c r="G76" s="42">
        <v>-0.33700000000000002</v>
      </c>
      <c r="H76" s="21" t="s">
        <v>1600</v>
      </c>
      <c r="I76" s="39">
        <f ca="1">IFERROR(__xludf.DUMMYFUNCTION("IF(SUM(COUNTIF(artists!A:A, SPLIT(D76, "",""))) &gt; 0, ""UA"", 0)"),0)</f>
        <v>0</v>
      </c>
      <c r="J76" s="40" t="str">
        <f ca="1">IFERROR(__xludf.DUMMYFUNCTION("IF(SUM(COUNTIF(artists!C:C, SPLIT(D76, "",""))) &gt; 0, ""RU"", 0)"),"RU")</f>
        <v>RU</v>
      </c>
      <c r="K76" s="39">
        <f ca="1">IFERROR(__xludf.DUMMYFUNCTION("IF(SUM(COUNTIF(artists!E:E, SPLIT(D76, "",""))) &gt; 0, ""OTHER"", 0)"),0)</f>
        <v>0</v>
      </c>
    </row>
    <row r="77" spans="1:11" ht="14.25" customHeight="1">
      <c r="A77" s="21">
        <v>76</v>
      </c>
      <c r="B77" s="21">
        <v>76</v>
      </c>
      <c r="C77" s="21" t="s">
        <v>1390</v>
      </c>
      <c r="D77" s="21" t="s">
        <v>259</v>
      </c>
      <c r="E77" s="21">
        <v>6</v>
      </c>
      <c r="F77" s="21">
        <v>192871</v>
      </c>
      <c r="G77" s="42">
        <v>5.0999999999999997E-2</v>
      </c>
      <c r="H77" s="21" t="s">
        <v>1391</v>
      </c>
      <c r="I77" s="39" t="str">
        <f ca="1">IFERROR(__xludf.DUMMYFUNCTION("IF(SUM(COUNTIF(artists!A:A, SPLIT(D77, "",""))) &gt; 0, ""UA"", 0)"),"UA")</f>
        <v>UA</v>
      </c>
      <c r="J77" s="40">
        <f ca="1">IFERROR(__xludf.DUMMYFUNCTION("IF(SUM(COUNTIF(artists!C:C, SPLIT(D77, "",""))) &gt; 0, ""RU"", 0)"),0)</f>
        <v>0</v>
      </c>
      <c r="K77" s="39">
        <f ca="1">IFERROR(__xludf.DUMMYFUNCTION("IF(SUM(COUNTIF(artists!E:E, SPLIT(D77, "",""))) &gt; 0, ""OTHER"", 0)"),0)</f>
        <v>0</v>
      </c>
    </row>
    <row r="78" spans="1:11" ht="14.25" customHeight="1">
      <c r="A78" s="21">
        <v>77</v>
      </c>
      <c r="B78" s="21">
        <v>63</v>
      </c>
      <c r="C78" s="21" t="s">
        <v>1234</v>
      </c>
      <c r="D78" s="21" t="s">
        <v>1193</v>
      </c>
      <c r="E78" s="21">
        <v>4</v>
      </c>
      <c r="F78" s="21">
        <v>190346</v>
      </c>
      <c r="G78" s="42">
        <v>-0.17100000000000001</v>
      </c>
      <c r="H78" s="21" t="s">
        <v>1235</v>
      </c>
      <c r="I78" s="39" t="str">
        <f ca="1">IFERROR(__xludf.DUMMYFUNCTION("IF(SUM(COUNTIF(artists!A:A, SPLIT(D78, "",""))) &gt; 0, ""UA"", 0)"),"UA")</f>
        <v>UA</v>
      </c>
      <c r="J78" s="40">
        <f ca="1">IFERROR(__xludf.DUMMYFUNCTION("IF(SUM(COUNTIF(artists!C:C, SPLIT(D78, "",""))) &gt; 0, ""RU"", 0)"),0)</f>
        <v>0</v>
      </c>
      <c r="K78" s="39">
        <f ca="1">IFERROR(__xludf.DUMMYFUNCTION("IF(SUM(COUNTIF(artists!E:E, SPLIT(D78, "",""))) &gt; 0, ""OTHER"", 0)"),0)</f>
        <v>0</v>
      </c>
    </row>
    <row r="79" spans="1:11" ht="14.25" customHeight="1">
      <c r="A79" s="21">
        <v>78</v>
      </c>
      <c r="B79" s="21">
        <v>73</v>
      </c>
      <c r="C79" s="21" t="s">
        <v>1530</v>
      </c>
      <c r="D79" s="21" t="s">
        <v>1531</v>
      </c>
      <c r="E79" s="21">
        <v>16</v>
      </c>
      <c r="F79" s="21">
        <v>186507</v>
      </c>
      <c r="G79" s="42">
        <v>-1.6E-2</v>
      </c>
      <c r="H79" s="21" t="s">
        <v>1532</v>
      </c>
      <c r="I79" s="39">
        <f ca="1">IFERROR(__xludf.DUMMYFUNCTION("IF(SUM(COUNTIF(artists!A:A, SPLIT(D79, "",""))) &gt; 0, ""UA"", 0)"),0)</f>
        <v>0</v>
      </c>
      <c r="J79" s="40">
        <f ca="1">IFERROR(__xludf.DUMMYFUNCTION("IF(SUM(COUNTIF(artists!C:C, SPLIT(D79, "",""))) &gt; 0, ""RU"", 0)"),0)</f>
        <v>0</v>
      </c>
      <c r="K79" s="39" t="str">
        <f ca="1">IFERROR(__xludf.DUMMYFUNCTION("IF(SUM(COUNTIF(artists!E:E, SPLIT(D79, "",""))) &gt; 0, ""OTHER"", 0)"),"OTHER")</f>
        <v>OTHER</v>
      </c>
    </row>
    <row r="80" spans="1:11" ht="14.25" customHeight="1">
      <c r="A80" s="21">
        <v>79</v>
      </c>
      <c r="B80" s="21">
        <v>74</v>
      </c>
      <c r="C80" s="21" t="s">
        <v>1416</v>
      </c>
      <c r="D80" s="21" t="s">
        <v>137</v>
      </c>
      <c r="E80" s="21">
        <v>11</v>
      </c>
      <c r="F80" s="21">
        <v>181159</v>
      </c>
      <c r="G80" s="43">
        <v>-0.04</v>
      </c>
      <c r="H80" s="21" t="s">
        <v>1417</v>
      </c>
      <c r="I80" s="39" t="str">
        <f ca="1">IFERROR(__xludf.DUMMYFUNCTION("IF(SUM(COUNTIF(artists!A:A, SPLIT(D80, "",""))) &gt; 0, ""UA"", 0)"),"UA")</f>
        <v>UA</v>
      </c>
      <c r="J80" s="40">
        <f ca="1">IFERROR(__xludf.DUMMYFUNCTION("IF(SUM(COUNTIF(artists!C:C, SPLIT(D80, "",""))) &gt; 0, ""RU"", 0)"),0)</f>
        <v>0</v>
      </c>
      <c r="K80" s="39">
        <f ca="1">IFERROR(__xludf.DUMMYFUNCTION("IF(SUM(COUNTIF(artists!E:E, SPLIT(D80, "",""))) &gt; 0, ""OTHER"", 0)"),0)</f>
        <v>0</v>
      </c>
    </row>
    <row r="81" spans="1:11" ht="14.25" customHeight="1">
      <c r="A81" s="21">
        <v>80</v>
      </c>
      <c r="B81" s="21">
        <v>69</v>
      </c>
      <c r="C81" s="21" t="s">
        <v>1007</v>
      </c>
      <c r="D81" s="21" t="s">
        <v>1008</v>
      </c>
      <c r="E81" s="21">
        <v>15</v>
      </c>
      <c r="F81" s="21">
        <v>176438</v>
      </c>
      <c r="G81" s="42">
        <v>-0.14799999999999999</v>
      </c>
      <c r="H81" s="21" t="s">
        <v>1009</v>
      </c>
      <c r="I81" s="39">
        <f ca="1">IFERROR(__xludf.DUMMYFUNCTION("IF(SUM(COUNTIF(artists!A:A, SPLIT(D81, "",""))) &gt; 0, ""UA"", 0)"),0)</f>
        <v>0</v>
      </c>
      <c r="J81" s="40" t="str">
        <f ca="1">IFERROR(__xludf.DUMMYFUNCTION("IF(SUM(COUNTIF(artists!C:C, SPLIT(D81, "",""))) &gt; 0, ""RU"", 0)"),"RU")</f>
        <v>RU</v>
      </c>
      <c r="K81" s="39">
        <f ca="1">IFERROR(__xludf.DUMMYFUNCTION("IF(SUM(COUNTIF(artists!E:E, SPLIT(D81, "",""))) &gt; 0, ""OTHER"", 0)"),0)</f>
        <v>0</v>
      </c>
    </row>
    <row r="82" spans="1:11" ht="14.25" customHeight="1">
      <c r="A82" s="21">
        <v>81</v>
      </c>
      <c r="C82" s="21" t="s">
        <v>1524</v>
      </c>
      <c r="D82" s="21" t="s">
        <v>1525</v>
      </c>
      <c r="E82" s="21">
        <v>23</v>
      </c>
      <c r="F82" s="21">
        <v>174407</v>
      </c>
      <c r="H82" s="21" t="s">
        <v>1526</v>
      </c>
      <c r="I82" s="39" t="str">
        <f ca="1">IFERROR(__xludf.DUMMYFUNCTION("IF(SUM(COUNTIF(artists!A:A, SPLIT(D82, "",""))) &gt; 0, ""UA"", 0)"),"UA")</f>
        <v>UA</v>
      </c>
      <c r="J82" s="40">
        <f ca="1">IFERROR(__xludf.DUMMYFUNCTION("IF(SUM(COUNTIF(artists!C:C, SPLIT(D82, "",""))) &gt; 0, ""RU"", 0)"),0)</f>
        <v>0</v>
      </c>
      <c r="K82" s="39">
        <f ca="1">IFERROR(__xludf.DUMMYFUNCTION("IF(SUM(COUNTIF(artists!E:E, SPLIT(D82, "",""))) &gt; 0, ""OTHER"", 0)"),0)</f>
        <v>0</v>
      </c>
    </row>
    <row r="83" spans="1:11" ht="14.25" customHeight="1">
      <c r="A83" s="21">
        <v>82</v>
      </c>
      <c r="C83" s="21" t="s">
        <v>1624</v>
      </c>
      <c r="D83" s="21" t="s">
        <v>1625</v>
      </c>
      <c r="E83" s="21">
        <v>1</v>
      </c>
      <c r="F83" s="21">
        <v>173347</v>
      </c>
      <c r="H83" s="21" t="s">
        <v>1626</v>
      </c>
      <c r="I83" s="39" t="str">
        <f ca="1">IFERROR(__xludf.DUMMYFUNCTION("IF(SUM(COUNTIF(artists!A:A, SPLIT(D83, "",""))) &gt; 0, ""UA"", 0)"),"UA")</f>
        <v>UA</v>
      </c>
      <c r="J83" s="40">
        <f ca="1">IFERROR(__xludf.DUMMYFUNCTION("IF(SUM(COUNTIF(artists!C:C, SPLIT(D83, "",""))) &gt; 0, ""RU"", 0)"),0)</f>
        <v>0</v>
      </c>
      <c r="K83" s="39">
        <f ca="1">IFERROR(__xludf.DUMMYFUNCTION("IF(SUM(COUNTIF(artists!E:E, SPLIT(D83, "",""))) &gt; 0, ""OTHER"", 0)"),0)</f>
        <v>0</v>
      </c>
    </row>
    <row r="84" spans="1:11" ht="14.25" customHeight="1">
      <c r="A84" s="21">
        <v>83</v>
      </c>
      <c r="B84" s="21">
        <v>65</v>
      </c>
      <c r="C84" s="21" t="s">
        <v>1575</v>
      </c>
      <c r="D84" s="21" t="s">
        <v>945</v>
      </c>
      <c r="E84" s="21">
        <v>12</v>
      </c>
      <c r="F84" s="21">
        <v>173211</v>
      </c>
      <c r="G84" s="42">
        <v>-0.221</v>
      </c>
      <c r="H84" s="21" t="s">
        <v>1576</v>
      </c>
      <c r="I84" s="39" t="str">
        <f ca="1">IFERROR(__xludf.DUMMYFUNCTION("IF(SUM(COUNTIF(artists!A:A, SPLIT(D84, "",""))) &gt; 0, ""UA"", 0)"),"UA")</f>
        <v>UA</v>
      </c>
      <c r="J84" s="40">
        <f ca="1">IFERROR(__xludf.DUMMYFUNCTION("IF(SUM(COUNTIF(artists!C:C, SPLIT(D84, "",""))) &gt; 0, ""RU"", 0)"),0)</f>
        <v>0</v>
      </c>
      <c r="K84" s="39">
        <f ca="1">IFERROR(__xludf.DUMMYFUNCTION("IF(SUM(COUNTIF(artists!E:E, SPLIT(D84, "",""))) &gt; 0, ""OTHER"", 0)"),0)</f>
        <v>0</v>
      </c>
    </row>
    <row r="85" spans="1:11" ht="14.25" customHeight="1">
      <c r="A85" s="21">
        <v>84</v>
      </c>
      <c r="B85" s="21">
        <v>81</v>
      </c>
      <c r="C85" s="21" t="s">
        <v>1551</v>
      </c>
      <c r="D85" s="21" t="s">
        <v>1344</v>
      </c>
      <c r="E85" s="21">
        <v>7</v>
      </c>
      <c r="F85" s="21">
        <v>171002</v>
      </c>
      <c r="G85" s="42">
        <v>3.5999999999999997E-2</v>
      </c>
      <c r="H85" s="21" t="s">
        <v>1552</v>
      </c>
      <c r="I85" s="39" t="str">
        <f ca="1">IFERROR(__xludf.DUMMYFUNCTION("IF(SUM(COUNTIF(artists!A:A, SPLIT(D85, "",""))) &gt; 0, ""UA"", 0)"),"UA")</f>
        <v>UA</v>
      </c>
      <c r="J85" s="40">
        <f ca="1">IFERROR(__xludf.DUMMYFUNCTION("IF(SUM(COUNTIF(artists!C:C, SPLIT(D85, "",""))) &gt; 0, ""RU"", 0)"),0)</f>
        <v>0</v>
      </c>
      <c r="K85" s="39">
        <f ca="1">IFERROR(__xludf.DUMMYFUNCTION("IF(SUM(COUNTIF(artists!E:E, SPLIT(D85, "",""))) &gt; 0, ""OTHER"", 0)"),0)</f>
        <v>0</v>
      </c>
    </row>
    <row r="86" spans="1:11" ht="14.25" customHeight="1">
      <c r="A86" s="21">
        <v>85</v>
      </c>
      <c r="B86" s="21">
        <v>80</v>
      </c>
      <c r="C86" s="21" t="s">
        <v>1369</v>
      </c>
      <c r="D86" s="21" t="s">
        <v>1370</v>
      </c>
      <c r="E86" s="21">
        <v>16</v>
      </c>
      <c r="F86" s="21">
        <v>170762</v>
      </c>
      <c r="G86" s="42">
        <v>4.0000000000000001E-3</v>
      </c>
      <c r="H86" s="21" t="s">
        <v>1371</v>
      </c>
      <c r="I86" s="39" t="str">
        <f ca="1">IFERROR(__xludf.DUMMYFUNCTION("IF(SUM(COUNTIF(artists!A:A, SPLIT(D86, "",""))) &gt; 0, ""UA"", 0)"),"UA")</f>
        <v>UA</v>
      </c>
      <c r="J86" s="40">
        <f ca="1">IFERROR(__xludf.DUMMYFUNCTION("IF(SUM(COUNTIF(artists!C:C, SPLIT(D86, "",""))) &gt; 0, ""RU"", 0)"),0)</f>
        <v>0</v>
      </c>
      <c r="K86" s="39">
        <f ca="1">IFERROR(__xludf.DUMMYFUNCTION("IF(SUM(COUNTIF(artists!E:E, SPLIT(D86, "",""))) &gt; 0, ""OTHER"", 0)"),0)</f>
        <v>0</v>
      </c>
    </row>
    <row r="87" spans="1:11" ht="14.25" customHeight="1">
      <c r="A87" s="21">
        <v>86</v>
      </c>
      <c r="B87" s="21">
        <v>70</v>
      </c>
      <c r="C87" s="21" t="s">
        <v>1601</v>
      </c>
      <c r="D87" s="21" t="s">
        <v>1602</v>
      </c>
      <c r="E87" s="21">
        <v>19</v>
      </c>
      <c r="F87" s="21">
        <v>167255</v>
      </c>
      <c r="G87" s="42">
        <v>-0.154</v>
      </c>
      <c r="H87" s="21" t="s">
        <v>1603</v>
      </c>
      <c r="I87" s="39">
        <f ca="1">IFERROR(__xludf.DUMMYFUNCTION("IF(SUM(COUNTIF(artists!A:A, SPLIT(D87, "",""))) &gt; 0, ""UA"", 0)"),0)</f>
        <v>0</v>
      </c>
      <c r="J87" s="40" t="str">
        <f ca="1">IFERROR(__xludf.DUMMYFUNCTION("IF(SUM(COUNTIF(artists!C:C, SPLIT(D87, "",""))) &gt; 0, ""RU"", 0)"),"RU")</f>
        <v>RU</v>
      </c>
      <c r="K87" s="39">
        <f ca="1">IFERROR(__xludf.DUMMYFUNCTION("IF(SUM(COUNTIF(artists!E:E, SPLIT(D87, "",""))) &gt; 0, ""OTHER"", 0)"),0)</f>
        <v>0</v>
      </c>
    </row>
    <row r="88" spans="1:11" ht="14.25" customHeight="1">
      <c r="A88" s="21">
        <v>87</v>
      </c>
      <c r="B88" s="21">
        <v>100</v>
      </c>
      <c r="C88" s="21" t="s">
        <v>316</v>
      </c>
      <c r="D88" s="21" t="s">
        <v>317</v>
      </c>
      <c r="E88" s="21">
        <v>6</v>
      </c>
      <c r="F88" s="21">
        <v>162321</v>
      </c>
      <c r="G88" s="42">
        <v>0.10100000000000001</v>
      </c>
      <c r="H88" s="21" t="s">
        <v>319</v>
      </c>
      <c r="I88" s="39" t="str">
        <f ca="1">IFERROR(__xludf.DUMMYFUNCTION("IF(SUM(COUNTIF(artists!A:A, SPLIT(D88, "",""))) &gt; 0, ""UA"", 0)"),"UA")</f>
        <v>UA</v>
      </c>
      <c r="J88" s="40">
        <f ca="1">IFERROR(__xludf.DUMMYFUNCTION("IF(SUM(COUNTIF(artists!C:C, SPLIT(D88, "",""))) &gt; 0, ""RU"", 0)"),0)</f>
        <v>0</v>
      </c>
      <c r="K88" s="39">
        <f ca="1">IFERROR(__xludf.DUMMYFUNCTION("IF(SUM(COUNTIF(artists!E:E, SPLIT(D88, "",""))) &gt; 0, ""OTHER"", 0)"),0)</f>
        <v>0</v>
      </c>
    </row>
    <row r="89" spans="1:11" ht="14.25" customHeight="1">
      <c r="A89" s="21">
        <v>88</v>
      </c>
      <c r="B89" s="21">
        <v>95</v>
      </c>
      <c r="C89" s="21" t="s">
        <v>1611</v>
      </c>
      <c r="D89" s="21" t="s">
        <v>1612</v>
      </c>
      <c r="E89" s="21">
        <v>8</v>
      </c>
      <c r="F89" s="21">
        <v>161589</v>
      </c>
      <c r="G89" s="42">
        <v>7.1999999999999995E-2</v>
      </c>
      <c r="H89" s="21" t="s">
        <v>1613</v>
      </c>
      <c r="I89" s="39" t="str">
        <f ca="1">IFERROR(__xludf.DUMMYFUNCTION("IF(SUM(COUNTIF(artists!A:A, SPLIT(D89, "",""))) &gt; 0, ""UA"", 0)"),"UA")</f>
        <v>UA</v>
      </c>
      <c r="J89" s="40">
        <f ca="1">IFERROR(__xludf.DUMMYFUNCTION("IF(SUM(COUNTIF(artists!C:C, SPLIT(D89, "",""))) &gt; 0, ""RU"", 0)"),0)</f>
        <v>0</v>
      </c>
      <c r="K89" s="39">
        <f ca="1">IFERROR(__xludf.DUMMYFUNCTION("IF(SUM(COUNTIF(artists!E:E, SPLIT(D89, "",""))) &gt; 0, ""OTHER"", 0)"),0)</f>
        <v>0</v>
      </c>
    </row>
    <row r="90" spans="1:11" ht="14.25" customHeight="1">
      <c r="A90" s="21">
        <v>89</v>
      </c>
      <c r="C90" s="21" t="s">
        <v>1379</v>
      </c>
      <c r="D90" s="21" t="s">
        <v>598</v>
      </c>
      <c r="E90" s="21">
        <v>4</v>
      </c>
      <c r="F90" s="21">
        <v>160954</v>
      </c>
      <c r="H90" s="21" t="s">
        <v>1380</v>
      </c>
      <c r="I90" s="39" t="str">
        <f ca="1">IFERROR(__xludf.DUMMYFUNCTION("IF(SUM(COUNTIF(artists!A:A, SPLIT(D90, "",""))) &gt; 0, ""UA"", 0)"),"UA")</f>
        <v>UA</v>
      </c>
      <c r="J90" s="40">
        <f ca="1">IFERROR(__xludf.DUMMYFUNCTION("IF(SUM(COUNTIF(artists!C:C, SPLIT(D90, "",""))) &gt; 0, ""RU"", 0)"),0)</f>
        <v>0</v>
      </c>
      <c r="K90" s="39">
        <f ca="1">IFERROR(__xludf.DUMMYFUNCTION("IF(SUM(COUNTIF(artists!E:E, SPLIT(D90, "",""))) &gt; 0, ""OTHER"", 0)"),0)</f>
        <v>0</v>
      </c>
    </row>
    <row r="91" spans="1:11" ht="14.25" customHeight="1">
      <c r="A91" s="21">
        <v>90</v>
      </c>
      <c r="B91" s="21">
        <v>78</v>
      </c>
      <c r="C91" s="21" t="s">
        <v>748</v>
      </c>
      <c r="D91" s="21" t="s">
        <v>586</v>
      </c>
      <c r="E91" s="21">
        <v>15</v>
      </c>
      <c r="F91" s="21">
        <v>160517</v>
      </c>
      <c r="G91" s="42">
        <v>-8.1000000000000003E-2</v>
      </c>
      <c r="H91" s="21" t="s">
        <v>749</v>
      </c>
      <c r="I91" s="39" t="str">
        <f ca="1">IFERROR(__xludf.DUMMYFUNCTION("IF(SUM(COUNTIF(artists!A:A, SPLIT(D91, "",""))) &gt; 0, ""UA"", 0)"),"UA")</f>
        <v>UA</v>
      </c>
      <c r="J91" s="40">
        <f ca="1">IFERROR(__xludf.DUMMYFUNCTION("IF(SUM(COUNTIF(artists!C:C, SPLIT(D91, "",""))) &gt; 0, ""RU"", 0)"),0)</f>
        <v>0</v>
      </c>
      <c r="K91" s="39">
        <f ca="1">IFERROR(__xludf.DUMMYFUNCTION("IF(SUM(COUNTIF(artists!E:E, SPLIT(D91, "",""))) &gt; 0, ""OTHER"", 0)"),0)</f>
        <v>0</v>
      </c>
    </row>
    <row r="92" spans="1:11" ht="14.25" customHeight="1">
      <c r="A92" s="21">
        <v>91</v>
      </c>
      <c r="C92" s="21" t="s">
        <v>1385</v>
      </c>
      <c r="D92" s="21" t="s">
        <v>896</v>
      </c>
      <c r="E92" s="21">
        <v>3</v>
      </c>
      <c r="F92" s="21">
        <v>159469</v>
      </c>
      <c r="H92" s="21" t="s">
        <v>1386</v>
      </c>
      <c r="I92" s="39" t="str">
        <f ca="1">IFERROR(__xludf.DUMMYFUNCTION("IF(SUM(COUNTIF(artists!A:A, SPLIT(D92, "",""))) &gt; 0, ""UA"", 0)"),"UA")</f>
        <v>UA</v>
      </c>
      <c r="J92" s="40">
        <f ca="1">IFERROR(__xludf.DUMMYFUNCTION("IF(SUM(COUNTIF(artists!C:C, SPLIT(D92, "",""))) &gt; 0, ""RU"", 0)"),0)</f>
        <v>0</v>
      </c>
      <c r="K92" s="39">
        <f ca="1">IFERROR(__xludf.DUMMYFUNCTION("IF(SUM(COUNTIF(artists!E:E, SPLIT(D92, "",""))) &gt; 0, ""OTHER"", 0)"),0)</f>
        <v>0</v>
      </c>
    </row>
    <row r="93" spans="1:11" ht="14.25" customHeight="1">
      <c r="A93" s="21">
        <v>92</v>
      </c>
      <c r="C93" s="21" t="s">
        <v>1604</v>
      </c>
      <c r="D93" s="21" t="s">
        <v>1360</v>
      </c>
      <c r="E93" s="21">
        <v>8</v>
      </c>
      <c r="F93" s="21">
        <v>157237</v>
      </c>
      <c r="H93" s="21" t="s">
        <v>1605</v>
      </c>
      <c r="I93" s="39" t="str">
        <f ca="1">IFERROR(__xludf.DUMMYFUNCTION("IF(SUM(COUNTIF(artists!A:A, SPLIT(D93, "",""))) &gt; 0, ""UA"", 0)"),"UA")</f>
        <v>UA</v>
      </c>
      <c r="J93" s="40">
        <f ca="1">IFERROR(__xludf.DUMMYFUNCTION("IF(SUM(COUNTIF(artists!C:C, SPLIT(D93, "",""))) &gt; 0, ""RU"", 0)"),0)</f>
        <v>0</v>
      </c>
      <c r="K93" s="39">
        <f ca="1">IFERROR(__xludf.DUMMYFUNCTION("IF(SUM(COUNTIF(artists!E:E, SPLIT(D93, "",""))) &gt; 0, ""OTHER"", 0)"),0)</f>
        <v>0</v>
      </c>
    </row>
    <row r="94" spans="1:11" ht="14.25" customHeight="1">
      <c r="A94" s="21">
        <v>93</v>
      </c>
      <c r="B94" s="21">
        <v>77</v>
      </c>
      <c r="C94" s="21" t="s">
        <v>1392</v>
      </c>
      <c r="D94" s="21" t="s">
        <v>1393</v>
      </c>
      <c r="E94" s="21">
        <v>13</v>
      </c>
      <c r="F94" s="21">
        <v>156838</v>
      </c>
      <c r="G94" s="42">
        <v>-0.113</v>
      </c>
      <c r="H94" s="21" t="s">
        <v>1394</v>
      </c>
      <c r="I94" s="39">
        <f ca="1">IFERROR(__xludf.DUMMYFUNCTION("IF(SUM(COUNTIF(artists!A:A, SPLIT(D94, "",""))) &gt; 0, ""UA"", 0)"),0)</f>
        <v>0</v>
      </c>
      <c r="J94" s="40" t="str">
        <f ca="1">IFERROR(__xludf.DUMMYFUNCTION("IF(SUM(COUNTIF(artists!C:C, SPLIT(D94, "",""))) &gt; 0, ""RU"", 0)"),"RU")</f>
        <v>RU</v>
      </c>
      <c r="K94" s="39">
        <f ca="1">IFERROR(__xludf.DUMMYFUNCTION("IF(SUM(COUNTIF(artists!E:E, SPLIT(D94, "",""))) &gt; 0, ""OTHER"", 0)"),0)</f>
        <v>0</v>
      </c>
    </row>
    <row r="95" spans="1:11" ht="14.25" customHeight="1">
      <c r="A95" s="21">
        <v>94</v>
      </c>
      <c r="B95" s="21">
        <v>90</v>
      </c>
      <c r="C95" s="21" t="s">
        <v>1614</v>
      </c>
      <c r="D95" s="21" t="s">
        <v>1027</v>
      </c>
      <c r="E95" s="21">
        <v>13</v>
      </c>
      <c r="F95" s="21">
        <v>155582</v>
      </c>
      <c r="G95" s="42">
        <v>1.0999999999999999E-2</v>
      </c>
      <c r="H95" s="21" t="s">
        <v>1615</v>
      </c>
      <c r="I95" s="39" t="str">
        <f ca="1">IFERROR(__xludf.DUMMYFUNCTION("IF(SUM(COUNTIF(artists!A:A, SPLIT(D95, "",""))) &gt; 0, ""UA"", 0)"),"UA")</f>
        <v>UA</v>
      </c>
      <c r="J95" s="40">
        <f ca="1">IFERROR(__xludf.DUMMYFUNCTION("IF(SUM(COUNTIF(artists!C:C, SPLIT(D95, "",""))) &gt; 0, ""RU"", 0)"),0)</f>
        <v>0</v>
      </c>
      <c r="K95" s="39">
        <f ca="1">IFERROR(__xludf.DUMMYFUNCTION("IF(SUM(COUNTIF(artists!E:E, SPLIT(D95, "",""))) &gt; 0, ""OTHER"", 0)"),0)</f>
        <v>0</v>
      </c>
    </row>
    <row r="96" spans="1:11" ht="14.25" customHeight="1">
      <c r="A96" s="21">
        <v>95</v>
      </c>
      <c r="C96" s="21" t="s">
        <v>355</v>
      </c>
      <c r="D96" s="21" t="s">
        <v>356</v>
      </c>
      <c r="E96" s="21">
        <v>9</v>
      </c>
      <c r="F96" s="21">
        <v>153485</v>
      </c>
      <c r="H96" s="21" t="s">
        <v>357</v>
      </c>
      <c r="I96" s="39">
        <f ca="1">IFERROR(__xludf.DUMMYFUNCTION("IF(SUM(COUNTIF(artists!A:A, SPLIT(D96, "",""))) &gt; 0, ""UA"", 0)"),0)</f>
        <v>0</v>
      </c>
      <c r="J96" s="40">
        <f ca="1">IFERROR(__xludf.DUMMYFUNCTION("IF(SUM(COUNTIF(artists!C:C, SPLIT(D96, "",""))) &gt; 0, ""RU"", 0)"),0)</f>
        <v>0</v>
      </c>
      <c r="K96" s="39" t="str">
        <f ca="1">IFERROR(__xludf.DUMMYFUNCTION("IF(SUM(COUNTIF(artists!E:E, SPLIT(D96, "",""))) &gt; 0, ""OTHER"", 0)"),"OTHER")</f>
        <v>OTHER</v>
      </c>
    </row>
    <row r="97" spans="1:11" ht="14.25" customHeight="1">
      <c r="A97" s="21">
        <v>96</v>
      </c>
      <c r="B97" s="21">
        <v>88</v>
      </c>
      <c r="C97" s="21" t="s">
        <v>678</v>
      </c>
      <c r="D97" s="21" t="s">
        <v>89</v>
      </c>
      <c r="E97" s="21">
        <v>7</v>
      </c>
      <c r="F97" s="21">
        <v>153243</v>
      </c>
      <c r="G97" s="42">
        <v>-1.4E-2</v>
      </c>
      <c r="H97" s="21" t="s">
        <v>679</v>
      </c>
      <c r="I97" s="39" t="str">
        <f ca="1">IFERROR(__xludf.DUMMYFUNCTION("IF(SUM(COUNTIF(artists!A:A, SPLIT(D97, "",""))) &gt; 0, ""UA"", 0)"),"UA")</f>
        <v>UA</v>
      </c>
      <c r="J97" s="40">
        <f ca="1">IFERROR(__xludf.DUMMYFUNCTION("IF(SUM(COUNTIF(artists!C:C, SPLIT(D97, "",""))) &gt; 0, ""RU"", 0)"),0)</f>
        <v>0</v>
      </c>
      <c r="K97" s="39">
        <f ca="1">IFERROR(__xludf.DUMMYFUNCTION("IF(SUM(COUNTIF(artists!E:E, SPLIT(D97, "",""))) &gt; 0, ""OTHER"", 0)"),0)</f>
        <v>0</v>
      </c>
    </row>
    <row r="98" spans="1:11" ht="14.25" customHeight="1">
      <c r="A98" s="21">
        <v>97</v>
      </c>
      <c r="C98" s="21" t="s">
        <v>1627</v>
      </c>
      <c r="D98" s="21" t="s">
        <v>1628</v>
      </c>
      <c r="E98" s="21">
        <v>1</v>
      </c>
      <c r="F98" s="21">
        <v>151331</v>
      </c>
      <c r="H98" s="21" t="s">
        <v>1629</v>
      </c>
      <c r="I98" s="39" t="str">
        <f ca="1">IFERROR(__xludf.DUMMYFUNCTION("IF(SUM(COUNTIF(artists!A:A, SPLIT(D98, "",""))) &gt; 0, ""UA"", 0)"),"UA")</f>
        <v>UA</v>
      </c>
      <c r="J98" s="40">
        <f ca="1">IFERROR(__xludf.DUMMYFUNCTION("IF(SUM(COUNTIF(artists!C:C, SPLIT(D98, "",""))) &gt; 0, ""RU"", 0)"),0)</f>
        <v>0</v>
      </c>
      <c r="K98" s="39">
        <f ca="1">IFERROR(__xludf.DUMMYFUNCTION("IF(SUM(COUNTIF(artists!E:E, SPLIT(D98, "",""))) &gt; 0, ""OTHER"", 0)"),0)</f>
        <v>0</v>
      </c>
    </row>
    <row r="99" spans="1:11" ht="14.25" customHeight="1">
      <c r="A99" s="21">
        <v>98</v>
      </c>
      <c r="B99" s="21">
        <v>83</v>
      </c>
      <c r="C99" s="21" t="s">
        <v>31</v>
      </c>
      <c r="D99" s="21" t="s">
        <v>32</v>
      </c>
      <c r="E99" s="21">
        <v>9</v>
      </c>
      <c r="F99" s="21">
        <v>148839</v>
      </c>
      <c r="G99" s="42">
        <v>-7.9000000000000001E-2</v>
      </c>
      <c r="H99" s="21" t="s">
        <v>1630</v>
      </c>
      <c r="I99" s="39" t="s">
        <v>77</v>
      </c>
      <c r="J99" s="40">
        <f ca="1">IFERROR(__xludf.DUMMYFUNCTION("IF(SUM(COUNTIF(artists!C:C, SPLIT(D99, "",""))) &gt; 0, ""RU"", 0)"),0)</f>
        <v>0</v>
      </c>
      <c r="K99" s="39">
        <f ca="1">IFERROR(__xludf.DUMMYFUNCTION("IF(SUM(COUNTIF(artists!E:E, SPLIT(D99, "",""))) &gt; 0, ""OTHER"", 0)"),0)</f>
        <v>0</v>
      </c>
    </row>
    <row r="100" spans="1:11" ht="14.25" customHeight="1">
      <c r="A100" s="21">
        <v>99</v>
      </c>
      <c r="C100" s="21" t="s">
        <v>1631</v>
      </c>
      <c r="D100" s="21" t="s">
        <v>409</v>
      </c>
      <c r="E100" s="21">
        <v>12</v>
      </c>
      <c r="F100" s="21">
        <v>147151</v>
      </c>
      <c r="H100" s="21" t="s">
        <v>1632</v>
      </c>
      <c r="I100" s="39" t="str">
        <f ca="1">IFERROR(__xludf.DUMMYFUNCTION("IF(SUM(COUNTIF(artists!A:A, SPLIT(D100, "",""))) &gt; 0, ""UA"", 0)"),"UA")</f>
        <v>UA</v>
      </c>
      <c r="J100" s="40">
        <f ca="1">IFERROR(__xludf.DUMMYFUNCTION("IF(SUM(COUNTIF(artists!C:C, SPLIT(D100, "",""))) &gt; 0, ""RU"", 0)"),0)</f>
        <v>0</v>
      </c>
      <c r="K100" s="39">
        <f ca="1">IFERROR(__xludf.DUMMYFUNCTION("IF(SUM(COUNTIF(artists!E:E, SPLIT(D100, "",""))) &gt; 0, ""OTHER"", 0)"),0)</f>
        <v>0</v>
      </c>
    </row>
    <row r="101" spans="1:11" ht="14.25" customHeight="1">
      <c r="A101" s="21">
        <v>100</v>
      </c>
      <c r="C101" s="21" t="s">
        <v>1633</v>
      </c>
      <c r="D101" s="21" t="s">
        <v>1634</v>
      </c>
      <c r="E101" s="21">
        <v>1</v>
      </c>
      <c r="F101" s="21">
        <v>146726</v>
      </c>
      <c r="H101" s="21" t="s">
        <v>1635</v>
      </c>
      <c r="I101" s="39" t="str">
        <f ca="1">IFERROR(__xludf.DUMMYFUNCTION("IF(SUM(COUNTIF(artists!A:A, SPLIT(D101, "",""))) &gt; 0, ""UA"", 0)"),"UA")</f>
        <v>UA</v>
      </c>
      <c r="J101" s="40">
        <f ca="1">IFERROR(__xludf.DUMMYFUNCTION("IF(SUM(COUNTIF(artists!C:C, SPLIT(D101, "",""))) &gt; 0, ""RU"", 0)"),0)</f>
        <v>0</v>
      </c>
      <c r="K101" s="39">
        <f ca="1">IFERROR(__xludf.DUMMYFUNCTION("IF(SUM(COUNTIF(artists!E:E, SPLIT(D101, "",""))) &gt; 0, ""OTHER"", 0)"),0)</f>
        <v>0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47" priority="1">
      <formula>AND($I2=0, $J2=0, $K2=0)</formula>
    </cfRule>
    <cfRule type="expression" dxfId="46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Аркуш4">
    <tabColor rgb="FF38761D"/>
    <outlinePr summaryBelow="0" summaryRight="0"/>
  </sheetPr>
  <dimension ref="A1:K101"/>
  <sheetViews>
    <sheetView workbookViewId="0"/>
  </sheetViews>
  <sheetFormatPr defaultColWidth="14.44140625" defaultRowHeight="15.75" customHeight="1"/>
  <cols>
    <col min="1" max="1" width="5" customWidth="1"/>
    <col min="2" max="2" width="14.44140625" hidden="1"/>
    <col min="5" max="5" width="14.44140625" hidden="1"/>
    <col min="8" max="8" width="14.44140625" hidden="1"/>
  </cols>
  <sheetData>
    <row r="1" spans="1:1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>
      <c r="A2" s="21">
        <v>1</v>
      </c>
      <c r="B2" s="21">
        <v>8</v>
      </c>
      <c r="C2" s="21" t="s">
        <v>80</v>
      </c>
      <c r="D2" s="21" t="s">
        <v>81</v>
      </c>
      <c r="E2" s="21">
        <v>2</v>
      </c>
      <c r="F2" s="21">
        <v>1788349</v>
      </c>
      <c r="G2" s="41">
        <v>1.55</v>
      </c>
      <c r="H2" s="38" t="s">
        <v>83</v>
      </c>
      <c r="I2" s="39" t="str">
        <f ca="1">IFERROR(__xludf.DUMMYFUNCTION("IF(SUM(COUNTIF(artists!A:A, SPLIT(D2, "",""))) &gt; 0, ""UA"", 0)"),"UA")</f>
        <v>UA</v>
      </c>
      <c r="J2" s="40">
        <f ca="1">IFERROR(__xludf.DUMMYFUNCTION("IF(SUM(COUNTIF(artists!C:C, SPLIT(D2, "",""))) &gt; 0, ""RU"", 0)"),0)</f>
        <v>0</v>
      </c>
      <c r="K2" s="39">
        <f ca="1">IFERROR(__xludf.DUMMYFUNCTION("IF(SUM(COUNTIF(artists!E:E, SPLIT(D2, "",""))) &gt; 0, ""OTHER"", 0)"),0)</f>
        <v>0</v>
      </c>
    </row>
    <row r="3" spans="1:11">
      <c r="A3" s="21">
        <v>2</v>
      </c>
      <c r="B3" s="21">
        <v>1</v>
      </c>
      <c r="C3" s="21" t="s">
        <v>91</v>
      </c>
      <c r="D3" s="21" t="s">
        <v>92</v>
      </c>
      <c r="E3" s="21">
        <v>5</v>
      </c>
      <c r="F3" s="21">
        <v>1062219</v>
      </c>
      <c r="G3" s="21" t="s">
        <v>424</v>
      </c>
      <c r="H3" s="38" t="s">
        <v>94</v>
      </c>
      <c r="I3" s="39">
        <f ca="1">IFERROR(__xludf.DUMMYFUNCTION("IF(SUM(COUNTIF(artists!A:A, SPLIT(D3, "",""))) &gt; 0, ""UA"", 0)"),0)</f>
        <v>0</v>
      </c>
      <c r="J3" s="40">
        <f ca="1">IFERROR(__xludf.DUMMYFUNCTION("IF(SUM(COUNTIF(artists!C:C, SPLIT(D3, "",""))) &gt; 0, ""RU"", 0)"),0)</f>
        <v>0</v>
      </c>
      <c r="K3" s="39" t="str">
        <f ca="1">IFERROR(__xludf.DUMMYFUNCTION("IF(SUM(COUNTIF(artists!E:E, SPLIT(D3, "",""))) &gt; 0, ""OTHER"", 0)"),"OTHER")</f>
        <v>OTHER</v>
      </c>
    </row>
    <row r="4" spans="1:11">
      <c r="A4" s="21">
        <v>3</v>
      </c>
      <c r="B4" s="21">
        <v>3</v>
      </c>
      <c r="C4" s="21" t="s">
        <v>84</v>
      </c>
      <c r="D4" s="21" t="s">
        <v>85</v>
      </c>
      <c r="E4" s="21">
        <v>8</v>
      </c>
      <c r="F4" s="21">
        <v>991557</v>
      </c>
      <c r="G4" s="21" t="s">
        <v>425</v>
      </c>
      <c r="H4" s="38" t="s">
        <v>87</v>
      </c>
      <c r="I4" s="39" t="str">
        <f ca="1">IFERROR(__xludf.DUMMYFUNCTION("IF(SUM(COUNTIF(artists!A:A, SPLIT(D4, "",""))) &gt; 0, ""UA"", 0)"),"UA")</f>
        <v>UA</v>
      </c>
      <c r="J4" s="40">
        <f ca="1">IFERROR(__xludf.DUMMYFUNCTION("IF(SUM(COUNTIF(artists!C:C, SPLIT(D4, "",""))) &gt; 0, ""RU"", 0)"),0)</f>
        <v>0</v>
      </c>
      <c r="K4" s="39">
        <f ca="1">IFERROR(__xludf.DUMMYFUNCTION("IF(SUM(COUNTIF(artists!E:E, SPLIT(D4, "",""))) &gt; 0, ""OTHER"", 0)"),0)</f>
        <v>0</v>
      </c>
    </row>
    <row r="5" spans="1:11">
      <c r="A5" s="21">
        <v>4</v>
      </c>
      <c r="B5" s="21">
        <v>2</v>
      </c>
      <c r="C5" s="21" t="s">
        <v>88</v>
      </c>
      <c r="D5" s="21" t="s">
        <v>89</v>
      </c>
      <c r="E5" s="21">
        <v>29</v>
      </c>
      <c r="F5" s="21">
        <v>880134</v>
      </c>
      <c r="G5" s="21" t="s">
        <v>426</v>
      </c>
      <c r="H5" s="38" t="s">
        <v>90</v>
      </c>
      <c r="I5" s="39" t="str">
        <f ca="1">IFERROR(__xludf.DUMMYFUNCTION("IF(SUM(COUNTIF(artists!A:A, SPLIT(D5, "",""))) &gt; 0, ""UA"", 0)"),"UA")</f>
        <v>UA</v>
      </c>
      <c r="J5" s="40">
        <f ca="1">IFERROR(__xludf.DUMMYFUNCTION("IF(SUM(COUNTIF(artists!C:C, SPLIT(D5, "",""))) &gt; 0, ""RU"", 0)"),0)</f>
        <v>0</v>
      </c>
      <c r="K5" s="39">
        <f ca="1">IFERROR(__xludf.DUMMYFUNCTION("IF(SUM(COUNTIF(artists!E:E, SPLIT(D5, "",""))) &gt; 0, ""OTHER"", 0)"),0)</f>
        <v>0</v>
      </c>
    </row>
    <row r="6" spans="1:11">
      <c r="A6" s="21">
        <v>5</v>
      </c>
      <c r="B6" s="21">
        <v>4</v>
      </c>
      <c r="C6" s="21" t="s">
        <v>95</v>
      </c>
      <c r="D6" s="21" t="s">
        <v>96</v>
      </c>
      <c r="E6" s="21">
        <v>14</v>
      </c>
      <c r="F6" s="21">
        <v>830418</v>
      </c>
      <c r="G6" s="21" t="s">
        <v>427</v>
      </c>
      <c r="H6" s="38" t="s">
        <v>98</v>
      </c>
      <c r="I6" s="39" t="str">
        <f ca="1">IFERROR(__xludf.DUMMYFUNCTION("IF(SUM(COUNTIF(artists!A:A, SPLIT(D6, "",""))) &gt; 0, ""UA"", 0)"),"UA")</f>
        <v>UA</v>
      </c>
      <c r="J6" s="40">
        <f ca="1">IFERROR(__xludf.DUMMYFUNCTION("IF(SUM(COUNTIF(artists!C:C, SPLIT(D6, "",""))) &gt; 0, ""RU"", 0)"),0)</f>
        <v>0</v>
      </c>
      <c r="K6" s="39">
        <f ca="1">IFERROR(__xludf.DUMMYFUNCTION("IF(SUM(COUNTIF(artists!E:E, SPLIT(D6, "",""))) &gt; 0, ""OTHER"", 0)"),0)</f>
        <v>0</v>
      </c>
    </row>
    <row r="7" spans="1:11">
      <c r="A7" s="21">
        <v>6</v>
      </c>
      <c r="B7" s="21">
        <v>5</v>
      </c>
      <c r="C7" s="21" t="s">
        <v>124</v>
      </c>
      <c r="D7" s="21" t="s">
        <v>125</v>
      </c>
      <c r="E7" s="21">
        <v>12</v>
      </c>
      <c r="F7" s="21">
        <v>765282</v>
      </c>
      <c r="G7" s="21" t="s">
        <v>215</v>
      </c>
      <c r="H7" s="38" t="s">
        <v>127</v>
      </c>
      <c r="I7" s="39">
        <f ca="1">IFERROR(__xludf.DUMMYFUNCTION("IF(SUM(COUNTIF(artists!A:A, SPLIT(D7, "",""))) &gt; 0, ""UA"", 0)"),0)</f>
        <v>0</v>
      </c>
      <c r="J7" s="40" t="str">
        <f ca="1">IFERROR(__xludf.DUMMYFUNCTION("IF(SUM(COUNTIF(artists!C:C, SPLIT(D7, "",""))) &gt; 0, ""RU"", 0)"),"RU")</f>
        <v>RU</v>
      </c>
      <c r="K7" s="39">
        <f ca="1">IFERROR(__xludf.DUMMYFUNCTION("IF(SUM(COUNTIF(artists!E:E, SPLIT(D7, "",""))) &gt; 0, ""OTHER"", 0)"),0)</f>
        <v>0</v>
      </c>
    </row>
    <row r="8" spans="1:11">
      <c r="A8" s="21">
        <v>7</v>
      </c>
      <c r="B8" s="21">
        <v>10</v>
      </c>
      <c r="C8" s="21" t="s">
        <v>99</v>
      </c>
      <c r="D8" s="21" t="s">
        <v>100</v>
      </c>
      <c r="E8" s="21">
        <v>11</v>
      </c>
      <c r="F8" s="21">
        <v>735905</v>
      </c>
      <c r="G8" s="21" t="s">
        <v>428</v>
      </c>
      <c r="H8" s="38" t="s">
        <v>102</v>
      </c>
      <c r="I8" s="39" t="str">
        <f ca="1">IFERROR(__xludf.DUMMYFUNCTION("IF(SUM(COUNTIF(artists!A:A, SPLIT(D8, "",""))) &gt; 0, ""UA"", 0)"),"UA")</f>
        <v>UA</v>
      </c>
      <c r="J8" s="40">
        <f ca="1">IFERROR(__xludf.DUMMYFUNCTION("IF(SUM(COUNTIF(artists!C:C, SPLIT(D8, "",""))) &gt; 0, ""RU"", 0)"),0)</f>
        <v>0</v>
      </c>
      <c r="K8" s="39">
        <f ca="1">IFERROR(__xludf.DUMMYFUNCTION("IF(SUM(COUNTIF(artists!E:E, SPLIT(D8, "",""))) &gt; 0, ""OTHER"", 0)"),0)</f>
        <v>0</v>
      </c>
    </row>
    <row r="9" spans="1:11">
      <c r="A9" s="21">
        <v>8</v>
      </c>
      <c r="B9" s="21">
        <v>6</v>
      </c>
      <c r="C9" s="21" t="s">
        <v>111</v>
      </c>
      <c r="D9" s="21" t="s">
        <v>112</v>
      </c>
      <c r="E9" s="21">
        <v>10</v>
      </c>
      <c r="F9" s="21">
        <v>729837</v>
      </c>
      <c r="G9" s="21" t="s">
        <v>429</v>
      </c>
      <c r="H9" s="38" t="s">
        <v>114</v>
      </c>
      <c r="I9" s="39" t="str">
        <f ca="1">IFERROR(__xludf.DUMMYFUNCTION("IF(SUM(COUNTIF(artists!A:A, SPLIT(D9, "",""))) &gt; 0, ""UA"", 0)"),"UA")</f>
        <v>UA</v>
      </c>
      <c r="J9" s="40">
        <f ca="1">IFERROR(__xludf.DUMMYFUNCTION("IF(SUM(COUNTIF(artists!C:C, SPLIT(D9, "",""))) &gt; 0, ""RU"", 0)"),0)</f>
        <v>0</v>
      </c>
      <c r="K9" s="39">
        <f ca="1">IFERROR(__xludf.DUMMYFUNCTION("IF(SUM(COUNTIF(artists!E:E, SPLIT(D9, "",""))) &gt; 0, ""OTHER"", 0)"),0)</f>
        <v>0</v>
      </c>
    </row>
    <row r="10" spans="1:11">
      <c r="A10" s="21">
        <v>9</v>
      </c>
      <c r="B10" s="21">
        <v>9</v>
      </c>
      <c r="C10" s="21" t="s">
        <v>103</v>
      </c>
      <c r="D10" s="21" t="s">
        <v>104</v>
      </c>
      <c r="E10" s="21">
        <v>10</v>
      </c>
      <c r="F10" s="21">
        <v>694745</v>
      </c>
      <c r="G10" s="21" t="s">
        <v>430</v>
      </c>
      <c r="H10" s="38" t="s">
        <v>106</v>
      </c>
      <c r="I10" s="39" t="str">
        <f ca="1">IFERROR(__xludf.DUMMYFUNCTION("IF(SUM(COUNTIF(artists!A:A, SPLIT(D10, "",""))) &gt; 0, ""UA"", 0)"),"UA")</f>
        <v>UA</v>
      </c>
      <c r="J10" s="40">
        <f ca="1">IFERROR(__xludf.DUMMYFUNCTION("IF(SUM(COUNTIF(artists!C:C, SPLIT(D10, "",""))) &gt; 0, ""RU"", 0)"),0)</f>
        <v>0</v>
      </c>
      <c r="K10" s="39">
        <f ca="1">IFERROR(__xludf.DUMMYFUNCTION("IF(SUM(COUNTIF(artists!E:E, SPLIT(D10, "",""))) &gt; 0, ""OTHER"", 0)"),0)</f>
        <v>0</v>
      </c>
    </row>
    <row r="11" spans="1:11">
      <c r="A11" s="21">
        <v>10</v>
      </c>
      <c r="B11" s="21">
        <v>12</v>
      </c>
      <c r="C11" s="21" t="s">
        <v>107</v>
      </c>
      <c r="D11" s="21" t="s">
        <v>108</v>
      </c>
      <c r="E11" s="21">
        <v>9</v>
      </c>
      <c r="F11" s="21">
        <v>671886</v>
      </c>
      <c r="G11" s="21" t="s">
        <v>431</v>
      </c>
      <c r="H11" s="38" t="s">
        <v>110</v>
      </c>
      <c r="I11" s="39" t="str">
        <f ca="1">IFERROR(__xludf.DUMMYFUNCTION("IF(SUM(COUNTIF(artists!A:A, SPLIT(D11, "",""))) &gt; 0, ""UA"", 0)"),"UA")</f>
        <v>UA</v>
      </c>
      <c r="J11" s="40">
        <f ca="1">IFERROR(__xludf.DUMMYFUNCTION("IF(SUM(COUNTIF(artists!C:C, SPLIT(D11, "",""))) &gt; 0, ""RU"", 0)"),0)</f>
        <v>0</v>
      </c>
      <c r="K11" s="39">
        <f ca="1">IFERROR(__xludf.DUMMYFUNCTION("IF(SUM(COUNTIF(artists!E:E, SPLIT(D11, "",""))) &gt; 0, ""OTHER"", 0)"),0)</f>
        <v>0</v>
      </c>
    </row>
    <row r="12" spans="1:11">
      <c r="A12" s="21">
        <v>11</v>
      </c>
      <c r="B12" s="21">
        <v>15</v>
      </c>
      <c r="C12" s="21" t="s">
        <v>115</v>
      </c>
      <c r="D12" s="21" t="s">
        <v>116</v>
      </c>
      <c r="E12" s="21">
        <v>31</v>
      </c>
      <c r="F12" s="21">
        <v>645506</v>
      </c>
      <c r="G12" s="21" t="s">
        <v>432</v>
      </c>
      <c r="H12" s="38" t="s">
        <v>117</v>
      </c>
      <c r="I12" s="39" t="str">
        <f ca="1">IFERROR(__xludf.DUMMYFUNCTION("IF(SUM(COUNTIF(artists!A:A, SPLIT(D12, "",""))) &gt; 0, ""UA"", 0)"),"UA")</f>
        <v>UA</v>
      </c>
      <c r="J12" s="40">
        <f ca="1">IFERROR(__xludf.DUMMYFUNCTION("IF(SUM(COUNTIF(artists!C:C, SPLIT(D12, "",""))) &gt; 0, ""RU"", 0)"),0)</f>
        <v>0</v>
      </c>
      <c r="K12" s="39">
        <f ca="1">IFERROR(__xludf.DUMMYFUNCTION("IF(SUM(COUNTIF(artists!E:E, SPLIT(D12, "",""))) &gt; 0, ""OTHER"", 0)"),0)</f>
        <v>0</v>
      </c>
    </row>
    <row r="13" spans="1:11">
      <c r="A13" s="21">
        <v>12</v>
      </c>
      <c r="B13" s="21">
        <v>11</v>
      </c>
      <c r="C13" s="21" t="s">
        <v>121</v>
      </c>
      <c r="D13" s="21" t="s">
        <v>122</v>
      </c>
      <c r="E13" s="21">
        <v>9</v>
      </c>
      <c r="F13" s="21">
        <v>630046</v>
      </c>
      <c r="G13" s="21" t="s">
        <v>433</v>
      </c>
      <c r="H13" s="38" t="s">
        <v>123</v>
      </c>
      <c r="I13" s="39" t="str">
        <f ca="1">IFERROR(__xludf.DUMMYFUNCTION("IF(SUM(COUNTIF(artists!A:A, SPLIT(D13, "",""))) &gt; 0, ""UA"", 0)"),"UA")</f>
        <v>UA</v>
      </c>
      <c r="J13" s="40">
        <f ca="1">IFERROR(__xludf.DUMMYFUNCTION("IF(SUM(COUNTIF(artists!C:C, SPLIT(D13, "",""))) &gt; 0, ""RU"", 0)"),0)</f>
        <v>0</v>
      </c>
      <c r="K13" s="39">
        <f ca="1">IFERROR(__xludf.DUMMYFUNCTION("IF(SUM(COUNTIF(artists!E:E, SPLIT(D13, "",""))) &gt; 0, ""OTHER"", 0)"),0)</f>
        <v>0</v>
      </c>
    </row>
    <row r="14" spans="1:11">
      <c r="A14" s="21">
        <v>13</v>
      </c>
      <c r="B14" s="21">
        <v>14</v>
      </c>
      <c r="C14" s="21" t="s">
        <v>128</v>
      </c>
      <c r="D14" s="21" t="s">
        <v>129</v>
      </c>
      <c r="E14" s="21">
        <v>37</v>
      </c>
      <c r="F14" s="21">
        <v>611548</v>
      </c>
      <c r="G14" s="21" t="s">
        <v>434</v>
      </c>
      <c r="H14" s="38" t="s">
        <v>131</v>
      </c>
      <c r="I14" s="39" t="str">
        <f ca="1">IFERROR(__xludf.DUMMYFUNCTION("IF(SUM(COUNTIF(artists!A:A, SPLIT(D14, "",""))) &gt; 0, ""UA"", 0)"),"UA")</f>
        <v>UA</v>
      </c>
      <c r="J14" s="40">
        <f ca="1">IFERROR(__xludf.DUMMYFUNCTION("IF(SUM(COUNTIF(artists!C:C, SPLIT(D14, "",""))) &gt; 0, ""RU"", 0)"),0)</f>
        <v>0</v>
      </c>
      <c r="K14" s="39">
        <f ca="1">IFERROR(__xludf.DUMMYFUNCTION("IF(SUM(COUNTIF(artists!E:E, SPLIT(D14, "",""))) &gt; 0, ""OTHER"", 0)"),0)</f>
        <v>0</v>
      </c>
    </row>
    <row r="15" spans="1:11">
      <c r="A15" s="21">
        <v>14</v>
      </c>
      <c r="B15" s="21">
        <v>7</v>
      </c>
      <c r="C15" s="21" t="s">
        <v>142</v>
      </c>
      <c r="D15" s="21" t="s">
        <v>104</v>
      </c>
      <c r="E15" s="21">
        <v>3</v>
      </c>
      <c r="F15" s="21">
        <v>608814</v>
      </c>
      <c r="G15" s="21" t="s">
        <v>435</v>
      </c>
      <c r="H15" s="38" t="s">
        <v>144</v>
      </c>
      <c r="I15" s="39" t="str">
        <f ca="1">IFERROR(__xludf.DUMMYFUNCTION("IF(SUM(COUNTIF(artists!A:A, SPLIT(D15, "",""))) &gt; 0, ""UA"", 0)"),"UA")</f>
        <v>UA</v>
      </c>
      <c r="J15" s="40">
        <f ca="1">IFERROR(__xludf.DUMMYFUNCTION("IF(SUM(COUNTIF(artists!C:C, SPLIT(D15, "",""))) &gt; 0, ""RU"", 0)"),0)</f>
        <v>0</v>
      </c>
      <c r="K15" s="39">
        <f ca="1">IFERROR(__xludf.DUMMYFUNCTION("IF(SUM(COUNTIF(artists!E:E, SPLIT(D15, "",""))) &gt; 0, ""OTHER"", 0)"),0)</f>
        <v>0</v>
      </c>
    </row>
    <row r="16" spans="1:11">
      <c r="A16" s="21">
        <v>15</v>
      </c>
      <c r="B16" s="21">
        <v>13</v>
      </c>
      <c r="C16" s="21" t="s">
        <v>153</v>
      </c>
      <c r="D16" s="21" t="s">
        <v>154</v>
      </c>
      <c r="E16" s="21">
        <v>9</v>
      </c>
      <c r="F16" s="21">
        <v>546628</v>
      </c>
      <c r="G16" s="21" t="s">
        <v>436</v>
      </c>
      <c r="H16" s="38" t="s">
        <v>156</v>
      </c>
      <c r="I16" s="39">
        <f ca="1">IFERROR(__xludf.DUMMYFUNCTION("IF(SUM(COUNTIF(artists!A:A, SPLIT(D16, "",""))) &gt; 0, ""UA"", 0)"),0)</f>
        <v>0</v>
      </c>
      <c r="J16" s="40" t="str">
        <f ca="1">IFERROR(__xludf.DUMMYFUNCTION("IF(SUM(COUNTIF(artists!C:C, SPLIT(D16, "",""))) &gt; 0, ""RU"", 0)"),"RU")</f>
        <v>RU</v>
      </c>
      <c r="K16" s="39">
        <f ca="1">IFERROR(__xludf.DUMMYFUNCTION("IF(SUM(COUNTIF(artists!E:E, SPLIT(D16, "",""))) &gt; 0, ""OTHER"", 0)"),0)</f>
        <v>0</v>
      </c>
    </row>
    <row r="17" spans="1:11">
      <c r="A17" s="21">
        <v>16</v>
      </c>
      <c r="B17" s="21">
        <v>16</v>
      </c>
      <c r="C17" s="21" t="s">
        <v>132</v>
      </c>
      <c r="D17" s="21" t="s">
        <v>133</v>
      </c>
      <c r="E17" s="21">
        <v>41</v>
      </c>
      <c r="F17" s="21">
        <v>533869</v>
      </c>
      <c r="G17" s="21" t="s">
        <v>427</v>
      </c>
      <c r="H17" s="38" t="s">
        <v>135</v>
      </c>
      <c r="I17" s="39" t="str">
        <f ca="1">IFERROR(__xludf.DUMMYFUNCTION("IF(SUM(COUNTIF(artists!A:A, SPLIT(D17, "",""))) &gt; 0, ""UA"", 0)"),"UA")</f>
        <v>UA</v>
      </c>
      <c r="J17" s="40">
        <f ca="1">IFERROR(__xludf.DUMMYFUNCTION("IF(SUM(COUNTIF(artists!C:C, SPLIT(D17, "",""))) &gt; 0, ""RU"", 0)"),0)</f>
        <v>0</v>
      </c>
      <c r="K17" s="39">
        <f ca="1">IFERROR(__xludf.DUMMYFUNCTION("IF(SUM(COUNTIF(artists!E:E, SPLIT(D17, "",""))) &gt; 0, ""OTHER"", 0)"),0)</f>
        <v>0</v>
      </c>
    </row>
    <row r="18" spans="1:11">
      <c r="A18" s="21">
        <v>17</v>
      </c>
      <c r="B18" s="21">
        <v>17</v>
      </c>
      <c r="C18" s="21" t="s">
        <v>136</v>
      </c>
      <c r="D18" s="21" t="s">
        <v>137</v>
      </c>
      <c r="E18" s="21">
        <v>7</v>
      </c>
      <c r="F18" s="21">
        <v>520313</v>
      </c>
      <c r="G18" s="21" t="s">
        <v>437</v>
      </c>
      <c r="H18" s="38" t="s">
        <v>138</v>
      </c>
      <c r="I18" s="39" t="str">
        <f ca="1">IFERROR(__xludf.DUMMYFUNCTION("IF(SUM(COUNTIF(artists!A:A, SPLIT(D18, "",""))) &gt; 0, ""UA"", 0)"),"UA")</f>
        <v>UA</v>
      </c>
      <c r="J18" s="40">
        <f ca="1">IFERROR(__xludf.DUMMYFUNCTION("IF(SUM(COUNTIF(artists!C:C, SPLIT(D18, "",""))) &gt; 0, ""RU"", 0)"),0)</f>
        <v>0</v>
      </c>
      <c r="K18" s="39">
        <f ca="1">IFERROR(__xludf.DUMMYFUNCTION("IF(SUM(COUNTIF(artists!E:E, SPLIT(D18, "",""))) &gt; 0, ""OTHER"", 0)"),0)</f>
        <v>0</v>
      </c>
    </row>
    <row r="19" spans="1:11">
      <c r="A19" s="21">
        <v>18</v>
      </c>
      <c r="B19" s="21">
        <v>36</v>
      </c>
      <c r="C19" s="21" t="s">
        <v>139</v>
      </c>
      <c r="D19" s="21" t="s">
        <v>140</v>
      </c>
      <c r="E19" s="21">
        <v>2</v>
      </c>
      <c r="F19" s="21">
        <v>517511</v>
      </c>
      <c r="G19" s="21" t="s">
        <v>438</v>
      </c>
      <c r="H19" s="38" t="s">
        <v>141</v>
      </c>
      <c r="I19" s="39" t="str">
        <f ca="1">IFERROR(__xludf.DUMMYFUNCTION("IF(SUM(COUNTIF(artists!A:A, SPLIT(D19, "",""))) &gt; 0, ""UA"", 0)"),"UA")</f>
        <v>UA</v>
      </c>
      <c r="J19" s="40">
        <f ca="1">IFERROR(__xludf.DUMMYFUNCTION("IF(SUM(COUNTIF(artists!C:C, SPLIT(D19, "",""))) &gt; 0, ""RU"", 0)"),0)</f>
        <v>0</v>
      </c>
      <c r="K19" s="39">
        <f ca="1">IFERROR(__xludf.DUMMYFUNCTION("IF(SUM(COUNTIF(artists!E:E, SPLIT(D19, "",""))) &gt; 0, ""OTHER"", 0)"),0)</f>
        <v>0</v>
      </c>
    </row>
    <row r="20" spans="1:11">
      <c r="A20" s="21">
        <v>19</v>
      </c>
      <c r="B20" s="21">
        <v>18</v>
      </c>
      <c r="C20" s="21" t="s">
        <v>149</v>
      </c>
      <c r="D20" s="21" t="s">
        <v>150</v>
      </c>
      <c r="E20" s="21">
        <v>34</v>
      </c>
      <c r="F20" s="21">
        <v>495094</v>
      </c>
      <c r="G20" s="21" t="s">
        <v>439</v>
      </c>
      <c r="H20" s="38" t="s">
        <v>152</v>
      </c>
      <c r="I20" s="39" t="str">
        <f ca="1">IFERROR(__xludf.DUMMYFUNCTION("IF(SUM(COUNTIF(artists!A:A, SPLIT(D20, "",""))) &gt; 0, ""UA"", 0)"),"UA")</f>
        <v>UA</v>
      </c>
      <c r="J20" s="40">
        <f ca="1">IFERROR(__xludf.DUMMYFUNCTION("IF(SUM(COUNTIF(artists!C:C, SPLIT(D20, "",""))) &gt; 0, ""RU"", 0)"),0)</f>
        <v>0</v>
      </c>
      <c r="K20" s="39">
        <f ca="1">IFERROR(__xludf.DUMMYFUNCTION("IF(SUM(COUNTIF(artists!E:E, SPLIT(D20, "",""))) &gt; 0, ""OTHER"", 0)"),0)</f>
        <v>0</v>
      </c>
    </row>
    <row r="21" spans="1:11">
      <c r="A21" s="21">
        <v>20</v>
      </c>
      <c r="B21" s="21">
        <v>20</v>
      </c>
      <c r="C21" s="21" t="s">
        <v>145</v>
      </c>
      <c r="D21" s="21" t="s">
        <v>146</v>
      </c>
      <c r="E21" s="21">
        <v>35</v>
      </c>
      <c r="F21" s="21">
        <v>494979</v>
      </c>
      <c r="G21" s="21" t="s">
        <v>440</v>
      </c>
      <c r="H21" s="38" t="s">
        <v>148</v>
      </c>
      <c r="I21" s="39" t="str">
        <f ca="1">IFERROR(__xludf.DUMMYFUNCTION("IF(SUM(COUNTIF(artists!A:A, SPLIT(D21, "",""))) &gt; 0, ""UA"", 0)"),"UA")</f>
        <v>UA</v>
      </c>
      <c r="J21" s="40">
        <f ca="1">IFERROR(__xludf.DUMMYFUNCTION("IF(SUM(COUNTIF(artists!C:C, SPLIT(D21, "",""))) &gt; 0, ""RU"", 0)"),0)</f>
        <v>0</v>
      </c>
      <c r="K21" s="39">
        <f ca="1">IFERROR(__xludf.DUMMYFUNCTION("IF(SUM(COUNTIF(artists!E:E, SPLIT(D21, "",""))) &gt; 0, ""OTHER"", 0)"),0)</f>
        <v>0</v>
      </c>
    </row>
    <row r="22" spans="1:11">
      <c r="A22" s="21">
        <v>21</v>
      </c>
      <c r="B22" s="21">
        <v>19</v>
      </c>
      <c r="C22" s="21" t="s">
        <v>160</v>
      </c>
      <c r="D22" s="21" t="s">
        <v>161</v>
      </c>
      <c r="E22" s="21">
        <v>35</v>
      </c>
      <c r="F22" s="21">
        <v>474975</v>
      </c>
      <c r="G22" s="21" t="s">
        <v>441</v>
      </c>
      <c r="H22" s="38" t="s">
        <v>163</v>
      </c>
      <c r="I22" s="39" t="str">
        <f ca="1">IFERROR(__xludf.DUMMYFUNCTION("IF(SUM(COUNTIF(artists!A:A, SPLIT(D22, "",""))) &gt; 0, ""UA"", 0)"),"UA")</f>
        <v>UA</v>
      </c>
      <c r="J22" s="40">
        <f ca="1">IFERROR(__xludf.DUMMYFUNCTION("IF(SUM(COUNTIF(artists!C:C, SPLIT(D22, "",""))) &gt; 0, ""RU"", 0)"),0)</f>
        <v>0</v>
      </c>
      <c r="K22" s="39">
        <f ca="1">IFERROR(__xludf.DUMMYFUNCTION("IF(SUM(COUNTIF(artists!E:E, SPLIT(D22, "",""))) &gt; 0, ""OTHER"", 0)"),0)</f>
        <v>0</v>
      </c>
    </row>
    <row r="23" spans="1:11">
      <c r="A23" s="21">
        <v>22</v>
      </c>
      <c r="B23" s="21">
        <v>21</v>
      </c>
      <c r="C23" s="21" t="s">
        <v>168</v>
      </c>
      <c r="D23" s="21" t="s">
        <v>137</v>
      </c>
      <c r="E23" s="21">
        <v>32</v>
      </c>
      <c r="F23" s="21">
        <v>469139</v>
      </c>
      <c r="G23" s="21" t="s">
        <v>442</v>
      </c>
      <c r="H23" s="38" t="s">
        <v>170</v>
      </c>
      <c r="I23" s="39" t="str">
        <f ca="1">IFERROR(__xludf.DUMMYFUNCTION("IF(SUM(COUNTIF(artists!A:A, SPLIT(D23, "",""))) &gt; 0, ""UA"", 0)"),"UA")</f>
        <v>UA</v>
      </c>
      <c r="J23" s="40">
        <f ca="1">IFERROR(__xludf.DUMMYFUNCTION("IF(SUM(COUNTIF(artists!C:C, SPLIT(D23, "",""))) &gt; 0, ""RU"", 0)"),0)</f>
        <v>0</v>
      </c>
      <c r="K23" s="39">
        <f ca="1">IFERROR(__xludf.DUMMYFUNCTION("IF(SUM(COUNTIF(artists!E:E, SPLIT(D23, "",""))) &gt; 0, ""OTHER"", 0)"),0)</f>
        <v>0</v>
      </c>
    </row>
    <row r="24" spans="1:11">
      <c r="A24" s="21">
        <v>23</v>
      </c>
      <c r="B24" s="21">
        <v>23</v>
      </c>
      <c r="C24" s="21" t="s">
        <v>164</v>
      </c>
      <c r="D24" s="21" t="s">
        <v>165</v>
      </c>
      <c r="E24" s="21">
        <v>8</v>
      </c>
      <c r="F24" s="21">
        <v>437813</v>
      </c>
      <c r="G24" s="21" t="s">
        <v>443</v>
      </c>
      <c r="H24" s="38" t="s">
        <v>167</v>
      </c>
      <c r="I24" s="39" t="str">
        <f ca="1">IFERROR(__xludf.DUMMYFUNCTION("IF(SUM(COUNTIF(artists!A:A, SPLIT(D24, "",""))) &gt; 0, ""UA"", 0)"),"UA")</f>
        <v>UA</v>
      </c>
      <c r="J24" s="40">
        <f ca="1">IFERROR(__xludf.DUMMYFUNCTION("IF(SUM(COUNTIF(artists!C:C, SPLIT(D24, "",""))) &gt; 0, ""RU"", 0)"),0)</f>
        <v>0</v>
      </c>
      <c r="K24" s="39">
        <f ca="1">IFERROR(__xludf.DUMMYFUNCTION("IF(SUM(COUNTIF(artists!E:E, SPLIT(D24, "",""))) &gt; 0, ""OTHER"", 0)"),0)</f>
        <v>0</v>
      </c>
    </row>
    <row r="25" spans="1:11">
      <c r="A25" s="21">
        <v>24</v>
      </c>
      <c r="B25" s="21">
        <v>22</v>
      </c>
      <c r="C25" s="21" t="s">
        <v>171</v>
      </c>
      <c r="D25" s="21" t="s">
        <v>172</v>
      </c>
      <c r="E25" s="21">
        <v>36</v>
      </c>
      <c r="F25" s="21">
        <v>421123</v>
      </c>
      <c r="G25" s="21" t="s">
        <v>444</v>
      </c>
      <c r="H25" s="38" t="s">
        <v>174</v>
      </c>
      <c r="I25" s="39">
        <f ca="1">IFERROR(__xludf.DUMMYFUNCTION("IF(SUM(COUNTIF(artists!A:A, SPLIT(D25, "",""))) &gt; 0, ""UA"", 0)"),0)</f>
        <v>0</v>
      </c>
      <c r="J25" s="40" t="str">
        <f ca="1">IFERROR(__xludf.DUMMYFUNCTION("IF(SUM(COUNTIF(artists!C:C, SPLIT(D25, "",""))) &gt; 0, ""RU"", 0)"),"RU")</f>
        <v>RU</v>
      </c>
      <c r="K25" s="39">
        <f ca="1">IFERROR(__xludf.DUMMYFUNCTION("IF(SUM(COUNTIF(artists!E:E, SPLIT(D25, "",""))) &gt; 0, ""OTHER"", 0)"),0)</f>
        <v>0</v>
      </c>
    </row>
    <row r="26" spans="1:11">
      <c r="A26" s="21">
        <v>25</v>
      </c>
      <c r="B26" s="21">
        <v>27</v>
      </c>
      <c r="C26" s="21" t="s">
        <v>217</v>
      </c>
      <c r="D26" s="21" t="s">
        <v>218</v>
      </c>
      <c r="E26" s="21">
        <v>5</v>
      </c>
      <c r="F26" s="21">
        <v>405483</v>
      </c>
      <c r="G26" s="21" t="s">
        <v>445</v>
      </c>
      <c r="H26" s="38" t="s">
        <v>220</v>
      </c>
      <c r="I26" s="39" t="str">
        <f ca="1">IFERROR(__xludf.DUMMYFUNCTION("IF(SUM(COUNTIF(artists!A:A, SPLIT(D26, "",""))) &gt; 0, ""UA"", 0)"),"UA")</f>
        <v>UA</v>
      </c>
      <c r="J26" s="40">
        <f ca="1">IFERROR(__xludf.DUMMYFUNCTION("IF(SUM(COUNTIF(artists!C:C, SPLIT(D26, "",""))) &gt; 0, ""RU"", 0)"),0)</f>
        <v>0</v>
      </c>
      <c r="K26" s="39">
        <f ca="1">IFERROR(__xludf.DUMMYFUNCTION("IF(SUM(COUNTIF(artists!E:E, SPLIT(D26, "",""))) &gt; 0, ""OTHER"", 0)"),0)</f>
        <v>0</v>
      </c>
    </row>
    <row r="27" spans="1:11">
      <c r="A27" s="21">
        <v>26</v>
      </c>
      <c r="B27" s="21">
        <v>38</v>
      </c>
      <c r="C27" s="21" t="s">
        <v>186</v>
      </c>
      <c r="D27" s="21" t="s">
        <v>187</v>
      </c>
      <c r="E27" s="21">
        <v>45</v>
      </c>
      <c r="F27" s="21">
        <v>404247</v>
      </c>
      <c r="G27" s="21" t="s">
        <v>446</v>
      </c>
      <c r="H27" s="38" t="s">
        <v>189</v>
      </c>
      <c r="I27" s="39" t="str">
        <f ca="1">IFERROR(__xludf.DUMMYFUNCTION("IF(SUM(COUNTIF(artists!A:A, SPLIT(D27, "",""))) &gt; 0, ""UA"", 0)"),"UA")</f>
        <v>UA</v>
      </c>
      <c r="J27" s="40">
        <f ca="1">IFERROR(__xludf.DUMMYFUNCTION("IF(SUM(COUNTIF(artists!C:C, SPLIT(D27, "",""))) &gt; 0, ""RU"", 0)"),0)</f>
        <v>0</v>
      </c>
      <c r="K27" s="39">
        <f ca="1">IFERROR(__xludf.DUMMYFUNCTION("IF(SUM(COUNTIF(artists!E:E, SPLIT(D27, "",""))) &gt; 0, ""OTHER"", 0)"),0)</f>
        <v>0</v>
      </c>
    </row>
    <row r="28" spans="1:11">
      <c r="A28" s="21">
        <v>27</v>
      </c>
      <c r="B28" s="21">
        <v>24</v>
      </c>
      <c r="C28" s="21" t="s">
        <v>175</v>
      </c>
      <c r="D28" s="21" t="s">
        <v>89</v>
      </c>
      <c r="E28" s="21">
        <v>41</v>
      </c>
      <c r="F28" s="21">
        <v>403756</v>
      </c>
      <c r="G28" s="21" t="s">
        <v>147</v>
      </c>
      <c r="H28" s="38" t="s">
        <v>177</v>
      </c>
      <c r="I28" s="39" t="str">
        <f ca="1">IFERROR(__xludf.DUMMYFUNCTION("IF(SUM(COUNTIF(artists!A:A, SPLIT(D28, "",""))) &gt; 0, ""UA"", 0)"),"UA")</f>
        <v>UA</v>
      </c>
      <c r="J28" s="40">
        <f ca="1">IFERROR(__xludf.DUMMYFUNCTION("IF(SUM(COUNTIF(artists!C:C, SPLIT(D28, "",""))) &gt; 0, ""RU"", 0)"),0)</f>
        <v>0</v>
      </c>
      <c r="K28" s="39">
        <f ca="1">IFERROR(__xludf.DUMMYFUNCTION("IF(SUM(COUNTIF(artists!E:E, SPLIT(D28, "",""))) &gt; 0, ""OTHER"", 0)"),0)</f>
        <v>0</v>
      </c>
    </row>
    <row r="29" spans="1:11">
      <c r="A29" s="21">
        <v>28</v>
      </c>
      <c r="B29" s="21">
        <v>25</v>
      </c>
      <c r="C29" s="21" t="s">
        <v>182</v>
      </c>
      <c r="D29" s="21" t="s">
        <v>183</v>
      </c>
      <c r="E29" s="21">
        <v>37</v>
      </c>
      <c r="F29" s="21">
        <v>396563</v>
      </c>
      <c r="G29" s="21" t="s">
        <v>371</v>
      </c>
      <c r="H29" s="38" t="s">
        <v>185</v>
      </c>
      <c r="I29" s="39" t="str">
        <f ca="1">IFERROR(__xludf.DUMMYFUNCTION("IF(SUM(COUNTIF(artists!A:A, SPLIT(D29, "",""))) &gt; 0, ""UA"", 0)"),"UA")</f>
        <v>UA</v>
      </c>
      <c r="J29" s="40">
        <f ca="1">IFERROR(__xludf.DUMMYFUNCTION("IF(SUM(COUNTIF(artists!C:C, SPLIT(D29, "",""))) &gt; 0, ""RU"", 0)"),0)</f>
        <v>0</v>
      </c>
      <c r="K29" s="39">
        <f ca="1">IFERROR(__xludf.DUMMYFUNCTION("IF(SUM(COUNTIF(artists!E:E, SPLIT(D29, "",""))) &gt; 0, ""OTHER"", 0)"),0)</f>
        <v>0</v>
      </c>
    </row>
    <row r="30" spans="1:11">
      <c r="A30" s="21">
        <v>29</v>
      </c>
      <c r="B30" s="21">
        <v>26</v>
      </c>
      <c r="C30" s="21" t="s">
        <v>178</v>
      </c>
      <c r="D30" s="21" t="s">
        <v>179</v>
      </c>
      <c r="E30" s="21">
        <v>45</v>
      </c>
      <c r="F30" s="21">
        <v>395863</v>
      </c>
      <c r="G30" s="21" t="s">
        <v>447</v>
      </c>
      <c r="H30" s="38" t="s">
        <v>181</v>
      </c>
      <c r="I30" s="39" t="str">
        <f ca="1">IFERROR(__xludf.DUMMYFUNCTION("IF(SUM(COUNTIF(artists!A:A, SPLIT(D30, "",""))) &gt; 0, ""UA"", 0)"),"UA")</f>
        <v>UA</v>
      </c>
      <c r="J30" s="40">
        <f ca="1">IFERROR(__xludf.DUMMYFUNCTION("IF(SUM(COUNTIF(artists!C:C, SPLIT(D30, "",""))) &gt; 0, ""RU"", 0)"),0)</f>
        <v>0</v>
      </c>
      <c r="K30" s="39">
        <f ca="1">IFERROR(__xludf.DUMMYFUNCTION("IF(SUM(COUNTIF(artists!E:E, SPLIT(D30, "",""))) &gt; 0, ""OTHER"", 0)"),0)</f>
        <v>0</v>
      </c>
    </row>
    <row r="31" spans="1:11">
      <c r="A31" s="21">
        <v>30</v>
      </c>
      <c r="B31" s="21">
        <v>28</v>
      </c>
      <c r="C31" s="21" t="s">
        <v>202</v>
      </c>
      <c r="D31" s="21" t="s">
        <v>203</v>
      </c>
      <c r="E31" s="21">
        <v>31</v>
      </c>
      <c r="F31" s="21">
        <v>373803</v>
      </c>
      <c r="G31" s="21" t="s">
        <v>448</v>
      </c>
      <c r="H31" s="38" t="s">
        <v>204</v>
      </c>
      <c r="I31" s="39" t="str">
        <f ca="1">IFERROR(__xludf.DUMMYFUNCTION("IF(SUM(COUNTIF(artists!A:A, SPLIT(D31, "",""))) &gt; 0, ""UA"", 0)"),"UA")</f>
        <v>UA</v>
      </c>
      <c r="J31" s="40">
        <f ca="1">IFERROR(__xludf.DUMMYFUNCTION("IF(SUM(COUNTIF(artists!C:C, SPLIT(D31, "",""))) &gt; 0, ""RU"", 0)"),0)</f>
        <v>0</v>
      </c>
      <c r="K31" s="39">
        <f ca="1">IFERROR(__xludf.DUMMYFUNCTION("IF(SUM(COUNTIF(artists!E:E, SPLIT(D31, "",""))) &gt; 0, ""OTHER"", 0)"),0)</f>
        <v>0</v>
      </c>
    </row>
    <row r="32" spans="1:11">
      <c r="A32" s="21">
        <v>31</v>
      </c>
      <c r="B32" s="21">
        <v>32</v>
      </c>
      <c r="C32" s="21" t="s">
        <v>194</v>
      </c>
      <c r="D32" s="21" t="s">
        <v>195</v>
      </c>
      <c r="E32" s="21">
        <v>44</v>
      </c>
      <c r="F32" s="21">
        <v>343742</v>
      </c>
      <c r="G32" s="21" t="s">
        <v>431</v>
      </c>
      <c r="H32" s="38" t="s">
        <v>197</v>
      </c>
      <c r="I32" s="39" t="str">
        <f ca="1">IFERROR(__xludf.DUMMYFUNCTION("IF(SUM(COUNTIF(artists!A:A, SPLIT(D32, "",""))) &gt; 0, ""UA"", 0)"),"UA")</f>
        <v>UA</v>
      </c>
      <c r="J32" s="40">
        <f ca="1">IFERROR(__xludf.DUMMYFUNCTION("IF(SUM(COUNTIF(artists!C:C, SPLIT(D32, "",""))) &gt; 0, ""RU"", 0)"),0)</f>
        <v>0</v>
      </c>
      <c r="K32" s="39">
        <f ca="1">IFERROR(__xludf.DUMMYFUNCTION("IF(SUM(COUNTIF(artists!E:E, SPLIT(D32, "",""))) &gt; 0, ""OTHER"", 0)"),0)</f>
        <v>0</v>
      </c>
    </row>
    <row r="33" spans="1:11">
      <c r="A33" s="21">
        <v>32</v>
      </c>
      <c r="B33" s="21">
        <v>33</v>
      </c>
      <c r="C33" s="21" t="s">
        <v>198</v>
      </c>
      <c r="D33" s="21" t="s">
        <v>199</v>
      </c>
      <c r="E33" s="21">
        <v>22</v>
      </c>
      <c r="F33" s="21">
        <v>334908</v>
      </c>
      <c r="G33" s="21" t="s">
        <v>449</v>
      </c>
      <c r="H33" s="38" t="s">
        <v>201</v>
      </c>
      <c r="I33" s="39" t="str">
        <f ca="1">IFERROR(__xludf.DUMMYFUNCTION("IF(SUM(COUNTIF(artists!A:A, SPLIT(D33, "",""))) &gt; 0, ""UA"", 0)"),"UA")</f>
        <v>UA</v>
      </c>
      <c r="J33" s="40">
        <f ca="1">IFERROR(__xludf.DUMMYFUNCTION("IF(SUM(COUNTIF(artists!C:C, SPLIT(D33, "",""))) &gt; 0, ""RU"", 0)"),0)</f>
        <v>0</v>
      </c>
      <c r="K33" s="39">
        <f ca="1">IFERROR(__xludf.DUMMYFUNCTION("IF(SUM(COUNTIF(artists!E:E, SPLIT(D33, "",""))) &gt; 0, ""OTHER"", 0)"),0)</f>
        <v>0</v>
      </c>
    </row>
    <row r="34" spans="1:11">
      <c r="A34" s="21">
        <v>33</v>
      </c>
      <c r="B34" s="21">
        <v>34</v>
      </c>
      <c r="C34" s="21" t="s">
        <v>190</v>
      </c>
      <c r="D34" s="21" t="s">
        <v>191</v>
      </c>
      <c r="E34" s="21">
        <v>16</v>
      </c>
      <c r="F34" s="21">
        <v>332448</v>
      </c>
      <c r="G34" s="21" t="s">
        <v>450</v>
      </c>
      <c r="H34" s="38" t="s">
        <v>193</v>
      </c>
      <c r="I34" s="39" t="str">
        <f ca="1">IFERROR(__xludf.DUMMYFUNCTION("IF(SUM(COUNTIF(artists!A:A, SPLIT(D34, "",""))) &gt; 0, ""UA"", 0)"),"UA")</f>
        <v>UA</v>
      </c>
      <c r="J34" s="40">
        <f ca="1">IFERROR(__xludf.DUMMYFUNCTION("IF(SUM(COUNTIF(artists!C:C, SPLIT(D34, "",""))) &gt; 0, ""RU"", 0)"),0)</f>
        <v>0</v>
      </c>
      <c r="K34" s="39">
        <f ca="1">IFERROR(__xludf.DUMMYFUNCTION("IF(SUM(COUNTIF(artists!E:E, SPLIT(D34, "",""))) &gt; 0, ""OTHER"", 0)"),0)</f>
        <v>0</v>
      </c>
    </row>
    <row r="35" spans="1:11">
      <c r="A35" s="21">
        <v>34</v>
      </c>
      <c r="B35" s="21">
        <v>40</v>
      </c>
      <c r="C35" s="21" t="s">
        <v>229</v>
      </c>
      <c r="D35" s="21" t="s">
        <v>230</v>
      </c>
      <c r="E35" s="21">
        <v>48</v>
      </c>
      <c r="F35" s="21">
        <v>327574</v>
      </c>
      <c r="G35" s="21" t="s">
        <v>451</v>
      </c>
      <c r="H35" s="38" t="s">
        <v>232</v>
      </c>
      <c r="I35" s="39" t="str">
        <f ca="1">IFERROR(__xludf.DUMMYFUNCTION("IF(SUM(COUNTIF(artists!A:A, SPLIT(D35, "",""))) &gt; 0, ""UA"", 0)"),"UA")</f>
        <v>UA</v>
      </c>
      <c r="J35" s="40">
        <f ca="1">IFERROR(__xludf.DUMMYFUNCTION("IF(SUM(COUNTIF(artists!C:C, SPLIT(D35, "",""))) &gt; 0, ""RU"", 0)"),0)</f>
        <v>0</v>
      </c>
      <c r="K35" s="39">
        <f ca="1">IFERROR(__xludf.DUMMYFUNCTION("IF(SUM(COUNTIF(artists!E:E, SPLIT(D35, "",""))) &gt; 0, ""OTHER"", 0)"),0)</f>
        <v>0</v>
      </c>
    </row>
    <row r="36" spans="1:11">
      <c r="A36" s="21">
        <v>35</v>
      </c>
      <c r="B36" s="21">
        <v>29</v>
      </c>
      <c r="C36" s="21" t="s">
        <v>221</v>
      </c>
      <c r="D36" s="21" t="s">
        <v>222</v>
      </c>
      <c r="E36" s="21">
        <v>10</v>
      </c>
      <c r="F36" s="21">
        <v>321442</v>
      </c>
      <c r="G36" s="21" t="s">
        <v>452</v>
      </c>
      <c r="H36" s="38" t="s">
        <v>224</v>
      </c>
      <c r="I36" s="39">
        <f ca="1">IFERROR(__xludf.DUMMYFUNCTION("IF(SUM(COUNTIF(artists!A:A, SPLIT(D36, "",""))) &gt; 0, ""UA"", 0)"),0)</f>
        <v>0</v>
      </c>
      <c r="J36" s="40">
        <f ca="1">IFERROR(__xludf.DUMMYFUNCTION("IF(SUM(COUNTIF(artists!C:C, SPLIT(D36, "",""))) &gt; 0, ""RU"", 0)"),0)</f>
        <v>0</v>
      </c>
      <c r="K36" s="39" t="str">
        <f ca="1">IFERROR(__xludf.DUMMYFUNCTION("IF(SUM(COUNTIF(artists!E:E, SPLIT(D36, "",""))) &gt; 0, ""OTHER"", 0)"),"OTHER")</f>
        <v>OTHER</v>
      </c>
    </row>
    <row r="37" spans="1:11">
      <c r="A37" s="21">
        <v>36</v>
      </c>
      <c r="B37" s="21">
        <v>41</v>
      </c>
      <c r="C37" s="21" t="s">
        <v>213</v>
      </c>
      <c r="D37" s="21" t="s">
        <v>214</v>
      </c>
      <c r="E37" s="21">
        <v>3</v>
      </c>
      <c r="F37" s="21">
        <v>315422</v>
      </c>
      <c r="G37" s="21" t="s">
        <v>453</v>
      </c>
      <c r="H37" s="38" t="s">
        <v>216</v>
      </c>
      <c r="I37" s="39" t="str">
        <f ca="1">IFERROR(__xludf.DUMMYFUNCTION("IF(SUM(COUNTIF(artists!A:A, SPLIT(D37, "",""))) &gt; 0, ""UA"", 0)"),"UA")</f>
        <v>UA</v>
      </c>
      <c r="J37" s="40">
        <f ca="1">IFERROR(__xludf.DUMMYFUNCTION("IF(SUM(COUNTIF(artists!C:C, SPLIT(D37, "",""))) &gt; 0, ""RU"", 0)"),0)</f>
        <v>0</v>
      </c>
      <c r="K37" s="39">
        <f ca="1">IFERROR(__xludf.DUMMYFUNCTION("IF(SUM(COUNTIF(artists!E:E, SPLIT(D37, "",""))) &gt; 0, ""OTHER"", 0)"),0)</f>
        <v>0</v>
      </c>
    </row>
    <row r="38" spans="1:11">
      <c r="A38" s="21">
        <v>37</v>
      </c>
      <c r="B38" s="21">
        <v>35</v>
      </c>
      <c r="C38" s="21" t="s">
        <v>209</v>
      </c>
      <c r="D38" s="21" t="s">
        <v>210</v>
      </c>
      <c r="E38" s="21">
        <v>34</v>
      </c>
      <c r="F38" s="21">
        <v>314171</v>
      </c>
      <c r="G38" s="41">
        <v>0.05</v>
      </c>
      <c r="H38" s="38" t="s">
        <v>212</v>
      </c>
      <c r="I38" s="39" t="str">
        <f ca="1">IFERROR(__xludf.DUMMYFUNCTION("IF(SUM(COUNTIF(artists!A:A, SPLIT(D38, "",""))) &gt; 0, ""UA"", 0)"),"UA")</f>
        <v>UA</v>
      </c>
      <c r="J38" s="40">
        <f ca="1">IFERROR(__xludf.DUMMYFUNCTION("IF(SUM(COUNTIF(artists!C:C, SPLIT(D38, "",""))) &gt; 0, ""RU"", 0)"),0)</f>
        <v>0</v>
      </c>
      <c r="K38" s="39">
        <f ca="1">IFERROR(__xludf.DUMMYFUNCTION("IF(SUM(COUNTIF(artists!E:E, SPLIT(D38, "",""))) &gt; 0, ""OTHER"", 0)"),0)</f>
        <v>0</v>
      </c>
    </row>
    <row r="39" spans="1:11">
      <c r="A39" s="21">
        <v>38</v>
      </c>
      <c r="B39" s="21">
        <v>31</v>
      </c>
      <c r="C39" s="21" t="s">
        <v>247</v>
      </c>
      <c r="D39" s="21" t="s">
        <v>454</v>
      </c>
      <c r="E39" s="21">
        <v>18</v>
      </c>
      <c r="F39" s="21">
        <v>314006</v>
      </c>
      <c r="G39" s="21" t="s">
        <v>381</v>
      </c>
      <c r="H39" s="38" t="s">
        <v>250</v>
      </c>
      <c r="I39" s="39" t="str">
        <f ca="1">IFERROR(__xludf.DUMMYFUNCTION("IF(SUM(COUNTIF(artists!A:A, SPLIT(D39, "",""))) &gt; 0, ""UA"", 0)"),"UA")</f>
        <v>UA</v>
      </c>
      <c r="J39" s="40">
        <f ca="1">IFERROR(__xludf.DUMMYFUNCTION("IF(SUM(COUNTIF(artists!C:C, SPLIT(D39, "",""))) &gt; 0, ""RU"", 0)"),0)</f>
        <v>0</v>
      </c>
      <c r="K39" s="39">
        <f ca="1">IFERROR(__xludf.DUMMYFUNCTION("IF(SUM(COUNTIF(artists!E:E, SPLIT(D39, "",""))) &gt; 0, ""OTHER"", 0)"),0)</f>
        <v>0</v>
      </c>
    </row>
    <row r="40" spans="1:11">
      <c r="A40" s="21">
        <v>39</v>
      </c>
      <c r="B40" s="21">
        <v>37</v>
      </c>
      <c r="C40" s="21" t="s">
        <v>237</v>
      </c>
      <c r="D40" s="21" t="s">
        <v>238</v>
      </c>
      <c r="E40" s="21">
        <v>10</v>
      </c>
      <c r="F40" s="21">
        <v>306730</v>
      </c>
      <c r="G40" s="41">
        <v>0.05</v>
      </c>
      <c r="H40" s="38" t="s">
        <v>240</v>
      </c>
      <c r="I40" s="39" t="str">
        <f ca="1">IFERROR(__xludf.DUMMYFUNCTION("IF(SUM(COUNTIF(artists!A:A, SPLIT(D40, "",""))) &gt; 0, ""UA"", 0)"),"UA")</f>
        <v>UA</v>
      </c>
      <c r="J40" s="40">
        <f ca="1">IFERROR(__xludf.DUMMYFUNCTION("IF(SUM(COUNTIF(artists!C:C, SPLIT(D40, "",""))) &gt; 0, ""RU"", 0)"),0)</f>
        <v>0</v>
      </c>
      <c r="K40" s="39">
        <f ca="1">IFERROR(__xludf.DUMMYFUNCTION("IF(SUM(COUNTIF(artists!E:E, SPLIT(D40, "",""))) &gt; 0, ""OTHER"", 0)"),0)</f>
        <v>0</v>
      </c>
    </row>
    <row r="41" spans="1:11">
      <c r="A41" s="21">
        <v>40</v>
      </c>
      <c r="B41" s="21">
        <v>30</v>
      </c>
      <c r="C41" s="21" t="s">
        <v>277</v>
      </c>
      <c r="D41" s="21" t="s">
        <v>125</v>
      </c>
      <c r="E41" s="21">
        <v>8</v>
      </c>
      <c r="F41" s="21">
        <v>301054</v>
      </c>
      <c r="G41" s="21" t="s">
        <v>97</v>
      </c>
      <c r="H41" s="38" t="s">
        <v>279</v>
      </c>
      <c r="I41" s="39">
        <f ca="1">IFERROR(__xludf.DUMMYFUNCTION("IF(SUM(COUNTIF(artists!A:A, SPLIT(D41, "",""))) &gt; 0, ""UA"", 0)"),0)</f>
        <v>0</v>
      </c>
      <c r="J41" s="40" t="str">
        <f ca="1">IFERROR(__xludf.DUMMYFUNCTION("IF(SUM(COUNTIF(artists!C:C, SPLIT(D41, "",""))) &gt; 0, ""RU"", 0)"),"RU")</f>
        <v>RU</v>
      </c>
      <c r="K41" s="39">
        <f ca="1">IFERROR(__xludf.DUMMYFUNCTION("IF(SUM(COUNTIF(artists!E:E, SPLIT(D41, "",""))) &gt; 0, ""OTHER"", 0)"),0)</f>
        <v>0</v>
      </c>
    </row>
    <row r="42" spans="1:11">
      <c r="A42" s="21">
        <v>41</v>
      </c>
      <c r="B42" s="21">
        <v>49</v>
      </c>
      <c r="C42" s="21" t="s">
        <v>244</v>
      </c>
      <c r="D42" s="21" t="s">
        <v>161</v>
      </c>
      <c r="E42" s="21">
        <v>10</v>
      </c>
      <c r="F42" s="21">
        <v>280728</v>
      </c>
      <c r="G42" s="21" t="s">
        <v>455</v>
      </c>
      <c r="H42" s="38" t="s">
        <v>246</v>
      </c>
      <c r="I42" s="39" t="str">
        <f ca="1">IFERROR(__xludf.DUMMYFUNCTION("IF(SUM(COUNTIF(artists!A:A, SPLIT(D42, "",""))) &gt; 0, ""UA"", 0)"),"UA")</f>
        <v>UA</v>
      </c>
      <c r="J42" s="40">
        <f ca="1">IFERROR(__xludf.DUMMYFUNCTION("IF(SUM(COUNTIF(artists!C:C, SPLIT(D42, "",""))) &gt; 0, ""RU"", 0)"),0)</f>
        <v>0</v>
      </c>
      <c r="K42" s="39">
        <f ca="1">IFERROR(__xludf.DUMMYFUNCTION("IF(SUM(COUNTIF(artists!E:E, SPLIT(D42, "",""))) &gt; 0, ""OTHER"", 0)"),0)</f>
        <v>0</v>
      </c>
    </row>
    <row r="43" spans="1:11">
      <c r="A43" s="21">
        <v>42</v>
      </c>
      <c r="B43" s="21">
        <v>42</v>
      </c>
      <c r="C43" s="21" t="s">
        <v>456</v>
      </c>
      <c r="D43" s="21" t="s">
        <v>457</v>
      </c>
      <c r="E43" s="21">
        <v>21</v>
      </c>
      <c r="F43" s="21">
        <v>272475</v>
      </c>
      <c r="G43" s="21" t="s">
        <v>458</v>
      </c>
      <c r="H43" s="38" t="s">
        <v>459</v>
      </c>
      <c r="I43" s="39">
        <f ca="1">IFERROR(__xludf.DUMMYFUNCTION("IF(SUM(COUNTIF(artists!A:A, SPLIT(D43, "",""))) &gt; 0, ""UA"", 0)"),0)</f>
        <v>0</v>
      </c>
      <c r="J43" s="40">
        <f ca="1">IFERROR(__xludf.DUMMYFUNCTION("IF(SUM(COUNTIF(artists!C:C, SPLIT(D43, "",""))) &gt; 0, ""RU"", 0)"),0)</f>
        <v>0</v>
      </c>
      <c r="K43" s="39" t="str">
        <f ca="1">IFERROR(__xludf.DUMMYFUNCTION("IF(SUM(COUNTIF(artists!E:E, SPLIT(D43, "",""))) &gt; 0, ""OTHER"", 0)"),"OTHER")</f>
        <v>OTHER</v>
      </c>
    </row>
    <row r="44" spans="1:11">
      <c r="A44" s="21">
        <v>43</v>
      </c>
      <c r="B44" s="21">
        <v>50</v>
      </c>
      <c r="C44" s="21" t="s">
        <v>264</v>
      </c>
      <c r="D44" s="21" t="s">
        <v>265</v>
      </c>
      <c r="E44" s="21">
        <v>19</v>
      </c>
      <c r="F44" s="21">
        <v>264714</v>
      </c>
      <c r="G44" s="21" t="s">
        <v>460</v>
      </c>
      <c r="H44" s="38" t="s">
        <v>267</v>
      </c>
      <c r="I44" s="39">
        <f ca="1">IFERROR(__xludf.DUMMYFUNCTION("IF(SUM(COUNTIF(artists!A:A, SPLIT(D44, "",""))) &gt; 0, ""UA"", 0)"),0)</f>
        <v>0</v>
      </c>
      <c r="J44" s="40">
        <f ca="1">IFERROR(__xludf.DUMMYFUNCTION("IF(SUM(COUNTIF(artists!C:C, SPLIT(D44, "",""))) &gt; 0, ""RU"", 0)"),0)</f>
        <v>0</v>
      </c>
      <c r="K44" s="39" t="str">
        <f ca="1">IFERROR(__xludf.DUMMYFUNCTION("IF(SUM(COUNTIF(artists!E:E, SPLIT(D44, "",""))) &gt; 0, ""OTHER"", 0)"),"OTHER")</f>
        <v>OTHER</v>
      </c>
    </row>
    <row r="45" spans="1:11">
      <c r="A45" s="21">
        <v>44</v>
      </c>
      <c r="B45" s="21">
        <v>53</v>
      </c>
      <c r="C45" s="21" t="s">
        <v>233</v>
      </c>
      <c r="D45" s="21" t="s">
        <v>234</v>
      </c>
      <c r="E45" s="21">
        <v>5</v>
      </c>
      <c r="F45" s="21">
        <v>262152</v>
      </c>
      <c r="G45" s="21" t="s">
        <v>461</v>
      </c>
      <c r="H45" s="38" t="s">
        <v>236</v>
      </c>
      <c r="I45" s="39">
        <f ca="1">IFERROR(__xludf.DUMMYFUNCTION("IF(SUM(COUNTIF(artists!A:A, SPLIT(D45, "",""))) &gt; 0, ""UA"", 0)"),0)</f>
        <v>0</v>
      </c>
      <c r="J45" s="40">
        <f ca="1">IFERROR(__xludf.DUMMYFUNCTION("IF(SUM(COUNTIF(artists!C:C, SPLIT(D45, "",""))) &gt; 0, ""RU"", 0)"),0)</f>
        <v>0</v>
      </c>
      <c r="K45" s="39" t="str">
        <f ca="1">IFERROR(__xludf.DUMMYFUNCTION("IF(SUM(COUNTIF(artists!E:E, SPLIT(D45, "",""))) &gt; 0, ""OTHER"", 0)"),"OTHER")</f>
        <v>OTHER</v>
      </c>
    </row>
    <row r="46" spans="1:11">
      <c r="A46" s="21">
        <v>45</v>
      </c>
      <c r="C46" s="21" t="s">
        <v>253</v>
      </c>
      <c r="D46" s="21" t="s">
        <v>89</v>
      </c>
      <c r="E46" s="21">
        <v>49</v>
      </c>
      <c r="F46" s="21">
        <v>259634</v>
      </c>
      <c r="H46" s="38" t="s">
        <v>254</v>
      </c>
      <c r="I46" s="39" t="str">
        <f ca="1">IFERROR(__xludf.DUMMYFUNCTION("IF(SUM(COUNTIF(artists!A:A, SPLIT(D46, "",""))) &gt; 0, ""UA"", 0)"),"UA")</f>
        <v>UA</v>
      </c>
      <c r="J46" s="40">
        <f ca="1">IFERROR(__xludf.DUMMYFUNCTION("IF(SUM(COUNTIF(artists!C:C, SPLIT(D46, "",""))) &gt; 0, ""RU"", 0)"),0)</f>
        <v>0</v>
      </c>
      <c r="K46" s="39">
        <f ca="1">IFERROR(__xludf.DUMMYFUNCTION("IF(SUM(COUNTIF(artists!E:E, SPLIT(D46, "",""))) &gt; 0, ""OTHER"", 0)"),0)</f>
        <v>0</v>
      </c>
    </row>
    <row r="47" spans="1:11">
      <c r="A47" s="21">
        <v>46</v>
      </c>
      <c r="B47" s="21">
        <v>44</v>
      </c>
      <c r="C47" s="21" t="s">
        <v>462</v>
      </c>
      <c r="D47" s="21" t="s">
        <v>463</v>
      </c>
      <c r="E47" s="21">
        <v>26</v>
      </c>
      <c r="F47" s="21">
        <v>258317</v>
      </c>
      <c r="G47" s="21" t="s">
        <v>464</v>
      </c>
      <c r="H47" s="38" t="s">
        <v>465</v>
      </c>
      <c r="I47" s="39" t="str">
        <f ca="1">IFERROR(__xludf.DUMMYFUNCTION("IF(SUM(COUNTIF(artists!A:A, SPLIT(D47, "",""))) &gt; 0, ""UA"", 0)"),"UA")</f>
        <v>UA</v>
      </c>
      <c r="J47" s="40">
        <f ca="1">IFERROR(__xludf.DUMMYFUNCTION("IF(SUM(COUNTIF(artists!C:C, SPLIT(D47, "",""))) &gt; 0, ""RU"", 0)"),0)</f>
        <v>0</v>
      </c>
      <c r="K47" s="39">
        <f ca="1">IFERROR(__xludf.DUMMYFUNCTION("IF(SUM(COUNTIF(artists!E:E, SPLIT(D47, "",""))) &gt; 0, ""OTHER"", 0)"),0)</f>
        <v>0</v>
      </c>
    </row>
    <row r="48" spans="1:11">
      <c r="A48" s="21">
        <v>47</v>
      </c>
      <c r="B48" s="21">
        <v>43</v>
      </c>
      <c r="C48" s="21" t="s">
        <v>268</v>
      </c>
      <c r="D48" s="21" t="s">
        <v>466</v>
      </c>
      <c r="E48" s="21">
        <v>14</v>
      </c>
      <c r="F48" s="21">
        <v>258054</v>
      </c>
      <c r="G48" s="21" t="s">
        <v>467</v>
      </c>
      <c r="H48" s="38" t="s">
        <v>270</v>
      </c>
      <c r="I48" s="39" t="str">
        <f ca="1">IFERROR(__xludf.DUMMYFUNCTION("IF(SUM(COUNTIF(artists!A:A, SPLIT(D48, "",""))) &gt; 0, ""UA"", 0)"),"UA")</f>
        <v>UA</v>
      </c>
      <c r="J48" s="40">
        <f ca="1">IFERROR(__xludf.DUMMYFUNCTION("IF(SUM(COUNTIF(artists!C:C, SPLIT(D48, "",""))) &gt; 0, ""RU"", 0)"),0)</f>
        <v>0</v>
      </c>
      <c r="K48" s="39">
        <f ca="1">IFERROR(__xludf.DUMMYFUNCTION("IF(SUM(COUNTIF(artists!E:E, SPLIT(D48, "",""))) &gt; 0, ""OTHER"", 0)"),0)</f>
        <v>0</v>
      </c>
    </row>
    <row r="49" spans="1:11">
      <c r="A49" s="21">
        <v>48</v>
      </c>
      <c r="B49" s="21">
        <v>62</v>
      </c>
      <c r="C49" s="21" t="s">
        <v>225</v>
      </c>
      <c r="D49" s="21" t="s">
        <v>226</v>
      </c>
      <c r="E49" s="21">
        <v>3</v>
      </c>
      <c r="F49" s="21">
        <v>246726</v>
      </c>
      <c r="G49" s="21" t="s">
        <v>468</v>
      </c>
      <c r="H49" s="38" t="s">
        <v>228</v>
      </c>
      <c r="I49" s="39" t="str">
        <f ca="1">IFERROR(__xludf.DUMMYFUNCTION("IF(SUM(COUNTIF(artists!A:A, SPLIT(D49, "",""))) &gt; 0, ""UA"", 0)"),"UA")</f>
        <v>UA</v>
      </c>
      <c r="J49" s="40">
        <f ca="1">IFERROR(__xludf.DUMMYFUNCTION("IF(SUM(COUNTIF(artists!C:C, SPLIT(D49, "",""))) &gt; 0, ""RU"", 0)"),0)</f>
        <v>0</v>
      </c>
      <c r="K49" s="39">
        <f ca="1">IFERROR(__xludf.DUMMYFUNCTION("IF(SUM(COUNTIF(artists!E:E, SPLIT(D49, "",""))) &gt; 0, ""OTHER"", 0)"),0)</f>
        <v>0</v>
      </c>
    </row>
    <row r="50" spans="1:11">
      <c r="A50" s="21">
        <v>49</v>
      </c>
      <c r="B50" s="21">
        <v>48</v>
      </c>
      <c r="C50" s="21" t="s">
        <v>261</v>
      </c>
      <c r="D50" s="21" t="s">
        <v>262</v>
      </c>
      <c r="E50" s="21">
        <v>11</v>
      </c>
      <c r="F50" s="21">
        <v>243217</v>
      </c>
      <c r="G50" s="21" t="s">
        <v>469</v>
      </c>
      <c r="H50" s="38" t="s">
        <v>263</v>
      </c>
      <c r="I50" s="39" t="str">
        <f ca="1">IFERROR(__xludf.DUMMYFUNCTION("IF(SUM(COUNTIF(artists!A:A, SPLIT(D50, "",""))) &gt; 0, ""UA"", 0)"),"UA")</f>
        <v>UA</v>
      </c>
      <c r="J50" s="40">
        <f ca="1">IFERROR(__xludf.DUMMYFUNCTION("IF(SUM(COUNTIF(artists!C:C, SPLIT(D50, "",""))) &gt; 0, ""RU"", 0)"),0)</f>
        <v>0</v>
      </c>
      <c r="K50" s="39">
        <f ca="1">IFERROR(__xludf.DUMMYFUNCTION("IF(SUM(COUNTIF(artists!E:E, SPLIT(D50, "",""))) &gt; 0, ""OTHER"", 0)"),0)</f>
        <v>0</v>
      </c>
    </row>
    <row r="51" spans="1:11">
      <c r="A51" s="21">
        <v>50</v>
      </c>
      <c r="B51" s="21">
        <v>52</v>
      </c>
      <c r="C51" s="21" t="s">
        <v>470</v>
      </c>
      <c r="D51" s="21" t="s">
        <v>81</v>
      </c>
      <c r="E51" s="21">
        <v>25</v>
      </c>
      <c r="F51" s="21">
        <v>239665</v>
      </c>
      <c r="G51" s="21" t="s">
        <v>471</v>
      </c>
      <c r="H51" s="38" t="s">
        <v>472</v>
      </c>
      <c r="I51" s="39" t="str">
        <f ca="1">IFERROR(__xludf.DUMMYFUNCTION("IF(SUM(COUNTIF(artists!A:A, SPLIT(D51, "",""))) &gt; 0, ""UA"", 0)"),"UA")</f>
        <v>UA</v>
      </c>
      <c r="J51" s="40">
        <f ca="1">IFERROR(__xludf.DUMMYFUNCTION("IF(SUM(COUNTIF(artists!C:C, SPLIT(D51, "",""))) &gt; 0, ""RU"", 0)"),0)</f>
        <v>0</v>
      </c>
      <c r="K51" s="39">
        <f ca="1">IFERROR(__xludf.DUMMYFUNCTION("IF(SUM(COUNTIF(artists!E:E, SPLIT(D51, "",""))) &gt; 0, ""OTHER"", 0)"),0)</f>
        <v>0</v>
      </c>
    </row>
    <row r="52" spans="1:11">
      <c r="A52" s="21">
        <v>51</v>
      </c>
      <c r="B52" s="21">
        <v>47</v>
      </c>
      <c r="C52" s="21" t="s">
        <v>286</v>
      </c>
      <c r="D52" s="21" t="s">
        <v>287</v>
      </c>
      <c r="E52" s="21">
        <v>16</v>
      </c>
      <c r="F52" s="21">
        <v>239383</v>
      </c>
      <c r="G52" s="41">
        <v>0.04</v>
      </c>
      <c r="H52" s="38" t="s">
        <v>289</v>
      </c>
      <c r="I52" s="39">
        <f ca="1">IFERROR(__xludf.DUMMYFUNCTION("IF(SUM(COUNTIF(artists!A:A, SPLIT(D52, "",""))) &gt; 0, ""UA"", 0)"),0)</f>
        <v>0</v>
      </c>
      <c r="J52" s="40" t="str">
        <f ca="1">IFERROR(__xludf.DUMMYFUNCTION("IF(SUM(COUNTIF(artists!C:C, SPLIT(D52, "",""))) &gt; 0, ""RU"", 0)"),"RU")</f>
        <v>RU</v>
      </c>
      <c r="K52" s="39">
        <f ca="1">IFERROR(__xludf.DUMMYFUNCTION("IF(SUM(COUNTIF(artists!E:E, SPLIT(D52, "",""))) &gt; 0, ""OTHER"", 0)"),0)</f>
        <v>0</v>
      </c>
    </row>
    <row r="53" spans="1:11">
      <c r="A53" s="21">
        <v>52</v>
      </c>
      <c r="B53" s="21">
        <v>60</v>
      </c>
      <c r="C53" s="21" t="s">
        <v>473</v>
      </c>
      <c r="D53" s="21" t="s">
        <v>474</v>
      </c>
      <c r="E53" s="21">
        <v>26</v>
      </c>
      <c r="F53" s="21">
        <v>236705</v>
      </c>
      <c r="G53" s="21" t="s">
        <v>475</v>
      </c>
      <c r="H53" s="38" t="s">
        <v>476</v>
      </c>
      <c r="I53" s="39">
        <f ca="1">IFERROR(__xludf.DUMMYFUNCTION("IF(SUM(COUNTIF(artists!A:A, SPLIT(D53, "",""))) &gt; 0, ""UA"", 0)"),0)</f>
        <v>0</v>
      </c>
      <c r="J53" s="40">
        <f ca="1">IFERROR(__xludf.DUMMYFUNCTION("IF(SUM(COUNTIF(artists!C:C, SPLIT(D53, "",""))) &gt; 0, ""RU"", 0)"),0)</f>
        <v>0</v>
      </c>
      <c r="K53" s="39" t="str">
        <f ca="1">IFERROR(__xludf.DUMMYFUNCTION("IF(SUM(COUNTIF(artists!E:E, SPLIT(D53, "",""))) &gt; 0, ""OTHER"", 0)"),"OTHER")</f>
        <v>OTHER</v>
      </c>
    </row>
    <row r="54" spans="1:11">
      <c r="A54" s="21">
        <v>53</v>
      </c>
      <c r="C54" s="21" t="s">
        <v>477</v>
      </c>
      <c r="D54" s="21" t="s">
        <v>478</v>
      </c>
      <c r="E54" s="21">
        <v>1</v>
      </c>
      <c r="F54" s="21">
        <v>234995</v>
      </c>
      <c r="H54" s="38" t="s">
        <v>479</v>
      </c>
      <c r="I54" s="39">
        <f ca="1">IFERROR(__xludf.DUMMYFUNCTION("IF(SUM(COUNTIF(artists!A:A, SPLIT(D54, "",""))) &gt; 0, ""UA"", 0)"),0)</f>
        <v>0</v>
      </c>
      <c r="J54" s="40">
        <f ca="1">IFERROR(__xludf.DUMMYFUNCTION("IF(SUM(COUNTIF(artists!C:C, SPLIT(D54, "",""))) &gt; 0, ""RU"", 0)"),0)</f>
        <v>0</v>
      </c>
      <c r="K54" s="39" t="str">
        <f ca="1">IFERROR(__xludf.DUMMYFUNCTION("IF(SUM(COUNTIF(artists!E:E, SPLIT(D54, "",""))) &gt; 0, ""OTHER"", 0)"),"OTHER")</f>
        <v>OTHER</v>
      </c>
    </row>
    <row r="55" spans="1:11">
      <c r="A55" s="21">
        <v>54</v>
      </c>
      <c r="B55" s="21">
        <v>39</v>
      </c>
      <c r="C55" s="21" t="s">
        <v>290</v>
      </c>
      <c r="D55" s="21" t="s">
        <v>291</v>
      </c>
      <c r="E55" s="21">
        <v>6</v>
      </c>
      <c r="F55" s="21">
        <v>232057</v>
      </c>
      <c r="G55" s="21" t="s">
        <v>480</v>
      </c>
      <c r="H55" s="38" t="s">
        <v>293</v>
      </c>
      <c r="I55" s="39" t="str">
        <f ca="1">IFERROR(__xludf.DUMMYFUNCTION("IF(SUM(COUNTIF(artists!A:A, SPLIT(D55, "",""))) &gt; 0, ""UA"", 0)"),"UA")</f>
        <v>UA</v>
      </c>
      <c r="J55" s="40">
        <f ca="1">IFERROR(__xludf.DUMMYFUNCTION("IF(SUM(COUNTIF(artists!C:C, SPLIT(D55, "",""))) &gt; 0, ""RU"", 0)"),0)</f>
        <v>0</v>
      </c>
      <c r="K55" s="39">
        <f ca="1">IFERROR(__xludf.DUMMYFUNCTION("IF(SUM(COUNTIF(artists!E:E, SPLIT(D55, "",""))) &gt; 0, ""OTHER"", 0)"),0)</f>
        <v>0</v>
      </c>
    </row>
    <row r="56" spans="1:11">
      <c r="A56" s="21">
        <v>55</v>
      </c>
      <c r="B56" s="21">
        <v>59</v>
      </c>
      <c r="C56" s="21" t="s">
        <v>258</v>
      </c>
      <c r="D56" s="21" t="s">
        <v>259</v>
      </c>
      <c r="E56" s="21">
        <v>8</v>
      </c>
      <c r="F56" s="21">
        <v>228602</v>
      </c>
      <c r="G56" s="21" t="s">
        <v>437</v>
      </c>
      <c r="H56" s="38" t="s">
        <v>260</v>
      </c>
      <c r="I56" s="39" t="str">
        <f ca="1">IFERROR(__xludf.DUMMYFUNCTION("IF(SUM(COUNTIF(artists!A:A, SPLIT(D56, "",""))) &gt; 0, ""UA"", 0)"),"UA")</f>
        <v>UA</v>
      </c>
      <c r="J56" s="40">
        <f ca="1">IFERROR(__xludf.DUMMYFUNCTION("IF(SUM(COUNTIF(artists!C:C, SPLIT(D56, "",""))) &gt; 0, ""RU"", 0)"),0)</f>
        <v>0</v>
      </c>
      <c r="K56" s="39">
        <f ca="1">IFERROR(__xludf.DUMMYFUNCTION("IF(SUM(COUNTIF(artists!E:E, SPLIT(D56, "",""))) &gt; 0, ""OTHER"", 0)"),0)</f>
        <v>0</v>
      </c>
    </row>
    <row r="57" spans="1:11">
      <c r="A57" s="21">
        <v>56</v>
      </c>
      <c r="B57" s="21">
        <v>51</v>
      </c>
      <c r="C57" s="21" t="s">
        <v>294</v>
      </c>
      <c r="D57" s="21" t="s">
        <v>295</v>
      </c>
      <c r="E57" s="21">
        <v>13</v>
      </c>
      <c r="F57" s="21">
        <v>220586</v>
      </c>
      <c r="G57" s="21" t="s">
        <v>481</v>
      </c>
      <c r="H57" s="38" t="s">
        <v>297</v>
      </c>
      <c r="I57" s="39">
        <f ca="1">IFERROR(__xludf.DUMMYFUNCTION("IF(SUM(COUNTIF(artists!A:A, SPLIT(D57, "",""))) &gt; 0, ""UA"", 0)"),0)</f>
        <v>0</v>
      </c>
      <c r="J57" s="40" t="str">
        <f ca="1">IFERROR(__xludf.DUMMYFUNCTION("IF(SUM(COUNTIF(artists!C:C, SPLIT(D57, "",""))) &gt; 0, ""RU"", 0)"),"RU")</f>
        <v>RU</v>
      </c>
      <c r="K57" s="39">
        <f ca="1">IFERROR(__xludf.DUMMYFUNCTION("IF(SUM(COUNTIF(artists!E:E, SPLIT(D57, "",""))) &gt; 0, ""OTHER"", 0)"),0)</f>
        <v>0</v>
      </c>
    </row>
    <row r="58" spans="1:11">
      <c r="A58" s="21">
        <v>57</v>
      </c>
      <c r="C58" s="21" t="s">
        <v>280</v>
      </c>
      <c r="D58" s="21" t="s">
        <v>108</v>
      </c>
      <c r="E58" s="21">
        <v>1</v>
      </c>
      <c r="F58" s="21">
        <v>214379</v>
      </c>
      <c r="H58" s="38" t="s">
        <v>281</v>
      </c>
      <c r="I58" s="39" t="str">
        <f ca="1">IFERROR(__xludf.DUMMYFUNCTION("IF(SUM(COUNTIF(artists!A:A, SPLIT(D58, "",""))) &gt; 0, ""UA"", 0)"),"UA")</f>
        <v>UA</v>
      </c>
      <c r="J58" s="40">
        <f ca="1">IFERROR(__xludf.DUMMYFUNCTION("IF(SUM(COUNTIF(artists!C:C, SPLIT(D58, "",""))) &gt; 0, ""RU"", 0)"),0)</f>
        <v>0</v>
      </c>
      <c r="K58" s="39">
        <f ca="1">IFERROR(__xludf.DUMMYFUNCTION("IF(SUM(COUNTIF(artists!E:E, SPLIT(D58, "",""))) &gt; 0, ""OTHER"", 0)"),0)</f>
        <v>0</v>
      </c>
    </row>
    <row r="59" spans="1:11">
      <c r="A59" s="21">
        <v>58</v>
      </c>
      <c r="B59" s="21">
        <v>55</v>
      </c>
      <c r="C59" s="21" t="s">
        <v>362</v>
      </c>
      <c r="D59" s="21" t="s">
        <v>165</v>
      </c>
      <c r="E59" s="21">
        <v>2</v>
      </c>
      <c r="F59" s="21">
        <v>212366</v>
      </c>
      <c r="G59" s="21" t="s">
        <v>444</v>
      </c>
      <c r="H59" s="38" t="s">
        <v>363</v>
      </c>
      <c r="I59" s="39" t="str">
        <f ca="1">IFERROR(__xludf.DUMMYFUNCTION("IF(SUM(COUNTIF(artists!A:A, SPLIT(D59, "",""))) &gt; 0, ""UA"", 0)"),"UA")</f>
        <v>UA</v>
      </c>
      <c r="J59" s="40">
        <f ca="1">IFERROR(__xludf.DUMMYFUNCTION("IF(SUM(COUNTIF(artists!C:C, SPLIT(D59, "",""))) &gt; 0, ""RU"", 0)"),0)</f>
        <v>0</v>
      </c>
      <c r="K59" s="39">
        <f ca="1">IFERROR(__xludf.DUMMYFUNCTION("IF(SUM(COUNTIF(artists!E:E, SPLIT(D59, "",""))) &gt; 0, ""OTHER"", 0)"),0)</f>
        <v>0</v>
      </c>
    </row>
    <row r="60" spans="1:11">
      <c r="A60" s="21">
        <v>59</v>
      </c>
      <c r="B60" s="21">
        <v>66</v>
      </c>
      <c r="C60" s="21" t="s">
        <v>482</v>
      </c>
      <c r="D60" s="21" t="s">
        <v>210</v>
      </c>
      <c r="E60" s="21">
        <v>20</v>
      </c>
      <c r="F60" s="21">
        <v>211923</v>
      </c>
      <c r="G60" s="21" t="s">
        <v>483</v>
      </c>
      <c r="H60" s="38" t="s">
        <v>484</v>
      </c>
      <c r="I60" s="39" t="str">
        <f ca="1">IFERROR(__xludf.DUMMYFUNCTION("IF(SUM(COUNTIF(artists!A:A, SPLIT(D60, "",""))) &gt; 0, ""UA"", 0)"),"UA")</f>
        <v>UA</v>
      </c>
      <c r="J60" s="40">
        <f ca="1">IFERROR(__xludf.DUMMYFUNCTION("IF(SUM(COUNTIF(artists!C:C, SPLIT(D60, "",""))) &gt; 0, ""RU"", 0)"),0)</f>
        <v>0</v>
      </c>
      <c r="K60" s="39">
        <f ca="1">IFERROR(__xludf.DUMMYFUNCTION("IF(SUM(COUNTIF(artists!E:E, SPLIT(D60, "",""))) &gt; 0, ""OTHER"", 0)"),0)</f>
        <v>0</v>
      </c>
    </row>
    <row r="61" spans="1:11">
      <c r="A61" s="21">
        <v>60</v>
      </c>
      <c r="B61" s="21">
        <v>61</v>
      </c>
      <c r="C61" s="21" t="s">
        <v>339</v>
      </c>
      <c r="D61" s="21" t="s">
        <v>340</v>
      </c>
      <c r="E61" s="21">
        <v>17</v>
      </c>
      <c r="F61" s="21">
        <v>207782</v>
      </c>
      <c r="G61" s="21" t="s">
        <v>485</v>
      </c>
      <c r="H61" s="38" t="s">
        <v>342</v>
      </c>
      <c r="I61" s="39" t="str">
        <f ca="1">IFERROR(__xludf.DUMMYFUNCTION("IF(SUM(COUNTIF(artists!A:A, SPLIT(D61, "",""))) &gt; 0, ""UA"", 0)"),"UA")</f>
        <v>UA</v>
      </c>
      <c r="J61" s="40">
        <f ca="1">IFERROR(__xludf.DUMMYFUNCTION("IF(SUM(COUNTIF(artists!C:C, SPLIT(D61, "",""))) &gt; 0, ""RU"", 0)"),0)</f>
        <v>0</v>
      </c>
      <c r="K61" s="39">
        <f ca="1">IFERROR(__xludf.DUMMYFUNCTION("IF(SUM(COUNTIF(artists!E:E, SPLIT(D61, "",""))) &gt; 0, ""OTHER"", 0)"),0)</f>
        <v>0</v>
      </c>
    </row>
    <row r="62" spans="1:11">
      <c r="A62" s="21">
        <v>61</v>
      </c>
      <c r="C62" s="21" t="s">
        <v>486</v>
      </c>
      <c r="D62" s="21" t="s">
        <v>487</v>
      </c>
      <c r="E62" s="21">
        <v>23</v>
      </c>
      <c r="F62" s="21">
        <v>207033</v>
      </c>
      <c r="H62" s="38" t="s">
        <v>488</v>
      </c>
      <c r="I62" s="39">
        <f ca="1">IFERROR(__xludf.DUMMYFUNCTION("IF(SUM(COUNTIF(artists!A:A, SPLIT(D62, "",""))) &gt; 0, ""UA"", 0)"),0)</f>
        <v>0</v>
      </c>
      <c r="J62" s="40">
        <f ca="1">IFERROR(__xludf.DUMMYFUNCTION("IF(SUM(COUNTIF(artists!C:C, SPLIT(D62, "",""))) &gt; 0, ""RU"", 0)"),0)</f>
        <v>0</v>
      </c>
      <c r="K62" s="39" t="str">
        <f ca="1">IFERROR(__xludf.DUMMYFUNCTION("IF(SUM(COUNTIF(artists!E:E, SPLIT(D62, "",""))) &gt; 0, ""OTHER"", 0)"),"OTHER")</f>
        <v>OTHER</v>
      </c>
    </row>
    <row r="63" spans="1:11">
      <c r="A63" s="21">
        <v>62</v>
      </c>
      <c r="C63" s="21" t="s">
        <v>489</v>
      </c>
      <c r="D63" s="21" t="s">
        <v>490</v>
      </c>
      <c r="E63" s="21">
        <v>22</v>
      </c>
      <c r="F63" s="21">
        <v>205033</v>
      </c>
      <c r="H63" s="38" t="s">
        <v>491</v>
      </c>
      <c r="I63" s="39" t="str">
        <f ca="1">IFERROR(__xludf.DUMMYFUNCTION("IF(SUM(COUNTIF(artists!A:A, SPLIT(D63, "",""))) &gt; 0, ""UA"", 0)"),"UA")</f>
        <v>UA</v>
      </c>
      <c r="J63" s="40">
        <f ca="1">IFERROR(__xludf.DUMMYFUNCTION("IF(SUM(COUNTIF(artists!C:C, SPLIT(D63, "",""))) &gt; 0, ""RU"", 0)"),0)</f>
        <v>0</v>
      </c>
      <c r="K63" s="39">
        <f ca="1">IFERROR(__xludf.DUMMYFUNCTION("IF(SUM(COUNTIF(artists!E:E, SPLIT(D63, "",""))) &gt; 0, ""OTHER"", 0)"),0)</f>
        <v>0</v>
      </c>
    </row>
    <row r="64" spans="1:11">
      <c r="A64" s="21">
        <v>63</v>
      </c>
      <c r="B64" s="21">
        <v>57</v>
      </c>
      <c r="C64" s="21" t="s">
        <v>298</v>
      </c>
      <c r="D64" s="21" t="s">
        <v>299</v>
      </c>
      <c r="E64" s="21">
        <v>18</v>
      </c>
      <c r="F64" s="21">
        <v>203368</v>
      </c>
      <c r="G64" s="21" t="s">
        <v>492</v>
      </c>
      <c r="H64" s="38" t="s">
        <v>300</v>
      </c>
      <c r="I64" s="39">
        <f ca="1">IFERROR(__xludf.DUMMYFUNCTION("IF(SUM(COUNTIF(artists!A:A, SPLIT(D64, "",""))) &gt; 0, ""UA"", 0)"),0)</f>
        <v>0</v>
      </c>
      <c r="J64" s="40">
        <f ca="1">IFERROR(__xludf.DUMMYFUNCTION("IF(SUM(COUNTIF(artists!C:C, SPLIT(D64, "",""))) &gt; 0, ""RU"", 0)"),0)</f>
        <v>0</v>
      </c>
      <c r="K64" s="39" t="str">
        <f ca="1">IFERROR(__xludf.DUMMYFUNCTION("IF(SUM(COUNTIF(artists!E:E, SPLIT(D64, "",""))) &gt; 0, ""OTHER"", 0)"),"OTHER")</f>
        <v>OTHER</v>
      </c>
    </row>
    <row r="65" spans="1:11">
      <c r="A65" s="21">
        <v>64</v>
      </c>
      <c r="C65" s="21" t="s">
        <v>493</v>
      </c>
      <c r="D65" s="21" t="s">
        <v>494</v>
      </c>
      <c r="E65" s="21">
        <v>23</v>
      </c>
      <c r="F65" s="21">
        <v>192576</v>
      </c>
      <c r="H65" s="38" t="s">
        <v>495</v>
      </c>
      <c r="I65" s="39" t="str">
        <f ca="1">IFERROR(__xludf.DUMMYFUNCTION("IF(SUM(COUNTIF(artists!A:A, SPLIT(D65, "",""))) &gt; 0, ""UA"", 0)"),"UA")</f>
        <v>UA</v>
      </c>
      <c r="J65" s="40">
        <f ca="1">IFERROR(__xludf.DUMMYFUNCTION("IF(SUM(COUNTIF(artists!C:C, SPLIT(D65, "",""))) &gt; 0, ""RU"", 0)"),0)</f>
        <v>0</v>
      </c>
      <c r="K65" s="39">
        <f ca="1">IFERROR(__xludf.DUMMYFUNCTION("IF(SUM(COUNTIF(artists!E:E, SPLIT(D65, "",""))) &gt; 0, ""OTHER"", 0)"),0)</f>
        <v>0</v>
      </c>
    </row>
    <row r="66" spans="1:11">
      <c r="A66" s="21">
        <v>65</v>
      </c>
      <c r="B66" s="21">
        <v>71</v>
      </c>
      <c r="C66" s="21" t="s">
        <v>324</v>
      </c>
      <c r="D66" s="21" t="s">
        <v>325</v>
      </c>
      <c r="E66" s="21">
        <v>11</v>
      </c>
      <c r="F66" s="21">
        <v>191775</v>
      </c>
      <c r="G66" s="21" t="s">
        <v>496</v>
      </c>
      <c r="H66" s="38" t="s">
        <v>327</v>
      </c>
      <c r="I66" s="39" t="str">
        <f ca="1">IFERROR(__xludf.DUMMYFUNCTION("IF(SUM(COUNTIF(artists!A:A, SPLIT(D66, "",""))) &gt; 0, ""UA"", 0)"),"UA")</f>
        <v>UA</v>
      </c>
      <c r="J66" s="40">
        <f ca="1">IFERROR(__xludf.DUMMYFUNCTION("IF(SUM(COUNTIF(artists!C:C, SPLIT(D66, "",""))) &gt; 0, ""RU"", 0)"),0)</f>
        <v>0</v>
      </c>
      <c r="K66" s="39">
        <f ca="1">IFERROR(__xludf.DUMMYFUNCTION("IF(SUM(COUNTIF(artists!E:E, SPLIT(D66, "",""))) &gt; 0, ""OTHER"", 0)"),0)</f>
        <v>0</v>
      </c>
    </row>
    <row r="67" spans="1:11">
      <c r="A67" s="21">
        <v>66</v>
      </c>
      <c r="B67" s="21">
        <v>73</v>
      </c>
      <c r="C67" s="21" t="s">
        <v>497</v>
      </c>
      <c r="D67" s="21" t="s">
        <v>498</v>
      </c>
      <c r="E67" s="21">
        <v>21</v>
      </c>
      <c r="F67" s="21">
        <v>188845</v>
      </c>
      <c r="G67" s="21" t="s">
        <v>330</v>
      </c>
      <c r="H67" s="38" t="s">
        <v>499</v>
      </c>
      <c r="I67" s="39" t="str">
        <f ca="1">IFERROR(__xludf.DUMMYFUNCTION("IF(SUM(COUNTIF(artists!A:A, SPLIT(D67, "",""))) &gt; 0, ""UA"", 0)"),"UA")</f>
        <v>UA</v>
      </c>
      <c r="J67" s="40">
        <f ca="1">IFERROR(__xludf.DUMMYFUNCTION("IF(SUM(COUNTIF(artists!C:C, SPLIT(D67, "",""))) &gt; 0, ""RU"", 0)"),0)</f>
        <v>0</v>
      </c>
      <c r="K67" s="39">
        <f ca="1">IFERROR(__xludf.DUMMYFUNCTION("IF(SUM(COUNTIF(artists!E:E, SPLIT(D67, "",""))) &gt; 0, ""OTHER"", 0)"),0)</f>
        <v>0</v>
      </c>
    </row>
    <row r="68" spans="1:11">
      <c r="A68" s="21">
        <v>67</v>
      </c>
      <c r="B68" s="21">
        <v>68</v>
      </c>
      <c r="C68" s="21" t="s">
        <v>500</v>
      </c>
      <c r="D68" s="21" t="s">
        <v>501</v>
      </c>
      <c r="E68" s="21">
        <v>20</v>
      </c>
      <c r="F68" s="21">
        <v>185193</v>
      </c>
      <c r="G68" s="21" t="s">
        <v>502</v>
      </c>
      <c r="H68" s="38" t="s">
        <v>503</v>
      </c>
      <c r="I68" s="39">
        <f ca="1">IFERROR(__xludf.DUMMYFUNCTION("IF(SUM(COUNTIF(artists!A:A, SPLIT(D68, "",""))) &gt; 0, ""UA"", 0)"),0)</f>
        <v>0</v>
      </c>
      <c r="J68" s="40" t="str">
        <f ca="1">IFERROR(__xludf.DUMMYFUNCTION("IF(SUM(COUNTIF(artists!C:C, SPLIT(D68, "",""))) &gt; 0, ""RU"", 0)"),"RU")</f>
        <v>RU</v>
      </c>
      <c r="K68" s="39">
        <f ca="1">IFERROR(__xludf.DUMMYFUNCTION("IF(SUM(COUNTIF(artists!E:E, SPLIT(D68, "",""))) &gt; 0, ""OTHER"", 0)"),0)</f>
        <v>0</v>
      </c>
    </row>
    <row r="69" spans="1:11">
      <c r="A69" s="21">
        <v>68</v>
      </c>
      <c r="B69" s="21">
        <v>64</v>
      </c>
      <c r="C69" s="21" t="s">
        <v>351</v>
      </c>
      <c r="D69" s="21" t="s">
        <v>352</v>
      </c>
      <c r="E69" s="21">
        <v>17</v>
      </c>
      <c r="F69" s="21">
        <v>184899</v>
      </c>
      <c r="G69" s="21" t="s">
        <v>429</v>
      </c>
      <c r="H69" s="38" t="s">
        <v>354</v>
      </c>
      <c r="I69" s="39" t="str">
        <f ca="1">IFERROR(__xludf.DUMMYFUNCTION("IF(SUM(COUNTIF(artists!A:A, SPLIT(D69, "",""))) &gt; 0, ""UA"", 0)"),"UA")</f>
        <v>UA</v>
      </c>
      <c r="J69" s="40">
        <f ca="1">IFERROR(__xludf.DUMMYFUNCTION("IF(SUM(COUNTIF(artists!C:C, SPLIT(D69, "",""))) &gt; 0, ""RU"", 0)"),0)</f>
        <v>0</v>
      </c>
      <c r="K69" s="39">
        <f ca="1">IFERROR(__xludf.DUMMYFUNCTION("IF(SUM(COUNTIF(artists!E:E, SPLIT(D69, "",""))) &gt; 0, ""OTHER"", 0)"),0)</f>
        <v>0</v>
      </c>
    </row>
    <row r="70" spans="1:11">
      <c r="A70" s="21">
        <v>69</v>
      </c>
      <c r="B70" s="21">
        <v>69</v>
      </c>
      <c r="C70" s="21" t="s">
        <v>332</v>
      </c>
      <c r="D70" s="21" t="s">
        <v>333</v>
      </c>
      <c r="E70" s="21">
        <v>3</v>
      </c>
      <c r="F70" s="21">
        <v>183326</v>
      </c>
      <c r="G70" s="21" t="s">
        <v>200</v>
      </c>
      <c r="H70" s="38" t="s">
        <v>335</v>
      </c>
      <c r="I70" s="39" t="str">
        <f ca="1">IFERROR(__xludf.DUMMYFUNCTION("IF(SUM(COUNTIF(artists!A:A, SPLIT(D70, "",""))) &gt; 0, ""UA"", 0)"),"UA")</f>
        <v>UA</v>
      </c>
      <c r="J70" s="40">
        <f ca="1">IFERROR(__xludf.DUMMYFUNCTION("IF(SUM(COUNTIF(artists!C:C, SPLIT(D70, "",""))) &gt; 0, ""RU"", 0)"),0)</f>
        <v>0</v>
      </c>
      <c r="K70" s="39">
        <f ca="1">IFERROR(__xludf.DUMMYFUNCTION("IF(SUM(COUNTIF(artists!E:E, SPLIT(D70, "",""))) &gt; 0, ""OTHER"", 0)"),0)</f>
        <v>0</v>
      </c>
    </row>
    <row r="71" spans="1:11">
      <c r="A71" s="21">
        <v>70</v>
      </c>
      <c r="B71" s="21">
        <v>74</v>
      </c>
      <c r="C71" s="21" t="s">
        <v>306</v>
      </c>
      <c r="D71" s="21" t="s">
        <v>307</v>
      </c>
      <c r="E71" s="21">
        <v>7</v>
      </c>
      <c r="F71" s="21">
        <v>182139</v>
      </c>
      <c r="G71" s="21" t="s">
        <v>504</v>
      </c>
      <c r="H71" s="38" t="s">
        <v>308</v>
      </c>
      <c r="I71" s="39">
        <f ca="1">IFERROR(__xludf.DUMMYFUNCTION("IF(SUM(COUNTIF(artists!A:A, SPLIT(D71, "",""))) &gt; 0, ""UA"", 0)"),0)</f>
        <v>0</v>
      </c>
      <c r="J71" s="40">
        <f ca="1">IFERROR(__xludf.DUMMYFUNCTION("IF(SUM(COUNTIF(artists!C:C, SPLIT(D71, "",""))) &gt; 0, ""RU"", 0)"),0)</f>
        <v>0</v>
      </c>
      <c r="K71" s="39" t="str">
        <f ca="1">IFERROR(__xludf.DUMMYFUNCTION("IF(SUM(COUNTIF(artists!E:E, SPLIT(D71, "",""))) &gt; 0, ""OTHER"", 0)"),"OTHER")</f>
        <v>OTHER</v>
      </c>
    </row>
    <row r="72" spans="1:11">
      <c r="A72" s="21">
        <v>71</v>
      </c>
      <c r="C72" s="21" t="s">
        <v>505</v>
      </c>
      <c r="D72" s="21" t="s">
        <v>506</v>
      </c>
      <c r="E72" s="21">
        <v>24</v>
      </c>
      <c r="F72" s="21">
        <v>181512</v>
      </c>
      <c r="H72" s="38" t="s">
        <v>507</v>
      </c>
      <c r="I72" s="39">
        <f ca="1">IFERROR(__xludf.DUMMYFUNCTION("IF(SUM(COUNTIF(artists!A:A, SPLIT(D72, "",""))) &gt; 0, ""UA"", 0)"),0)</f>
        <v>0</v>
      </c>
      <c r="J72" s="40">
        <f ca="1">IFERROR(__xludf.DUMMYFUNCTION("IF(SUM(COUNTIF(artists!C:C, SPLIT(D72, "",""))) &gt; 0, ""RU"", 0)"),0)</f>
        <v>0</v>
      </c>
      <c r="K72" s="39" t="str">
        <f ca="1">IFERROR(__xludf.DUMMYFUNCTION("IF(SUM(COUNTIF(artists!E:E, SPLIT(D72, "",""))) &gt; 0, ""OTHER"", 0)"),"OTHER")</f>
        <v>OTHER</v>
      </c>
    </row>
    <row r="73" spans="1:11">
      <c r="A73" s="21">
        <v>72</v>
      </c>
      <c r="C73" s="21" t="s">
        <v>508</v>
      </c>
      <c r="D73" s="21" t="s">
        <v>509</v>
      </c>
      <c r="E73" s="21">
        <v>21</v>
      </c>
      <c r="F73" s="21">
        <v>181358</v>
      </c>
      <c r="H73" s="38" t="s">
        <v>510</v>
      </c>
      <c r="I73" s="39">
        <f ca="1">IFERROR(__xludf.DUMMYFUNCTION("IF(SUM(COUNTIF(artists!A:A, SPLIT(D73, "",""))) &gt; 0, ""UA"", 0)"),0)</f>
        <v>0</v>
      </c>
      <c r="J73" s="40" t="str">
        <f ca="1">IFERROR(__xludf.DUMMYFUNCTION("IF(SUM(COUNTIF(artists!C:C, SPLIT(D73, "",""))) &gt; 0, ""RU"", 0)"),"RU")</f>
        <v>RU</v>
      </c>
      <c r="K73" s="39">
        <f ca="1">IFERROR(__xludf.DUMMYFUNCTION("IF(SUM(COUNTIF(artists!E:E, SPLIT(D73, "",""))) &gt; 0, ""OTHER"", 0)"),0)</f>
        <v>0</v>
      </c>
    </row>
    <row r="74" spans="1:11">
      <c r="A74" s="21">
        <v>73</v>
      </c>
      <c r="C74" s="21" t="s">
        <v>205</v>
      </c>
      <c r="D74" s="21" t="s">
        <v>206</v>
      </c>
      <c r="E74" s="21">
        <v>1</v>
      </c>
      <c r="F74" s="21">
        <v>178768</v>
      </c>
      <c r="H74" s="38" t="s">
        <v>208</v>
      </c>
      <c r="I74" s="39" t="str">
        <f ca="1">IFERROR(__xludf.DUMMYFUNCTION("IF(SUM(COUNTIF(artists!A:A, SPLIT(D74, "",""))) &gt; 0, ""UA"", 0)"),"UA")</f>
        <v>UA</v>
      </c>
      <c r="J74" s="40">
        <f ca="1">IFERROR(__xludf.DUMMYFUNCTION("IF(SUM(COUNTIF(artists!C:C, SPLIT(D74, "",""))) &gt; 0, ""RU"", 0)"),0)</f>
        <v>0</v>
      </c>
      <c r="K74" s="39">
        <f ca="1">IFERROR(__xludf.DUMMYFUNCTION("IF(SUM(COUNTIF(artists!E:E, SPLIT(D74, "",""))) &gt; 0, ""OTHER"", 0)"),0)</f>
        <v>0</v>
      </c>
    </row>
    <row r="75" spans="1:11">
      <c r="A75" s="21">
        <v>74</v>
      </c>
      <c r="B75" s="21">
        <v>83</v>
      </c>
      <c r="C75" s="21" t="s">
        <v>316</v>
      </c>
      <c r="D75" s="21" t="s">
        <v>317</v>
      </c>
      <c r="E75" s="21">
        <v>15</v>
      </c>
      <c r="F75" s="21">
        <v>178545</v>
      </c>
      <c r="G75" s="21" t="s">
        <v>511</v>
      </c>
      <c r="H75" s="38" t="s">
        <v>319</v>
      </c>
      <c r="I75" s="39" t="str">
        <f ca="1">IFERROR(__xludf.DUMMYFUNCTION("IF(SUM(COUNTIF(artists!A:A, SPLIT(D75, "",""))) &gt; 0, ""UA"", 0)"),"UA")</f>
        <v>UA</v>
      </c>
      <c r="J75" s="40">
        <f ca="1">IFERROR(__xludf.DUMMYFUNCTION("IF(SUM(COUNTIF(artists!C:C, SPLIT(D75, "",""))) &gt; 0, ""RU"", 0)"),0)</f>
        <v>0</v>
      </c>
      <c r="K75" s="39">
        <f ca="1">IFERROR(__xludf.DUMMYFUNCTION("IF(SUM(COUNTIF(artists!E:E, SPLIT(D75, "",""))) &gt; 0, ""OTHER"", 0)"),0)</f>
        <v>0</v>
      </c>
    </row>
    <row r="76" spans="1:11">
      <c r="A76" s="21">
        <v>75</v>
      </c>
      <c r="C76" s="21" t="s">
        <v>512</v>
      </c>
      <c r="D76" s="21" t="s">
        <v>513</v>
      </c>
      <c r="E76" s="21">
        <v>23</v>
      </c>
      <c r="F76" s="21">
        <v>175598</v>
      </c>
      <c r="H76" s="38" t="s">
        <v>514</v>
      </c>
      <c r="I76" s="39">
        <f ca="1">IFERROR(__xludf.DUMMYFUNCTION("IF(SUM(COUNTIF(artists!A:A, SPLIT(D76, "",""))) &gt; 0, ""UA"", 0)"),0)</f>
        <v>0</v>
      </c>
      <c r="J76" s="40">
        <f ca="1">IFERROR(__xludf.DUMMYFUNCTION("IF(SUM(COUNTIF(artists!C:C, SPLIT(D76, "",""))) &gt; 0, ""RU"", 0)"),0)</f>
        <v>0</v>
      </c>
      <c r="K76" s="39" t="str">
        <f ca="1">IFERROR(__xludf.DUMMYFUNCTION("IF(SUM(COUNTIF(artists!E:E, SPLIT(D76, "",""))) &gt; 0, ""OTHER"", 0)"),"OTHER")</f>
        <v>OTHER</v>
      </c>
    </row>
    <row r="77" spans="1:11">
      <c r="A77" s="21">
        <v>76</v>
      </c>
      <c r="B77" s="21">
        <v>77</v>
      </c>
      <c r="C77" s="21" t="s">
        <v>373</v>
      </c>
      <c r="D77" s="21" t="s">
        <v>172</v>
      </c>
      <c r="E77" s="21">
        <v>17</v>
      </c>
      <c r="F77" s="21">
        <v>174388</v>
      </c>
      <c r="G77" s="21" t="s">
        <v>515</v>
      </c>
      <c r="H77" s="38" t="s">
        <v>375</v>
      </c>
      <c r="I77" s="39">
        <f ca="1">IFERROR(__xludf.DUMMYFUNCTION("IF(SUM(COUNTIF(artists!A:A, SPLIT(D77, "",""))) &gt; 0, ""UA"", 0)"),0)</f>
        <v>0</v>
      </c>
      <c r="J77" s="40" t="str">
        <f ca="1">IFERROR(__xludf.DUMMYFUNCTION("IF(SUM(COUNTIF(artists!C:C, SPLIT(D77, "",""))) &gt; 0, ""RU"", 0)"),"RU")</f>
        <v>RU</v>
      </c>
      <c r="K77" s="39">
        <f ca="1">IFERROR(__xludf.DUMMYFUNCTION("IF(SUM(COUNTIF(artists!E:E, SPLIT(D77, "",""))) &gt; 0, ""OTHER"", 0)"),0)</f>
        <v>0</v>
      </c>
    </row>
    <row r="78" spans="1:11">
      <c r="A78" s="21">
        <v>77</v>
      </c>
      <c r="C78" s="21" t="s">
        <v>516</v>
      </c>
      <c r="D78" s="21" t="s">
        <v>517</v>
      </c>
      <c r="E78" s="21">
        <v>27</v>
      </c>
      <c r="F78" s="21">
        <v>173399</v>
      </c>
      <c r="H78" s="38" t="s">
        <v>518</v>
      </c>
      <c r="I78" s="39">
        <f ca="1">IFERROR(__xludf.DUMMYFUNCTION("IF(SUM(COUNTIF(artists!A:A, SPLIT(D78, "",""))) &gt; 0, ""UA"", 0)"),0)</f>
        <v>0</v>
      </c>
      <c r="J78" s="40">
        <f ca="1">IFERROR(__xludf.DUMMYFUNCTION("IF(SUM(COUNTIF(artists!C:C, SPLIT(D78, "",""))) &gt; 0, ""RU"", 0)"),0)</f>
        <v>0</v>
      </c>
      <c r="K78" s="39" t="str">
        <f ca="1">IFERROR(__xludf.DUMMYFUNCTION("IF(SUM(COUNTIF(artists!E:E, SPLIT(D78, "",""))) &gt; 0, ""OTHER"", 0)"),"OTHER")</f>
        <v>OTHER</v>
      </c>
    </row>
    <row r="79" spans="1:11">
      <c r="A79" s="21">
        <v>78</v>
      </c>
      <c r="B79" s="21">
        <v>76</v>
      </c>
      <c r="C79" s="21" t="s">
        <v>309</v>
      </c>
      <c r="D79" s="21" t="s">
        <v>310</v>
      </c>
      <c r="E79" s="21">
        <v>16</v>
      </c>
      <c r="F79" s="21">
        <v>173093</v>
      </c>
      <c r="G79" s="21" t="s">
        <v>427</v>
      </c>
      <c r="H79" s="38" t="s">
        <v>312</v>
      </c>
      <c r="I79" s="39">
        <f ca="1">IFERROR(__xludf.DUMMYFUNCTION("IF(SUM(COUNTIF(artists!A:A, SPLIT(D79, "",""))) &gt; 0, ""UA"", 0)"),0)</f>
        <v>0</v>
      </c>
      <c r="J79" s="40">
        <f ca="1">IFERROR(__xludf.DUMMYFUNCTION("IF(SUM(COUNTIF(artists!C:C, SPLIT(D79, "",""))) &gt; 0, ""RU"", 0)"),0)</f>
        <v>0</v>
      </c>
      <c r="K79" s="39" t="str">
        <f ca="1">IFERROR(__xludf.DUMMYFUNCTION("IF(SUM(COUNTIF(artists!E:E, SPLIT(D79, "",""))) &gt; 0, ""OTHER"", 0)"),"OTHER")</f>
        <v>OTHER</v>
      </c>
    </row>
    <row r="80" spans="1:11">
      <c r="A80" s="21">
        <v>79</v>
      </c>
      <c r="B80" s="21">
        <v>91</v>
      </c>
      <c r="C80" s="21" t="s">
        <v>320</v>
      </c>
      <c r="D80" s="21" t="s">
        <v>321</v>
      </c>
      <c r="E80" s="21">
        <v>10</v>
      </c>
      <c r="F80" s="21">
        <v>170232</v>
      </c>
      <c r="G80" s="21" t="s">
        <v>519</v>
      </c>
      <c r="H80" s="38" t="s">
        <v>323</v>
      </c>
      <c r="I80" s="39">
        <f ca="1">IFERROR(__xludf.DUMMYFUNCTION("IF(SUM(COUNTIF(artists!A:A, SPLIT(D80, "",""))) &gt; 0, ""UA"", 0)"),0)</f>
        <v>0</v>
      </c>
      <c r="J80" s="40">
        <f ca="1">IFERROR(__xludf.DUMMYFUNCTION("IF(SUM(COUNTIF(artists!C:C, SPLIT(D80, "",""))) &gt; 0, ""RU"", 0)"),0)</f>
        <v>0</v>
      </c>
      <c r="K80" s="39" t="str">
        <f ca="1">IFERROR(__xludf.DUMMYFUNCTION("IF(SUM(COUNTIF(artists!E:E, SPLIT(D80, "",""))) &gt; 0, ""OTHER"", 0)"),"OTHER")</f>
        <v>OTHER</v>
      </c>
    </row>
    <row r="81" spans="1:11">
      <c r="A81" s="21">
        <v>80</v>
      </c>
      <c r="C81" s="21" t="s">
        <v>274</v>
      </c>
      <c r="D81" s="21" t="s">
        <v>199</v>
      </c>
      <c r="E81" s="21">
        <v>1</v>
      </c>
      <c r="F81" s="21">
        <v>167909</v>
      </c>
      <c r="H81" s="38" t="s">
        <v>276</v>
      </c>
      <c r="I81" s="39" t="str">
        <f ca="1">IFERROR(__xludf.DUMMYFUNCTION("IF(SUM(COUNTIF(artists!A:A, SPLIT(D81, "",""))) &gt; 0, ""UA"", 0)"),"UA")</f>
        <v>UA</v>
      </c>
      <c r="J81" s="40">
        <f ca="1">IFERROR(__xludf.DUMMYFUNCTION("IF(SUM(COUNTIF(artists!C:C, SPLIT(D81, "",""))) &gt; 0, ""RU"", 0)"),0)</f>
        <v>0</v>
      </c>
      <c r="K81" s="39">
        <f ca="1">IFERROR(__xludf.DUMMYFUNCTION("IF(SUM(COUNTIF(artists!E:E, SPLIT(D81, "",""))) &gt; 0, ""OTHER"", 0)"),0)</f>
        <v>0</v>
      </c>
    </row>
    <row r="82" spans="1:11">
      <c r="A82" s="21">
        <v>81</v>
      </c>
      <c r="C82" s="21" t="s">
        <v>520</v>
      </c>
      <c r="D82" s="21" t="s">
        <v>521</v>
      </c>
      <c r="E82" s="21">
        <v>21</v>
      </c>
      <c r="F82" s="21">
        <v>165719</v>
      </c>
      <c r="H82" s="38" t="s">
        <v>522</v>
      </c>
      <c r="I82" s="39" t="str">
        <f ca="1">IFERROR(__xludf.DUMMYFUNCTION("IF(SUM(COUNTIF(artists!A:A, SPLIT(D82, "",""))) &gt; 0, ""UA"", 0)"),"UA")</f>
        <v>UA</v>
      </c>
      <c r="J82" s="40">
        <f ca="1">IFERROR(__xludf.DUMMYFUNCTION("IF(SUM(COUNTIF(artists!C:C, SPLIT(D82, "",""))) &gt; 0, ""RU"", 0)"),0)</f>
        <v>0</v>
      </c>
      <c r="K82" s="39">
        <f ca="1">IFERROR(__xludf.DUMMYFUNCTION("IF(SUM(COUNTIF(artists!E:E, SPLIT(D82, "",""))) &gt; 0, ""OTHER"", 0)"),0)</f>
        <v>0</v>
      </c>
    </row>
    <row r="83" spans="1:11">
      <c r="A83" s="21">
        <v>82</v>
      </c>
      <c r="B83" s="21">
        <v>75</v>
      </c>
      <c r="C83" s="21" t="s">
        <v>402</v>
      </c>
      <c r="D83" s="21" t="s">
        <v>403</v>
      </c>
      <c r="E83" s="21">
        <v>13</v>
      </c>
      <c r="F83" s="21">
        <v>164316</v>
      </c>
      <c r="G83" s="21" t="s">
        <v>523</v>
      </c>
      <c r="H83" s="38" t="s">
        <v>404</v>
      </c>
      <c r="I83" s="39">
        <f ca="1">IFERROR(__xludf.DUMMYFUNCTION("IF(SUM(COUNTIF(artists!A:A, SPLIT(D83, "",""))) &gt; 0, ""UA"", 0)"),0)</f>
        <v>0</v>
      </c>
      <c r="J83" s="40">
        <f ca="1">IFERROR(__xludf.DUMMYFUNCTION("IF(SUM(COUNTIF(artists!C:C, SPLIT(D83, "",""))) &gt; 0, ""RU"", 0)"),0)</f>
        <v>0</v>
      </c>
      <c r="K83" s="39" t="str">
        <f ca="1">IFERROR(__xludf.DUMMYFUNCTION("IF(SUM(COUNTIF(artists!E:E, SPLIT(D83, "",""))) &gt; 0, ""OTHER"", 0)"),"OTHER")</f>
        <v>OTHER</v>
      </c>
    </row>
    <row r="84" spans="1:11">
      <c r="A84" s="21">
        <v>83</v>
      </c>
      <c r="B84" s="21">
        <v>84</v>
      </c>
      <c r="C84" s="21" t="s">
        <v>343</v>
      </c>
      <c r="D84" s="21" t="s">
        <v>344</v>
      </c>
      <c r="E84" s="21">
        <v>12</v>
      </c>
      <c r="F84" s="21">
        <v>161743</v>
      </c>
      <c r="G84" s="41">
        <v>0.12</v>
      </c>
      <c r="H84" s="38" t="s">
        <v>346</v>
      </c>
      <c r="I84" s="39" t="str">
        <f ca="1">IFERROR(__xludf.DUMMYFUNCTION("IF(SUM(COUNTIF(artists!A:A, SPLIT(D84, "",""))) &gt; 0, ""UA"", 0)"),"UA")</f>
        <v>UA</v>
      </c>
      <c r="J84" s="40">
        <f ca="1">IFERROR(__xludf.DUMMYFUNCTION("IF(SUM(COUNTIF(artists!C:C, SPLIT(D84, "",""))) &gt; 0, ""RU"", 0)"),0)</f>
        <v>0</v>
      </c>
      <c r="K84" s="39">
        <f ca="1">IFERROR(__xludf.DUMMYFUNCTION("IF(SUM(COUNTIF(artists!E:E, SPLIT(D84, "",""))) &gt; 0, ""OTHER"", 0)"),0)</f>
        <v>0</v>
      </c>
    </row>
    <row r="85" spans="1:11">
      <c r="A85" s="21">
        <v>84</v>
      </c>
      <c r="C85" s="21" t="s">
        <v>524</v>
      </c>
      <c r="D85" s="21" t="s">
        <v>525</v>
      </c>
      <c r="E85" s="21">
        <v>21</v>
      </c>
      <c r="F85" s="21">
        <v>160920</v>
      </c>
      <c r="H85" s="38" t="s">
        <v>526</v>
      </c>
      <c r="I85" s="39" t="str">
        <f ca="1">IFERROR(__xludf.DUMMYFUNCTION("IF(SUM(COUNTIF(artists!A:A, SPLIT(D85, "",""))) &gt; 0, ""UA"", 0)"),"UA")</f>
        <v>UA</v>
      </c>
      <c r="J85" s="40">
        <f ca="1">IFERROR(__xludf.DUMMYFUNCTION("IF(SUM(COUNTIF(artists!C:C, SPLIT(D85, "",""))) &gt; 0, ""RU"", 0)"),0)</f>
        <v>0</v>
      </c>
      <c r="K85" s="39">
        <f ca="1">IFERROR(__xludf.DUMMYFUNCTION("IF(SUM(COUNTIF(artists!E:E, SPLIT(D85, "",""))) &gt; 0, ""OTHER"", 0)"),0)</f>
        <v>0</v>
      </c>
    </row>
    <row r="86" spans="1:11">
      <c r="A86" s="21">
        <v>85</v>
      </c>
      <c r="B86" s="21">
        <v>78</v>
      </c>
      <c r="C86" s="21" t="s">
        <v>527</v>
      </c>
      <c r="D86" s="21" t="s">
        <v>528</v>
      </c>
      <c r="E86" s="21">
        <v>20</v>
      </c>
      <c r="F86" s="21">
        <v>155456</v>
      </c>
      <c r="G86" s="21" t="s">
        <v>381</v>
      </c>
      <c r="H86" s="38" t="s">
        <v>529</v>
      </c>
      <c r="I86" s="39" t="str">
        <f ca="1">IFERROR(__xludf.DUMMYFUNCTION("IF(SUM(COUNTIF(artists!A:A, SPLIT(D86, "",""))) &gt; 0, ""UA"", 0)"),"UA")</f>
        <v>UA</v>
      </c>
      <c r="J86" s="40">
        <f ca="1">IFERROR(__xludf.DUMMYFUNCTION("IF(SUM(COUNTIF(artists!C:C, SPLIT(D86, "",""))) &gt; 0, ""RU"", 0)"),0)</f>
        <v>0</v>
      </c>
      <c r="K86" s="39">
        <f ca="1">IFERROR(__xludf.DUMMYFUNCTION("IF(SUM(COUNTIF(artists!E:E, SPLIT(D86, "",""))) &gt; 0, ""OTHER"", 0)"),0)</f>
        <v>0</v>
      </c>
    </row>
    <row r="87" spans="1:11">
      <c r="A87" s="21">
        <v>86</v>
      </c>
      <c r="C87" s="21" t="s">
        <v>530</v>
      </c>
      <c r="D87" s="21" t="s">
        <v>531</v>
      </c>
      <c r="E87" s="21">
        <v>23</v>
      </c>
      <c r="F87" s="21">
        <v>154738</v>
      </c>
      <c r="H87" s="38" t="s">
        <v>532</v>
      </c>
      <c r="I87" s="39">
        <f ca="1">IFERROR(__xludf.DUMMYFUNCTION("IF(SUM(COUNTIF(artists!A:A, SPLIT(D87, "",""))) &gt; 0, ""UA"", 0)"),0)</f>
        <v>0</v>
      </c>
      <c r="J87" s="40" t="str">
        <f ca="1">IFERROR(__xludf.DUMMYFUNCTION("IF(SUM(COUNTIF(artists!C:C, SPLIT(D87, "",""))) &gt; 0, ""RU"", 0)"),"RU")</f>
        <v>RU</v>
      </c>
      <c r="K87" s="39">
        <f ca="1">IFERROR(__xludf.DUMMYFUNCTION("IF(SUM(COUNTIF(artists!E:E, SPLIT(D87, "",""))) &gt; 0, ""OTHER"", 0)"),0)</f>
        <v>0</v>
      </c>
    </row>
    <row r="88" spans="1:11">
      <c r="A88" s="21">
        <v>87</v>
      </c>
      <c r="B88" s="21">
        <v>86</v>
      </c>
      <c r="C88" s="21" t="s">
        <v>383</v>
      </c>
      <c r="D88" s="21" t="s">
        <v>384</v>
      </c>
      <c r="E88" s="21">
        <v>11</v>
      </c>
      <c r="F88" s="21">
        <v>154085</v>
      </c>
      <c r="G88" s="21" t="s">
        <v>533</v>
      </c>
      <c r="H88" s="38" t="s">
        <v>386</v>
      </c>
      <c r="I88" s="39">
        <f ca="1">IFERROR(__xludf.DUMMYFUNCTION("IF(SUM(COUNTIF(artists!A:A, SPLIT(D88, "",""))) &gt; 0, ""UA"", 0)"),0)</f>
        <v>0</v>
      </c>
      <c r="J88" s="40">
        <f ca="1">IFERROR(__xludf.DUMMYFUNCTION("IF(SUM(COUNTIF(artists!C:C, SPLIT(D88, "",""))) &gt; 0, ""RU"", 0)"),0)</f>
        <v>0</v>
      </c>
      <c r="K88" s="39" t="str">
        <f ca="1">IFERROR(__xludf.DUMMYFUNCTION("IF(SUM(COUNTIF(artists!E:E, SPLIT(D88, "",""))) &gt; 0, ""OTHER"", 0)"),"OTHER")</f>
        <v>OTHER</v>
      </c>
    </row>
    <row r="89" spans="1:11">
      <c r="A89" s="21">
        <v>88</v>
      </c>
      <c r="B89" s="21">
        <v>89</v>
      </c>
      <c r="C89" s="21" t="s">
        <v>358</v>
      </c>
      <c r="D89" s="21" t="s">
        <v>359</v>
      </c>
      <c r="E89" s="21">
        <v>17</v>
      </c>
      <c r="F89" s="21">
        <v>153845</v>
      </c>
      <c r="G89" s="21" t="s">
        <v>450</v>
      </c>
      <c r="H89" s="38" t="s">
        <v>361</v>
      </c>
      <c r="I89" s="39">
        <f ca="1">IFERROR(__xludf.DUMMYFUNCTION("IF(SUM(COUNTIF(artists!A:A, SPLIT(D89, "",""))) &gt; 0, ""UA"", 0)"),0)</f>
        <v>0</v>
      </c>
      <c r="J89" s="40">
        <f ca="1">IFERROR(__xludf.DUMMYFUNCTION("IF(SUM(COUNTIF(artists!C:C, SPLIT(D89, "",""))) &gt; 0, ""RU"", 0)"),0)</f>
        <v>0</v>
      </c>
      <c r="K89" s="39" t="str">
        <f ca="1">IFERROR(__xludf.DUMMYFUNCTION("IF(SUM(COUNTIF(artists!E:E, SPLIT(D89, "",""))) &gt; 0, ""OTHER"", 0)"),"OTHER")</f>
        <v>OTHER</v>
      </c>
    </row>
    <row r="90" spans="1:11">
      <c r="A90" s="21">
        <v>89</v>
      </c>
      <c r="C90" s="21" t="s">
        <v>390</v>
      </c>
      <c r="D90" s="21" t="s">
        <v>391</v>
      </c>
      <c r="E90" s="21">
        <v>9</v>
      </c>
      <c r="F90" s="21">
        <v>151070</v>
      </c>
      <c r="H90" s="38" t="s">
        <v>393</v>
      </c>
      <c r="I90" s="39">
        <f ca="1">IFERROR(__xludf.DUMMYFUNCTION("IF(SUM(COUNTIF(artists!A:A, SPLIT(D90, "",""))) &gt; 0, ""UA"", 0)"),0)</f>
        <v>0</v>
      </c>
      <c r="J90" s="40" t="str">
        <f ca="1">IFERROR(__xludf.DUMMYFUNCTION("IF(SUM(COUNTIF(artists!C:C, SPLIT(D90, "",""))) &gt; 0, ""RU"", 0)"),"RU")</f>
        <v>RU</v>
      </c>
      <c r="K90" s="39">
        <f ca="1">IFERROR(__xludf.DUMMYFUNCTION("IF(SUM(COUNTIF(artists!E:E, SPLIT(D90, "",""))) &gt; 0, ""OTHER"", 0)"),0)</f>
        <v>0</v>
      </c>
    </row>
    <row r="91" spans="1:11">
      <c r="A91" s="21">
        <v>90</v>
      </c>
      <c r="B91" s="21">
        <v>93</v>
      </c>
      <c r="C91" s="21" t="s">
        <v>534</v>
      </c>
      <c r="D91" s="21" t="s">
        <v>535</v>
      </c>
      <c r="E91" s="21">
        <v>5</v>
      </c>
      <c r="F91" s="21">
        <v>150957</v>
      </c>
      <c r="G91" s="21" t="s">
        <v>447</v>
      </c>
      <c r="H91" s="38" t="s">
        <v>536</v>
      </c>
      <c r="I91" s="39">
        <f ca="1">IFERROR(__xludf.DUMMYFUNCTION("IF(SUM(COUNTIF(artists!A:A, SPLIT(D91, "",""))) &gt; 0, ""UA"", 0)"),0)</f>
        <v>0</v>
      </c>
      <c r="J91" s="40" t="str">
        <f ca="1">IFERROR(__xludf.DUMMYFUNCTION("IF(SUM(COUNTIF(artists!C:C, SPLIT(D91, "",""))) &gt; 0, ""RU"", 0)"),"RU")</f>
        <v>RU</v>
      </c>
      <c r="K91" s="39">
        <f ca="1">IFERROR(__xludf.DUMMYFUNCTION("IF(SUM(COUNTIF(artists!E:E, SPLIT(D91, "",""))) &gt; 0, ""OTHER"", 0)"),0)</f>
        <v>0</v>
      </c>
    </row>
    <row r="92" spans="1:11">
      <c r="A92" s="21">
        <v>91</v>
      </c>
      <c r="C92" s="21" t="s">
        <v>328</v>
      </c>
      <c r="D92" s="21" t="s">
        <v>329</v>
      </c>
      <c r="E92" s="21">
        <v>2</v>
      </c>
      <c r="F92" s="21">
        <v>149905</v>
      </c>
      <c r="H92" s="38" t="s">
        <v>331</v>
      </c>
      <c r="I92" s="39">
        <f ca="1">IFERROR(__xludf.DUMMYFUNCTION("IF(SUM(COUNTIF(artists!A:A, SPLIT(D92, "",""))) &gt; 0, ""UA"", 0)"),0)</f>
        <v>0</v>
      </c>
      <c r="J92" s="40">
        <f ca="1">IFERROR(__xludf.DUMMYFUNCTION("IF(SUM(COUNTIF(artists!C:C, SPLIT(D92, "",""))) &gt; 0, ""RU"", 0)"),0)</f>
        <v>0</v>
      </c>
      <c r="K92" s="39" t="str">
        <f ca="1">IFERROR(__xludf.DUMMYFUNCTION("IF(SUM(COUNTIF(artists!E:E, SPLIT(D92, "",""))) &gt; 0, ""OTHER"", 0)"),"OTHER")</f>
        <v>OTHER</v>
      </c>
    </row>
    <row r="93" spans="1:11">
      <c r="A93" s="21">
        <v>92</v>
      </c>
      <c r="C93" s="21" t="s">
        <v>347</v>
      </c>
      <c r="D93" s="21" t="s">
        <v>348</v>
      </c>
      <c r="E93" s="21">
        <v>1</v>
      </c>
      <c r="F93" s="21">
        <v>149843</v>
      </c>
      <c r="H93" s="38" t="s">
        <v>350</v>
      </c>
      <c r="I93" s="39" t="str">
        <f ca="1">IFERROR(__xludf.DUMMYFUNCTION("IF(SUM(COUNTIF(artists!A:A, SPLIT(D93, "",""))) &gt; 0, ""UA"", 0)"),"UA")</f>
        <v>UA</v>
      </c>
      <c r="J93" s="40">
        <f ca="1">IFERROR(__xludf.DUMMYFUNCTION("IF(SUM(COUNTIF(artists!C:C, SPLIT(D93, "",""))) &gt; 0, ""RU"", 0)"),0)</f>
        <v>0</v>
      </c>
      <c r="K93" s="39">
        <f ca="1">IFERROR(__xludf.DUMMYFUNCTION("IF(SUM(COUNTIF(artists!E:E, SPLIT(D93, "",""))) &gt; 0, ""OTHER"", 0)"),0)</f>
        <v>0</v>
      </c>
    </row>
    <row r="94" spans="1:11">
      <c r="A94" s="21">
        <v>93</v>
      </c>
      <c r="C94" s="21" t="s">
        <v>379</v>
      </c>
      <c r="D94" s="21" t="s">
        <v>380</v>
      </c>
      <c r="E94" s="21">
        <v>14</v>
      </c>
      <c r="F94" s="21">
        <v>148835</v>
      </c>
      <c r="H94" s="38" t="s">
        <v>382</v>
      </c>
      <c r="I94" s="39" t="str">
        <f ca="1">IFERROR(__xludf.DUMMYFUNCTION("IF(SUM(COUNTIF(artists!A:A, SPLIT(D94, "",""))) &gt; 0, ""UA"", 0)"),"UA")</f>
        <v>UA</v>
      </c>
      <c r="J94" s="40">
        <f ca="1">IFERROR(__xludf.DUMMYFUNCTION("IF(SUM(COUNTIF(artists!C:C, SPLIT(D94, "",""))) &gt; 0, ""RU"", 0)"),0)</f>
        <v>0</v>
      </c>
      <c r="K94" s="39">
        <f ca="1">IFERROR(__xludf.DUMMYFUNCTION("IF(SUM(COUNTIF(artists!E:E, SPLIT(D94, "",""))) &gt; 0, ""OTHER"", 0)"),0)</f>
        <v>0</v>
      </c>
    </row>
    <row r="95" spans="1:11">
      <c r="A95" s="21">
        <v>94</v>
      </c>
      <c r="B95" s="21">
        <v>81</v>
      </c>
      <c r="C95" s="21" t="s">
        <v>394</v>
      </c>
      <c r="D95" s="21" t="s">
        <v>395</v>
      </c>
      <c r="E95" s="21">
        <v>2</v>
      </c>
      <c r="F95" s="21">
        <v>148717</v>
      </c>
      <c r="G95" s="21" t="s">
        <v>537</v>
      </c>
      <c r="H95" s="38" t="s">
        <v>397</v>
      </c>
      <c r="I95" s="39">
        <f ca="1">IFERROR(__xludf.DUMMYFUNCTION("IF(SUM(COUNTIF(artists!A:A, SPLIT(D95, "",""))) &gt; 0, ""UA"", 0)"),0)</f>
        <v>0</v>
      </c>
      <c r="J95" s="40" t="str">
        <f ca="1">IFERROR(__xludf.DUMMYFUNCTION("IF(SUM(COUNTIF(artists!C:C, SPLIT(D95, "",""))) &gt; 0, ""RU"", 0)"),"RU")</f>
        <v>RU</v>
      </c>
      <c r="K95" s="39">
        <f ca="1">IFERROR(__xludf.DUMMYFUNCTION("IF(SUM(COUNTIF(artists!E:E, SPLIT(D95, "",""))) &gt; 0, ""OTHER"", 0)"),0)</f>
        <v>0</v>
      </c>
    </row>
    <row r="96" spans="1:11">
      <c r="A96" s="21">
        <v>95</v>
      </c>
      <c r="B96" s="21">
        <v>99</v>
      </c>
      <c r="C96" s="21" t="s">
        <v>370</v>
      </c>
      <c r="D96" s="21" t="s">
        <v>222</v>
      </c>
      <c r="E96" s="21">
        <v>9</v>
      </c>
      <c r="F96" s="21">
        <v>148589</v>
      </c>
      <c r="G96" s="21" t="s">
        <v>538</v>
      </c>
      <c r="H96" s="38" t="s">
        <v>372</v>
      </c>
      <c r="I96" s="39">
        <f ca="1">IFERROR(__xludf.DUMMYFUNCTION("IF(SUM(COUNTIF(artists!A:A, SPLIT(D96, "",""))) &gt; 0, ""UA"", 0)"),0)</f>
        <v>0</v>
      </c>
      <c r="J96" s="40">
        <f ca="1">IFERROR(__xludf.DUMMYFUNCTION("IF(SUM(COUNTIF(artists!C:C, SPLIT(D96, "",""))) &gt; 0, ""RU"", 0)"),0)</f>
        <v>0</v>
      </c>
      <c r="K96" s="39" t="str">
        <f ca="1">IFERROR(__xludf.DUMMYFUNCTION("IF(SUM(COUNTIF(artists!E:E, SPLIT(D96, "",""))) &gt; 0, ""OTHER"", 0)"),"OTHER")</f>
        <v>OTHER</v>
      </c>
    </row>
    <row r="97" spans="1:11">
      <c r="A97" s="21">
        <v>96</v>
      </c>
      <c r="C97" s="21" t="s">
        <v>414</v>
      </c>
      <c r="D97" s="21" t="s">
        <v>415</v>
      </c>
      <c r="E97" s="21">
        <v>3</v>
      </c>
      <c r="F97" s="21">
        <v>147866</v>
      </c>
      <c r="H97" s="38" t="s">
        <v>417</v>
      </c>
      <c r="I97" s="39" t="str">
        <f ca="1">IFERROR(__xludf.DUMMYFUNCTION("IF(SUM(COUNTIF(artists!A:A, SPLIT(D97, "",""))) &gt; 0, ""UA"", 0)"),"UA")</f>
        <v>UA</v>
      </c>
      <c r="J97" s="40">
        <f ca="1">IFERROR(__xludf.DUMMYFUNCTION("IF(SUM(COUNTIF(artists!C:C, SPLIT(D97, "",""))) &gt; 0, ""RU"", 0)"),0)</f>
        <v>0</v>
      </c>
      <c r="K97" s="39">
        <f ca="1">IFERROR(__xludf.DUMMYFUNCTION("IF(SUM(COUNTIF(artists!E:E, SPLIT(D97, "",""))) &gt; 0, ""OTHER"", 0)"),0)</f>
        <v>0</v>
      </c>
    </row>
    <row r="98" spans="1:11">
      <c r="A98" s="21">
        <v>97</v>
      </c>
      <c r="C98" s="21" t="s">
        <v>539</v>
      </c>
      <c r="D98" s="21" t="s">
        <v>540</v>
      </c>
      <c r="E98" s="21">
        <v>24</v>
      </c>
      <c r="F98" s="21">
        <v>147489</v>
      </c>
      <c r="H98" s="38" t="s">
        <v>541</v>
      </c>
      <c r="I98" s="39">
        <f ca="1">IFERROR(__xludf.DUMMYFUNCTION("IF(SUM(COUNTIF(artists!A:A, SPLIT(D98, "",""))) &gt; 0, ""UA"", 0)"),0)</f>
        <v>0</v>
      </c>
      <c r="J98" s="40" t="str">
        <f ca="1">IFERROR(__xludf.DUMMYFUNCTION("IF(SUM(COUNTIF(artists!C:C, SPLIT(D98, "",""))) &gt; 0, ""RU"", 0)"),"RU")</f>
        <v>RU</v>
      </c>
      <c r="K98" s="39">
        <f ca="1">IFERROR(__xludf.DUMMYFUNCTION("IF(SUM(COUNTIF(artists!E:E, SPLIT(D98, "",""))) &gt; 0, ""OTHER"", 0)"),0)</f>
        <v>0</v>
      </c>
    </row>
    <row r="99" spans="1:11">
      <c r="A99" s="21">
        <v>98</v>
      </c>
      <c r="C99" s="21" t="s">
        <v>542</v>
      </c>
      <c r="D99" s="21" t="s">
        <v>543</v>
      </c>
      <c r="E99" s="21">
        <v>1</v>
      </c>
      <c r="F99" s="21">
        <v>147202</v>
      </c>
      <c r="H99" s="38" t="s">
        <v>544</v>
      </c>
      <c r="I99" s="39">
        <f ca="1">IFERROR(__xludf.DUMMYFUNCTION("IF(SUM(COUNTIF(artists!A:A, SPLIT(D99, "",""))) &gt; 0, ""UA"", 0)"),0)</f>
        <v>0</v>
      </c>
      <c r="J99" s="40" t="str">
        <f ca="1">IFERROR(__xludf.DUMMYFUNCTION("IF(SUM(COUNTIF(artists!C:C, SPLIT(D99, "",""))) &gt; 0, ""RU"", 0)"),"RU")</f>
        <v>RU</v>
      </c>
      <c r="K99" s="39">
        <f ca="1">IFERROR(__xludf.DUMMYFUNCTION("IF(SUM(COUNTIF(artists!E:E, SPLIT(D99, "",""))) &gt; 0, ""OTHER"", 0)"),0)</f>
        <v>0</v>
      </c>
    </row>
    <row r="100" spans="1:11">
      <c r="A100" s="21">
        <v>99</v>
      </c>
      <c r="B100" s="21">
        <v>92</v>
      </c>
      <c r="C100" s="21" t="s">
        <v>355</v>
      </c>
      <c r="D100" s="21" t="s">
        <v>356</v>
      </c>
      <c r="E100" s="21">
        <v>15</v>
      </c>
      <c r="F100" s="21">
        <v>147108</v>
      </c>
      <c r="G100" s="21" t="s">
        <v>469</v>
      </c>
      <c r="H100" s="38" t="s">
        <v>357</v>
      </c>
      <c r="I100" s="39">
        <f ca="1">IFERROR(__xludf.DUMMYFUNCTION("IF(SUM(COUNTIF(artists!A:A, SPLIT(D100, "",""))) &gt; 0, ""UA"", 0)"),0)</f>
        <v>0</v>
      </c>
      <c r="J100" s="40">
        <f ca="1">IFERROR(__xludf.DUMMYFUNCTION("IF(SUM(COUNTIF(artists!C:C, SPLIT(D100, "",""))) &gt; 0, ""RU"", 0)"),0)</f>
        <v>0</v>
      </c>
      <c r="K100" s="39" t="str">
        <f ca="1">IFERROR(__xludf.DUMMYFUNCTION("IF(SUM(COUNTIF(artists!E:E, SPLIT(D100, "",""))) &gt; 0, ""OTHER"", 0)"),"OTHER")</f>
        <v>OTHER</v>
      </c>
    </row>
    <row r="101" spans="1:11">
      <c r="A101" s="21">
        <v>100</v>
      </c>
      <c r="B101" s="21">
        <v>79</v>
      </c>
      <c r="C101" s="21" t="s">
        <v>545</v>
      </c>
      <c r="D101" s="21" t="s">
        <v>546</v>
      </c>
      <c r="E101" s="21">
        <v>14</v>
      </c>
      <c r="F101" s="21">
        <v>146480</v>
      </c>
      <c r="G101" s="21" t="s">
        <v>547</v>
      </c>
      <c r="H101" s="38" t="s">
        <v>548</v>
      </c>
      <c r="I101" s="39">
        <f ca="1">IFERROR(__xludf.DUMMYFUNCTION("IF(SUM(COUNTIF(artists!A:A, SPLIT(D101, "",""))) &gt; 0, ""UA"", 0)"),0)</f>
        <v>0</v>
      </c>
      <c r="J101" s="40" t="str">
        <f ca="1">IFERROR(__xludf.DUMMYFUNCTION("IF(SUM(COUNTIF(artists!C:C, SPLIT(D101, "",""))) &gt; 0, ""RU"", 0)"),"RU")</f>
        <v>RU</v>
      </c>
      <c r="K101" s="39">
        <f ca="1">IFERROR(__xludf.DUMMYFUNCTION("IF(SUM(COUNTIF(artists!E:E, SPLIT(D101, "",""))) &gt; 0, ""OTHER"", 0)"),0)</f>
        <v>0</v>
      </c>
    </row>
  </sheetData>
  <conditionalFormatting sqref="I2:K101">
    <cfRule type="expression" dxfId="117" priority="1">
      <formula>AND($I2=0, $J2=0, $K2=0)</formula>
    </cfRule>
    <cfRule type="expression" dxfId="116" priority="2">
      <formula>OR(AND($I2&lt;&gt;0, $J2&lt;&gt;0), AND($I2&lt;&gt;0, $K2&lt;&gt;0), AND($J2&lt;&gt;0, $K2&lt;&gt;0))</formula>
    </cfRule>
  </conditionalFormatting>
  <hyperlinks>
    <hyperlink ref="H2" r:id="rId1" xr:uid="{00000000-0004-0000-0300-000000000000}"/>
    <hyperlink ref="H3" r:id="rId2" xr:uid="{00000000-0004-0000-0300-000001000000}"/>
    <hyperlink ref="H4" r:id="rId3" xr:uid="{00000000-0004-0000-0300-000002000000}"/>
    <hyperlink ref="H5" r:id="rId4" xr:uid="{00000000-0004-0000-0300-000003000000}"/>
    <hyperlink ref="H6" r:id="rId5" xr:uid="{00000000-0004-0000-0300-000004000000}"/>
    <hyperlink ref="H7" r:id="rId6" xr:uid="{00000000-0004-0000-0300-000005000000}"/>
    <hyperlink ref="H8" r:id="rId7" xr:uid="{00000000-0004-0000-0300-000006000000}"/>
    <hyperlink ref="H9" r:id="rId8" xr:uid="{00000000-0004-0000-0300-000007000000}"/>
    <hyperlink ref="H10" r:id="rId9" xr:uid="{00000000-0004-0000-0300-000008000000}"/>
    <hyperlink ref="H11" r:id="rId10" xr:uid="{00000000-0004-0000-0300-000009000000}"/>
    <hyperlink ref="H12" r:id="rId11" xr:uid="{00000000-0004-0000-0300-00000A000000}"/>
    <hyperlink ref="H13" r:id="rId12" xr:uid="{00000000-0004-0000-0300-00000B000000}"/>
    <hyperlink ref="H14" r:id="rId13" xr:uid="{00000000-0004-0000-0300-00000C000000}"/>
    <hyperlink ref="H15" r:id="rId14" xr:uid="{00000000-0004-0000-0300-00000D000000}"/>
    <hyperlink ref="H16" r:id="rId15" xr:uid="{00000000-0004-0000-0300-00000E000000}"/>
    <hyperlink ref="H17" r:id="rId16" xr:uid="{00000000-0004-0000-0300-00000F000000}"/>
    <hyperlink ref="H18" r:id="rId17" xr:uid="{00000000-0004-0000-0300-000010000000}"/>
    <hyperlink ref="H19" r:id="rId18" xr:uid="{00000000-0004-0000-0300-000011000000}"/>
    <hyperlink ref="H20" r:id="rId19" xr:uid="{00000000-0004-0000-0300-000012000000}"/>
    <hyperlink ref="H21" r:id="rId20" xr:uid="{00000000-0004-0000-0300-000013000000}"/>
    <hyperlink ref="H22" r:id="rId21" xr:uid="{00000000-0004-0000-0300-000014000000}"/>
    <hyperlink ref="H23" r:id="rId22" xr:uid="{00000000-0004-0000-0300-000015000000}"/>
    <hyperlink ref="H24" r:id="rId23" xr:uid="{00000000-0004-0000-0300-000016000000}"/>
    <hyperlink ref="H25" r:id="rId24" xr:uid="{00000000-0004-0000-0300-000017000000}"/>
    <hyperlink ref="H26" r:id="rId25" xr:uid="{00000000-0004-0000-0300-000018000000}"/>
    <hyperlink ref="H27" r:id="rId26" xr:uid="{00000000-0004-0000-0300-000019000000}"/>
    <hyperlink ref="H28" r:id="rId27" xr:uid="{00000000-0004-0000-0300-00001A000000}"/>
    <hyperlink ref="H29" r:id="rId28" xr:uid="{00000000-0004-0000-0300-00001B000000}"/>
    <hyperlink ref="H30" r:id="rId29" xr:uid="{00000000-0004-0000-0300-00001C000000}"/>
    <hyperlink ref="H31" r:id="rId30" xr:uid="{00000000-0004-0000-0300-00001D000000}"/>
    <hyperlink ref="H32" r:id="rId31" xr:uid="{00000000-0004-0000-0300-00001E000000}"/>
    <hyperlink ref="H33" r:id="rId32" xr:uid="{00000000-0004-0000-0300-00001F000000}"/>
    <hyperlink ref="H34" r:id="rId33" xr:uid="{00000000-0004-0000-0300-000020000000}"/>
    <hyperlink ref="H35" r:id="rId34" xr:uid="{00000000-0004-0000-0300-000021000000}"/>
    <hyperlink ref="H36" r:id="rId35" xr:uid="{00000000-0004-0000-0300-000022000000}"/>
    <hyperlink ref="H37" r:id="rId36" xr:uid="{00000000-0004-0000-0300-000023000000}"/>
    <hyperlink ref="H38" r:id="rId37" xr:uid="{00000000-0004-0000-0300-000024000000}"/>
    <hyperlink ref="H39" r:id="rId38" xr:uid="{00000000-0004-0000-0300-000025000000}"/>
    <hyperlink ref="H40" r:id="rId39" xr:uid="{00000000-0004-0000-0300-000026000000}"/>
    <hyperlink ref="H41" r:id="rId40" xr:uid="{00000000-0004-0000-0300-000027000000}"/>
    <hyperlink ref="H42" r:id="rId41" xr:uid="{00000000-0004-0000-0300-000028000000}"/>
    <hyperlink ref="H43" r:id="rId42" xr:uid="{00000000-0004-0000-0300-000029000000}"/>
    <hyperlink ref="H44" r:id="rId43" xr:uid="{00000000-0004-0000-0300-00002A000000}"/>
    <hyperlink ref="H45" r:id="rId44" xr:uid="{00000000-0004-0000-0300-00002B000000}"/>
    <hyperlink ref="H46" r:id="rId45" xr:uid="{00000000-0004-0000-0300-00002C000000}"/>
    <hyperlink ref="H47" r:id="rId46" xr:uid="{00000000-0004-0000-0300-00002D000000}"/>
    <hyperlink ref="H48" r:id="rId47" xr:uid="{00000000-0004-0000-0300-00002E000000}"/>
    <hyperlink ref="H49" r:id="rId48" xr:uid="{00000000-0004-0000-0300-00002F000000}"/>
    <hyperlink ref="H50" r:id="rId49" xr:uid="{00000000-0004-0000-0300-000030000000}"/>
    <hyperlink ref="H51" r:id="rId50" xr:uid="{00000000-0004-0000-0300-000031000000}"/>
    <hyperlink ref="H52" r:id="rId51" xr:uid="{00000000-0004-0000-0300-000032000000}"/>
    <hyperlink ref="H53" r:id="rId52" xr:uid="{00000000-0004-0000-0300-000033000000}"/>
    <hyperlink ref="H54" r:id="rId53" xr:uid="{00000000-0004-0000-0300-000034000000}"/>
    <hyperlink ref="H55" r:id="rId54" xr:uid="{00000000-0004-0000-0300-000035000000}"/>
    <hyperlink ref="H56" r:id="rId55" xr:uid="{00000000-0004-0000-0300-000036000000}"/>
    <hyperlink ref="H57" r:id="rId56" xr:uid="{00000000-0004-0000-0300-000037000000}"/>
    <hyperlink ref="H58" r:id="rId57" xr:uid="{00000000-0004-0000-0300-000038000000}"/>
    <hyperlink ref="H59" r:id="rId58" xr:uid="{00000000-0004-0000-0300-000039000000}"/>
    <hyperlink ref="H60" r:id="rId59" xr:uid="{00000000-0004-0000-0300-00003A000000}"/>
    <hyperlink ref="H61" r:id="rId60" xr:uid="{00000000-0004-0000-0300-00003B000000}"/>
    <hyperlink ref="H62" r:id="rId61" xr:uid="{00000000-0004-0000-0300-00003C000000}"/>
    <hyperlink ref="H63" r:id="rId62" xr:uid="{00000000-0004-0000-0300-00003D000000}"/>
    <hyperlink ref="H64" r:id="rId63" xr:uid="{00000000-0004-0000-0300-00003E000000}"/>
    <hyperlink ref="H65" r:id="rId64" xr:uid="{00000000-0004-0000-0300-00003F000000}"/>
    <hyperlink ref="H66" r:id="rId65" xr:uid="{00000000-0004-0000-0300-000040000000}"/>
    <hyperlink ref="H67" r:id="rId66" xr:uid="{00000000-0004-0000-0300-000041000000}"/>
    <hyperlink ref="H68" r:id="rId67" xr:uid="{00000000-0004-0000-0300-000042000000}"/>
    <hyperlink ref="H69" r:id="rId68" xr:uid="{00000000-0004-0000-0300-000043000000}"/>
    <hyperlink ref="H70" r:id="rId69" xr:uid="{00000000-0004-0000-0300-000044000000}"/>
    <hyperlink ref="H71" r:id="rId70" xr:uid="{00000000-0004-0000-0300-000045000000}"/>
    <hyperlink ref="H72" r:id="rId71" xr:uid="{00000000-0004-0000-0300-000046000000}"/>
    <hyperlink ref="H73" r:id="rId72" xr:uid="{00000000-0004-0000-0300-000047000000}"/>
    <hyperlink ref="H74" r:id="rId73" xr:uid="{00000000-0004-0000-0300-000048000000}"/>
    <hyperlink ref="H75" r:id="rId74" xr:uid="{00000000-0004-0000-0300-000049000000}"/>
    <hyperlink ref="H76" r:id="rId75" xr:uid="{00000000-0004-0000-0300-00004A000000}"/>
    <hyperlink ref="H77" r:id="rId76" xr:uid="{00000000-0004-0000-0300-00004B000000}"/>
    <hyperlink ref="H78" r:id="rId77" xr:uid="{00000000-0004-0000-0300-00004C000000}"/>
    <hyperlink ref="H79" r:id="rId78" xr:uid="{00000000-0004-0000-0300-00004D000000}"/>
    <hyperlink ref="H80" r:id="rId79" xr:uid="{00000000-0004-0000-0300-00004E000000}"/>
    <hyperlink ref="H81" r:id="rId80" xr:uid="{00000000-0004-0000-0300-00004F000000}"/>
    <hyperlink ref="H82" r:id="rId81" xr:uid="{00000000-0004-0000-0300-000050000000}"/>
    <hyperlink ref="H83" r:id="rId82" xr:uid="{00000000-0004-0000-0300-000051000000}"/>
    <hyperlink ref="H84" r:id="rId83" xr:uid="{00000000-0004-0000-0300-000052000000}"/>
    <hyperlink ref="H85" r:id="rId84" xr:uid="{00000000-0004-0000-0300-000053000000}"/>
    <hyperlink ref="H86" r:id="rId85" xr:uid="{00000000-0004-0000-0300-000054000000}"/>
    <hyperlink ref="H87" r:id="rId86" xr:uid="{00000000-0004-0000-0300-000055000000}"/>
    <hyperlink ref="H88" r:id="rId87" xr:uid="{00000000-0004-0000-0300-000056000000}"/>
    <hyperlink ref="H89" r:id="rId88" xr:uid="{00000000-0004-0000-0300-000057000000}"/>
    <hyperlink ref="H90" r:id="rId89" xr:uid="{00000000-0004-0000-0300-000058000000}"/>
    <hyperlink ref="H91" r:id="rId90" xr:uid="{00000000-0004-0000-0300-000059000000}"/>
    <hyperlink ref="H92" r:id="rId91" xr:uid="{00000000-0004-0000-0300-00005A000000}"/>
    <hyperlink ref="H93" r:id="rId92" xr:uid="{00000000-0004-0000-0300-00005B000000}"/>
    <hyperlink ref="H94" r:id="rId93" xr:uid="{00000000-0004-0000-0300-00005C000000}"/>
    <hyperlink ref="H95" r:id="rId94" xr:uid="{00000000-0004-0000-0300-00005D000000}"/>
    <hyperlink ref="H96" r:id="rId95" xr:uid="{00000000-0004-0000-0300-00005E000000}"/>
    <hyperlink ref="H97" r:id="rId96" xr:uid="{00000000-0004-0000-0300-00005F000000}"/>
    <hyperlink ref="H98" r:id="rId97" xr:uid="{00000000-0004-0000-0300-000060000000}"/>
    <hyperlink ref="H99" r:id="rId98" xr:uid="{00000000-0004-0000-0300-000061000000}"/>
    <hyperlink ref="H100" r:id="rId99" xr:uid="{00000000-0004-0000-0300-000062000000}"/>
    <hyperlink ref="H101" r:id="rId100" xr:uid="{00000000-0004-0000-0300-000063000000}"/>
  </hyperlink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Аркуш40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4" width="8.6640625" customWidth="1"/>
    <col min="5" max="5" width="8.6640625" hidden="1" customWidth="1"/>
    <col min="6" max="6" width="8.6640625" customWidth="1"/>
    <col min="7" max="7" width="13.10937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B2" s="21">
        <v>1</v>
      </c>
      <c r="C2" s="21" t="s">
        <v>645</v>
      </c>
      <c r="D2" s="21" t="s">
        <v>352</v>
      </c>
      <c r="E2" s="21">
        <v>18</v>
      </c>
      <c r="F2" s="21">
        <v>2325394</v>
      </c>
      <c r="G2" s="42">
        <v>-5.2999999999999999E-2</v>
      </c>
      <c r="H2" s="21" t="s">
        <v>647</v>
      </c>
      <c r="I2" s="39" t="str">
        <f ca="1">IFERROR(__xludf.DUMMYFUNCTION("IF(SUM(COUNTIF(artists!A:A, SPLIT(D2, "",""))) &gt; 0, ""UA"", 0)"),"UA")</f>
        <v>UA</v>
      </c>
      <c r="J2" s="40">
        <f ca="1">IFERROR(__xludf.DUMMYFUNCTION("IF(SUM(COUNTIF(artists!C:C, SPLIT(D2, "",""))) &gt; 0, ""RU"", 0)"),0)</f>
        <v>0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C3" s="21" t="s">
        <v>182</v>
      </c>
      <c r="D3" s="21" t="s">
        <v>183</v>
      </c>
      <c r="E3" s="21">
        <v>1</v>
      </c>
      <c r="F3" s="21">
        <v>1346332</v>
      </c>
      <c r="H3" s="21" t="s">
        <v>185</v>
      </c>
      <c r="I3" s="39" t="str">
        <f ca="1">IFERROR(__xludf.DUMMYFUNCTION("IF(SUM(COUNTIF(artists!A:A, SPLIT(D3, "",""))) &gt; 0, ""UA"", 0)"),"UA")</f>
        <v>UA</v>
      </c>
      <c r="J3" s="40">
        <f ca="1">IFERROR(__xludf.DUMMYFUNCTION("IF(SUM(COUNTIF(artists!C:C, SPLIT(D3, "",""))) &gt; 0, ""RU"", 0)"),0)</f>
        <v>0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C4" s="21" t="s">
        <v>697</v>
      </c>
      <c r="D4" s="21" t="s">
        <v>698</v>
      </c>
      <c r="E4" s="21">
        <v>1</v>
      </c>
      <c r="F4" s="21">
        <v>1316317</v>
      </c>
      <c r="H4" s="21" t="s">
        <v>699</v>
      </c>
      <c r="I4" s="39">
        <f ca="1">IFERROR(__xludf.DUMMYFUNCTION("IF(SUM(COUNTIF(artists!A:A, SPLIT(D4, "",""))) &gt; 0, ""UA"", 0)"),0)</f>
        <v>0</v>
      </c>
      <c r="J4" s="40" t="str">
        <f ca="1">IFERROR(__xludf.DUMMYFUNCTION("IF(SUM(COUNTIF(artists!C:C, SPLIT(D4, "",""))) &gt; 0, ""RU"", 0)"),"RU")</f>
        <v>RU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C5" s="21" t="s">
        <v>128</v>
      </c>
      <c r="D5" s="21" t="s">
        <v>129</v>
      </c>
      <c r="E5" s="21">
        <v>1</v>
      </c>
      <c r="F5" s="21">
        <v>1314334</v>
      </c>
      <c r="H5" s="21" t="s">
        <v>131</v>
      </c>
      <c r="I5" s="39" t="str">
        <f ca="1">IFERROR(__xludf.DUMMYFUNCTION("IF(SUM(COUNTIF(artists!A:A, SPLIT(D5, "",""))) &gt; 0, ""UA"", 0)"),"UA")</f>
        <v>UA</v>
      </c>
      <c r="J5" s="40">
        <f ca="1">IFERROR(__xludf.DUMMYFUNCTION("IF(SUM(COUNTIF(artists!C:C, SPLIT(D5, "",""))) &gt; 0, ""RU"", 0)"),0)</f>
        <v>0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B6" s="21">
        <v>2</v>
      </c>
      <c r="C6" s="21" t="s">
        <v>194</v>
      </c>
      <c r="D6" s="21" t="s">
        <v>195</v>
      </c>
      <c r="E6" s="21">
        <v>8</v>
      </c>
      <c r="F6" s="21">
        <v>1189950</v>
      </c>
      <c r="G6" s="42">
        <v>-1.2E-2</v>
      </c>
      <c r="H6" s="21" t="s">
        <v>197</v>
      </c>
      <c r="I6" s="39" t="str">
        <f ca="1">IFERROR(__xludf.DUMMYFUNCTION("IF(SUM(COUNTIF(artists!A:A, SPLIT(D6, "",""))) &gt; 0, ""UA"", 0)"),"UA")</f>
        <v>UA</v>
      </c>
      <c r="J6" s="40">
        <f ca="1">IFERROR(__xludf.DUMMYFUNCTION("IF(SUM(COUNTIF(artists!C:C, SPLIT(D6, "",""))) &gt; 0, ""RU"", 0)"),0)</f>
        <v>0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B7" s="21">
        <v>3</v>
      </c>
      <c r="C7" s="21" t="s">
        <v>1010</v>
      </c>
      <c r="D7" s="21" t="s">
        <v>1011</v>
      </c>
      <c r="E7" s="21">
        <v>6</v>
      </c>
      <c r="F7" s="21">
        <v>1093453</v>
      </c>
      <c r="G7" s="42">
        <v>0.111</v>
      </c>
      <c r="H7" s="21" t="s">
        <v>1012</v>
      </c>
      <c r="I7" s="39" t="str">
        <f ca="1">IFERROR(__xludf.DUMMYFUNCTION("IF(SUM(COUNTIF(artists!A:A, SPLIT(D7, "",""))) &gt; 0, ""UA"", 0)"),"UA")</f>
        <v>UA</v>
      </c>
      <c r="J7" s="40">
        <f ca="1">IFERROR(__xludf.DUMMYFUNCTION("IF(SUM(COUNTIF(artists!C:C, SPLIT(D7, "",""))) &gt; 0, ""RU"", 0)"),0)</f>
        <v>0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B8" s="21">
        <v>4</v>
      </c>
      <c r="C8" s="21" t="s">
        <v>895</v>
      </c>
      <c r="D8" s="21" t="s">
        <v>896</v>
      </c>
      <c r="E8" s="21">
        <v>17</v>
      </c>
      <c r="F8" s="21">
        <v>800866</v>
      </c>
      <c r="G8" s="42">
        <v>9.5000000000000001E-2</v>
      </c>
      <c r="H8" s="21" t="s">
        <v>897</v>
      </c>
      <c r="I8" s="39" t="str">
        <f ca="1">IFERROR(__xludf.DUMMYFUNCTION("IF(SUM(COUNTIF(artists!A:A, SPLIT(D8, "",""))) &gt; 0, ""UA"", 0)"),"UA")</f>
        <v>UA</v>
      </c>
      <c r="J8" s="40">
        <f ca="1">IFERROR(__xludf.DUMMYFUNCTION("IF(SUM(COUNTIF(artists!C:C, SPLIT(D8, "",""))) &gt; 0, ""RU"", 0)"),0)</f>
        <v>0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B9" s="21">
        <v>9</v>
      </c>
      <c r="C9" s="21" t="s">
        <v>175</v>
      </c>
      <c r="D9" s="21" t="s">
        <v>89</v>
      </c>
      <c r="E9" s="21">
        <v>5</v>
      </c>
      <c r="F9" s="21">
        <v>693775</v>
      </c>
      <c r="G9" s="42">
        <v>8.7999999999999995E-2</v>
      </c>
      <c r="H9" s="21" t="s">
        <v>177</v>
      </c>
      <c r="I9" s="39" t="str">
        <f ca="1">IFERROR(__xludf.DUMMYFUNCTION("IF(SUM(COUNTIF(artists!A:A, SPLIT(D9, "",""))) &gt; 0, ""UA"", 0)"),"UA")</f>
        <v>UA</v>
      </c>
      <c r="J9" s="40">
        <f ca="1">IFERROR(__xludf.DUMMYFUNCTION("IF(SUM(COUNTIF(artists!C:C, SPLIT(D9, "",""))) &gt; 0, ""RU"", 0)"),0)</f>
        <v>0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B10" s="21">
        <v>6</v>
      </c>
      <c r="C10" s="21" t="s">
        <v>1431</v>
      </c>
      <c r="D10" s="21" t="s">
        <v>969</v>
      </c>
      <c r="E10" s="21">
        <v>33</v>
      </c>
      <c r="F10" s="21">
        <v>679305</v>
      </c>
      <c r="G10" s="42">
        <v>1.9E-2</v>
      </c>
      <c r="H10" s="21" t="s">
        <v>1432</v>
      </c>
      <c r="I10" s="39" t="str">
        <f ca="1">IFERROR(__xludf.DUMMYFUNCTION("IF(SUM(COUNTIF(artists!A:A, SPLIT(D10, "",""))) &gt; 0, ""UA"", 0)"),"UA")</f>
        <v>UA</v>
      </c>
      <c r="J10" s="40">
        <f ca="1">IFERROR(__xludf.DUMMYFUNCTION("IF(SUM(COUNTIF(artists!C:C, SPLIT(D10, "",""))) &gt; 0, ""RU"", 0)"),0)</f>
        <v>0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B11" s="21">
        <v>11</v>
      </c>
      <c r="C11" s="21" t="s">
        <v>132</v>
      </c>
      <c r="D11" s="21" t="s">
        <v>133</v>
      </c>
      <c r="E11" s="21">
        <v>5</v>
      </c>
      <c r="F11" s="21">
        <v>672336</v>
      </c>
      <c r="G11" s="42">
        <v>0.215</v>
      </c>
      <c r="H11" s="21" t="s">
        <v>135</v>
      </c>
      <c r="I11" s="39" t="str">
        <f ca="1">IFERROR(__xludf.DUMMYFUNCTION("IF(SUM(COUNTIF(artists!A:A, SPLIT(D11, "",""))) &gt; 0, ""UA"", 0)"),"UA")</f>
        <v>UA</v>
      </c>
      <c r="J11" s="40">
        <f ca="1">IFERROR(__xludf.DUMMYFUNCTION("IF(SUM(COUNTIF(artists!C:C, SPLIT(D11, "",""))) &gt; 0, ""RU"", 0)"),0)</f>
        <v>0</v>
      </c>
      <c r="K11" s="39">
        <f ca="1">IFERROR(__xludf.DUMMYFUNCTION("IF(SUM(COUNTIF(artists!E:E, SPLIT(D11, "",""))) &gt; 0, ""OTHER"", 0)"),0)</f>
        <v>0</v>
      </c>
    </row>
    <row r="12" spans="1:11" ht="14.25" customHeight="1">
      <c r="A12" s="21">
        <v>11</v>
      </c>
      <c r="B12" s="21">
        <v>8</v>
      </c>
      <c r="C12" s="21" t="s">
        <v>1377</v>
      </c>
      <c r="D12" s="21" t="s">
        <v>463</v>
      </c>
      <c r="E12" s="21">
        <v>4</v>
      </c>
      <c r="F12" s="21">
        <v>646543</v>
      </c>
      <c r="G12" s="42">
        <v>7.0000000000000001E-3</v>
      </c>
      <c r="H12" s="21" t="s">
        <v>1378</v>
      </c>
      <c r="I12" s="39" t="str">
        <f ca="1">IFERROR(__xludf.DUMMYFUNCTION("IF(SUM(COUNTIF(artists!A:A, SPLIT(D12, "",""))) &gt; 0, ""UA"", 0)"),"UA")</f>
        <v>UA</v>
      </c>
      <c r="J12" s="40">
        <f ca="1">IFERROR(__xludf.DUMMYFUNCTION("IF(SUM(COUNTIF(artists!C:C, SPLIT(D12, "",""))) &gt; 0, ""RU"", 0)"),0)</f>
        <v>0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B13" s="21">
        <v>7</v>
      </c>
      <c r="C13" s="21" t="s">
        <v>1287</v>
      </c>
      <c r="D13" s="21" t="s">
        <v>1288</v>
      </c>
      <c r="E13" s="21">
        <v>6</v>
      </c>
      <c r="F13" s="21">
        <v>639146</v>
      </c>
      <c r="G13" s="42">
        <v>-1.2999999999999999E-2</v>
      </c>
      <c r="H13" s="21" t="s">
        <v>1289</v>
      </c>
      <c r="I13" s="39">
        <f ca="1">IFERROR(__xludf.DUMMYFUNCTION("IF(SUM(COUNTIF(artists!A:A, SPLIT(D13, "",""))) &gt; 0, ""UA"", 0)"),0)</f>
        <v>0</v>
      </c>
      <c r="J13" s="40">
        <f ca="1">IFERROR(__xludf.DUMMYFUNCTION("IF(SUM(COUNTIF(artists!C:C, SPLIT(D13, "",""))) &gt; 0, ""RU"", 0)"),0)</f>
        <v>0</v>
      </c>
      <c r="K13" s="39" t="str">
        <f ca="1">IFERROR(__xludf.DUMMYFUNCTION("IF(SUM(COUNTIF(artists!E:E, SPLIT(D13, "",""))) &gt; 0, ""OTHER"", 0)"),"OTHER")</f>
        <v>OTHER</v>
      </c>
    </row>
    <row r="14" spans="1:11" ht="14.25" customHeight="1">
      <c r="A14" s="21">
        <v>13</v>
      </c>
      <c r="B14" s="21">
        <v>13</v>
      </c>
      <c r="C14" s="21" t="s">
        <v>229</v>
      </c>
      <c r="D14" s="21" t="s">
        <v>230</v>
      </c>
      <c r="E14" s="21">
        <v>12</v>
      </c>
      <c r="F14" s="21">
        <v>622392</v>
      </c>
      <c r="G14" s="42">
        <v>0.17599999999999999</v>
      </c>
      <c r="H14" s="21" t="s">
        <v>232</v>
      </c>
      <c r="I14" s="39" t="str">
        <f ca="1">IFERROR(__xludf.DUMMYFUNCTION("IF(SUM(COUNTIF(artists!A:A, SPLIT(D14, "",""))) &gt; 0, ""UA"", 0)"),"UA")</f>
        <v>UA</v>
      </c>
      <c r="J14" s="40">
        <f ca="1">IFERROR(__xludf.DUMMYFUNCTION("IF(SUM(COUNTIF(artists!C:C, SPLIT(D14, "",""))) &gt; 0, ""RU"", 0)"),0)</f>
        <v>0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C15" s="21" t="s">
        <v>706</v>
      </c>
      <c r="D15" s="21" t="s">
        <v>199</v>
      </c>
      <c r="E15" s="21">
        <v>1</v>
      </c>
      <c r="F15" s="21">
        <v>611652</v>
      </c>
      <c r="H15" s="21" t="s">
        <v>1126</v>
      </c>
      <c r="I15" s="39" t="str">
        <f ca="1">IFERROR(__xludf.DUMMYFUNCTION("IF(SUM(COUNTIF(artists!A:A, SPLIT(D15, "",""))) &gt; 0, ""UA"", 0)"),"UA")</f>
        <v>UA</v>
      </c>
      <c r="J15" s="40">
        <f ca="1">IFERROR(__xludf.DUMMYFUNCTION("IF(SUM(COUNTIF(artists!C:C, SPLIT(D15, "",""))) &gt; 0, ""RU"", 0)"),0)</f>
        <v>0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B16" s="21">
        <v>12</v>
      </c>
      <c r="C16" s="21" t="s">
        <v>799</v>
      </c>
      <c r="D16" s="21" t="s">
        <v>494</v>
      </c>
      <c r="E16" s="21">
        <v>14</v>
      </c>
      <c r="F16" s="21">
        <v>555481</v>
      </c>
      <c r="G16" s="42">
        <v>4.3999999999999997E-2</v>
      </c>
      <c r="H16" s="21" t="s">
        <v>800</v>
      </c>
      <c r="I16" s="39" t="str">
        <f ca="1">IFERROR(__xludf.DUMMYFUNCTION("IF(SUM(COUNTIF(artists!A:A, SPLIT(D16, "",""))) &gt; 0, ""UA"", 0)"),"UA")</f>
        <v>UA</v>
      </c>
      <c r="J16" s="40">
        <f ca="1">IFERROR(__xludf.DUMMYFUNCTION("IF(SUM(COUNTIF(artists!C:C, SPLIT(D16, "",""))) &gt; 0, ""RU"", 0)"),0)</f>
        <v>0</v>
      </c>
      <c r="K16" s="39">
        <f ca="1">IFERROR(__xludf.DUMMYFUNCTION("IF(SUM(COUNTIF(artists!E:E, SPLIT(D16, "",""))) &gt; 0, ""OTHER"", 0)"),0)</f>
        <v>0</v>
      </c>
    </row>
    <row r="17" spans="1:11" ht="14.25" customHeight="1">
      <c r="A17" s="21">
        <v>16</v>
      </c>
      <c r="B17" s="21">
        <v>14</v>
      </c>
      <c r="C17" s="21" t="s">
        <v>1263</v>
      </c>
      <c r="D17" s="21" t="s">
        <v>1264</v>
      </c>
      <c r="E17" s="21">
        <v>31</v>
      </c>
      <c r="F17" s="21">
        <v>517527</v>
      </c>
      <c r="G17" s="42">
        <v>-3.0000000000000001E-3</v>
      </c>
      <c r="H17" s="21" t="s">
        <v>1265</v>
      </c>
      <c r="I17" s="39">
        <f ca="1">IFERROR(__xludf.DUMMYFUNCTION("IF(SUM(COUNTIF(artists!A:A, SPLIT(D17, "",""))) &gt; 0, ""UA"", 0)"),0)</f>
        <v>0</v>
      </c>
      <c r="J17" s="40" t="str">
        <f ca="1">IFERROR(__xludf.DUMMYFUNCTION("IF(SUM(COUNTIF(artists!C:C, SPLIT(D17, "",""))) &gt; 0, ""RU"", 0)"),"RU")</f>
        <v>RU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B18" s="21">
        <v>15</v>
      </c>
      <c r="C18" s="21" t="s">
        <v>909</v>
      </c>
      <c r="D18" s="21" t="s">
        <v>910</v>
      </c>
      <c r="E18" s="21">
        <v>15</v>
      </c>
      <c r="F18" s="21">
        <v>507450</v>
      </c>
      <c r="G18" s="42">
        <v>-8.9999999999999993E-3</v>
      </c>
      <c r="H18" s="21" t="s">
        <v>911</v>
      </c>
      <c r="I18" s="39" t="str">
        <f ca="1">IFERROR(__xludf.DUMMYFUNCTION("IF(SUM(COUNTIF(artists!A:A, SPLIT(D18, "",""))) &gt; 0, ""UA"", 0)"),"UA")</f>
        <v>UA</v>
      </c>
      <c r="J18" s="40">
        <f ca="1">IFERROR(__xludf.DUMMYFUNCTION("IF(SUM(COUNTIF(artists!C:C, SPLIT(D18, "",""))) &gt; 0, ""RU"", 0)"),0)</f>
        <v>0</v>
      </c>
      <c r="K18" s="39">
        <f ca="1">IFERROR(__xludf.DUMMYFUNCTION("IF(SUM(COUNTIF(artists!E:E, SPLIT(D18, "",""))) &gt; 0, ""OTHER"", 0)"),0)</f>
        <v>0</v>
      </c>
    </row>
    <row r="19" spans="1:11" ht="14.25" customHeight="1">
      <c r="A19" s="21">
        <v>18</v>
      </c>
      <c r="B19" s="21">
        <v>17</v>
      </c>
      <c r="C19" s="21" t="s">
        <v>1284</v>
      </c>
      <c r="D19" s="21" t="s">
        <v>1285</v>
      </c>
      <c r="E19" s="21">
        <v>6</v>
      </c>
      <c r="F19" s="21">
        <v>483500</v>
      </c>
      <c r="G19" s="42">
        <v>1.6E-2</v>
      </c>
      <c r="H19" s="21" t="s">
        <v>1286</v>
      </c>
      <c r="I19" s="39">
        <f ca="1">IFERROR(__xludf.DUMMYFUNCTION("IF(SUM(COUNTIF(artists!A:A, SPLIT(D19, "",""))) &gt; 0, ""UA"", 0)"),0)</f>
        <v>0</v>
      </c>
      <c r="J19" s="40" t="str">
        <f ca="1">IFERROR(__xludf.DUMMYFUNCTION("IF(SUM(COUNTIF(artists!C:C, SPLIT(D19, "",""))) &gt; 0, ""RU"", 0)"),"RU")</f>
        <v>RU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B20" s="21">
        <v>19</v>
      </c>
      <c r="C20" s="21" t="s">
        <v>1332</v>
      </c>
      <c r="D20" s="21" t="s">
        <v>1333</v>
      </c>
      <c r="E20" s="21">
        <v>7</v>
      </c>
      <c r="F20" s="21">
        <v>482832</v>
      </c>
      <c r="G20" s="42">
        <v>6.2E-2</v>
      </c>
      <c r="H20" s="21" t="s">
        <v>1334</v>
      </c>
      <c r="I20" s="39" t="str">
        <f ca="1">IFERROR(__xludf.DUMMYFUNCTION("IF(SUM(COUNTIF(artists!A:A, SPLIT(D20, "",""))) &gt; 0, ""UA"", 0)"),"UA")</f>
        <v>UA</v>
      </c>
      <c r="J20" s="40">
        <f ca="1">IFERROR(__xludf.DUMMYFUNCTION("IF(SUM(COUNTIF(artists!C:C, SPLIT(D20, "",""))) &gt; 0, ""RU"", 0)"),0)</f>
        <v>0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B21" s="21">
        <v>18</v>
      </c>
      <c r="C21" s="21" t="s">
        <v>968</v>
      </c>
      <c r="D21" s="21" t="s">
        <v>969</v>
      </c>
      <c r="E21" s="21">
        <v>25</v>
      </c>
      <c r="F21" s="21">
        <v>478201</v>
      </c>
      <c r="G21" s="42">
        <v>2.4E-2</v>
      </c>
      <c r="H21" s="21" t="s">
        <v>970</v>
      </c>
      <c r="I21" s="39" t="str">
        <f ca="1">IFERROR(__xludf.DUMMYFUNCTION("IF(SUM(COUNTIF(artists!A:A, SPLIT(D21, "",""))) &gt; 0, ""UA"", 0)"),"UA")</f>
        <v>UA</v>
      </c>
      <c r="J21" s="40">
        <f ca="1">IFERROR(__xludf.DUMMYFUNCTION("IF(SUM(COUNTIF(artists!C:C, SPLIT(D21, "",""))) &gt; 0, ""RU"", 0)"),0)</f>
        <v>0</v>
      </c>
      <c r="K21" s="39">
        <f ca="1">IFERROR(__xludf.DUMMYFUNCTION("IF(SUM(COUNTIF(artists!E:E, SPLIT(D21, "",""))) &gt; 0, ""OTHER"", 0)"),0)</f>
        <v>0</v>
      </c>
    </row>
    <row r="22" spans="1:11" ht="14.25" customHeight="1">
      <c r="A22" s="21">
        <v>21</v>
      </c>
      <c r="B22" s="21">
        <v>24</v>
      </c>
      <c r="C22" s="21" t="s">
        <v>935</v>
      </c>
      <c r="D22" s="21" t="s">
        <v>936</v>
      </c>
      <c r="E22" s="21">
        <v>32</v>
      </c>
      <c r="F22" s="21">
        <v>456022</v>
      </c>
      <c r="G22" s="43">
        <v>0.17</v>
      </c>
      <c r="H22" s="21" t="s">
        <v>937</v>
      </c>
      <c r="I22" s="39">
        <f ca="1">IFERROR(__xludf.DUMMYFUNCTION("IF(SUM(COUNTIF(artists!A:A, SPLIT(D22, "",""))) &gt; 0, ""UA"", 0)"),0)</f>
        <v>0</v>
      </c>
      <c r="J22" s="40" t="str">
        <f ca="1">IFERROR(__xludf.DUMMYFUNCTION("IF(SUM(COUNTIF(artists!C:C, SPLIT(D22, "",""))) &gt; 0, ""RU"", 0)"),"RU")</f>
        <v>RU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B23" s="21">
        <v>10</v>
      </c>
      <c r="C23" s="21" t="s">
        <v>1178</v>
      </c>
      <c r="D23" s="21" t="s">
        <v>1117</v>
      </c>
      <c r="E23" s="21">
        <v>2</v>
      </c>
      <c r="F23" s="21">
        <v>436371</v>
      </c>
      <c r="G23" s="42">
        <v>-0.23300000000000001</v>
      </c>
      <c r="H23" s="21" t="s">
        <v>1179</v>
      </c>
      <c r="I23" s="39">
        <f ca="1">IFERROR(__xludf.DUMMYFUNCTION("IF(SUM(COUNTIF(artists!A:A, SPLIT(D23, "",""))) &gt; 0, ""UA"", 0)"),0)</f>
        <v>0</v>
      </c>
      <c r="J23" s="40" t="str">
        <f ca="1">IFERROR(__xludf.DUMMYFUNCTION("IF(SUM(COUNTIF(artists!C:C, SPLIT(D23, "",""))) &gt; 0, ""RU"", 0)"),"RU")</f>
        <v>RU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B24" s="21">
        <v>25</v>
      </c>
      <c r="C24" s="21" t="s">
        <v>1282</v>
      </c>
      <c r="D24" s="21" t="s">
        <v>108</v>
      </c>
      <c r="E24" s="21">
        <v>32</v>
      </c>
      <c r="F24" s="21">
        <v>431827</v>
      </c>
      <c r="G24" s="43">
        <v>0.12</v>
      </c>
      <c r="H24" s="21" t="s">
        <v>1283</v>
      </c>
      <c r="I24" s="39" t="str">
        <f ca="1">IFERROR(__xludf.DUMMYFUNCTION("IF(SUM(COUNTIF(artists!A:A, SPLIT(D24, "",""))) &gt; 0, ""UA"", 0)"),"UA")</f>
        <v>UA</v>
      </c>
      <c r="J24" s="40">
        <f ca="1">IFERROR(__xludf.DUMMYFUNCTION("IF(SUM(COUNTIF(artists!C:C, SPLIT(D24, "",""))) &gt; 0, ""RU"", 0)"),0)</f>
        <v>0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B25" s="21">
        <v>16</v>
      </c>
      <c r="C25" s="21" t="s">
        <v>1055</v>
      </c>
      <c r="D25" s="21" t="s">
        <v>776</v>
      </c>
      <c r="E25" s="21">
        <v>2</v>
      </c>
      <c r="F25" s="21">
        <v>427222</v>
      </c>
      <c r="G25" s="42">
        <v>-0.11799999999999999</v>
      </c>
      <c r="H25" s="21" t="s">
        <v>1056</v>
      </c>
      <c r="I25" s="39" t="str">
        <f ca="1">IFERROR(__xludf.DUMMYFUNCTION("IF(SUM(COUNTIF(artists!A:A, SPLIT(D25, "",""))) &gt; 0, ""UA"", 0)"),"UA")</f>
        <v>UA</v>
      </c>
      <c r="J25" s="40">
        <f ca="1">IFERROR(__xludf.DUMMYFUNCTION("IF(SUM(COUNTIF(artists!C:C, SPLIT(D25, "",""))) &gt; 0, ""RU"", 0)"),0)</f>
        <v>0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B26" s="21">
        <v>20</v>
      </c>
      <c r="C26" s="21" t="s">
        <v>1383</v>
      </c>
      <c r="D26" s="21" t="s">
        <v>463</v>
      </c>
      <c r="E26" s="21">
        <v>10</v>
      </c>
      <c r="F26" s="21">
        <v>407209</v>
      </c>
      <c r="G26" s="42">
        <v>-7.8E-2</v>
      </c>
      <c r="H26" s="21" t="s">
        <v>1384</v>
      </c>
      <c r="I26" s="39" t="str">
        <f ca="1">IFERROR(__xludf.DUMMYFUNCTION("IF(SUM(COUNTIF(artists!A:A, SPLIT(D26, "",""))) &gt; 0, ""UA"", 0)"),"UA")</f>
        <v>UA</v>
      </c>
      <c r="J26" s="40">
        <f ca="1">IFERROR(__xludf.DUMMYFUNCTION("IF(SUM(COUNTIF(artists!C:C, SPLIT(D26, "",""))) &gt; 0, ""RU"", 0)"),0)</f>
        <v>0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B27" s="21">
        <v>22</v>
      </c>
      <c r="C27" s="21" t="s">
        <v>918</v>
      </c>
      <c r="D27" s="21" t="s">
        <v>108</v>
      </c>
      <c r="E27" s="21">
        <v>41</v>
      </c>
      <c r="F27" s="21">
        <v>395833</v>
      </c>
      <c r="G27" s="42">
        <v>-2.3E-2</v>
      </c>
      <c r="H27" s="21" t="s">
        <v>919</v>
      </c>
      <c r="I27" s="39" t="str">
        <f ca="1">IFERROR(__xludf.DUMMYFUNCTION("IF(SUM(COUNTIF(artists!A:A, SPLIT(D27, "",""))) &gt; 0, ""UA"", 0)"),"UA")</f>
        <v>UA</v>
      </c>
      <c r="J27" s="40">
        <f ca="1">IFERROR(__xludf.DUMMYFUNCTION("IF(SUM(COUNTIF(artists!C:C, SPLIT(D27, "",""))) &gt; 0, ""RU"", 0)"),0)</f>
        <v>0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B28" s="21">
        <v>47</v>
      </c>
      <c r="C28" s="21" t="s">
        <v>1318</v>
      </c>
      <c r="D28" s="21" t="s">
        <v>1319</v>
      </c>
      <c r="E28" s="21">
        <v>2</v>
      </c>
      <c r="F28" s="21">
        <v>391355</v>
      </c>
      <c r="G28" s="42">
        <v>0.38500000000000001</v>
      </c>
      <c r="H28" s="21" t="s">
        <v>1320</v>
      </c>
      <c r="I28" s="39">
        <f ca="1">IFERROR(__xludf.DUMMYFUNCTION("IF(SUM(COUNTIF(artists!A:A, SPLIT(D28, "",""))) &gt; 0, ""UA"", 0)"),0)</f>
        <v>0</v>
      </c>
      <c r="J28" s="40" t="str">
        <f ca="1">IFERROR(__xludf.DUMMYFUNCTION("IF(SUM(COUNTIF(artists!C:C, SPLIT(D28, "",""))) &gt; 0, ""RU"", 0)"),"RU")</f>
        <v>RU</v>
      </c>
      <c r="K28" s="39">
        <f ca="1">IFERROR(__xludf.DUMMYFUNCTION("IF(SUM(COUNTIF(artists!E:E, SPLIT(D28, "",""))) &gt; 0, ""OTHER"", 0)"),0)</f>
        <v>0</v>
      </c>
    </row>
    <row r="29" spans="1:11" ht="14.25" customHeight="1">
      <c r="A29" s="21">
        <v>28</v>
      </c>
      <c r="B29" s="21">
        <v>23</v>
      </c>
      <c r="C29" s="21" t="s">
        <v>1447</v>
      </c>
      <c r="D29" s="21" t="s">
        <v>969</v>
      </c>
      <c r="E29" s="21">
        <v>24</v>
      </c>
      <c r="F29" s="21">
        <v>376432</v>
      </c>
      <c r="G29" s="42">
        <v>-3.6999999999999998E-2</v>
      </c>
      <c r="H29" s="21" t="s">
        <v>1448</v>
      </c>
      <c r="I29" s="39" t="str">
        <f ca="1">IFERROR(__xludf.DUMMYFUNCTION("IF(SUM(COUNTIF(artists!A:A, SPLIT(D29, "",""))) &gt; 0, ""UA"", 0)"),"UA")</f>
        <v>UA</v>
      </c>
      <c r="J29" s="40">
        <f ca="1">IFERROR(__xludf.DUMMYFUNCTION("IF(SUM(COUNTIF(artists!C:C, SPLIT(D29, "",""))) &gt; 0, ""RU"", 0)"),0)</f>
        <v>0</v>
      </c>
      <c r="K29" s="39">
        <f ca="1">IFERROR(__xludf.DUMMYFUNCTION("IF(SUM(COUNTIF(artists!E:E, SPLIT(D29, "",""))) &gt; 0, ""OTHER"", 0)"),0)</f>
        <v>0</v>
      </c>
    </row>
    <row r="30" spans="1:11" ht="14.25" customHeight="1">
      <c r="A30" s="21">
        <v>29</v>
      </c>
      <c r="B30" s="21">
        <v>35</v>
      </c>
      <c r="C30" s="21" t="s">
        <v>1616</v>
      </c>
      <c r="D30" s="21" t="s">
        <v>1617</v>
      </c>
      <c r="E30" s="21">
        <v>47</v>
      </c>
      <c r="F30" s="21">
        <v>375384</v>
      </c>
      <c r="G30" s="42">
        <v>0.14199999999999999</v>
      </c>
      <c r="H30" s="21" t="s">
        <v>1618</v>
      </c>
      <c r="I30" s="39">
        <f ca="1">IFERROR(__xludf.DUMMYFUNCTION("IF(SUM(COUNTIF(artists!A:A, SPLIT(D30, "",""))) &gt; 0, ""UA"", 0)"),0)</f>
        <v>0</v>
      </c>
      <c r="J30" s="40" t="str">
        <f ca="1">IFERROR(__xludf.DUMMYFUNCTION("IF(SUM(COUNTIF(artists!C:C, SPLIT(D30, "",""))) &gt; 0, ""RU"", 0)"),"RU")</f>
        <v>RU</v>
      </c>
      <c r="K30" s="39">
        <f ca="1">IFERROR(__xludf.DUMMYFUNCTION("IF(SUM(COUNTIF(artists!E:E, SPLIT(D30, "",""))) &gt; 0, ""OTHER"", 0)"),0)</f>
        <v>0</v>
      </c>
    </row>
    <row r="31" spans="1:11" ht="14.25" customHeight="1">
      <c r="A31" s="21">
        <v>30</v>
      </c>
      <c r="B31" s="21">
        <v>29</v>
      </c>
      <c r="C31" s="21" t="s">
        <v>1327</v>
      </c>
      <c r="D31" s="21" t="s">
        <v>89</v>
      </c>
      <c r="E31" s="21">
        <v>34</v>
      </c>
      <c r="F31" s="21">
        <v>366828</v>
      </c>
      <c r="G31" s="42">
        <v>4.3999999999999997E-2</v>
      </c>
      <c r="H31" s="21" t="s">
        <v>1328</v>
      </c>
      <c r="I31" s="39" t="str">
        <f ca="1">IFERROR(__xludf.DUMMYFUNCTION("IF(SUM(COUNTIF(artists!A:A, SPLIT(D31, "",""))) &gt; 0, ""UA"", 0)"),"UA")</f>
        <v>UA</v>
      </c>
      <c r="J31" s="40">
        <f ca="1">IFERROR(__xludf.DUMMYFUNCTION("IF(SUM(COUNTIF(artists!C:C, SPLIT(D31, "",""))) &gt; 0, ""RU"", 0)"),0)</f>
        <v>0</v>
      </c>
      <c r="K31" s="39">
        <f ca="1">IFERROR(__xludf.DUMMYFUNCTION("IF(SUM(COUNTIF(artists!E:E, SPLIT(D31, "",""))) &gt; 0, ""OTHER"", 0)"),0)</f>
        <v>0</v>
      </c>
    </row>
    <row r="32" spans="1:11" ht="14.25" customHeight="1">
      <c r="A32" s="21">
        <v>31</v>
      </c>
      <c r="B32" s="21">
        <v>28</v>
      </c>
      <c r="C32" s="21" t="s">
        <v>253</v>
      </c>
      <c r="D32" s="21" t="s">
        <v>89</v>
      </c>
      <c r="E32" s="21">
        <v>14</v>
      </c>
      <c r="F32" s="21">
        <v>365143</v>
      </c>
      <c r="G32" s="42">
        <v>2.9000000000000001E-2</v>
      </c>
      <c r="H32" s="21" t="s">
        <v>254</v>
      </c>
      <c r="I32" s="39" t="str">
        <f ca="1">IFERROR(__xludf.DUMMYFUNCTION("IF(SUM(COUNTIF(artists!A:A, SPLIT(D32, "",""))) &gt; 0, ""UA"", 0)"),"UA")</f>
        <v>UA</v>
      </c>
      <c r="J32" s="40">
        <f ca="1">IFERROR(__xludf.DUMMYFUNCTION("IF(SUM(COUNTIF(artists!C:C, SPLIT(D32, "",""))) &gt; 0, ""RU"", 0)"),0)</f>
        <v>0</v>
      </c>
      <c r="K32" s="39">
        <f ca="1">IFERROR(__xludf.DUMMYFUNCTION("IF(SUM(COUNTIF(artists!E:E, SPLIT(D32, "",""))) &gt; 0, ""OTHER"", 0)"),0)</f>
        <v>0</v>
      </c>
    </row>
    <row r="33" spans="1:11" ht="14.25" customHeight="1">
      <c r="A33" s="21">
        <v>32</v>
      </c>
      <c r="B33" s="21">
        <v>38</v>
      </c>
      <c r="C33" s="21" t="s">
        <v>1354</v>
      </c>
      <c r="D33" s="21" t="s">
        <v>1355</v>
      </c>
      <c r="E33" s="21">
        <v>35</v>
      </c>
      <c r="F33" s="21">
        <v>362995</v>
      </c>
      <c r="G33" s="42">
        <v>0.14199999999999999</v>
      </c>
      <c r="H33" s="21" t="s">
        <v>1356</v>
      </c>
      <c r="I33" s="39" t="str">
        <f ca="1">IFERROR(__xludf.DUMMYFUNCTION("IF(SUM(COUNTIF(artists!A:A, SPLIT(D33, "",""))) &gt; 0, ""UA"", 0)"),"UA")</f>
        <v>UA</v>
      </c>
      <c r="J33" s="40">
        <f ca="1">IFERROR(__xludf.DUMMYFUNCTION("IF(SUM(COUNTIF(artists!C:C, SPLIT(D33, "",""))) &gt; 0, ""RU"", 0)"),0)</f>
        <v>0</v>
      </c>
      <c r="K33" s="39">
        <f ca="1">IFERROR(__xludf.DUMMYFUNCTION("IF(SUM(COUNTIF(artists!E:E, SPLIT(D33, "",""))) &gt; 0, ""OTHER"", 0)"),0)</f>
        <v>0</v>
      </c>
    </row>
    <row r="34" spans="1:11" ht="14.25" customHeight="1">
      <c r="A34" s="21">
        <v>33</v>
      </c>
      <c r="B34" s="21">
        <v>31</v>
      </c>
      <c r="C34" s="21" t="s">
        <v>1182</v>
      </c>
      <c r="D34" s="21" t="s">
        <v>466</v>
      </c>
      <c r="E34" s="21">
        <v>7</v>
      </c>
      <c r="F34" s="21">
        <v>361176</v>
      </c>
      <c r="G34" s="42">
        <v>6.9000000000000006E-2</v>
      </c>
      <c r="H34" s="21" t="s">
        <v>1183</v>
      </c>
      <c r="I34" s="39" t="str">
        <f ca="1">IFERROR(__xludf.DUMMYFUNCTION("IF(SUM(COUNTIF(artists!A:A, SPLIT(D34, "",""))) &gt; 0, ""UA"", 0)"),"UA")</f>
        <v>UA</v>
      </c>
      <c r="J34" s="40">
        <f ca="1">IFERROR(__xludf.DUMMYFUNCTION("IF(SUM(COUNTIF(artists!C:C, SPLIT(D34, "",""))) &gt; 0, ""RU"", 0)"),0)</f>
        <v>0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B35" s="21">
        <v>26</v>
      </c>
      <c r="C35" s="21" t="s">
        <v>1498</v>
      </c>
      <c r="D35" s="21" t="s">
        <v>969</v>
      </c>
      <c r="E35" s="21">
        <v>37</v>
      </c>
      <c r="F35" s="21">
        <v>354255</v>
      </c>
      <c r="G35" s="42">
        <v>-2.1000000000000001E-2</v>
      </c>
      <c r="H35" s="21" t="s">
        <v>1499</v>
      </c>
      <c r="I35" s="39" t="str">
        <f ca="1">IFERROR(__xludf.DUMMYFUNCTION("IF(SUM(COUNTIF(artists!A:A, SPLIT(D35, "",""))) &gt; 0, ""UA"", 0)"),"UA")</f>
        <v>UA</v>
      </c>
      <c r="J35" s="40">
        <f ca="1">IFERROR(__xludf.DUMMYFUNCTION("IF(SUM(COUNTIF(artists!C:C, SPLIT(D35, "",""))) &gt; 0, ""RU"", 0)"),0)</f>
        <v>0</v>
      </c>
      <c r="K35" s="39">
        <f ca="1">IFERROR(__xludf.DUMMYFUNCTION("IF(SUM(COUNTIF(artists!E:E, SPLIT(D35, "",""))) &gt; 0, ""OTHER"", 0)"),0)</f>
        <v>0</v>
      </c>
    </row>
    <row r="36" spans="1:11" ht="14.25" customHeight="1">
      <c r="A36" s="21">
        <v>35</v>
      </c>
      <c r="B36" s="21">
        <v>30</v>
      </c>
      <c r="C36" s="21" t="s">
        <v>1436</v>
      </c>
      <c r="D36" s="21" t="s">
        <v>896</v>
      </c>
      <c r="E36" s="21">
        <v>12</v>
      </c>
      <c r="F36" s="21">
        <v>339472</v>
      </c>
      <c r="G36" s="42">
        <v>-2.5000000000000001E-2</v>
      </c>
      <c r="H36" s="21" t="s">
        <v>1437</v>
      </c>
      <c r="I36" s="39" t="str">
        <f ca="1">IFERROR(__xludf.DUMMYFUNCTION("IF(SUM(COUNTIF(artists!A:A, SPLIT(D36, "",""))) &gt; 0, ""UA"", 0)"),"UA")</f>
        <v>UA</v>
      </c>
      <c r="J36" s="40">
        <f ca="1">IFERROR(__xludf.DUMMYFUNCTION("IF(SUM(COUNTIF(artists!C:C, SPLIT(D36, "",""))) &gt; 0, ""RU"", 0)"),0)</f>
        <v>0</v>
      </c>
      <c r="K36" s="39">
        <f ca="1">IFERROR(__xludf.DUMMYFUNCTION("IF(SUM(COUNTIF(artists!E:E, SPLIT(D36, "",""))) &gt; 0, ""OTHER"", 0)"),0)</f>
        <v>0</v>
      </c>
    </row>
    <row r="37" spans="1:11" ht="14.25" customHeight="1">
      <c r="A37" s="21">
        <v>36</v>
      </c>
      <c r="B37" s="21">
        <v>36</v>
      </c>
      <c r="C37" s="21" t="s">
        <v>1500</v>
      </c>
      <c r="D37" s="21" t="s">
        <v>907</v>
      </c>
      <c r="E37" s="21">
        <v>35</v>
      </c>
      <c r="F37" s="21">
        <v>333722</v>
      </c>
      <c r="G37" s="42">
        <v>1.7999999999999999E-2</v>
      </c>
      <c r="H37" s="21" t="s">
        <v>1501</v>
      </c>
      <c r="I37" s="39">
        <f ca="1">IFERROR(__xludf.DUMMYFUNCTION("IF(SUM(COUNTIF(artists!A:A, SPLIT(D37, "",""))) &gt; 0, ""UA"", 0)"),0)</f>
        <v>0</v>
      </c>
      <c r="J37" s="40" t="str">
        <f ca="1">IFERROR(__xludf.DUMMYFUNCTION("IF(SUM(COUNTIF(artists!C:C, SPLIT(D37, "",""))) &gt; 0, ""RU"", 0)"),"RU")</f>
        <v>RU</v>
      </c>
      <c r="K37" s="39">
        <f ca="1">IFERROR(__xludf.DUMMYFUNCTION("IF(SUM(COUNTIF(artists!E:E, SPLIT(D37, "",""))) &gt; 0, ""OTHER"", 0)"),0)</f>
        <v>0</v>
      </c>
    </row>
    <row r="38" spans="1:11" ht="14.25" customHeight="1">
      <c r="A38" s="21">
        <v>37</v>
      </c>
      <c r="B38" s="21">
        <v>40</v>
      </c>
      <c r="C38" s="21" t="s">
        <v>493</v>
      </c>
      <c r="D38" s="21" t="s">
        <v>494</v>
      </c>
      <c r="E38" s="21">
        <v>20</v>
      </c>
      <c r="F38" s="21">
        <v>324696</v>
      </c>
      <c r="G38" s="43">
        <v>0.05</v>
      </c>
      <c r="H38" s="21" t="s">
        <v>495</v>
      </c>
      <c r="I38" s="39" t="str">
        <f ca="1">IFERROR(__xludf.DUMMYFUNCTION("IF(SUM(COUNTIF(artists!A:A, SPLIT(D38, "",""))) &gt; 0, ""UA"", 0)"),"UA")</f>
        <v>UA</v>
      </c>
      <c r="J38" s="40">
        <f ca="1">IFERROR(__xludf.DUMMYFUNCTION("IF(SUM(COUNTIF(artists!C:C, SPLIT(D38, "",""))) &gt; 0, ""RU"", 0)"),0)</f>
        <v>0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B39" s="21">
        <v>39</v>
      </c>
      <c r="C39" s="21" t="s">
        <v>1116</v>
      </c>
      <c r="D39" s="21" t="s">
        <v>1117</v>
      </c>
      <c r="E39" s="21">
        <v>26</v>
      </c>
      <c r="F39" s="21">
        <v>324327</v>
      </c>
      <c r="G39" s="43">
        <v>0.04</v>
      </c>
      <c r="H39" s="21" t="s">
        <v>1118</v>
      </c>
      <c r="I39" s="39">
        <f ca="1">IFERROR(__xludf.DUMMYFUNCTION("IF(SUM(COUNTIF(artists!A:A, SPLIT(D39, "",""))) &gt; 0, ""UA"", 0)"),0)</f>
        <v>0</v>
      </c>
      <c r="J39" s="40" t="str">
        <f ca="1">IFERROR(__xludf.DUMMYFUNCTION("IF(SUM(COUNTIF(artists!C:C, SPLIT(D39, "",""))) &gt; 0, ""RU"", 0)"),"RU")</f>
        <v>RU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B40" s="21">
        <v>32</v>
      </c>
      <c r="C40" s="21" t="s">
        <v>632</v>
      </c>
      <c r="D40" s="21" t="s">
        <v>633</v>
      </c>
      <c r="E40" s="21">
        <v>9</v>
      </c>
      <c r="F40" s="21">
        <v>320719</v>
      </c>
      <c r="G40" s="42">
        <v>-4.3999999999999997E-2</v>
      </c>
      <c r="H40" s="21" t="s">
        <v>634</v>
      </c>
      <c r="I40" s="39" t="str">
        <f ca="1">IFERROR(__xludf.DUMMYFUNCTION("IF(SUM(COUNTIF(artists!A:A, SPLIT(D40, "",""))) &gt; 0, ""UA"", 0)"),"UA")</f>
        <v>UA</v>
      </c>
      <c r="J40" s="40">
        <f ca="1">IFERROR(__xludf.DUMMYFUNCTION("IF(SUM(COUNTIF(artists!C:C, SPLIT(D40, "",""))) &gt; 0, ""RU"", 0)"),0)</f>
        <v>0</v>
      </c>
      <c r="K40" s="39">
        <f ca="1">IFERROR(__xludf.DUMMYFUNCTION("IF(SUM(COUNTIF(artists!E:E, SPLIT(D40, "",""))) &gt; 0, ""OTHER"", 0)"),0)</f>
        <v>0</v>
      </c>
    </row>
    <row r="41" spans="1:11" ht="14.25" customHeight="1">
      <c r="A41" s="21">
        <v>40</v>
      </c>
      <c r="B41" s="21">
        <v>43</v>
      </c>
      <c r="C41" s="21" t="s">
        <v>887</v>
      </c>
      <c r="D41" s="21" t="s">
        <v>89</v>
      </c>
      <c r="E41" s="21">
        <v>12</v>
      </c>
      <c r="F41" s="21">
        <v>312412</v>
      </c>
      <c r="G41" s="42">
        <v>3.3000000000000002E-2</v>
      </c>
      <c r="H41" s="21" t="s">
        <v>888</v>
      </c>
      <c r="I41" s="39" t="str">
        <f ca="1">IFERROR(__xludf.DUMMYFUNCTION("IF(SUM(COUNTIF(artists!A:A, SPLIT(D41, "",""))) &gt; 0, ""UA"", 0)"),"UA")</f>
        <v>UA</v>
      </c>
      <c r="J41" s="40">
        <f ca="1">IFERROR(__xludf.DUMMYFUNCTION("IF(SUM(COUNTIF(artists!C:C, SPLIT(D41, "",""))) &gt; 0, ""RU"", 0)"),0)</f>
        <v>0</v>
      </c>
      <c r="K41" s="39">
        <f ca="1">IFERROR(__xludf.DUMMYFUNCTION("IF(SUM(COUNTIF(artists!E:E, SPLIT(D41, "",""))) &gt; 0, ""OTHER"", 0)"),0)</f>
        <v>0</v>
      </c>
    </row>
    <row r="42" spans="1:11" ht="14.25" customHeight="1">
      <c r="A42" s="21">
        <v>41</v>
      </c>
      <c r="B42" s="21">
        <v>45</v>
      </c>
      <c r="C42" s="21" t="s">
        <v>1242</v>
      </c>
      <c r="D42" s="21" t="s">
        <v>969</v>
      </c>
      <c r="E42" s="21">
        <v>4</v>
      </c>
      <c r="F42" s="21">
        <v>306962</v>
      </c>
      <c r="G42" s="42">
        <v>4.9000000000000002E-2</v>
      </c>
      <c r="H42" s="21" t="s">
        <v>1243</v>
      </c>
      <c r="I42" s="39" t="str">
        <f ca="1">IFERROR(__xludf.DUMMYFUNCTION("IF(SUM(COUNTIF(artists!A:A, SPLIT(D42, "",""))) &gt; 0, ""UA"", 0)"),"UA")</f>
        <v>UA</v>
      </c>
      <c r="J42" s="40">
        <f ca="1">IFERROR(__xludf.DUMMYFUNCTION("IF(SUM(COUNTIF(artists!C:C, SPLIT(D42, "",""))) &gt; 0, ""RU"", 0)"),0)</f>
        <v>0</v>
      </c>
      <c r="K42" s="39">
        <f ca="1">IFERROR(__xludf.DUMMYFUNCTION("IF(SUM(COUNTIF(artists!E:E, SPLIT(D42, "",""))) &gt; 0, ""OTHER"", 0)"),0)</f>
        <v>0</v>
      </c>
    </row>
    <row r="43" spans="1:11" ht="14.25" customHeight="1">
      <c r="A43" s="21">
        <v>42</v>
      </c>
      <c r="B43" s="21">
        <v>34</v>
      </c>
      <c r="C43" s="21" t="s">
        <v>1463</v>
      </c>
      <c r="D43" s="21" t="s">
        <v>1344</v>
      </c>
      <c r="E43" s="21">
        <v>13</v>
      </c>
      <c r="F43" s="21">
        <v>306033</v>
      </c>
      <c r="G43" s="43">
        <v>-7.0000000000000007E-2</v>
      </c>
      <c r="H43" s="21" t="s">
        <v>1464</v>
      </c>
      <c r="I43" s="39" t="str">
        <f ca="1">IFERROR(__xludf.DUMMYFUNCTION("IF(SUM(COUNTIF(artists!A:A, SPLIT(D43, "",""))) &gt; 0, ""UA"", 0)"),"UA")</f>
        <v>UA</v>
      </c>
      <c r="J43" s="40">
        <f ca="1">IFERROR(__xludf.DUMMYFUNCTION("IF(SUM(COUNTIF(artists!C:C, SPLIT(D43, "",""))) &gt; 0, ""RU"", 0)"),0)</f>
        <v>0</v>
      </c>
      <c r="K43" s="39">
        <f ca="1">IFERROR(__xludf.DUMMYFUNCTION("IF(SUM(COUNTIF(artists!E:E, SPLIT(D43, "",""))) &gt; 0, ""OTHER"", 0)"),0)</f>
        <v>0</v>
      </c>
    </row>
    <row r="44" spans="1:11" ht="14.25" customHeight="1">
      <c r="A44" s="21">
        <v>43</v>
      </c>
      <c r="B44" s="21">
        <v>41</v>
      </c>
      <c r="C44" s="21" t="s">
        <v>186</v>
      </c>
      <c r="D44" s="21" t="s">
        <v>187</v>
      </c>
      <c r="E44" s="21">
        <v>9</v>
      </c>
      <c r="F44" s="21">
        <v>301514</v>
      </c>
      <c r="G44" s="43">
        <v>-0.01</v>
      </c>
      <c r="H44" s="21" t="s">
        <v>189</v>
      </c>
      <c r="I44" s="39" t="str">
        <f ca="1">IFERROR(__xludf.DUMMYFUNCTION("IF(SUM(COUNTIF(artists!A:A, SPLIT(D44, "",""))) &gt; 0, ""UA"", 0)"),"UA")</f>
        <v>UA</v>
      </c>
      <c r="J44" s="40">
        <f ca="1">IFERROR(__xludf.DUMMYFUNCTION("IF(SUM(COUNTIF(artists!C:C, SPLIT(D44, "",""))) &gt; 0, ""RU"", 0)"),0)</f>
        <v>0</v>
      </c>
      <c r="K44" s="39">
        <f ca="1">IFERROR(__xludf.DUMMYFUNCTION("IF(SUM(COUNTIF(artists!E:E, SPLIT(D44, "",""))) &gt; 0, ""OTHER"", 0)"),0)</f>
        <v>0</v>
      </c>
    </row>
    <row r="45" spans="1:11" ht="14.25" customHeight="1">
      <c r="A45" s="21">
        <v>44</v>
      </c>
      <c r="B45" s="21">
        <v>27</v>
      </c>
      <c r="C45" s="21" t="s">
        <v>1471</v>
      </c>
      <c r="D45" s="21" t="s">
        <v>1472</v>
      </c>
      <c r="E45" s="21">
        <v>14</v>
      </c>
      <c r="F45" s="21">
        <v>294091</v>
      </c>
      <c r="G45" s="42">
        <v>-0.186</v>
      </c>
      <c r="H45" s="21" t="s">
        <v>1473</v>
      </c>
      <c r="I45" s="39" t="str">
        <f ca="1">IFERROR(__xludf.DUMMYFUNCTION("IF(SUM(COUNTIF(artists!A:A, SPLIT(D45, "",""))) &gt; 0, ""UA"", 0)"),"UA")</f>
        <v>UA</v>
      </c>
      <c r="J45" s="40">
        <f ca="1">IFERROR(__xludf.DUMMYFUNCTION("IF(SUM(COUNTIF(artists!C:C, SPLIT(D45, "",""))) &gt; 0, ""RU"", 0)"),0)</f>
        <v>0</v>
      </c>
      <c r="K45" s="39">
        <f ca="1">IFERROR(__xludf.DUMMYFUNCTION("IF(SUM(COUNTIF(artists!E:E, SPLIT(D45, "",""))) &gt; 0, ""OTHER"", 0)"),0)</f>
        <v>0</v>
      </c>
    </row>
    <row r="46" spans="1:11" ht="14.25" customHeight="1">
      <c r="A46" s="21">
        <v>45</v>
      </c>
      <c r="B46" s="21">
        <v>37</v>
      </c>
      <c r="C46" s="21" t="s">
        <v>1586</v>
      </c>
      <c r="D46" s="21" t="s">
        <v>969</v>
      </c>
      <c r="E46" s="21">
        <v>18</v>
      </c>
      <c r="F46" s="21">
        <v>292001</v>
      </c>
      <c r="G46" s="43">
        <v>-0.1</v>
      </c>
      <c r="H46" s="21" t="s">
        <v>1587</v>
      </c>
      <c r="I46" s="39" t="str">
        <f ca="1">IFERROR(__xludf.DUMMYFUNCTION("IF(SUM(COUNTIF(artists!A:A, SPLIT(D46, "",""))) &gt; 0, ""UA"", 0)"),"UA")</f>
        <v>UA</v>
      </c>
      <c r="J46" s="40">
        <f ca="1">IFERROR(__xludf.DUMMYFUNCTION("IF(SUM(COUNTIF(artists!C:C, SPLIT(D46, "",""))) &gt; 0, ""RU"", 0)"),0)</f>
        <v>0</v>
      </c>
      <c r="K46" s="39">
        <f ca="1">IFERROR(__xludf.DUMMYFUNCTION("IF(SUM(COUNTIF(artists!E:E, SPLIT(D46, "",""))) &gt; 0, ""OTHER"", 0)"),0)</f>
        <v>0</v>
      </c>
    </row>
    <row r="47" spans="1:11" ht="14.25" customHeight="1">
      <c r="A47" s="21">
        <v>46</v>
      </c>
      <c r="B47" s="21">
        <v>33</v>
      </c>
      <c r="C47" s="21" t="s">
        <v>1598</v>
      </c>
      <c r="D47" s="21" t="s">
        <v>1599</v>
      </c>
      <c r="E47" s="21">
        <v>3</v>
      </c>
      <c r="F47" s="21">
        <v>291091</v>
      </c>
      <c r="G47" s="42">
        <v>-0.115</v>
      </c>
      <c r="H47" s="21" t="s">
        <v>1600</v>
      </c>
      <c r="I47" s="39">
        <f ca="1">IFERROR(__xludf.DUMMYFUNCTION("IF(SUM(COUNTIF(artists!A:A, SPLIT(D47, "",""))) &gt; 0, ""UA"", 0)"),0)</f>
        <v>0</v>
      </c>
      <c r="J47" s="40" t="str">
        <f ca="1">IFERROR(__xludf.DUMMYFUNCTION("IF(SUM(COUNTIF(artists!C:C, SPLIT(D47, "",""))) &gt; 0, ""RU"", 0)"),"RU")</f>
        <v>RU</v>
      </c>
      <c r="K47" s="39">
        <f ca="1">IFERROR(__xludf.DUMMYFUNCTION("IF(SUM(COUNTIF(artists!E:E, SPLIT(D47, "",""))) &gt; 0, ""OTHER"", 0)"),0)</f>
        <v>0</v>
      </c>
    </row>
    <row r="48" spans="1:11" ht="14.25" customHeight="1">
      <c r="A48" s="21">
        <v>47</v>
      </c>
      <c r="B48" s="21">
        <v>46</v>
      </c>
      <c r="C48" s="21" t="s">
        <v>1518</v>
      </c>
      <c r="D48" s="21" t="s">
        <v>108</v>
      </c>
      <c r="E48" s="21">
        <v>17</v>
      </c>
      <c r="F48" s="21">
        <v>289036</v>
      </c>
      <c r="G48" s="43">
        <v>0.02</v>
      </c>
      <c r="H48" s="21" t="s">
        <v>1519</v>
      </c>
      <c r="I48" s="39" t="str">
        <f ca="1">IFERROR(__xludf.DUMMYFUNCTION("IF(SUM(COUNTIF(artists!A:A, SPLIT(D48, "",""))) &gt; 0, ""UA"", 0)"),"UA")</f>
        <v>UA</v>
      </c>
      <c r="J48" s="40">
        <f ca="1">IFERROR(__xludf.DUMMYFUNCTION("IF(SUM(COUNTIF(artists!C:C, SPLIT(D48, "",""))) &gt; 0, ""RU"", 0)"),0)</f>
        <v>0</v>
      </c>
      <c r="K48" s="39">
        <f ca="1">IFERROR(__xludf.DUMMYFUNCTION("IF(SUM(COUNTIF(artists!E:E, SPLIT(D48, "",""))) &gt; 0, ""OTHER"", 0)"),0)</f>
        <v>0</v>
      </c>
    </row>
    <row r="49" spans="1:11" ht="14.25" customHeight="1">
      <c r="A49" s="21">
        <v>48</v>
      </c>
      <c r="B49" s="21">
        <v>44</v>
      </c>
      <c r="C49" s="21" t="s">
        <v>1290</v>
      </c>
      <c r="D49" s="21" t="s">
        <v>942</v>
      </c>
      <c r="E49" s="21">
        <v>9</v>
      </c>
      <c r="F49" s="21">
        <v>274178</v>
      </c>
      <c r="G49" s="43">
        <v>-0.09</v>
      </c>
      <c r="H49" s="21" t="s">
        <v>1291</v>
      </c>
      <c r="I49" s="39" t="str">
        <f ca="1">IFERROR(__xludf.DUMMYFUNCTION("IF(SUM(COUNTIF(artists!A:A, SPLIT(D49, "",""))) &gt; 0, ""UA"", 0)"),"UA")</f>
        <v>UA</v>
      </c>
      <c r="J49" s="40">
        <f ca="1">IFERROR(__xludf.DUMMYFUNCTION("IF(SUM(COUNTIF(artists!C:C, SPLIT(D49, "",""))) &gt; 0, ""RU"", 0)"),0)</f>
        <v>0</v>
      </c>
      <c r="K49" s="39">
        <f ca="1">IFERROR(__xludf.DUMMYFUNCTION("IF(SUM(COUNTIF(artists!E:E, SPLIT(D49, "",""))) &gt; 0, ""OTHER"", 0)"),0)</f>
        <v>0</v>
      </c>
    </row>
    <row r="50" spans="1:11" ht="14.25" customHeight="1">
      <c r="A50" s="21">
        <v>49</v>
      </c>
      <c r="C50" s="21" t="s">
        <v>1261</v>
      </c>
      <c r="D50" s="21" t="s">
        <v>137</v>
      </c>
      <c r="E50" s="21">
        <v>22</v>
      </c>
      <c r="F50" s="21">
        <v>268829</v>
      </c>
      <c r="H50" s="21" t="s">
        <v>1262</v>
      </c>
      <c r="I50" s="39" t="str">
        <f ca="1">IFERROR(__xludf.DUMMYFUNCTION("IF(SUM(COUNTIF(artists!A:A, SPLIT(D50, "",""))) &gt; 0, ""UA"", 0)"),"UA")</f>
        <v>UA</v>
      </c>
      <c r="J50" s="40">
        <f ca="1">IFERROR(__xludf.DUMMYFUNCTION("IF(SUM(COUNTIF(artists!C:C, SPLIT(D50, "",""))) &gt; 0, ""RU"", 0)"),0)</f>
        <v>0</v>
      </c>
      <c r="K50" s="39">
        <f ca="1">IFERROR(__xludf.DUMMYFUNCTION("IF(SUM(COUNTIF(artists!E:E, SPLIT(D50, "",""))) &gt; 0, ""OTHER"", 0)"),0)</f>
        <v>0</v>
      </c>
    </row>
    <row r="51" spans="1:11" ht="14.25" customHeight="1">
      <c r="A51" s="21">
        <v>50</v>
      </c>
      <c r="B51" s="21">
        <v>66</v>
      </c>
      <c r="C51" s="21" t="s">
        <v>1487</v>
      </c>
      <c r="D51" s="21" t="s">
        <v>409</v>
      </c>
      <c r="E51" s="21">
        <v>15</v>
      </c>
      <c r="F51" s="21">
        <v>261132</v>
      </c>
      <c r="G51" s="42">
        <v>0.221</v>
      </c>
      <c r="H51" s="21" t="s">
        <v>1488</v>
      </c>
      <c r="I51" s="39" t="str">
        <f ca="1">IFERROR(__xludf.DUMMYFUNCTION("IF(SUM(COUNTIF(artists!A:A, SPLIT(D51, "",""))) &gt; 0, ""UA"", 0)"),"UA")</f>
        <v>UA</v>
      </c>
      <c r="J51" s="40">
        <f ca="1">IFERROR(__xludf.DUMMYFUNCTION("IF(SUM(COUNTIF(artists!C:C, SPLIT(D51, "",""))) &gt; 0, ""RU"", 0)"),0)</f>
        <v>0</v>
      </c>
      <c r="K51" s="39">
        <f ca="1">IFERROR(__xludf.DUMMYFUNCTION("IF(SUM(COUNTIF(artists!E:E, SPLIT(D51, "",""))) &gt; 0, ""OTHER"", 0)"),0)</f>
        <v>0</v>
      </c>
    </row>
    <row r="52" spans="1:11" ht="14.25" customHeight="1">
      <c r="A52" s="21">
        <v>51</v>
      </c>
      <c r="B52" s="21">
        <v>53</v>
      </c>
      <c r="C52" s="21" t="s">
        <v>1298</v>
      </c>
      <c r="D52" s="21" t="s">
        <v>226</v>
      </c>
      <c r="E52" s="21">
        <v>11</v>
      </c>
      <c r="F52" s="21">
        <v>259178</v>
      </c>
      <c r="G52" s="42">
        <v>2.5000000000000001E-2</v>
      </c>
      <c r="H52" s="21" t="s">
        <v>1299</v>
      </c>
      <c r="I52" s="39" t="str">
        <f ca="1">IFERROR(__xludf.DUMMYFUNCTION("IF(SUM(COUNTIF(artists!A:A, SPLIT(D52, "",""))) &gt; 0, ""UA"", 0)"),"UA")</f>
        <v>UA</v>
      </c>
      <c r="J52" s="40">
        <f ca="1">IFERROR(__xludf.DUMMYFUNCTION("IF(SUM(COUNTIF(artists!C:C, SPLIT(D52, "",""))) &gt; 0, ""RU"", 0)"),0)</f>
        <v>0</v>
      </c>
      <c r="K52" s="39">
        <f ca="1">IFERROR(__xludf.DUMMYFUNCTION("IF(SUM(COUNTIF(artists!E:E, SPLIT(D52, "",""))) &gt; 0, ""OTHER"", 0)"),0)</f>
        <v>0</v>
      </c>
    </row>
    <row r="53" spans="1:11" ht="14.25" customHeight="1">
      <c r="A53" s="21">
        <v>52</v>
      </c>
      <c r="B53" s="21">
        <v>60</v>
      </c>
      <c r="C53" s="21" t="s">
        <v>1636</v>
      </c>
      <c r="D53" s="21" t="s">
        <v>1637</v>
      </c>
      <c r="E53" s="21">
        <v>20</v>
      </c>
      <c r="F53" s="21">
        <v>253607</v>
      </c>
      <c r="G53" s="42">
        <v>7.8E-2</v>
      </c>
      <c r="H53" s="21" t="s">
        <v>1638</v>
      </c>
      <c r="I53" s="39">
        <f ca="1">IFERROR(__xludf.DUMMYFUNCTION("IF(SUM(COUNTIF(artists!A:A, SPLIT(D53, "",""))) &gt; 0, ""UA"", 0)"),0)</f>
        <v>0</v>
      </c>
      <c r="J53" s="40" t="str">
        <f ca="1">IFERROR(__xludf.DUMMYFUNCTION("IF(SUM(COUNTIF(artists!C:C, SPLIT(D53, "",""))) &gt; 0, ""RU"", 0)"),"RU")</f>
        <v>RU</v>
      </c>
      <c r="K53" s="39">
        <f ca="1">IFERROR(__xludf.DUMMYFUNCTION("IF(SUM(COUNTIF(artists!E:E, SPLIT(D53, "",""))) &gt; 0, ""OTHER"", 0)"),0)</f>
        <v>0</v>
      </c>
    </row>
    <row r="54" spans="1:11" ht="14.25" customHeight="1">
      <c r="A54" s="21">
        <v>53</v>
      </c>
      <c r="B54" s="21">
        <v>73</v>
      </c>
      <c r="C54" s="21" t="s">
        <v>1536</v>
      </c>
      <c r="D54" s="21" t="s">
        <v>1537</v>
      </c>
      <c r="E54" s="21">
        <v>6</v>
      </c>
      <c r="F54" s="21">
        <v>250437</v>
      </c>
      <c r="G54" s="42">
        <v>0.25700000000000001</v>
      </c>
      <c r="H54" s="21" t="s">
        <v>1538</v>
      </c>
      <c r="I54" s="39" t="str">
        <f ca="1">IFERROR(__xludf.DUMMYFUNCTION("IF(SUM(COUNTIF(artists!A:A, SPLIT(D54, "",""))) &gt; 0, ""UA"", 0)"),"UA")</f>
        <v>UA</v>
      </c>
      <c r="J54" s="40">
        <f ca="1">IFERROR(__xludf.DUMMYFUNCTION("IF(SUM(COUNTIF(artists!C:C, SPLIT(D54, "",""))) &gt; 0, ""RU"", 0)"),0)</f>
        <v>0</v>
      </c>
      <c r="K54" s="39">
        <f ca="1">IFERROR(__xludf.DUMMYFUNCTION("IF(SUM(COUNTIF(artists!E:E, SPLIT(D54, "",""))) &gt; 0, ""OTHER"", 0)"),0)</f>
        <v>0</v>
      </c>
    </row>
    <row r="55" spans="1:11" ht="14.25" customHeight="1">
      <c r="A55" s="21">
        <v>54</v>
      </c>
      <c r="B55" s="21">
        <v>42</v>
      </c>
      <c r="C55" s="21" t="s">
        <v>1508</v>
      </c>
      <c r="D55" s="21" t="s">
        <v>776</v>
      </c>
      <c r="E55" s="21">
        <v>9</v>
      </c>
      <c r="F55" s="21">
        <v>248179</v>
      </c>
      <c r="G55" s="42">
        <v>-0.183</v>
      </c>
      <c r="H55" s="21" t="s">
        <v>1509</v>
      </c>
      <c r="I55" s="39" t="str">
        <f ca="1">IFERROR(__xludf.DUMMYFUNCTION("IF(SUM(COUNTIF(artists!A:A, SPLIT(D55, "",""))) &gt; 0, ""UA"", 0)"),"UA")</f>
        <v>UA</v>
      </c>
      <c r="J55" s="40">
        <f ca="1">IFERROR(__xludf.DUMMYFUNCTION("IF(SUM(COUNTIF(artists!C:C, SPLIT(D55, "",""))) &gt; 0, ""RU"", 0)"),0)</f>
        <v>0</v>
      </c>
      <c r="K55" s="39">
        <f ca="1">IFERROR(__xludf.DUMMYFUNCTION("IF(SUM(COUNTIF(artists!E:E, SPLIT(D55, "",""))) &gt; 0, ""OTHER"", 0)"),0)</f>
        <v>0</v>
      </c>
    </row>
    <row r="56" spans="1:11" ht="14.25" customHeight="1">
      <c r="A56" s="21">
        <v>55</v>
      </c>
      <c r="C56" s="21" t="s">
        <v>1639</v>
      </c>
      <c r="D56" s="21" t="s">
        <v>584</v>
      </c>
      <c r="E56" s="21">
        <v>1</v>
      </c>
      <c r="F56" s="21">
        <v>244539</v>
      </c>
      <c r="H56" s="21" t="s">
        <v>1640</v>
      </c>
      <c r="I56" s="39">
        <f ca="1">IFERROR(__xludf.DUMMYFUNCTION("IF(SUM(COUNTIF(artists!A:A, SPLIT(D56, "",""))) &gt; 0, ""UA"", 0)"),0)</f>
        <v>0</v>
      </c>
      <c r="J56" s="40" t="str">
        <f ca="1">IFERROR(__xludf.DUMMYFUNCTION("IF(SUM(COUNTIF(artists!C:C, SPLIT(D56, "",""))) &gt; 0, ""RU"", 0)"),"RU")</f>
        <v>RU</v>
      </c>
      <c r="K56" s="39">
        <f ca="1">IFERROR(__xludf.DUMMYFUNCTION("IF(SUM(COUNTIF(artists!E:E, SPLIT(D56, "",""))) &gt; 0, ""OTHER"", 0)"),0)</f>
        <v>0</v>
      </c>
    </row>
    <row r="57" spans="1:11" ht="14.25" customHeight="1">
      <c r="A57" s="21">
        <v>56</v>
      </c>
      <c r="B57" s="21">
        <v>21</v>
      </c>
      <c r="C57" s="21" t="s">
        <v>1563</v>
      </c>
      <c r="D57" s="21" t="s">
        <v>712</v>
      </c>
      <c r="E57" s="21">
        <v>2</v>
      </c>
      <c r="F57" s="21">
        <v>242457</v>
      </c>
      <c r="G57" s="42">
        <v>-0.42499999999999999</v>
      </c>
      <c r="H57" s="21" t="s">
        <v>1564</v>
      </c>
      <c r="I57" s="39" t="str">
        <f ca="1">IFERROR(__xludf.DUMMYFUNCTION("IF(SUM(COUNTIF(artists!A:A, SPLIT(D57, "",""))) &gt; 0, ""UA"", 0)"),"UA")</f>
        <v>UA</v>
      </c>
      <c r="J57" s="40">
        <f ca="1">IFERROR(__xludf.DUMMYFUNCTION("IF(SUM(COUNTIF(artists!C:C, SPLIT(D57, "",""))) &gt; 0, ""RU"", 0)"),0)</f>
        <v>0</v>
      </c>
      <c r="K57" s="39">
        <f ca="1">IFERROR(__xludf.DUMMYFUNCTION("IF(SUM(COUNTIF(artists!E:E, SPLIT(D57, "",""))) &gt; 0, ""OTHER"", 0)"),0)</f>
        <v>0</v>
      </c>
    </row>
    <row r="58" spans="1:11" ht="14.25" customHeight="1">
      <c r="A58" s="21">
        <v>57</v>
      </c>
      <c r="B58" s="21">
        <v>54</v>
      </c>
      <c r="C58" s="21" t="s">
        <v>118</v>
      </c>
      <c r="D58" s="21" t="s">
        <v>586</v>
      </c>
      <c r="E58" s="21">
        <v>15</v>
      </c>
      <c r="F58" s="21">
        <v>240333</v>
      </c>
      <c r="G58" s="42">
        <v>-4.8000000000000001E-2</v>
      </c>
      <c r="H58" s="21" t="s">
        <v>587</v>
      </c>
      <c r="I58" s="39" t="str">
        <f ca="1">IFERROR(__xludf.DUMMYFUNCTION("IF(SUM(COUNTIF(artists!A:A, SPLIT(D58, "",""))) &gt; 0, ""UA"", 0)"),"UA")</f>
        <v>UA</v>
      </c>
      <c r="J58" s="40">
        <f ca="1">IFERROR(__xludf.DUMMYFUNCTION("IF(SUM(COUNTIF(artists!C:C, SPLIT(D58, "",""))) &gt; 0, ""RU"", 0)"),0)</f>
        <v>0</v>
      </c>
      <c r="K58" s="39">
        <f ca="1">IFERROR(__xludf.DUMMYFUNCTION("IF(SUM(COUNTIF(artists!E:E, SPLIT(D58, "",""))) &gt; 0, ""OTHER"", 0)"),0)</f>
        <v>0</v>
      </c>
    </row>
    <row r="59" spans="1:11" ht="14.25" customHeight="1">
      <c r="A59" s="21">
        <v>58</v>
      </c>
      <c r="B59" s="21">
        <v>59</v>
      </c>
      <c r="C59" s="21" t="s">
        <v>1381</v>
      </c>
      <c r="D59" s="21" t="s">
        <v>969</v>
      </c>
      <c r="E59" s="21">
        <v>16</v>
      </c>
      <c r="F59" s="21">
        <v>239073</v>
      </c>
      <c r="G59" s="42">
        <v>1.2E-2</v>
      </c>
      <c r="H59" s="21" t="s">
        <v>1382</v>
      </c>
      <c r="I59" s="39" t="str">
        <f ca="1">IFERROR(__xludf.DUMMYFUNCTION("IF(SUM(COUNTIF(artists!A:A, SPLIT(D59, "",""))) &gt; 0, ""UA"", 0)"),"UA")</f>
        <v>UA</v>
      </c>
      <c r="J59" s="40">
        <f ca="1">IFERROR(__xludf.DUMMYFUNCTION("IF(SUM(COUNTIF(artists!C:C, SPLIT(D59, "",""))) &gt; 0, ""RU"", 0)"),0)</f>
        <v>0</v>
      </c>
      <c r="K59" s="39">
        <f ca="1">IFERROR(__xludf.DUMMYFUNCTION("IF(SUM(COUNTIF(artists!E:E, SPLIT(D59, "",""))) &gt; 0, ""OTHER"", 0)"),0)</f>
        <v>0</v>
      </c>
    </row>
    <row r="60" spans="1:11" ht="14.25" customHeight="1">
      <c r="A60" s="21">
        <v>59</v>
      </c>
      <c r="B60" s="21">
        <v>67</v>
      </c>
      <c r="C60" s="21" t="s">
        <v>178</v>
      </c>
      <c r="D60" s="21" t="s">
        <v>179</v>
      </c>
      <c r="E60" s="21">
        <v>9</v>
      </c>
      <c r="F60" s="21">
        <v>239025</v>
      </c>
      <c r="G60" s="42">
        <v>0.124</v>
      </c>
      <c r="H60" s="21" t="s">
        <v>181</v>
      </c>
      <c r="I60" s="39" t="str">
        <f ca="1">IFERROR(__xludf.DUMMYFUNCTION("IF(SUM(COUNTIF(artists!A:A, SPLIT(D60, "",""))) &gt; 0, ""UA"", 0)"),"UA")</f>
        <v>UA</v>
      </c>
      <c r="J60" s="40">
        <f ca="1">IFERROR(__xludf.DUMMYFUNCTION("IF(SUM(COUNTIF(artists!C:C, SPLIT(D60, "",""))) &gt; 0, ""RU"", 0)"),0)</f>
        <v>0</v>
      </c>
      <c r="K60" s="39">
        <f ca="1">IFERROR(__xludf.DUMMYFUNCTION("IF(SUM(COUNTIF(artists!E:E, SPLIT(D60, "",""))) &gt; 0, ""OTHER"", 0)"),0)</f>
        <v>0</v>
      </c>
    </row>
    <row r="61" spans="1:11" ht="14.25" customHeight="1">
      <c r="A61" s="21">
        <v>60</v>
      </c>
      <c r="B61" s="21">
        <v>55</v>
      </c>
      <c r="C61" s="21" t="s">
        <v>1480</v>
      </c>
      <c r="D61" s="21" t="s">
        <v>1481</v>
      </c>
      <c r="E61" s="21">
        <v>10</v>
      </c>
      <c r="F61" s="21">
        <v>235409</v>
      </c>
      <c r="G61" s="42">
        <v>-5.2999999999999999E-2</v>
      </c>
      <c r="H61" s="21" t="s">
        <v>1482</v>
      </c>
      <c r="I61" s="39" t="str">
        <f ca="1">IFERROR(__xludf.DUMMYFUNCTION("IF(SUM(COUNTIF(artists!A:A, SPLIT(D61, "",""))) &gt; 0, ""UA"", 0)"),"UA")</f>
        <v>UA</v>
      </c>
      <c r="J61" s="40">
        <f ca="1">IFERROR(__xludf.DUMMYFUNCTION("IF(SUM(COUNTIF(artists!C:C, SPLIT(D61, "",""))) &gt; 0, ""RU"", 0)"),0)</f>
        <v>0</v>
      </c>
      <c r="K61" s="39">
        <f ca="1">IFERROR(__xludf.DUMMYFUNCTION("IF(SUM(COUNTIF(artists!E:E, SPLIT(D61, "",""))) &gt; 0, ""OTHER"", 0)"),0)</f>
        <v>0</v>
      </c>
    </row>
    <row r="62" spans="1:11" ht="14.25" customHeight="1">
      <c r="A62" s="21">
        <v>61</v>
      </c>
      <c r="B62" s="21">
        <v>49</v>
      </c>
      <c r="C62" s="21" t="s">
        <v>1565</v>
      </c>
      <c r="D62" s="21" t="s">
        <v>1566</v>
      </c>
      <c r="E62" s="21">
        <v>3</v>
      </c>
      <c r="F62" s="21">
        <v>232848</v>
      </c>
      <c r="G62" s="42">
        <v>-0.14499999999999999</v>
      </c>
      <c r="H62" s="21" t="s">
        <v>1567</v>
      </c>
      <c r="I62" s="39" t="str">
        <f ca="1">IFERROR(__xludf.DUMMYFUNCTION("IF(SUM(COUNTIF(artists!A:A, SPLIT(D62, "",""))) &gt; 0, ""UA"", 0)"),"UA")</f>
        <v>UA</v>
      </c>
      <c r="J62" s="40">
        <f ca="1">IFERROR(__xludf.DUMMYFUNCTION("IF(SUM(COUNTIF(artists!C:C, SPLIT(D62, "",""))) &gt; 0, ""RU"", 0)"),0)</f>
        <v>0</v>
      </c>
      <c r="K62" s="39">
        <f ca="1">IFERROR(__xludf.DUMMYFUNCTION("IF(SUM(COUNTIF(artists!E:E, SPLIT(D62, "",""))) &gt; 0, ""OTHER"", 0)"),0)</f>
        <v>0</v>
      </c>
    </row>
    <row r="63" spans="1:11" ht="14.25" customHeight="1">
      <c r="A63" s="21">
        <v>62</v>
      </c>
      <c r="B63" s="21">
        <v>62</v>
      </c>
      <c r="C63" s="21" t="s">
        <v>597</v>
      </c>
      <c r="D63" s="21" t="s">
        <v>598</v>
      </c>
      <c r="E63" s="21">
        <v>10</v>
      </c>
      <c r="F63" s="21">
        <v>230867</v>
      </c>
      <c r="G63" s="42">
        <v>2.1000000000000001E-2</v>
      </c>
      <c r="H63" s="21" t="s">
        <v>600</v>
      </c>
      <c r="I63" s="39" t="str">
        <f ca="1">IFERROR(__xludf.DUMMYFUNCTION("IF(SUM(COUNTIF(artists!A:A, SPLIT(D63, "",""))) &gt; 0, ""UA"", 0)"),"UA")</f>
        <v>UA</v>
      </c>
      <c r="J63" s="40">
        <f ca="1">IFERROR(__xludf.DUMMYFUNCTION("IF(SUM(COUNTIF(artists!C:C, SPLIT(D63, "",""))) &gt; 0, ""RU"", 0)"),0)</f>
        <v>0</v>
      </c>
      <c r="K63" s="39">
        <f ca="1">IFERROR(__xludf.DUMMYFUNCTION("IF(SUM(COUNTIF(artists!E:E, SPLIT(D63, "",""))) &gt; 0, ""OTHER"", 0)"),0)</f>
        <v>0</v>
      </c>
    </row>
    <row r="64" spans="1:11" ht="14.25" customHeight="1">
      <c r="A64" s="21">
        <v>63</v>
      </c>
      <c r="B64" s="21">
        <v>52</v>
      </c>
      <c r="C64" s="21" t="s">
        <v>1234</v>
      </c>
      <c r="D64" s="21" t="s">
        <v>1193</v>
      </c>
      <c r="E64" s="21">
        <v>3</v>
      </c>
      <c r="F64" s="21">
        <v>229624</v>
      </c>
      <c r="G64" s="42">
        <v>-0.107</v>
      </c>
      <c r="H64" s="21" t="s">
        <v>1235</v>
      </c>
      <c r="I64" s="39" t="str">
        <f ca="1">IFERROR(__xludf.DUMMYFUNCTION("IF(SUM(COUNTIF(artists!A:A, SPLIT(D64, "",""))) &gt; 0, ""UA"", 0)"),"UA")</f>
        <v>UA</v>
      </c>
      <c r="J64" s="40">
        <f ca="1">IFERROR(__xludf.DUMMYFUNCTION("IF(SUM(COUNTIF(artists!C:C, SPLIT(D64, "",""))) &gt; 0, ""RU"", 0)"),0)</f>
        <v>0</v>
      </c>
      <c r="K64" s="39">
        <f ca="1">IFERROR(__xludf.DUMMYFUNCTION("IF(SUM(COUNTIF(artists!E:E, SPLIT(D64, "",""))) &gt; 0, ""OTHER"", 0)"),0)</f>
        <v>0</v>
      </c>
    </row>
    <row r="65" spans="1:11" ht="14.25" customHeight="1">
      <c r="A65" s="21">
        <v>64</v>
      </c>
      <c r="B65" s="21">
        <v>71</v>
      </c>
      <c r="C65" s="21" t="s">
        <v>1588</v>
      </c>
      <c r="D65" s="21" t="s">
        <v>776</v>
      </c>
      <c r="E65" s="21">
        <v>18</v>
      </c>
      <c r="F65" s="21">
        <v>227204</v>
      </c>
      <c r="G65" s="42">
        <v>0.13500000000000001</v>
      </c>
      <c r="H65" s="21" t="s">
        <v>1589</v>
      </c>
      <c r="I65" s="39" t="str">
        <f ca="1">IFERROR(__xludf.DUMMYFUNCTION("IF(SUM(COUNTIF(artists!A:A, SPLIT(D65, "",""))) &gt; 0, ""UA"", 0)"),"UA")</f>
        <v>UA</v>
      </c>
      <c r="J65" s="40">
        <f ca="1">IFERROR(__xludf.DUMMYFUNCTION("IF(SUM(COUNTIF(artists!C:C, SPLIT(D65, "",""))) &gt; 0, ""RU"", 0)"),0)</f>
        <v>0</v>
      </c>
      <c r="K65" s="39">
        <f ca="1">IFERROR(__xludf.DUMMYFUNCTION("IF(SUM(COUNTIF(artists!E:E, SPLIT(D65, "",""))) &gt; 0, ""OTHER"", 0)"),0)</f>
        <v>0</v>
      </c>
    </row>
    <row r="66" spans="1:11" ht="14.25" customHeight="1">
      <c r="A66" s="21">
        <v>65</v>
      </c>
      <c r="B66" s="21">
        <v>64</v>
      </c>
      <c r="C66" s="21" t="s">
        <v>1575</v>
      </c>
      <c r="D66" s="21" t="s">
        <v>945</v>
      </c>
      <c r="E66" s="21">
        <v>11</v>
      </c>
      <c r="F66" s="21">
        <v>222304</v>
      </c>
      <c r="G66" s="43">
        <v>0.01</v>
      </c>
      <c r="H66" s="21" t="s">
        <v>1576</v>
      </c>
      <c r="I66" s="39" t="str">
        <f ca="1">IFERROR(__xludf.DUMMYFUNCTION("IF(SUM(COUNTIF(artists!A:A, SPLIT(D66, "",""))) &gt; 0, ""UA"", 0)"),"UA")</f>
        <v>UA</v>
      </c>
      <c r="J66" s="40">
        <f ca="1">IFERROR(__xludf.DUMMYFUNCTION("IF(SUM(COUNTIF(artists!C:C, SPLIT(D66, "",""))) &gt; 0, ""RU"", 0)"),0)</f>
        <v>0</v>
      </c>
      <c r="K66" s="39">
        <f ca="1">IFERROR(__xludf.DUMMYFUNCTION("IF(SUM(COUNTIF(artists!E:E, SPLIT(D66, "",""))) &gt; 0, ""OTHER"", 0)"),0)</f>
        <v>0</v>
      </c>
    </row>
    <row r="67" spans="1:11" ht="14.25" customHeight="1">
      <c r="A67" s="21">
        <v>66</v>
      </c>
      <c r="B67" s="21">
        <v>61</v>
      </c>
      <c r="C67" s="21" t="s">
        <v>1477</v>
      </c>
      <c r="D67" s="21" t="s">
        <v>1478</v>
      </c>
      <c r="E67" s="21">
        <v>14</v>
      </c>
      <c r="F67" s="21">
        <v>217878</v>
      </c>
      <c r="G67" s="42">
        <v>-6.4000000000000001E-2</v>
      </c>
      <c r="H67" s="21" t="s">
        <v>1479</v>
      </c>
      <c r="I67" s="39" t="str">
        <f ca="1">IFERROR(__xludf.DUMMYFUNCTION("IF(SUM(COUNTIF(artists!A:A, SPLIT(D67, "",""))) &gt; 0, ""UA"", 0)"),"UA")</f>
        <v>UA</v>
      </c>
      <c r="J67" s="40">
        <f ca="1">IFERROR(__xludf.DUMMYFUNCTION("IF(SUM(COUNTIF(artists!C:C, SPLIT(D67, "",""))) &gt; 0, ""RU"", 0)"),0)</f>
        <v>0</v>
      </c>
      <c r="K67" s="39">
        <f ca="1">IFERROR(__xludf.DUMMYFUNCTION("IF(SUM(COUNTIF(artists!E:E, SPLIT(D67, "",""))) &gt; 0, ""OTHER"", 0)"),0)</f>
        <v>0</v>
      </c>
    </row>
    <row r="68" spans="1:11" ht="14.25" customHeight="1">
      <c r="A68" s="21">
        <v>67</v>
      </c>
      <c r="B68" s="21">
        <v>83</v>
      </c>
      <c r="C68" s="21" t="s">
        <v>489</v>
      </c>
      <c r="D68" s="21" t="s">
        <v>490</v>
      </c>
      <c r="E68" s="21">
        <v>13</v>
      </c>
      <c r="F68" s="21">
        <v>215506</v>
      </c>
      <c r="G68" s="42">
        <v>0.155</v>
      </c>
      <c r="H68" s="21" t="s">
        <v>491</v>
      </c>
      <c r="I68" s="39" t="str">
        <f ca="1">IFERROR(__xludf.DUMMYFUNCTION("IF(SUM(COUNTIF(artists!A:A, SPLIT(D68, "",""))) &gt; 0, ""UA"", 0)"),"UA")</f>
        <v>UA</v>
      </c>
      <c r="J68" s="40">
        <f ca="1">IFERROR(__xludf.DUMMYFUNCTION("IF(SUM(COUNTIF(artists!C:C, SPLIT(D68, "",""))) &gt; 0, ""RU"", 0)"),0)</f>
        <v>0</v>
      </c>
      <c r="K68" s="39">
        <f ca="1">IFERROR(__xludf.DUMMYFUNCTION("IF(SUM(COUNTIF(artists!E:E, SPLIT(D68, "",""))) &gt; 0, ""OTHER"", 0)"),0)</f>
        <v>0</v>
      </c>
    </row>
    <row r="69" spans="1:11" ht="14.25" customHeight="1">
      <c r="A69" s="21">
        <v>68</v>
      </c>
      <c r="B69" s="21">
        <v>58</v>
      </c>
      <c r="C69" s="21" t="s">
        <v>1387</v>
      </c>
      <c r="D69" s="21" t="s">
        <v>1388</v>
      </c>
      <c r="E69" s="21">
        <v>9</v>
      </c>
      <c r="F69" s="21">
        <v>212667</v>
      </c>
      <c r="G69" s="42">
        <v>-0.104</v>
      </c>
      <c r="H69" s="21" t="s">
        <v>1389</v>
      </c>
      <c r="I69" s="39">
        <f ca="1">IFERROR(__xludf.DUMMYFUNCTION("IF(SUM(COUNTIF(artists!A:A, SPLIT(D69, "",""))) &gt; 0, ""UA"", 0)"),0)</f>
        <v>0</v>
      </c>
      <c r="J69" s="40">
        <f ca="1">IFERROR(__xludf.DUMMYFUNCTION("IF(SUM(COUNTIF(artists!C:C, SPLIT(D69, "",""))) &gt; 0, ""RU"", 0)"),0)</f>
        <v>0</v>
      </c>
      <c r="K69" s="39" t="str">
        <f ca="1">IFERROR(__xludf.DUMMYFUNCTION("IF(SUM(COUNTIF(artists!E:E, SPLIT(D69, "",""))) &gt; 0, ""OTHER"", 0)"),"OTHER")</f>
        <v>OTHER</v>
      </c>
    </row>
    <row r="70" spans="1:11" ht="14.25" customHeight="1">
      <c r="A70" s="21">
        <v>69</v>
      </c>
      <c r="B70" s="21">
        <v>76</v>
      </c>
      <c r="C70" s="21" t="s">
        <v>1007</v>
      </c>
      <c r="D70" s="21" t="s">
        <v>1008</v>
      </c>
      <c r="E70" s="21">
        <v>14</v>
      </c>
      <c r="F70" s="21">
        <v>207186</v>
      </c>
      <c r="G70" s="42">
        <v>7.5999999999999998E-2</v>
      </c>
      <c r="H70" s="21" t="s">
        <v>1009</v>
      </c>
      <c r="I70" s="39">
        <f ca="1">IFERROR(__xludf.DUMMYFUNCTION("IF(SUM(COUNTIF(artists!A:A, SPLIT(D70, "",""))) &gt; 0, ""UA"", 0)"),0)</f>
        <v>0</v>
      </c>
      <c r="J70" s="40" t="str">
        <f ca="1">IFERROR(__xludf.DUMMYFUNCTION("IF(SUM(COUNTIF(artists!C:C, SPLIT(D70, "",""))) &gt; 0, ""RU"", 0)"),"RU")</f>
        <v>RU</v>
      </c>
      <c r="K70" s="39">
        <f ca="1">IFERROR(__xludf.DUMMYFUNCTION("IF(SUM(COUNTIF(artists!E:E, SPLIT(D70, "",""))) &gt; 0, ""OTHER"", 0)"),0)</f>
        <v>0</v>
      </c>
    </row>
    <row r="71" spans="1:11" ht="14.25" customHeight="1">
      <c r="A71" s="21">
        <v>70</v>
      </c>
      <c r="B71" s="21">
        <v>82</v>
      </c>
      <c r="C71" s="21" t="s">
        <v>1601</v>
      </c>
      <c r="D71" s="21" t="s">
        <v>1602</v>
      </c>
      <c r="E71" s="21">
        <v>18</v>
      </c>
      <c r="F71" s="21">
        <v>197642</v>
      </c>
      <c r="G71" s="42">
        <v>4.3999999999999997E-2</v>
      </c>
      <c r="H71" s="21" t="s">
        <v>1603</v>
      </c>
      <c r="I71" s="39">
        <f ca="1">IFERROR(__xludf.DUMMYFUNCTION("IF(SUM(COUNTIF(artists!A:A, SPLIT(D71, "",""))) &gt; 0, ""UA"", 0)"),0)</f>
        <v>0</v>
      </c>
      <c r="J71" s="40" t="str">
        <f ca="1">IFERROR(__xludf.DUMMYFUNCTION("IF(SUM(COUNTIF(artists!C:C, SPLIT(D71, "",""))) &gt; 0, ""RU"", 0)"),"RU")</f>
        <v>RU</v>
      </c>
      <c r="K71" s="39">
        <f ca="1">IFERROR(__xludf.DUMMYFUNCTION("IF(SUM(COUNTIF(artists!E:E, SPLIT(D71, "",""))) &gt; 0, ""OTHER"", 0)"),0)</f>
        <v>0</v>
      </c>
    </row>
    <row r="72" spans="1:11" ht="14.25" customHeight="1">
      <c r="A72" s="21">
        <v>71</v>
      </c>
      <c r="B72" s="21">
        <v>72</v>
      </c>
      <c r="C72" s="21" t="s">
        <v>470</v>
      </c>
      <c r="D72" s="21" t="s">
        <v>81</v>
      </c>
      <c r="E72" s="21">
        <v>14</v>
      </c>
      <c r="F72" s="21">
        <v>197359</v>
      </c>
      <c r="G72" s="43">
        <v>-0.01</v>
      </c>
      <c r="H72" s="21" t="s">
        <v>472</v>
      </c>
      <c r="I72" s="39" t="str">
        <f ca="1">IFERROR(__xludf.DUMMYFUNCTION("IF(SUM(COUNTIF(artists!A:A, SPLIT(D72, "",""))) &gt; 0, ""UA"", 0)"),"UA")</f>
        <v>UA</v>
      </c>
      <c r="J72" s="40">
        <f ca="1">IFERROR(__xludf.DUMMYFUNCTION("IF(SUM(COUNTIF(artists!C:C, SPLIT(D72, "",""))) &gt; 0, ""RU"", 0)"),0)</f>
        <v>0</v>
      </c>
      <c r="K72" s="39">
        <f ca="1">IFERROR(__xludf.DUMMYFUNCTION("IF(SUM(COUNTIF(artists!E:E, SPLIT(D72, "",""))) &gt; 0, ""OTHER"", 0)"),0)</f>
        <v>0</v>
      </c>
    </row>
    <row r="73" spans="1:11" ht="14.25" customHeight="1">
      <c r="A73" s="21">
        <v>72</v>
      </c>
      <c r="B73" s="21">
        <v>77</v>
      </c>
      <c r="C73" s="21" t="s">
        <v>1622</v>
      </c>
      <c r="D73" s="21" t="s">
        <v>137</v>
      </c>
      <c r="E73" s="21">
        <v>19</v>
      </c>
      <c r="F73" s="21">
        <v>193306</v>
      </c>
      <c r="G73" s="42">
        <v>5.0000000000000001E-3</v>
      </c>
      <c r="H73" s="21" t="s">
        <v>1623</v>
      </c>
      <c r="I73" s="39" t="str">
        <f ca="1">IFERROR(__xludf.DUMMYFUNCTION("IF(SUM(COUNTIF(artists!A:A, SPLIT(D73, "",""))) &gt; 0, ""UA"", 0)"),"UA")</f>
        <v>UA</v>
      </c>
      <c r="J73" s="40">
        <f ca="1">IFERROR(__xludf.DUMMYFUNCTION("IF(SUM(COUNTIF(artists!C:C, SPLIT(D73, "",""))) &gt; 0, ""RU"", 0)"),0)</f>
        <v>0</v>
      </c>
      <c r="K73" s="39">
        <f ca="1">IFERROR(__xludf.DUMMYFUNCTION("IF(SUM(COUNTIF(artists!E:E, SPLIT(D73, "",""))) &gt; 0, ""OTHER"", 0)"),0)</f>
        <v>0</v>
      </c>
    </row>
    <row r="74" spans="1:11" ht="14.25" customHeight="1">
      <c r="A74" s="21">
        <v>73</v>
      </c>
      <c r="B74" s="21">
        <v>74</v>
      </c>
      <c r="C74" s="21" t="s">
        <v>1530</v>
      </c>
      <c r="D74" s="21" t="s">
        <v>1531</v>
      </c>
      <c r="E74" s="21">
        <v>15</v>
      </c>
      <c r="F74" s="21">
        <v>189621</v>
      </c>
      <c r="G74" s="42">
        <v>-4.8000000000000001E-2</v>
      </c>
      <c r="H74" s="21" t="s">
        <v>1532</v>
      </c>
      <c r="I74" s="39">
        <f ca="1">IFERROR(__xludf.DUMMYFUNCTION("IF(SUM(COUNTIF(artists!A:A, SPLIT(D74, "",""))) &gt; 0, ""UA"", 0)"),0)</f>
        <v>0</v>
      </c>
      <c r="J74" s="40">
        <f ca="1">IFERROR(__xludf.DUMMYFUNCTION("IF(SUM(COUNTIF(artists!C:C, SPLIT(D74, "",""))) &gt; 0, ""RU"", 0)"),0)</f>
        <v>0</v>
      </c>
      <c r="K74" s="39" t="str">
        <f ca="1">IFERROR(__xludf.DUMMYFUNCTION("IF(SUM(COUNTIF(artists!E:E, SPLIT(D74, "",""))) &gt; 0, ""OTHER"", 0)"),"OTHER")</f>
        <v>OTHER</v>
      </c>
    </row>
    <row r="75" spans="1:11" ht="14.25" customHeight="1">
      <c r="A75" s="21">
        <v>74</v>
      </c>
      <c r="B75" s="21">
        <v>89</v>
      </c>
      <c r="C75" s="21" t="s">
        <v>1416</v>
      </c>
      <c r="D75" s="21" t="s">
        <v>137</v>
      </c>
      <c r="E75" s="21">
        <v>10</v>
      </c>
      <c r="F75" s="21">
        <v>188704</v>
      </c>
      <c r="G75" s="42">
        <v>0.122</v>
      </c>
      <c r="H75" s="21" t="s">
        <v>1417</v>
      </c>
      <c r="I75" s="39" t="str">
        <f ca="1">IFERROR(__xludf.DUMMYFUNCTION("IF(SUM(COUNTIF(artists!A:A, SPLIT(D75, "",""))) &gt; 0, ""UA"", 0)"),"UA")</f>
        <v>UA</v>
      </c>
      <c r="J75" s="40">
        <f ca="1">IFERROR(__xludf.DUMMYFUNCTION("IF(SUM(COUNTIF(artists!C:C, SPLIT(D75, "",""))) &gt; 0, ""RU"", 0)"),0)</f>
        <v>0</v>
      </c>
      <c r="K75" s="39">
        <f ca="1">IFERROR(__xludf.DUMMYFUNCTION("IF(SUM(COUNTIF(artists!E:E, SPLIT(D75, "",""))) &gt; 0, ""OTHER"", 0)"),0)</f>
        <v>0</v>
      </c>
    </row>
    <row r="76" spans="1:11" ht="14.25" customHeight="1">
      <c r="A76" s="21">
        <v>75</v>
      </c>
      <c r="B76" s="21">
        <v>78</v>
      </c>
      <c r="C76" s="21" t="s">
        <v>636</v>
      </c>
      <c r="D76" s="21" t="s">
        <v>637</v>
      </c>
      <c r="E76" s="21">
        <v>6</v>
      </c>
      <c r="F76" s="21">
        <v>187895</v>
      </c>
      <c r="G76" s="42">
        <v>-1.9E-2</v>
      </c>
      <c r="H76" s="21" t="s">
        <v>638</v>
      </c>
      <c r="I76" s="39">
        <f ca="1">IFERROR(__xludf.DUMMYFUNCTION("IF(SUM(COUNTIF(artists!A:A, SPLIT(D76, "",""))) &gt; 0, ""UA"", 0)"),0)</f>
        <v>0</v>
      </c>
      <c r="J76" s="40">
        <f ca="1">IFERROR(__xludf.DUMMYFUNCTION("IF(SUM(COUNTIF(artists!C:C, SPLIT(D76, "",""))) &gt; 0, ""RU"", 0)"),0)</f>
        <v>0</v>
      </c>
      <c r="K76" s="39" t="str">
        <f ca="1">IFERROR(__xludf.DUMMYFUNCTION("IF(SUM(COUNTIF(artists!E:E, SPLIT(D76, "",""))) &gt; 0, ""OTHER"", 0)"),"OTHER")</f>
        <v>OTHER</v>
      </c>
    </row>
    <row r="77" spans="1:11" ht="14.25" customHeight="1">
      <c r="A77" s="21">
        <v>76</v>
      </c>
      <c r="B77" s="21">
        <v>79</v>
      </c>
      <c r="C77" s="21" t="s">
        <v>1390</v>
      </c>
      <c r="D77" s="21" t="s">
        <v>259</v>
      </c>
      <c r="E77" s="21">
        <v>5</v>
      </c>
      <c r="F77" s="21">
        <v>183576</v>
      </c>
      <c r="G77" s="43">
        <v>-0.04</v>
      </c>
      <c r="H77" s="21" t="s">
        <v>1391</v>
      </c>
      <c r="I77" s="39" t="str">
        <f ca="1">IFERROR(__xludf.DUMMYFUNCTION("IF(SUM(COUNTIF(artists!A:A, SPLIT(D77, "",""))) &gt; 0, ""UA"", 0)"),"UA")</f>
        <v>UA</v>
      </c>
      <c r="J77" s="40">
        <f ca="1">IFERROR(__xludf.DUMMYFUNCTION("IF(SUM(COUNTIF(artists!C:C, SPLIT(D77, "",""))) &gt; 0, ""RU"", 0)"),0)</f>
        <v>0</v>
      </c>
      <c r="K77" s="39">
        <f ca="1">IFERROR(__xludf.DUMMYFUNCTION("IF(SUM(COUNTIF(artists!E:E, SPLIT(D77, "",""))) &gt; 0, ""OTHER"", 0)"),0)</f>
        <v>0</v>
      </c>
    </row>
    <row r="78" spans="1:11" ht="14.25" customHeight="1">
      <c r="A78" s="21">
        <v>77</v>
      </c>
      <c r="B78" s="21">
        <v>96</v>
      </c>
      <c r="C78" s="21" t="s">
        <v>1392</v>
      </c>
      <c r="D78" s="21" t="s">
        <v>1393</v>
      </c>
      <c r="E78" s="21">
        <v>12</v>
      </c>
      <c r="F78" s="21">
        <v>176894</v>
      </c>
      <c r="G78" s="42">
        <v>0.11600000000000001</v>
      </c>
      <c r="H78" s="21" t="s">
        <v>1394</v>
      </c>
      <c r="I78" s="39">
        <f ca="1">IFERROR(__xludf.DUMMYFUNCTION("IF(SUM(COUNTIF(artists!A:A, SPLIT(D78, "",""))) &gt; 0, ""UA"", 0)"),0)</f>
        <v>0</v>
      </c>
      <c r="J78" s="40" t="str">
        <f ca="1">IFERROR(__xludf.DUMMYFUNCTION("IF(SUM(COUNTIF(artists!C:C, SPLIT(D78, "",""))) &gt; 0, ""RU"", 0)"),"RU")</f>
        <v>RU</v>
      </c>
      <c r="K78" s="39">
        <f ca="1">IFERROR(__xludf.DUMMYFUNCTION("IF(SUM(COUNTIF(artists!E:E, SPLIT(D78, "",""))) &gt; 0, ""OTHER"", 0)"),0)</f>
        <v>0</v>
      </c>
    </row>
    <row r="79" spans="1:11" ht="14.25" customHeight="1">
      <c r="A79" s="21">
        <v>78</v>
      </c>
      <c r="B79" s="21">
        <v>87</v>
      </c>
      <c r="C79" s="21" t="s">
        <v>748</v>
      </c>
      <c r="D79" s="21" t="s">
        <v>586</v>
      </c>
      <c r="E79" s="21">
        <v>14</v>
      </c>
      <c r="F79" s="21">
        <v>174748</v>
      </c>
      <c r="G79" s="42">
        <v>8.0000000000000002E-3</v>
      </c>
      <c r="H79" s="21" t="s">
        <v>749</v>
      </c>
      <c r="I79" s="39" t="str">
        <f ca="1">IFERROR(__xludf.DUMMYFUNCTION("IF(SUM(COUNTIF(artists!A:A, SPLIT(D79, "",""))) &gt; 0, ""UA"", 0)"),"UA")</f>
        <v>UA</v>
      </c>
      <c r="J79" s="40">
        <f ca="1">IFERROR(__xludf.DUMMYFUNCTION("IF(SUM(COUNTIF(artists!C:C, SPLIT(D79, "",""))) &gt; 0, ""RU"", 0)"),0)</f>
        <v>0</v>
      </c>
      <c r="K79" s="39">
        <f ca="1">IFERROR(__xludf.DUMMYFUNCTION("IF(SUM(COUNTIF(artists!E:E, SPLIT(D79, "",""))) &gt; 0, ""OTHER"", 0)"),0)</f>
        <v>0</v>
      </c>
    </row>
    <row r="80" spans="1:11" ht="14.25" customHeight="1">
      <c r="A80" s="21">
        <v>79</v>
      </c>
      <c r="B80" s="21">
        <v>56</v>
      </c>
      <c r="C80" s="21" t="s">
        <v>1641</v>
      </c>
      <c r="D80" s="21" t="s">
        <v>1534</v>
      </c>
      <c r="E80" s="21">
        <v>2</v>
      </c>
      <c r="F80" s="21">
        <v>174644</v>
      </c>
      <c r="G80" s="42">
        <v>-0.29299999999999998</v>
      </c>
      <c r="H80" s="21" t="s">
        <v>1642</v>
      </c>
      <c r="I80" s="39">
        <f ca="1">IFERROR(__xludf.DUMMYFUNCTION("IF(SUM(COUNTIF(artists!A:A, SPLIT(D80, "",""))) &gt; 0, ""UA"", 0)"),0)</f>
        <v>0</v>
      </c>
      <c r="J80" s="40" t="str">
        <f ca="1">IFERROR(__xludf.DUMMYFUNCTION("IF(SUM(COUNTIF(artists!C:C, SPLIT(D80, "",""))) &gt; 0, ""RU"", 0)"),"RU")</f>
        <v>RU</v>
      </c>
      <c r="K80" s="39">
        <f ca="1">IFERROR(__xludf.DUMMYFUNCTION("IF(SUM(COUNTIF(artists!E:E, SPLIT(D80, "",""))) &gt; 0, ""OTHER"", 0)"),0)</f>
        <v>0</v>
      </c>
    </row>
    <row r="81" spans="1:11" ht="14.25" customHeight="1">
      <c r="A81" s="21">
        <v>80</v>
      </c>
      <c r="B81" s="21">
        <v>90</v>
      </c>
      <c r="C81" s="21" t="s">
        <v>1369</v>
      </c>
      <c r="D81" s="21" t="s">
        <v>1370</v>
      </c>
      <c r="E81" s="21">
        <v>15</v>
      </c>
      <c r="F81" s="21">
        <v>170126</v>
      </c>
      <c r="G81" s="42">
        <v>3.5999999999999997E-2</v>
      </c>
      <c r="H81" s="21" t="s">
        <v>1371</v>
      </c>
      <c r="I81" s="39" t="str">
        <f ca="1">IFERROR(__xludf.DUMMYFUNCTION("IF(SUM(COUNTIF(artists!A:A, SPLIT(D81, "",""))) &gt; 0, ""UA"", 0)"),"UA")</f>
        <v>UA</v>
      </c>
      <c r="J81" s="40">
        <f ca="1">IFERROR(__xludf.DUMMYFUNCTION("IF(SUM(COUNTIF(artists!C:C, SPLIT(D81, "",""))) &gt; 0, ""RU"", 0)"),0)</f>
        <v>0</v>
      </c>
      <c r="K81" s="39">
        <f ca="1">IFERROR(__xludf.DUMMYFUNCTION("IF(SUM(COUNTIF(artists!E:E, SPLIT(D81, "",""))) &gt; 0, ""OTHER"", 0)"),0)</f>
        <v>0</v>
      </c>
    </row>
    <row r="82" spans="1:11" ht="14.25" customHeight="1">
      <c r="A82" s="21">
        <v>81</v>
      </c>
      <c r="B82" s="21">
        <v>92</v>
      </c>
      <c r="C82" s="21" t="s">
        <v>1551</v>
      </c>
      <c r="D82" s="21" t="s">
        <v>1344</v>
      </c>
      <c r="E82" s="21">
        <v>6</v>
      </c>
      <c r="F82" s="21">
        <v>165086</v>
      </c>
      <c r="G82" s="42">
        <v>1.2999999999999999E-2</v>
      </c>
      <c r="H82" s="21" t="s">
        <v>1552</v>
      </c>
      <c r="I82" s="39" t="str">
        <f ca="1">IFERROR(__xludf.DUMMYFUNCTION("IF(SUM(COUNTIF(artists!A:A, SPLIT(D82, "",""))) &gt; 0, ""UA"", 0)"),"UA")</f>
        <v>UA</v>
      </c>
      <c r="J82" s="40">
        <f ca="1">IFERROR(__xludf.DUMMYFUNCTION("IF(SUM(COUNTIF(artists!C:C, SPLIT(D82, "",""))) &gt; 0, ""RU"", 0)"),0)</f>
        <v>0</v>
      </c>
      <c r="K82" s="39">
        <f ca="1">IFERROR(__xludf.DUMMYFUNCTION("IF(SUM(COUNTIF(artists!E:E, SPLIT(D82, "",""))) &gt; 0, ""OTHER"", 0)"),0)</f>
        <v>0</v>
      </c>
    </row>
    <row r="83" spans="1:11" ht="14.25" customHeight="1">
      <c r="A83" s="21">
        <v>82</v>
      </c>
      <c r="B83" s="21">
        <v>85</v>
      </c>
      <c r="C83" s="21" t="s">
        <v>1643</v>
      </c>
      <c r="D83" s="21" t="s">
        <v>831</v>
      </c>
      <c r="E83" s="21">
        <v>3</v>
      </c>
      <c r="F83" s="21">
        <v>163283</v>
      </c>
      <c r="G83" s="42">
        <v>-0.109</v>
      </c>
      <c r="H83" s="21" t="s">
        <v>1644</v>
      </c>
      <c r="I83" s="39" t="str">
        <f ca="1">IFERROR(__xludf.DUMMYFUNCTION("IF(SUM(COUNTIF(artists!A:A, SPLIT(D83, "",""))) &gt; 0, ""UA"", 0)"),"UA")</f>
        <v>UA</v>
      </c>
      <c r="J83" s="40">
        <f ca="1">IFERROR(__xludf.DUMMYFUNCTION("IF(SUM(COUNTIF(artists!C:C, SPLIT(D83, "",""))) &gt; 0, ""RU"", 0)"),0)</f>
        <v>0</v>
      </c>
      <c r="K83" s="39">
        <f ca="1">IFERROR(__xludf.DUMMYFUNCTION("IF(SUM(COUNTIF(artists!E:E, SPLIT(D83, "",""))) &gt; 0, ""OTHER"", 0)"),0)</f>
        <v>0</v>
      </c>
    </row>
    <row r="84" spans="1:11" ht="14.25" customHeight="1">
      <c r="A84" s="21">
        <v>83</v>
      </c>
      <c r="C84" s="21" t="s">
        <v>31</v>
      </c>
      <c r="D84" s="21" t="s">
        <v>32</v>
      </c>
      <c r="E84" s="21">
        <v>8</v>
      </c>
      <c r="F84" s="21">
        <v>161558</v>
      </c>
      <c r="H84" s="21" t="s">
        <v>1630</v>
      </c>
      <c r="I84" s="39" t="s">
        <v>77</v>
      </c>
      <c r="J84" s="40">
        <f ca="1">IFERROR(__xludf.DUMMYFUNCTION("IF(SUM(COUNTIF(artists!C:C, SPLIT(D84, "",""))) &gt; 0, ""RU"", 0)"),0)</f>
        <v>0</v>
      </c>
      <c r="K84" s="39">
        <f ca="1">IFERROR(__xludf.DUMMYFUNCTION("IF(SUM(COUNTIF(artists!E:E, SPLIT(D84, "",""))) &gt; 0, ""OTHER"", 0)"),0)</f>
        <v>0</v>
      </c>
    </row>
    <row r="85" spans="1:11" ht="14.25" customHeight="1">
      <c r="A85" s="21">
        <v>84</v>
      </c>
      <c r="B85" s="21">
        <v>86</v>
      </c>
      <c r="C85" s="21" t="s">
        <v>1645</v>
      </c>
      <c r="D85" s="21" t="s">
        <v>1646</v>
      </c>
      <c r="E85" s="21">
        <v>3</v>
      </c>
      <c r="F85" s="21">
        <v>159871</v>
      </c>
      <c r="G85" s="42">
        <v>-0.11899999999999999</v>
      </c>
      <c r="H85" s="21" t="s">
        <v>1647</v>
      </c>
      <c r="I85" s="39">
        <f ca="1">IFERROR(__xludf.DUMMYFUNCTION("IF(SUM(COUNTIF(artists!A:A, SPLIT(D85, "",""))) &gt; 0, ""UA"", 0)"),0)</f>
        <v>0</v>
      </c>
      <c r="J85" s="40" t="str">
        <f ca="1">IFERROR(__xludf.DUMMYFUNCTION("IF(SUM(COUNTIF(artists!C:C, SPLIT(D85, "",""))) &gt; 0, ""RU"", 0)"),"RU")</f>
        <v>RU</v>
      </c>
      <c r="K85" s="39">
        <f ca="1">IFERROR(__xludf.DUMMYFUNCTION("IF(SUM(COUNTIF(artists!E:E, SPLIT(D85, "",""))) &gt; 0, ""OTHER"", 0)"),0)</f>
        <v>0</v>
      </c>
    </row>
    <row r="86" spans="1:11" ht="14.25" customHeight="1">
      <c r="A86" s="21">
        <v>85</v>
      </c>
      <c r="B86" s="21">
        <v>81</v>
      </c>
      <c r="C86" s="21" t="s">
        <v>1648</v>
      </c>
      <c r="D86" s="21" t="s">
        <v>1649</v>
      </c>
      <c r="E86" s="21">
        <v>5</v>
      </c>
      <c r="F86" s="21">
        <v>159150</v>
      </c>
      <c r="G86" s="43">
        <v>-0.16</v>
      </c>
      <c r="H86" s="21" t="s">
        <v>1650</v>
      </c>
      <c r="I86" s="39">
        <f ca="1">IFERROR(__xludf.DUMMYFUNCTION("IF(SUM(COUNTIF(artists!A:A, SPLIT(D86, "",""))) &gt; 0, ""UA"", 0)"),0)</f>
        <v>0</v>
      </c>
      <c r="J86" s="40" t="str">
        <f ca="1">IFERROR(__xludf.DUMMYFUNCTION("IF(SUM(COUNTIF(artists!C:C, SPLIT(D86, "",""))) &gt; 0, ""RU"", 0)"),"RU")</f>
        <v>RU</v>
      </c>
      <c r="K86" s="39">
        <f ca="1">IFERROR(__xludf.DUMMYFUNCTION("IF(SUM(COUNTIF(artists!E:E, SPLIT(D86, "",""))) &gt; 0, ""OTHER"", 0)"),0)</f>
        <v>0</v>
      </c>
    </row>
    <row r="87" spans="1:11" ht="14.25" customHeight="1">
      <c r="A87" s="21">
        <v>86</v>
      </c>
      <c r="C87" s="21" t="s">
        <v>516</v>
      </c>
      <c r="D87" s="21" t="s">
        <v>517</v>
      </c>
      <c r="E87" s="21">
        <v>6</v>
      </c>
      <c r="F87" s="21">
        <v>156428</v>
      </c>
      <c r="H87" s="21" t="s">
        <v>518</v>
      </c>
      <c r="I87" s="39">
        <f ca="1">IFERROR(__xludf.DUMMYFUNCTION("IF(SUM(COUNTIF(artists!A:A, SPLIT(D87, "",""))) &gt; 0, ""UA"", 0)"),0)</f>
        <v>0</v>
      </c>
      <c r="J87" s="40">
        <f ca="1">IFERROR(__xludf.DUMMYFUNCTION("IF(SUM(COUNTIF(artists!C:C, SPLIT(D87, "",""))) &gt; 0, ""RU"", 0)"),0)</f>
        <v>0</v>
      </c>
      <c r="K87" s="39" t="str">
        <f ca="1">IFERROR(__xludf.DUMMYFUNCTION("IF(SUM(COUNTIF(artists!E:E, SPLIT(D87, "",""))) &gt; 0, ""OTHER"", 0)"),"OTHER")</f>
        <v>OTHER</v>
      </c>
    </row>
    <row r="88" spans="1:11" ht="14.25" customHeight="1">
      <c r="A88" s="21">
        <v>87</v>
      </c>
      <c r="C88" s="21" t="s">
        <v>1651</v>
      </c>
      <c r="D88" s="21" t="s">
        <v>1652</v>
      </c>
      <c r="E88" s="21">
        <v>22</v>
      </c>
      <c r="F88" s="21">
        <v>155948</v>
      </c>
      <c r="H88" s="21" t="s">
        <v>1653</v>
      </c>
      <c r="I88" s="39">
        <f ca="1">IFERROR(__xludf.DUMMYFUNCTION("IF(SUM(COUNTIF(artists!A:A, SPLIT(D88, "",""))) &gt; 0, ""UA"", 0)"),0)</f>
        <v>0</v>
      </c>
      <c r="J88" s="40" t="str">
        <f ca="1">IFERROR(__xludf.DUMMYFUNCTION("IF(SUM(COUNTIF(artists!C:C, SPLIT(D88, "",""))) &gt; 0, ""RU"", 0)"),"RU")</f>
        <v>RU</v>
      </c>
      <c r="K88" s="39">
        <f ca="1">IFERROR(__xludf.DUMMYFUNCTION("IF(SUM(COUNTIF(artists!E:E, SPLIT(D88, "",""))) &gt; 0, ""OTHER"", 0)"),0)</f>
        <v>0</v>
      </c>
    </row>
    <row r="89" spans="1:11" ht="14.25" customHeight="1">
      <c r="A89" s="21">
        <v>88</v>
      </c>
      <c r="B89" s="21">
        <v>88</v>
      </c>
      <c r="C89" s="21" t="s">
        <v>678</v>
      </c>
      <c r="D89" s="21" t="s">
        <v>89</v>
      </c>
      <c r="E89" s="21">
        <v>6</v>
      </c>
      <c r="F89" s="21">
        <v>155454</v>
      </c>
      <c r="G89" s="42">
        <v>-9.0999999999999998E-2</v>
      </c>
      <c r="H89" s="21" t="s">
        <v>679</v>
      </c>
      <c r="I89" s="39" t="str">
        <f ca="1">IFERROR(__xludf.DUMMYFUNCTION("IF(SUM(COUNTIF(artists!A:A, SPLIT(D89, "",""))) &gt; 0, ""UA"", 0)"),"UA")</f>
        <v>UA</v>
      </c>
      <c r="J89" s="40">
        <f ca="1">IFERROR(__xludf.DUMMYFUNCTION("IF(SUM(COUNTIF(artists!C:C, SPLIT(D89, "",""))) &gt; 0, ""RU"", 0)"),0)</f>
        <v>0</v>
      </c>
      <c r="K89" s="39">
        <f ca="1">IFERROR(__xludf.DUMMYFUNCTION("IF(SUM(COUNTIF(artists!E:E, SPLIT(D89, "",""))) &gt; 0, ""OTHER"", 0)"),0)</f>
        <v>0</v>
      </c>
    </row>
    <row r="90" spans="1:11" ht="14.25" customHeight="1">
      <c r="A90" s="21">
        <v>89</v>
      </c>
      <c r="C90" s="21" t="s">
        <v>1337</v>
      </c>
      <c r="D90" s="21" t="s">
        <v>1338</v>
      </c>
      <c r="E90" s="21">
        <v>15</v>
      </c>
      <c r="F90" s="21">
        <v>154096</v>
      </c>
      <c r="H90" s="21" t="s">
        <v>1339</v>
      </c>
      <c r="I90" s="39">
        <f ca="1">IFERROR(__xludf.DUMMYFUNCTION("IF(SUM(COUNTIF(artists!A:A, SPLIT(D90, "",""))) &gt; 0, ""UA"", 0)"),0)</f>
        <v>0</v>
      </c>
      <c r="J90" s="40">
        <f ca="1">IFERROR(__xludf.DUMMYFUNCTION("IF(SUM(COUNTIF(artists!C:C, SPLIT(D90, "",""))) &gt; 0, ""RU"", 0)"),0)</f>
        <v>0</v>
      </c>
      <c r="K90" s="39" t="str">
        <f ca="1">IFERROR(__xludf.DUMMYFUNCTION("IF(SUM(COUNTIF(artists!E:E, SPLIT(D90, "",""))) &gt; 0, ""OTHER"", 0)"),"OTHER")</f>
        <v>OTHER</v>
      </c>
    </row>
    <row r="91" spans="1:11" ht="14.25" customHeight="1">
      <c r="A91" s="21">
        <v>90</v>
      </c>
      <c r="B91" s="21">
        <v>98</v>
      </c>
      <c r="C91" s="21" t="s">
        <v>1614</v>
      </c>
      <c r="D91" s="21" t="s">
        <v>1027</v>
      </c>
      <c r="E91" s="21">
        <v>12</v>
      </c>
      <c r="F91" s="21">
        <v>153817</v>
      </c>
      <c r="G91" s="42">
        <v>-1.7999999999999999E-2</v>
      </c>
      <c r="H91" s="21" t="s">
        <v>1615</v>
      </c>
      <c r="I91" s="39" t="str">
        <f ca="1">IFERROR(__xludf.DUMMYFUNCTION("IF(SUM(COUNTIF(artists!A:A, SPLIT(D91, "",""))) &gt; 0, ""UA"", 0)"),"UA")</f>
        <v>UA</v>
      </c>
      <c r="J91" s="40">
        <f ca="1">IFERROR(__xludf.DUMMYFUNCTION("IF(SUM(COUNTIF(artists!C:C, SPLIT(D91, "",""))) &gt; 0, ""RU"", 0)"),0)</f>
        <v>0</v>
      </c>
      <c r="K91" s="39">
        <f ca="1">IFERROR(__xludf.DUMMYFUNCTION("IF(SUM(COUNTIF(artists!E:E, SPLIT(D91, "",""))) &gt; 0, ""OTHER"", 0)"),0)</f>
        <v>0</v>
      </c>
    </row>
    <row r="92" spans="1:11" ht="14.25" customHeight="1">
      <c r="A92" s="21">
        <v>91</v>
      </c>
      <c r="B92" s="21">
        <v>100</v>
      </c>
      <c r="C92" s="21" t="s">
        <v>1491</v>
      </c>
      <c r="D92" s="21" t="s">
        <v>1492</v>
      </c>
      <c r="E92" s="21">
        <v>5</v>
      </c>
      <c r="F92" s="21">
        <v>153389</v>
      </c>
      <c r="G92" s="42">
        <v>-7.0000000000000001E-3</v>
      </c>
      <c r="H92" s="21" t="s">
        <v>1493</v>
      </c>
      <c r="I92" s="39" t="str">
        <f ca="1">IFERROR(__xludf.DUMMYFUNCTION("IF(SUM(COUNTIF(artists!A:A, SPLIT(D92, "",""))) &gt; 0, ""UA"", 0)"),"UA")</f>
        <v>UA</v>
      </c>
      <c r="J92" s="40">
        <f ca="1">IFERROR(__xludf.DUMMYFUNCTION("IF(SUM(COUNTIF(artists!C:C, SPLIT(D92, "",""))) &gt; 0, ""RU"", 0)"),0)</f>
        <v>0</v>
      </c>
      <c r="K92" s="39">
        <f ca="1">IFERROR(__xludf.DUMMYFUNCTION("IF(SUM(COUNTIF(artists!E:E, SPLIT(D92, "",""))) &gt; 0, ""OTHER"", 0)"),0)</f>
        <v>0</v>
      </c>
    </row>
    <row r="93" spans="1:11" ht="14.25" customHeight="1">
      <c r="A93" s="21">
        <v>92</v>
      </c>
      <c r="C93" s="21" t="s">
        <v>1654</v>
      </c>
      <c r="D93" s="21" t="s">
        <v>1655</v>
      </c>
      <c r="E93" s="21">
        <v>24</v>
      </c>
      <c r="F93" s="21">
        <v>153100</v>
      </c>
      <c r="H93" s="21" t="s">
        <v>1656</v>
      </c>
      <c r="I93" s="39">
        <f ca="1">IFERROR(__xludf.DUMMYFUNCTION("IF(SUM(COUNTIF(artists!A:A, SPLIT(D93, "",""))) &gt; 0, ""UA"", 0)"),0)</f>
        <v>0</v>
      </c>
      <c r="J93" s="40" t="str">
        <f ca="1">IFERROR(__xludf.DUMMYFUNCTION("IF(SUM(COUNTIF(artists!C:C, SPLIT(D93, "",""))) &gt; 0, ""RU"", 0)"),"RU")</f>
        <v>RU</v>
      </c>
      <c r="K93" s="39">
        <f ca="1">IFERROR(__xludf.DUMMYFUNCTION("IF(SUM(COUNTIF(artists!E:E, SPLIT(D93, "",""))) &gt; 0, ""OTHER"", 0)"),0)</f>
        <v>0</v>
      </c>
    </row>
    <row r="94" spans="1:11" ht="14.25" customHeight="1">
      <c r="A94" s="21">
        <v>93</v>
      </c>
      <c r="B94" s="21">
        <v>84</v>
      </c>
      <c r="C94" s="21" t="s">
        <v>1657</v>
      </c>
      <c r="D94" s="21" t="s">
        <v>837</v>
      </c>
      <c r="E94" s="21">
        <v>9</v>
      </c>
      <c r="F94" s="21">
        <v>152740</v>
      </c>
      <c r="G94" s="42">
        <v>-0.17699999999999999</v>
      </c>
      <c r="H94" s="21" t="s">
        <v>1658</v>
      </c>
      <c r="I94" s="39" t="str">
        <f ca="1">IFERROR(__xludf.DUMMYFUNCTION("IF(SUM(COUNTIF(artists!A:A, SPLIT(D94, "",""))) &gt; 0, ""UA"", 0)"),"UA")</f>
        <v>UA</v>
      </c>
      <c r="J94" s="40">
        <f ca="1">IFERROR(__xludf.DUMMYFUNCTION("IF(SUM(COUNTIF(artists!C:C, SPLIT(D94, "",""))) &gt; 0, ""RU"", 0)"),0)</f>
        <v>0</v>
      </c>
      <c r="K94" s="39">
        <f ca="1">IFERROR(__xludf.DUMMYFUNCTION("IF(SUM(COUNTIF(artists!E:E, SPLIT(D94, "",""))) &gt; 0, ""OTHER"", 0)"),0)</f>
        <v>0</v>
      </c>
    </row>
    <row r="95" spans="1:11" ht="14.25" customHeight="1">
      <c r="A95" s="21">
        <v>94</v>
      </c>
      <c r="C95" s="21" t="s">
        <v>1546</v>
      </c>
      <c r="D95" s="21" t="s">
        <v>1429</v>
      </c>
      <c r="E95" s="21">
        <v>10</v>
      </c>
      <c r="F95" s="21">
        <v>152647</v>
      </c>
      <c r="H95" s="21" t="s">
        <v>1547</v>
      </c>
      <c r="I95" s="39" t="str">
        <f ca="1">IFERROR(__xludf.DUMMYFUNCTION("IF(SUM(COUNTIF(artists!A:A, SPLIT(D95, "",""))) &gt; 0, ""UA"", 0)"),"UA")</f>
        <v>UA</v>
      </c>
      <c r="J95" s="40">
        <f ca="1">IFERROR(__xludf.DUMMYFUNCTION("IF(SUM(COUNTIF(artists!C:C, SPLIT(D95, "",""))) &gt; 0, ""RU"", 0)"),0)</f>
        <v>0</v>
      </c>
      <c r="K95" s="39">
        <f ca="1">IFERROR(__xludf.DUMMYFUNCTION("IF(SUM(COUNTIF(artists!E:E, SPLIT(D95, "",""))) &gt; 0, ""OTHER"", 0)"),0)</f>
        <v>0</v>
      </c>
    </row>
    <row r="96" spans="1:11" ht="14.25" customHeight="1">
      <c r="A96" s="21">
        <v>95</v>
      </c>
      <c r="C96" s="21" t="s">
        <v>1611</v>
      </c>
      <c r="D96" s="21" t="s">
        <v>1612</v>
      </c>
      <c r="E96" s="21">
        <v>7</v>
      </c>
      <c r="F96" s="21">
        <v>150730</v>
      </c>
      <c r="H96" s="21" t="s">
        <v>1613</v>
      </c>
      <c r="I96" s="39" t="str">
        <f ca="1">IFERROR(__xludf.DUMMYFUNCTION("IF(SUM(COUNTIF(artists!A:A, SPLIT(D96, "",""))) &gt; 0, ""UA"", 0)"),"UA")</f>
        <v>UA</v>
      </c>
      <c r="J96" s="40">
        <f ca="1">IFERROR(__xludf.DUMMYFUNCTION("IF(SUM(COUNTIF(artists!C:C, SPLIT(D96, "",""))) &gt; 0, ""RU"", 0)"),0)</f>
        <v>0</v>
      </c>
      <c r="K96" s="39">
        <f ca="1">IFERROR(__xludf.DUMMYFUNCTION("IF(SUM(COUNTIF(artists!E:E, SPLIT(D96, "",""))) &gt; 0, ""OTHER"", 0)"),0)</f>
        <v>0</v>
      </c>
    </row>
    <row r="97" spans="1:11" ht="14.25" customHeight="1">
      <c r="A97" s="21">
        <v>96</v>
      </c>
      <c r="B97" s="21">
        <v>94</v>
      </c>
      <c r="C97" s="21" t="s">
        <v>1659</v>
      </c>
      <c r="D97" s="21" t="s">
        <v>1660</v>
      </c>
      <c r="E97" s="21">
        <v>14</v>
      </c>
      <c r="F97" s="21">
        <v>149491</v>
      </c>
      <c r="G97" s="42">
        <v>-6.3E-2</v>
      </c>
      <c r="H97" s="21" t="s">
        <v>1661</v>
      </c>
      <c r="I97" s="39">
        <f ca="1">IFERROR(__xludf.DUMMYFUNCTION("IF(SUM(COUNTIF(artists!A:A, SPLIT(D97, "",""))) &gt; 0, ""UA"", 0)"),0)</f>
        <v>0</v>
      </c>
      <c r="J97" s="40" t="str">
        <f ca="1">IFERROR(__xludf.DUMMYFUNCTION("IF(SUM(COUNTIF(artists!C:C, SPLIT(D97, "",""))) &gt; 0, ""RU"", 0)"),"RU")</f>
        <v>RU</v>
      </c>
      <c r="K97" s="39">
        <f ca="1">IFERROR(__xludf.DUMMYFUNCTION("IF(SUM(COUNTIF(artists!E:E, SPLIT(D97, "",""))) &gt; 0, ""OTHER"", 0)"),0)</f>
        <v>0</v>
      </c>
    </row>
    <row r="98" spans="1:11" ht="14.25" customHeight="1">
      <c r="A98" s="21">
        <v>97</v>
      </c>
      <c r="B98" s="21">
        <v>68</v>
      </c>
      <c r="C98" s="21" t="s">
        <v>1662</v>
      </c>
      <c r="D98" s="21" t="s">
        <v>1663</v>
      </c>
      <c r="E98" s="21">
        <v>4</v>
      </c>
      <c r="F98" s="21">
        <v>149203</v>
      </c>
      <c r="G98" s="42">
        <v>-0.29199999999999998</v>
      </c>
      <c r="H98" s="21" t="s">
        <v>1664</v>
      </c>
      <c r="I98" s="39">
        <f ca="1">IFERROR(__xludf.DUMMYFUNCTION("IF(SUM(COUNTIF(artists!A:A, SPLIT(D98, "",""))) &gt; 0, ""UA"", 0)"),0)</f>
        <v>0</v>
      </c>
      <c r="J98" s="40">
        <f ca="1">IFERROR(__xludf.DUMMYFUNCTION("IF(SUM(COUNTIF(artists!C:C, SPLIT(D98, "",""))) &gt; 0, ""RU"", 0)"),0)</f>
        <v>0</v>
      </c>
      <c r="K98" s="39" t="str">
        <f ca="1">IFERROR(__xludf.DUMMYFUNCTION("IF(SUM(COUNTIF(artists!E:E, SPLIT(D98, "",""))) &gt; 0, ""OTHER"", 0)"),"OTHER")</f>
        <v>OTHER</v>
      </c>
    </row>
    <row r="99" spans="1:11" ht="14.25" customHeight="1">
      <c r="A99" s="21">
        <v>98</v>
      </c>
      <c r="C99" s="21" t="s">
        <v>1359</v>
      </c>
      <c r="D99" s="21" t="s">
        <v>1360</v>
      </c>
      <c r="E99" s="21">
        <v>13</v>
      </c>
      <c r="F99" s="21">
        <v>148784</v>
      </c>
      <c r="H99" s="21" t="s">
        <v>1361</v>
      </c>
      <c r="I99" s="39" t="str">
        <f ca="1">IFERROR(__xludf.DUMMYFUNCTION("IF(SUM(COUNTIF(artists!A:A, SPLIT(D99, "",""))) &gt; 0, ""UA"", 0)"),"UA")</f>
        <v>UA</v>
      </c>
      <c r="J99" s="40">
        <f ca="1">IFERROR(__xludf.DUMMYFUNCTION("IF(SUM(COUNTIF(artists!C:C, SPLIT(D99, "",""))) &gt; 0, ""RU"", 0)"),0)</f>
        <v>0</v>
      </c>
      <c r="K99" s="39">
        <f ca="1">IFERROR(__xludf.DUMMYFUNCTION("IF(SUM(COUNTIF(artists!E:E, SPLIT(D99, "",""))) &gt; 0, ""OTHER"", 0)"),0)</f>
        <v>0</v>
      </c>
    </row>
    <row r="100" spans="1:11" ht="14.25" customHeight="1">
      <c r="A100" s="21">
        <v>99</v>
      </c>
      <c r="C100" s="21" t="s">
        <v>1665</v>
      </c>
      <c r="D100" s="21" t="s">
        <v>1666</v>
      </c>
      <c r="E100" s="21">
        <v>1</v>
      </c>
      <c r="F100" s="21">
        <v>147907</v>
      </c>
      <c r="H100" s="21" t="s">
        <v>1667</v>
      </c>
      <c r="I100" s="39">
        <f ca="1">IFERROR(__xludf.DUMMYFUNCTION("IF(SUM(COUNTIF(artists!A:A, SPLIT(D100, "",""))) &gt; 0, ""UA"", 0)"),0)</f>
        <v>0</v>
      </c>
      <c r="J100" s="40">
        <f ca="1">IFERROR(__xludf.DUMMYFUNCTION("IF(SUM(COUNTIF(artists!C:C, SPLIT(D100, "",""))) &gt; 0, ""RU"", 0)"),0)</f>
        <v>0</v>
      </c>
      <c r="K100" s="39" t="str">
        <f ca="1">IFERROR(__xludf.DUMMYFUNCTION("IF(SUM(COUNTIF(artists!E:E, SPLIT(D100, "",""))) &gt; 0, ""OTHER"", 0)"),"OTHER")</f>
        <v>OTHER</v>
      </c>
    </row>
    <row r="101" spans="1:11" ht="14.25" customHeight="1">
      <c r="A101" s="21">
        <v>100</v>
      </c>
      <c r="C101" s="21" t="s">
        <v>316</v>
      </c>
      <c r="D101" s="21" t="s">
        <v>317</v>
      </c>
      <c r="E101" s="21">
        <v>5</v>
      </c>
      <c r="F101" s="21">
        <v>147456</v>
      </c>
      <c r="H101" s="21" t="s">
        <v>319</v>
      </c>
      <c r="I101" s="39" t="str">
        <f ca="1">IFERROR(__xludf.DUMMYFUNCTION("IF(SUM(COUNTIF(artists!A:A, SPLIT(D101, "",""))) &gt; 0, ""UA"", 0)"),"UA")</f>
        <v>UA</v>
      </c>
      <c r="J101" s="40">
        <f ca="1">IFERROR(__xludf.DUMMYFUNCTION("IF(SUM(COUNTIF(artists!C:C, SPLIT(D101, "",""))) &gt; 0, ""RU"", 0)"),0)</f>
        <v>0</v>
      </c>
      <c r="K101" s="39">
        <f ca="1">IFERROR(__xludf.DUMMYFUNCTION("IF(SUM(COUNTIF(artists!E:E, SPLIT(D101, "",""))) &gt; 0, ""OTHER"", 0)"),0)</f>
        <v>0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45" priority="1">
      <formula>AND($I2=0, $J2=0, $K2=0)</formula>
    </cfRule>
    <cfRule type="expression" dxfId="44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Аркуш41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4" width="8.6640625" customWidth="1"/>
    <col min="5" max="5" width="8.6640625" hidden="1" customWidth="1"/>
    <col min="6" max="6" width="8.6640625" customWidth="1"/>
    <col min="7" max="7" width="13.10937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B2" s="21">
        <v>1</v>
      </c>
      <c r="C2" s="21" t="s">
        <v>645</v>
      </c>
      <c r="D2" s="21" t="s">
        <v>352</v>
      </c>
      <c r="E2" s="21">
        <v>17</v>
      </c>
      <c r="F2" s="21">
        <v>2455441</v>
      </c>
      <c r="G2" s="42">
        <v>-0.252</v>
      </c>
      <c r="H2" s="21" t="s">
        <v>647</v>
      </c>
      <c r="I2" s="39" t="str">
        <f ca="1">IFERROR(__xludf.DUMMYFUNCTION("IF(SUM(COUNTIF(artists!A:A, SPLIT(D2, "",""))) &gt; 0, ""UA"", 0)"),"UA")</f>
        <v>UA</v>
      </c>
      <c r="J2" s="40">
        <f ca="1">IFERROR(__xludf.DUMMYFUNCTION("IF(SUM(COUNTIF(artists!C:C, SPLIT(D2, "",""))) &gt; 0, ""RU"", 0)"),0)</f>
        <v>0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B3" s="21">
        <v>2</v>
      </c>
      <c r="C3" s="21" t="s">
        <v>194</v>
      </c>
      <c r="D3" s="21" t="s">
        <v>195</v>
      </c>
      <c r="E3" s="21">
        <v>7</v>
      </c>
      <c r="F3" s="21">
        <v>1204706</v>
      </c>
      <c r="G3" s="42">
        <v>-0.111</v>
      </c>
      <c r="H3" s="21" t="s">
        <v>197</v>
      </c>
      <c r="I3" s="39" t="str">
        <f ca="1">IFERROR(__xludf.DUMMYFUNCTION("IF(SUM(COUNTIF(artists!A:A, SPLIT(D3, "",""))) &gt; 0, ""UA"", 0)"),"UA")</f>
        <v>UA</v>
      </c>
      <c r="J3" s="40">
        <f ca="1">IFERROR(__xludf.DUMMYFUNCTION("IF(SUM(COUNTIF(artists!C:C, SPLIT(D3, "",""))) &gt; 0, ""RU"", 0)"),0)</f>
        <v>0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B4" s="21">
        <v>3</v>
      </c>
      <c r="C4" s="21" t="s">
        <v>1010</v>
      </c>
      <c r="D4" s="21" t="s">
        <v>1011</v>
      </c>
      <c r="E4" s="21">
        <v>5</v>
      </c>
      <c r="F4" s="21">
        <v>983874</v>
      </c>
      <c r="G4" s="42">
        <v>-0.115</v>
      </c>
      <c r="H4" s="21" t="s">
        <v>1012</v>
      </c>
      <c r="I4" s="39" t="str">
        <f ca="1">IFERROR(__xludf.DUMMYFUNCTION("IF(SUM(COUNTIF(artists!A:A, SPLIT(D4, "",""))) &gt; 0, ""UA"", 0)"),"UA")</f>
        <v>UA</v>
      </c>
      <c r="J4" s="40">
        <f ca="1">IFERROR(__xludf.DUMMYFUNCTION("IF(SUM(COUNTIF(artists!C:C, SPLIT(D4, "",""))) &gt; 0, ""RU"", 0)"),0)</f>
        <v>0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B5" s="21">
        <v>4</v>
      </c>
      <c r="C5" s="21" t="s">
        <v>895</v>
      </c>
      <c r="D5" s="21" t="s">
        <v>896</v>
      </c>
      <c r="E5" s="21">
        <v>16</v>
      </c>
      <c r="F5" s="21">
        <v>731704</v>
      </c>
      <c r="G5" s="42">
        <v>-0.126</v>
      </c>
      <c r="H5" s="21" t="s">
        <v>897</v>
      </c>
      <c r="I5" s="39" t="str">
        <f ca="1">IFERROR(__xludf.DUMMYFUNCTION("IF(SUM(COUNTIF(artists!A:A, SPLIT(D5, "",""))) &gt; 0, ""UA"", 0)"),"UA")</f>
        <v>UA</v>
      </c>
      <c r="J5" s="40">
        <f ca="1">IFERROR(__xludf.DUMMYFUNCTION("IF(SUM(COUNTIF(artists!C:C, SPLIT(D5, "",""))) &gt; 0, ""RU"", 0)"),0)</f>
        <v>0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B6" s="21">
        <v>7</v>
      </c>
      <c r="C6" s="21" t="s">
        <v>1668</v>
      </c>
      <c r="D6" s="21" t="s">
        <v>1358</v>
      </c>
      <c r="E6" s="21">
        <v>9</v>
      </c>
      <c r="F6" s="21">
        <v>694371</v>
      </c>
      <c r="G6" s="42">
        <v>-3.3000000000000002E-2</v>
      </c>
      <c r="H6" s="21" t="s">
        <v>1669</v>
      </c>
      <c r="I6" s="39" t="str">
        <f ca="1">IFERROR(__xludf.DUMMYFUNCTION("IF(SUM(COUNTIF(artists!A:A, SPLIT(D6, "",""))) &gt; 0, ""UA"", 0)"),"UA")</f>
        <v>UA</v>
      </c>
      <c r="J6" s="40">
        <f ca="1">IFERROR(__xludf.DUMMYFUNCTION("IF(SUM(COUNTIF(artists!C:C, SPLIT(D6, "",""))) &gt; 0, ""RU"", 0)"),0)</f>
        <v>0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B7" s="21">
        <v>9</v>
      </c>
      <c r="C7" s="21" t="s">
        <v>1431</v>
      </c>
      <c r="D7" s="21" t="s">
        <v>969</v>
      </c>
      <c r="E7" s="21">
        <v>32</v>
      </c>
      <c r="F7" s="21">
        <v>666762</v>
      </c>
      <c r="G7" s="43">
        <v>0.05</v>
      </c>
      <c r="H7" s="21" t="s">
        <v>1432</v>
      </c>
      <c r="I7" s="39" t="str">
        <f ca="1">IFERROR(__xludf.DUMMYFUNCTION("IF(SUM(COUNTIF(artists!A:A, SPLIT(D7, "",""))) &gt; 0, ""UA"", 0)"),"UA")</f>
        <v>UA</v>
      </c>
      <c r="J7" s="40">
        <f ca="1">IFERROR(__xludf.DUMMYFUNCTION("IF(SUM(COUNTIF(artists!C:C, SPLIT(D7, "",""))) &gt; 0, ""RU"", 0)"),0)</f>
        <v>0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B8" s="21">
        <v>5</v>
      </c>
      <c r="C8" s="21" t="s">
        <v>1287</v>
      </c>
      <c r="D8" s="21" t="s">
        <v>1288</v>
      </c>
      <c r="E8" s="21">
        <v>5</v>
      </c>
      <c r="F8" s="21">
        <v>647826</v>
      </c>
      <c r="G8" s="42">
        <v>-0.18099999999999999</v>
      </c>
      <c r="H8" s="21" t="s">
        <v>1289</v>
      </c>
      <c r="I8" s="39">
        <f ca="1">IFERROR(__xludf.DUMMYFUNCTION("IF(SUM(COUNTIF(artists!A:A, SPLIT(D8, "",""))) &gt; 0, ""UA"", 0)"),0)</f>
        <v>0</v>
      </c>
      <c r="J8" s="40">
        <f ca="1">IFERROR(__xludf.DUMMYFUNCTION("IF(SUM(COUNTIF(artists!C:C, SPLIT(D8, "",""))) &gt; 0, ""RU"", 0)"),0)</f>
        <v>0</v>
      </c>
      <c r="K8" s="39" t="str">
        <f ca="1">IFERROR(__xludf.DUMMYFUNCTION("IF(SUM(COUNTIF(artists!E:E, SPLIT(D8, "",""))) &gt; 0, ""OTHER"", 0)"),"OTHER")</f>
        <v>OTHER</v>
      </c>
    </row>
    <row r="9" spans="1:11" ht="14.25" customHeight="1">
      <c r="A9" s="21">
        <v>8</v>
      </c>
      <c r="B9" s="21">
        <v>6</v>
      </c>
      <c r="C9" s="21" t="s">
        <v>1377</v>
      </c>
      <c r="D9" s="21" t="s">
        <v>463</v>
      </c>
      <c r="E9" s="21">
        <v>3</v>
      </c>
      <c r="F9" s="21">
        <v>641990</v>
      </c>
      <c r="G9" s="42">
        <v>-0.13900000000000001</v>
      </c>
      <c r="H9" s="21" t="s">
        <v>1378</v>
      </c>
      <c r="I9" s="39" t="str">
        <f ca="1">IFERROR(__xludf.DUMMYFUNCTION("IF(SUM(COUNTIF(artists!A:A, SPLIT(D9, "",""))) &gt; 0, ""UA"", 0)"),"UA")</f>
        <v>UA</v>
      </c>
      <c r="J9" s="40">
        <f ca="1">IFERROR(__xludf.DUMMYFUNCTION("IF(SUM(COUNTIF(artists!C:C, SPLIT(D9, "",""))) &gt; 0, ""RU"", 0)"),0)</f>
        <v>0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B10" s="21">
        <v>8</v>
      </c>
      <c r="C10" s="21" t="s">
        <v>175</v>
      </c>
      <c r="D10" s="21" t="s">
        <v>89</v>
      </c>
      <c r="E10" s="21">
        <v>4</v>
      </c>
      <c r="F10" s="21">
        <v>637500</v>
      </c>
      <c r="G10" s="42">
        <v>-8.5000000000000006E-2</v>
      </c>
      <c r="H10" s="21" t="s">
        <v>177</v>
      </c>
      <c r="I10" s="39" t="str">
        <f ca="1">IFERROR(__xludf.DUMMYFUNCTION("IF(SUM(COUNTIF(artists!A:A, SPLIT(D10, "",""))) &gt; 0, ""UA"", 0)"),"UA")</f>
        <v>UA</v>
      </c>
      <c r="J10" s="40">
        <f ca="1">IFERROR(__xludf.DUMMYFUNCTION("IF(SUM(COUNTIF(artists!C:C, SPLIT(D10, "",""))) &gt; 0, ""RU"", 0)"),0)</f>
        <v>0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C11" s="21" t="s">
        <v>1178</v>
      </c>
      <c r="D11" s="21" t="s">
        <v>1117</v>
      </c>
      <c r="E11" s="21">
        <v>1</v>
      </c>
      <c r="F11" s="21">
        <v>568802</v>
      </c>
      <c r="H11" s="21" t="s">
        <v>1179</v>
      </c>
      <c r="I11" s="39">
        <f ca="1">IFERROR(__xludf.DUMMYFUNCTION("IF(SUM(COUNTIF(artists!A:A, SPLIT(D11, "",""))) &gt; 0, ""UA"", 0)"),0)</f>
        <v>0</v>
      </c>
      <c r="J11" s="40" t="str">
        <f ca="1">IFERROR(__xludf.DUMMYFUNCTION("IF(SUM(COUNTIF(artists!C:C, SPLIT(D11, "",""))) &gt; 0, ""RU"", 0)"),"RU")</f>
        <v>RU</v>
      </c>
      <c r="K11" s="39">
        <f ca="1">IFERROR(__xludf.DUMMYFUNCTION("IF(SUM(COUNTIF(artists!E:E, SPLIT(D11, "",""))) &gt; 0, ""OTHER"", 0)"),0)</f>
        <v>0</v>
      </c>
    </row>
    <row r="12" spans="1:11" ht="14.25" customHeight="1">
      <c r="A12" s="21">
        <v>11</v>
      </c>
      <c r="B12" s="21">
        <v>15</v>
      </c>
      <c r="C12" s="21" t="s">
        <v>132</v>
      </c>
      <c r="D12" s="21" t="s">
        <v>133</v>
      </c>
      <c r="E12" s="21">
        <v>4</v>
      </c>
      <c r="F12" s="21">
        <v>553225</v>
      </c>
      <c r="G12" s="43">
        <v>0.11</v>
      </c>
      <c r="H12" s="21" t="s">
        <v>135</v>
      </c>
      <c r="I12" s="39" t="str">
        <f ca="1">IFERROR(__xludf.DUMMYFUNCTION("IF(SUM(COUNTIF(artists!A:A, SPLIT(D12, "",""))) &gt; 0, ""UA"", 0)"),"UA")</f>
        <v>UA</v>
      </c>
      <c r="J12" s="40">
        <f ca="1">IFERROR(__xludf.DUMMYFUNCTION("IF(SUM(COUNTIF(artists!C:C, SPLIT(D12, "",""))) &gt; 0, ""RU"", 0)"),0)</f>
        <v>0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B13" s="21">
        <v>11</v>
      </c>
      <c r="C13" s="21" t="s">
        <v>799</v>
      </c>
      <c r="D13" s="21" t="s">
        <v>494</v>
      </c>
      <c r="E13" s="21">
        <v>13</v>
      </c>
      <c r="F13" s="21">
        <v>532310</v>
      </c>
      <c r="G13" s="42">
        <v>-2.1999999999999999E-2</v>
      </c>
      <c r="H13" s="21" t="s">
        <v>800</v>
      </c>
      <c r="I13" s="39" t="str">
        <f ca="1">IFERROR(__xludf.DUMMYFUNCTION("IF(SUM(COUNTIF(artists!A:A, SPLIT(D13, "",""))) &gt; 0, ""UA"", 0)"),"UA")</f>
        <v>UA</v>
      </c>
      <c r="J13" s="40">
        <f ca="1">IFERROR(__xludf.DUMMYFUNCTION("IF(SUM(COUNTIF(artists!C:C, SPLIT(D13, "",""))) &gt; 0, ""RU"", 0)"),0)</f>
        <v>0</v>
      </c>
      <c r="K13" s="39">
        <f ca="1">IFERROR(__xludf.DUMMYFUNCTION("IF(SUM(COUNTIF(artists!E:E, SPLIT(D13, "",""))) &gt; 0, ""OTHER"", 0)"),0)</f>
        <v>0</v>
      </c>
    </row>
    <row r="14" spans="1:11" ht="14.25" customHeight="1">
      <c r="A14" s="21">
        <v>13</v>
      </c>
      <c r="B14" s="21">
        <v>19</v>
      </c>
      <c r="C14" s="21" t="s">
        <v>229</v>
      </c>
      <c r="D14" s="21" t="s">
        <v>230</v>
      </c>
      <c r="E14" s="21">
        <v>11</v>
      </c>
      <c r="F14" s="21">
        <v>529237</v>
      </c>
      <c r="G14" s="42">
        <v>0.16800000000000001</v>
      </c>
      <c r="H14" s="21" t="s">
        <v>232</v>
      </c>
      <c r="I14" s="39" t="str">
        <f ca="1">IFERROR(__xludf.DUMMYFUNCTION("IF(SUM(COUNTIF(artists!A:A, SPLIT(D14, "",""))) &gt; 0, ""UA"", 0)"),"UA")</f>
        <v>UA</v>
      </c>
      <c r="J14" s="40">
        <f ca="1">IFERROR(__xludf.DUMMYFUNCTION("IF(SUM(COUNTIF(artists!C:C, SPLIT(D14, "",""))) &gt; 0, ""RU"", 0)"),0)</f>
        <v>0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B15" s="21">
        <v>14</v>
      </c>
      <c r="C15" s="21" t="s">
        <v>1263</v>
      </c>
      <c r="D15" s="21" t="s">
        <v>1264</v>
      </c>
      <c r="E15" s="21">
        <v>30</v>
      </c>
      <c r="F15" s="21">
        <v>518895</v>
      </c>
      <c r="G15" s="42">
        <v>1.4E-2</v>
      </c>
      <c r="H15" s="21" t="s">
        <v>1265</v>
      </c>
      <c r="I15" s="39">
        <f ca="1">IFERROR(__xludf.DUMMYFUNCTION("IF(SUM(COUNTIF(artists!A:A, SPLIT(D15, "",""))) &gt; 0, ""UA"", 0)"),0)</f>
        <v>0</v>
      </c>
      <c r="J15" s="40" t="str">
        <f ca="1">IFERROR(__xludf.DUMMYFUNCTION("IF(SUM(COUNTIF(artists!C:C, SPLIT(D15, "",""))) &gt; 0, ""RU"", 0)"),"RU")</f>
        <v>RU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B16" s="21">
        <v>13</v>
      </c>
      <c r="C16" s="21" t="s">
        <v>909</v>
      </c>
      <c r="D16" s="21" t="s">
        <v>910</v>
      </c>
      <c r="E16" s="21">
        <v>14</v>
      </c>
      <c r="F16" s="21">
        <v>511822</v>
      </c>
      <c r="G16" s="42">
        <v>-1.2E-2</v>
      </c>
      <c r="H16" s="21" t="s">
        <v>911</v>
      </c>
      <c r="I16" s="39" t="str">
        <f ca="1">IFERROR(__xludf.DUMMYFUNCTION("IF(SUM(COUNTIF(artists!A:A, SPLIT(D16, "",""))) &gt; 0, ""UA"", 0)"),"UA")</f>
        <v>UA</v>
      </c>
      <c r="J16" s="40">
        <f ca="1">IFERROR(__xludf.DUMMYFUNCTION("IF(SUM(COUNTIF(artists!C:C, SPLIT(D16, "",""))) &gt; 0, ""RU"", 0)"),0)</f>
        <v>0</v>
      </c>
      <c r="K16" s="39">
        <f ca="1">IFERROR(__xludf.DUMMYFUNCTION("IF(SUM(COUNTIF(artists!E:E, SPLIT(D16, "",""))) &gt; 0, ""OTHER"", 0)"),0)</f>
        <v>0</v>
      </c>
    </row>
    <row r="17" spans="1:11" ht="14.25" customHeight="1">
      <c r="A17" s="21">
        <v>16</v>
      </c>
      <c r="C17" s="21" t="s">
        <v>1055</v>
      </c>
      <c r="D17" s="21" t="s">
        <v>776</v>
      </c>
      <c r="E17" s="21">
        <v>1</v>
      </c>
      <c r="F17" s="21">
        <v>484497</v>
      </c>
      <c r="H17" s="21" t="s">
        <v>1056</v>
      </c>
      <c r="I17" s="39" t="str">
        <f ca="1">IFERROR(__xludf.DUMMYFUNCTION("IF(SUM(COUNTIF(artists!A:A, SPLIT(D17, "",""))) &gt; 0, ""UA"", 0)"),"UA")</f>
        <v>UA</v>
      </c>
      <c r="J17" s="40">
        <f ca="1">IFERROR(__xludf.DUMMYFUNCTION("IF(SUM(COUNTIF(artists!C:C, SPLIT(D17, "",""))) &gt; 0, ""RU"", 0)"),0)</f>
        <v>0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B18" s="21">
        <v>17</v>
      </c>
      <c r="C18" s="21" t="s">
        <v>1284</v>
      </c>
      <c r="D18" s="21" t="s">
        <v>1285</v>
      </c>
      <c r="E18" s="21">
        <v>5</v>
      </c>
      <c r="F18" s="21">
        <v>475978</v>
      </c>
      <c r="G18" s="42">
        <v>1.4999999999999999E-2</v>
      </c>
      <c r="H18" s="21" t="s">
        <v>1286</v>
      </c>
      <c r="I18" s="39">
        <f ca="1">IFERROR(__xludf.DUMMYFUNCTION("IF(SUM(COUNTIF(artists!A:A, SPLIT(D18, "",""))) &gt; 0, ""UA"", 0)"),0)</f>
        <v>0</v>
      </c>
      <c r="J18" s="40" t="str">
        <f ca="1">IFERROR(__xludf.DUMMYFUNCTION("IF(SUM(COUNTIF(artists!C:C, SPLIT(D18, "",""))) &gt; 0, ""RU"", 0)"),"RU")</f>
        <v>RU</v>
      </c>
      <c r="K18" s="39">
        <f ca="1">IFERROR(__xludf.DUMMYFUNCTION("IF(SUM(COUNTIF(artists!E:E, SPLIT(D18, "",""))) &gt; 0, ""OTHER"", 0)"),0)</f>
        <v>0</v>
      </c>
    </row>
    <row r="19" spans="1:11" ht="14.25" customHeight="1">
      <c r="A19" s="21">
        <v>18</v>
      </c>
      <c r="B19" s="21">
        <v>16</v>
      </c>
      <c r="C19" s="21" t="s">
        <v>968</v>
      </c>
      <c r="D19" s="21" t="s">
        <v>969</v>
      </c>
      <c r="E19" s="21">
        <v>24</v>
      </c>
      <c r="F19" s="21">
        <v>467178</v>
      </c>
      <c r="G19" s="42">
        <v>-5.3999999999999999E-2</v>
      </c>
      <c r="H19" s="21" t="s">
        <v>970</v>
      </c>
      <c r="I19" s="39" t="str">
        <f ca="1">IFERROR(__xludf.DUMMYFUNCTION("IF(SUM(COUNTIF(artists!A:A, SPLIT(D19, "",""))) &gt; 0, ""UA"", 0)"),"UA")</f>
        <v>UA</v>
      </c>
      <c r="J19" s="40">
        <f ca="1">IFERROR(__xludf.DUMMYFUNCTION("IF(SUM(COUNTIF(artists!C:C, SPLIT(D19, "",""))) &gt; 0, ""RU"", 0)"),0)</f>
        <v>0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B20" s="21">
        <v>18</v>
      </c>
      <c r="C20" s="21" t="s">
        <v>1332</v>
      </c>
      <c r="D20" s="21" t="s">
        <v>1333</v>
      </c>
      <c r="E20" s="21">
        <v>6</v>
      </c>
      <c r="F20" s="21">
        <v>454713</v>
      </c>
      <c r="G20" s="42">
        <v>-2E-3</v>
      </c>
      <c r="H20" s="21" t="s">
        <v>1334</v>
      </c>
      <c r="I20" s="39" t="str">
        <f ca="1">IFERROR(__xludf.DUMMYFUNCTION("IF(SUM(COUNTIF(artists!A:A, SPLIT(D20, "",""))) &gt; 0, ""UA"", 0)"),"UA")</f>
        <v>UA</v>
      </c>
      <c r="J20" s="40">
        <f ca="1">IFERROR(__xludf.DUMMYFUNCTION("IF(SUM(COUNTIF(artists!C:C, SPLIT(D20, "",""))) &gt; 0, ""RU"", 0)"),0)</f>
        <v>0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B21" s="21">
        <v>12</v>
      </c>
      <c r="C21" s="21" t="s">
        <v>1383</v>
      </c>
      <c r="D21" s="21" t="s">
        <v>463</v>
      </c>
      <c r="E21" s="21">
        <v>9</v>
      </c>
      <c r="F21" s="21">
        <v>441542</v>
      </c>
      <c r="G21" s="43">
        <v>-0.18</v>
      </c>
      <c r="H21" s="21" t="s">
        <v>1384</v>
      </c>
      <c r="I21" s="39" t="str">
        <f ca="1">IFERROR(__xludf.DUMMYFUNCTION("IF(SUM(COUNTIF(artists!A:A, SPLIT(D21, "",""))) &gt; 0, ""UA"", 0)"),"UA")</f>
        <v>UA</v>
      </c>
      <c r="J21" s="40">
        <f ca="1">IFERROR(__xludf.DUMMYFUNCTION("IF(SUM(COUNTIF(artists!C:C, SPLIT(D21, "",""))) &gt; 0, ""RU"", 0)"),0)</f>
        <v>0</v>
      </c>
      <c r="K21" s="39">
        <f ca="1">IFERROR(__xludf.DUMMYFUNCTION("IF(SUM(COUNTIF(artists!E:E, SPLIT(D21, "",""))) &gt; 0, ""OTHER"", 0)"),0)</f>
        <v>0</v>
      </c>
    </row>
    <row r="22" spans="1:11" ht="14.25" customHeight="1">
      <c r="A22" s="21">
        <v>21</v>
      </c>
      <c r="C22" s="21" t="s">
        <v>1563</v>
      </c>
      <c r="D22" s="21" t="s">
        <v>712</v>
      </c>
      <c r="E22" s="21">
        <v>1</v>
      </c>
      <c r="F22" s="21">
        <v>421691</v>
      </c>
      <c r="H22" s="21" t="s">
        <v>1564</v>
      </c>
      <c r="I22" s="39" t="str">
        <f ca="1">IFERROR(__xludf.DUMMYFUNCTION("IF(SUM(COUNTIF(artists!A:A, SPLIT(D22, "",""))) &gt; 0, ""UA"", 0)"),"UA")</f>
        <v>UA</v>
      </c>
      <c r="J22" s="40">
        <f ca="1">IFERROR(__xludf.DUMMYFUNCTION("IF(SUM(COUNTIF(artists!C:C, SPLIT(D22, "",""))) &gt; 0, ""RU"", 0)"),0)</f>
        <v>0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B23" s="21">
        <v>26</v>
      </c>
      <c r="C23" s="21" t="s">
        <v>918</v>
      </c>
      <c r="D23" s="21" t="s">
        <v>108</v>
      </c>
      <c r="E23" s="21">
        <v>40</v>
      </c>
      <c r="F23" s="21">
        <v>405074</v>
      </c>
      <c r="G23" s="42">
        <v>9.2999999999999999E-2</v>
      </c>
      <c r="H23" s="21" t="s">
        <v>919</v>
      </c>
      <c r="I23" s="39" t="str">
        <f ca="1">IFERROR(__xludf.DUMMYFUNCTION("IF(SUM(COUNTIF(artists!A:A, SPLIT(D23, "",""))) &gt; 0, ""UA"", 0)"),"UA")</f>
        <v>UA</v>
      </c>
      <c r="J23" s="40">
        <f ca="1">IFERROR(__xludf.DUMMYFUNCTION("IF(SUM(COUNTIF(artists!C:C, SPLIT(D23, "",""))) &gt; 0, ""RU"", 0)"),0)</f>
        <v>0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B24" s="21">
        <v>21</v>
      </c>
      <c r="C24" s="21" t="s">
        <v>1447</v>
      </c>
      <c r="D24" s="21" t="s">
        <v>969</v>
      </c>
      <c r="E24" s="21">
        <v>23</v>
      </c>
      <c r="F24" s="21">
        <v>390772</v>
      </c>
      <c r="G24" s="42">
        <v>-6.2E-2</v>
      </c>
      <c r="H24" s="21" t="s">
        <v>1448</v>
      </c>
      <c r="I24" s="39" t="str">
        <f ca="1">IFERROR(__xludf.DUMMYFUNCTION("IF(SUM(COUNTIF(artists!A:A, SPLIT(D24, "",""))) &gt; 0, ""UA"", 0)"),"UA")</f>
        <v>UA</v>
      </c>
      <c r="J24" s="40">
        <f ca="1">IFERROR(__xludf.DUMMYFUNCTION("IF(SUM(COUNTIF(artists!C:C, SPLIT(D24, "",""))) &gt; 0, ""RU"", 0)"),0)</f>
        <v>0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B25" s="21">
        <v>27</v>
      </c>
      <c r="C25" s="21" t="s">
        <v>935</v>
      </c>
      <c r="D25" s="21" t="s">
        <v>936</v>
      </c>
      <c r="E25" s="21">
        <v>31</v>
      </c>
      <c r="F25" s="21">
        <v>389664</v>
      </c>
      <c r="G25" s="42">
        <v>6.5000000000000002E-2</v>
      </c>
      <c r="H25" s="21" t="s">
        <v>937</v>
      </c>
      <c r="I25" s="39">
        <f ca="1">IFERROR(__xludf.DUMMYFUNCTION("IF(SUM(COUNTIF(artists!A:A, SPLIT(D25, "",""))) &gt; 0, ""UA"", 0)"),0)</f>
        <v>0</v>
      </c>
      <c r="J25" s="40" t="str">
        <f ca="1">IFERROR(__xludf.DUMMYFUNCTION("IF(SUM(COUNTIF(artists!C:C, SPLIT(D25, "",""))) &gt; 0, ""RU"", 0)"),"RU")</f>
        <v>RU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B26" s="21">
        <v>24</v>
      </c>
      <c r="C26" s="21" t="s">
        <v>1282</v>
      </c>
      <c r="D26" s="21" t="s">
        <v>108</v>
      </c>
      <c r="E26" s="21">
        <v>31</v>
      </c>
      <c r="F26" s="21">
        <v>385432</v>
      </c>
      <c r="G26" s="42">
        <v>1.0999999999999999E-2</v>
      </c>
      <c r="H26" s="21" t="s">
        <v>1283</v>
      </c>
      <c r="I26" s="39" t="str">
        <f ca="1">IFERROR(__xludf.DUMMYFUNCTION("IF(SUM(COUNTIF(artists!A:A, SPLIT(D26, "",""))) &gt; 0, ""UA"", 0)"),"UA")</f>
        <v>UA</v>
      </c>
      <c r="J26" s="40">
        <f ca="1">IFERROR(__xludf.DUMMYFUNCTION("IF(SUM(COUNTIF(artists!C:C, SPLIT(D26, "",""))) &gt; 0, ""RU"", 0)"),0)</f>
        <v>0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B27" s="21">
        <v>22</v>
      </c>
      <c r="C27" s="21" t="s">
        <v>1498</v>
      </c>
      <c r="D27" s="21" t="s">
        <v>969</v>
      </c>
      <c r="E27" s="21">
        <v>36</v>
      </c>
      <c r="F27" s="21">
        <v>361756</v>
      </c>
      <c r="G27" s="42">
        <v>-6.5000000000000002E-2</v>
      </c>
      <c r="H27" s="21" t="s">
        <v>1499</v>
      </c>
      <c r="I27" s="39" t="str">
        <f ca="1">IFERROR(__xludf.DUMMYFUNCTION("IF(SUM(COUNTIF(artists!A:A, SPLIT(D27, "",""))) &gt; 0, ""UA"", 0)"),"UA")</f>
        <v>UA</v>
      </c>
      <c r="J27" s="40">
        <f ca="1">IFERROR(__xludf.DUMMYFUNCTION("IF(SUM(COUNTIF(artists!C:C, SPLIT(D27, "",""))) &gt; 0, ""RU"", 0)"),0)</f>
        <v>0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B28" s="21">
        <v>20</v>
      </c>
      <c r="C28" s="21" t="s">
        <v>1471</v>
      </c>
      <c r="D28" s="21" t="s">
        <v>1472</v>
      </c>
      <c r="E28" s="21">
        <v>13</v>
      </c>
      <c r="F28" s="21">
        <v>361124</v>
      </c>
      <c r="G28" s="42">
        <v>-0.187</v>
      </c>
      <c r="H28" s="21" t="s">
        <v>1473</v>
      </c>
      <c r="I28" s="39" t="str">
        <f ca="1">IFERROR(__xludf.DUMMYFUNCTION("IF(SUM(COUNTIF(artists!A:A, SPLIT(D28, "",""))) &gt; 0, ""UA"", 0)"),"UA")</f>
        <v>UA</v>
      </c>
      <c r="J28" s="40">
        <f ca="1">IFERROR(__xludf.DUMMYFUNCTION("IF(SUM(COUNTIF(artists!C:C, SPLIT(D28, "",""))) &gt; 0, ""RU"", 0)"),0)</f>
        <v>0</v>
      </c>
      <c r="K28" s="39">
        <f ca="1">IFERROR(__xludf.DUMMYFUNCTION("IF(SUM(COUNTIF(artists!E:E, SPLIT(D28, "",""))) &gt; 0, ""OTHER"", 0)"),0)</f>
        <v>0</v>
      </c>
    </row>
    <row r="29" spans="1:11" ht="14.25" customHeight="1">
      <c r="A29" s="21">
        <v>28</v>
      </c>
      <c r="B29" s="21">
        <v>23</v>
      </c>
      <c r="C29" s="21" t="s">
        <v>253</v>
      </c>
      <c r="D29" s="21" t="s">
        <v>89</v>
      </c>
      <c r="E29" s="21">
        <v>13</v>
      </c>
      <c r="F29" s="21">
        <v>354949</v>
      </c>
      <c r="G29" s="42">
        <v>-8.2000000000000003E-2</v>
      </c>
      <c r="H29" s="21" t="s">
        <v>254</v>
      </c>
      <c r="I29" s="39" t="str">
        <f ca="1">IFERROR(__xludf.DUMMYFUNCTION("IF(SUM(COUNTIF(artists!A:A, SPLIT(D29, "",""))) &gt; 0, ""UA"", 0)"),"UA")</f>
        <v>UA</v>
      </c>
      <c r="J29" s="40">
        <f ca="1">IFERROR(__xludf.DUMMYFUNCTION("IF(SUM(COUNTIF(artists!C:C, SPLIT(D29, "",""))) &gt; 0, ""RU"", 0)"),0)</f>
        <v>0</v>
      </c>
      <c r="K29" s="39">
        <f ca="1">IFERROR(__xludf.DUMMYFUNCTION("IF(SUM(COUNTIF(artists!E:E, SPLIT(D29, "",""))) &gt; 0, ""OTHER"", 0)"),0)</f>
        <v>0</v>
      </c>
    </row>
    <row r="30" spans="1:11" ht="14.25" customHeight="1">
      <c r="A30" s="21">
        <v>29</v>
      </c>
      <c r="B30" s="21">
        <v>31</v>
      </c>
      <c r="C30" s="21" t="s">
        <v>1327</v>
      </c>
      <c r="D30" s="21" t="s">
        <v>89</v>
      </c>
      <c r="E30" s="21">
        <v>33</v>
      </c>
      <c r="F30" s="21">
        <v>351212</v>
      </c>
      <c r="G30" s="42">
        <v>3.4000000000000002E-2</v>
      </c>
      <c r="H30" s="21" t="s">
        <v>1328</v>
      </c>
      <c r="I30" s="39" t="str">
        <f ca="1">IFERROR(__xludf.DUMMYFUNCTION("IF(SUM(COUNTIF(artists!A:A, SPLIT(D30, "",""))) &gt; 0, ""UA"", 0)"),"UA")</f>
        <v>UA</v>
      </c>
      <c r="J30" s="40">
        <f ca="1">IFERROR(__xludf.DUMMYFUNCTION("IF(SUM(COUNTIF(artists!C:C, SPLIT(D30, "",""))) &gt; 0, ""RU"", 0)"),0)</f>
        <v>0</v>
      </c>
      <c r="K30" s="39">
        <f ca="1">IFERROR(__xludf.DUMMYFUNCTION("IF(SUM(COUNTIF(artists!E:E, SPLIT(D30, "",""))) &gt; 0, ""OTHER"", 0)"),0)</f>
        <v>0</v>
      </c>
    </row>
    <row r="31" spans="1:11" ht="14.25" customHeight="1">
      <c r="A31" s="21">
        <v>30</v>
      </c>
      <c r="B31" s="21">
        <v>25</v>
      </c>
      <c r="C31" s="21" t="s">
        <v>1436</v>
      </c>
      <c r="D31" s="21" t="s">
        <v>896</v>
      </c>
      <c r="E31" s="21">
        <v>11</v>
      </c>
      <c r="F31" s="21">
        <v>348104</v>
      </c>
      <c r="G31" s="42">
        <v>-6.0999999999999999E-2</v>
      </c>
      <c r="H31" s="21" t="s">
        <v>1437</v>
      </c>
      <c r="I31" s="39" t="str">
        <f ca="1">IFERROR(__xludf.DUMMYFUNCTION("IF(SUM(COUNTIF(artists!A:A, SPLIT(D31, "",""))) &gt; 0, ""UA"", 0)"),"UA")</f>
        <v>UA</v>
      </c>
      <c r="J31" s="40">
        <f ca="1">IFERROR(__xludf.DUMMYFUNCTION("IF(SUM(COUNTIF(artists!C:C, SPLIT(D31, "",""))) &gt; 0, ""RU"", 0)"),0)</f>
        <v>0</v>
      </c>
      <c r="K31" s="39">
        <f ca="1">IFERROR(__xludf.DUMMYFUNCTION("IF(SUM(COUNTIF(artists!E:E, SPLIT(D31, "",""))) &gt; 0, ""OTHER"", 0)"),0)</f>
        <v>0</v>
      </c>
    </row>
    <row r="32" spans="1:11" ht="14.25" customHeight="1">
      <c r="A32" s="21">
        <v>31</v>
      </c>
      <c r="B32" s="21">
        <v>32</v>
      </c>
      <c r="C32" s="21" t="s">
        <v>1182</v>
      </c>
      <c r="D32" s="21" t="s">
        <v>466</v>
      </c>
      <c r="E32" s="21">
        <v>6</v>
      </c>
      <c r="F32" s="21">
        <v>337745</v>
      </c>
      <c r="G32" s="42">
        <v>2.5999999999999999E-2</v>
      </c>
      <c r="H32" s="21" t="s">
        <v>1183</v>
      </c>
      <c r="I32" s="39" t="str">
        <f ca="1">IFERROR(__xludf.DUMMYFUNCTION("IF(SUM(COUNTIF(artists!A:A, SPLIT(D32, "",""))) &gt; 0, ""UA"", 0)"),"UA")</f>
        <v>UA</v>
      </c>
      <c r="J32" s="40">
        <f ca="1">IFERROR(__xludf.DUMMYFUNCTION("IF(SUM(COUNTIF(artists!C:C, SPLIT(D32, "",""))) &gt; 0, ""RU"", 0)"),0)</f>
        <v>0</v>
      </c>
      <c r="K32" s="39">
        <f ca="1">IFERROR(__xludf.DUMMYFUNCTION("IF(SUM(COUNTIF(artists!E:E, SPLIT(D32, "",""))) &gt; 0, ""OTHER"", 0)"),0)</f>
        <v>0</v>
      </c>
    </row>
    <row r="33" spans="1:11" ht="14.25" customHeight="1">
      <c r="A33" s="21">
        <v>32</v>
      </c>
      <c r="B33" s="21">
        <v>36</v>
      </c>
      <c r="C33" s="21" t="s">
        <v>632</v>
      </c>
      <c r="D33" s="21" t="s">
        <v>633</v>
      </c>
      <c r="E33" s="21">
        <v>8</v>
      </c>
      <c r="F33" s="21">
        <v>335376</v>
      </c>
      <c r="G33" s="42">
        <v>5.7000000000000002E-2</v>
      </c>
      <c r="H33" s="21" t="s">
        <v>634</v>
      </c>
      <c r="I33" s="39" t="str">
        <f ca="1">IFERROR(__xludf.DUMMYFUNCTION("IF(SUM(COUNTIF(artists!A:A, SPLIT(D33, "",""))) &gt; 0, ""UA"", 0)"),"UA")</f>
        <v>UA</v>
      </c>
      <c r="J33" s="40">
        <f ca="1">IFERROR(__xludf.DUMMYFUNCTION("IF(SUM(COUNTIF(artists!C:C, SPLIT(D33, "",""))) &gt; 0, ""RU"", 0)"),0)</f>
        <v>0</v>
      </c>
      <c r="K33" s="39">
        <f ca="1">IFERROR(__xludf.DUMMYFUNCTION("IF(SUM(COUNTIF(artists!E:E, SPLIT(D33, "",""))) &gt; 0, ""OTHER"", 0)"),0)</f>
        <v>0</v>
      </c>
    </row>
    <row r="34" spans="1:11" ht="14.25" customHeight="1">
      <c r="A34" s="21">
        <v>33</v>
      </c>
      <c r="B34" s="21">
        <v>29</v>
      </c>
      <c r="C34" s="21" t="s">
        <v>1598</v>
      </c>
      <c r="D34" s="21" t="s">
        <v>1599</v>
      </c>
      <c r="E34" s="21">
        <v>2</v>
      </c>
      <c r="F34" s="21">
        <v>328942</v>
      </c>
      <c r="G34" s="42">
        <v>-5.0999999999999997E-2</v>
      </c>
      <c r="H34" s="21" t="s">
        <v>1600</v>
      </c>
      <c r="I34" s="39">
        <f ca="1">IFERROR(__xludf.DUMMYFUNCTION("IF(SUM(COUNTIF(artists!A:A, SPLIT(D34, "",""))) &gt; 0, ""UA"", 0)"),0)</f>
        <v>0</v>
      </c>
      <c r="J34" s="40" t="str">
        <f ca="1">IFERROR(__xludf.DUMMYFUNCTION("IF(SUM(COUNTIF(artists!C:C, SPLIT(D34, "",""))) &gt; 0, ""RU"", 0)"),"RU")</f>
        <v>RU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B35" s="21">
        <v>34</v>
      </c>
      <c r="C35" s="21" t="s">
        <v>1463</v>
      </c>
      <c r="D35" s="21" t="s">
        <v>1344</v>
      </c>
      <c r="E35" s="21">
        <v>12</v>
      </c>
      <c r="F35" s="21">
        <v>328902</v>
      </c>
      <c r="G35" s="43">
        <v>0.03</v>
      </c>
      <c r="H35" s="21" t="s">
        <v>1464</v>
      </c>
      <c r="I35" s="39" t="str">
        <f ca="1">IFERROR(__xludf.DUMMYFUNCTION("IF(SUM(COUNTIF(artists!A:A, SPLIT(D35, "",""))) &gt; 0, ""UA"", 0)"),"UA")</f>
        <v>UA</v>
      </c>
      <c r="J35" s="40">
        <f ca="1">IFERROR(__xludf.DUMMYFUNCTION("IF(SUM(COUNTIF(artists!C:C, SPLIT(D35, "",""))) &gt; 0, ""RU"", 0)"),0)</f>
        <v>0</v>
      </c>
      <c r="K35" s="39">
        <f ca="1">IFERROR(__xludf.DUMMYFUNCTION("IF(SUM(COUNTIF(artists!E:E, SPLIT(D35, "",""))) &gt; 0, ""OTHER"", 0)"),0)</f>
        <v>0</v>
      </c>
    </row>
    <row r="36" spans="1:11" ht="14.25" customHeight="1">
      <c r="A36" s="21">
        <v>35</v>
      </c>
      <c r="B36" s="21">
        <v>39</v>
      </c>
      <c r="C36" s="21" t="s">
        <v>1616</v>
      </c>
      <c r="D36" s="21" t="s">
        <v>1617</v>
      </c>
      <c r="E36" s="21">
        <v>46</v>
      </c>
      <c r="F36" s="21">
        <v>328693</v>
      </c>
      <c r="G36" s="42">
        <v>6.0999999999999999E-2</v>
      </c>
      <c r="H36" s="21" t="s">
        <v>1618</v>
      </c>
      <c r="I36" s="39">
        <f ca="1">IFERROR(__xludf.DUMMYFUNCTION("IF(SUM(COUNTIF(artists!A:A, SPLIT(D36, "",""))) &gt; 0, ""UA"", 0)"),0)</f>
        <v>0</v>
      </c>
      <c r="J36" s="40" t="str">
        <f ca="1">IFERROR(__xludf.DUMMYFUNCTION("IF(SUM(COUNTIF(artists!C:C, SPLIT(D36, "",""))) &gt; 0, ""RU"", 0)"),"RU")</f>
        <v>RU</v>
      </c>
      <c r="K36" s="39">
        <f ca="1">IFERROR(__xludf.DUMMYFUNCTION("IF(SUM(COUNTIF(artists!E:E, SPLIT(D36, "",""))) &gt; 0, ""OTHER"", 0)"),0)</f>
        <v>0</v>
      </c>
    </row>
    <row r="37" spans="1:11" ht="14.25" customHeight="1">
      <c r="A37" s="21">
        <v>36</v>
      </c>
      <c r="B37" s="21">
        <v>35</v>
      </c>
      <c r="C37" s="21" t="s">
        <v>1500</v>
      </c>
      <c r="D37" s="21" t="s">
        <v>907</v>
      </c>
      <c r="E37" s="21">
        <v>34</v>
      </c>
      <c r="F37" s="21">
        <v>327903</v>
      </c>
      <c r="G37" s="42">
        <v>2.8000000000000001E-2</v>
      </c>
      <c r="H37" s="21" t="s">
        <v>1501</v>
      </c>
      <c r="I37" s="39">
        <f ca="1">IFERROR(__xludf.DUMMYFUNCTION("IF(SUM(COUNTIF(artists!A:A, SPLIT(D37, "",""))) &gt; 0, ""UA"", 0)"),0)</f>
        <v>0</v>
      </c>
      <c r="J37" s="40" t="str">
        <f ca="1">IFERROR(__xludf.DUMMYFUNCTION("IF(SUM(COUNTIF(artists!C:C, SPLIT(D37, "",""))) &gt; 0, ""RU"", 0)"),"RU")</f>
        <v>RU</v>
      </c>
      <c r="K37" s="39">
        <f ca="1">IFERROR(__xludf.DUMMYFUNCTION("IF(SUM(COUNTIF(artists!E:E, SPLIT(D37, "",""))) &gt; 0, ""OTHER"", 0)"),0)</f>
        <v>0</v>
      </c>
    </row>
    <row r="38" spans="1:11" ht="14.25" customHeight="1">
      <c r="A38" s="21">
        <v>37</v>
      </c>
      <c r="B38" s="21">
        <v>28</v>
      </c>
      <c r="C38" s="21" t="s">
        <v>1586</v>
      </c>
      <c r="D38" s="21" t="s">
        <v>969</v>
      </c>
      <c r="E38" s="21">
        <v>17</v>
      </c>
      <c r="F38" s="21">
        <v>324612</v>
      </c>
      <c r="G38" s="42">
        <v>-6.9000000000000006E-2</v>
      </c>
      <c r="H38" s="21" t="s">
        <v>1587</v>
      </c>
      <c r="I38" s="39" t="str">
        <f ca="1">IFERROR(__xludf.DUMMYFUNCTION("IF(SUM(COUNTIF(artists!A:A, SPLIT(D38, "",""))) &gt; 0, ""UA"", 0)"),"UA")</f>
        <v>UA</v>
      </c>
      <c r="J38" s="40">
        <f ca="1">IFERROR(__xludf.DUMMYFUNCTION("IF(SUM(COUNTIF(artists!C:C, SPLIT(D38, "",""))) &gt; 0, ""RU"", 0)"),0)</f>
        <v>0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B39" s="21">
        <v>30</v>
      </c>
      <c r="C39" s="21" t="s">
        <v>1354</v>
      </c>
      <c r="D39" s="21" t="s">
        <v>1355</v>
      </c>
      <c r="E39" s="21">
        <v>34</v>
      </c>
      <c r="F39" s="21">
        <v>317849</v>
      </c>
      <c r="G39" s="42">
        <v>-7.2999999999999995E-2</v>
      </c>
      <c r="H39" s="21" t="s">
        <v>1356</v>
      </c>
      <c r="I39" s="39" t="str">
        <f ca="1">IFERROR(__xludf.DUMMYFUNCTION("IF(SUM(COUNTIF(artists!A:A, SPLIT(D39, "",""))) &gt; 0, ""UA"", 0)"),"UA")</f>
        <v>UA</v>
      </c>
      <c r="J39" s="40">
        <f ca="1">IFERROR(__xludf.DUMMYFUNCTION("IF(SUM(COUNTIF(artists!C:C, SPLIT(D39, "",""))) &gt; 0, ""RU"", 0)"),0)</f>
        <v>0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B40" s="21">
        <v>44</v>
      </c>
      <c r="C40" s="21" t="s">
        <v>1116</v>
      </c>
      <c r="D40" s="21" t="s">
        <v>1117</v>
      </c>
      <c r="E40" s="21">
        <v>25</v>
      </c>
      <c r="F40" s="21">
        <v>311899</v>
      </c>
      <c r="G40" s="42">
        <v>9.0999999999999998E-2</v>
      </c>
      <c r="H40" s="21" t="s">
        <v>1118</v>
      </c>
      <c r="I40" s="39">
        <f ca="1">IFERROR(__xludf.DUMMYFUNCTION("IF(SUM(COUNTIF(artists!A:A, SPLIT(D40, "",""))) &gt; 0, ""UA"", 0)"),0)</f>
        <v>0</v>
      </c>
      <c r="J40" s="40" t="str">
        <f ca="1">IFERROR(__xludf.DUMMYFUNCTION("IF(SUM(COUNTIF(artists!C:C, SPLIT(D40, "",""))) &gt; 0, ""RU"", 0)"),"RU")</f>
        <v>RU</v>
      </c>
      <c r="K40" s="39">
        <f ca="1">IFERROR(__xludf.DUMMYFUNCTION("IF(SUM(COUNTIF(artists!E:E, SPLIT(D40, "",""))) &gt; 0, ""OTHER"", 0)"),0)</f>
        <v>0</v>
      </c>
    </row>
    <row r="41" spans="1:11" ht="14.25" customHeight="1">
      <c r="A41" s="21">
        <v>40</v>
      </c>
      <c r="B41" s="21">
        <v>40</v>
      </c>
      <c r="C41" s="21" t="s">
        <v>493</v>
      </c>
      <c r="D41" s="21" t="s">
        <v>494</v>
      </c>
      <c r="E41" s="21">
        <v>19</v>
      </c>
      <c r="F41" s="21">
        <v>309329</v>
      </c>
      <c r="G41" s="42">
        <v>7.0000000000000001E-3</v>
      </c>
      <c r="H41" s="21" t="s">
        <v>495</v>
      </c>
      <c r="I41" s="39" t="str">
        <f ca="1">IFERROR(__xludf.DUMMYFUNCTION("IF(SUM(COUNTIF(artists!A:A, SPLIT(D41, "",""))) &gt; 0, ""UA"", 0)"),"UA")</f>
        <v>UA</v>
      </c>
      <c r="J41" s="40">
        <f ca="1">IFERROR(__xludf.DUMMYFUNCTION("IF(SUM(COUNTIF(artists!C:C, SPLIT(D41, "",""))) &gt; 0, ""RU"", 0)"),0)</f>
        <v>0</v>
      </c>
      <c r="K41" s="39">
        <f ca="1">IFERROR(__xludf.DUMMYFUNCTION("IF(SUM(COUNTIF(artists!E:E, SPLIT(D41, "",""))) &gt; 0, ""OTHER"", 0)"),0)</f>
        <v>0</v>
      </c>
    </row>
    <row r="42" spans="1:11" ht="14.25" customHeight="1">
      <c r="A42" s="21">
        <v>41</v>
      </c>
      <c r="B42" s="21">
        <v>48</v>
      </c>
      <c r="C42" s="21" t="s">
        <v>186</v>
      </c>
      <c r="D42" s="21" t="s">
        <v>187</v>
      </c>
      <c r="E42" s="21">
        <v>8</v>
      </c>
      <c r="F42" s="21">
        <v>304624</v>
      </c>
      <c r="G42" s="42">
        <v>0.123</v>
      </c>
      <c r="H42" s="21" t="s">
        <v>189</v>
      </c>
      <c r="I42" s="39" t="str">
        <f ca="1">IFERROR(__xludf.DUMMYFUNCTION("IF(SUM(COUNTIF(artists!A:A, SPLIT(D42, "",""))) &gt; 0, ""UA"", 0)"),"UA")</f>
        <v>UA</v>
      </c>
      <c r="J42" s="40">
        <f ca="1">IFERROR(__xludf.DUMMYFUNCTION("IF(SUM(COUNTIF(artists!C:C, SPLIT(D42, "",""))) &gt; 0, ""RU"", 0)"),0)</f>
        <v>0</v>
      </c>
      <c r="K42" s="39">
        <f ca="1">IFERROR(__xludf.DUMMYFUNCTION("IF(SUM(COUNTIF(artists!E:E, SPLIT(D42, "",""))) &gt; 0, ""OTHER"", 0)"),0)</f>
        <v>0</v>
      </c>
    </row>
    <row r="43" spans="1:11" ht="14.25" customHeight="1">
      <c r="A43" s="21">
        <v>42</v>
      </c>
      <c r="B43" s="21">
        <v>10</v>
      </c>
      <c r="C43" s="21" t="s">
        <v>1508</v>
      </c>
      <c r="D43" s="21" t="s">
        <v>776</v>
      </c>
      <c r="E43" s="21">
        <v>8</v>
      </c>
      <c r="F43" s="21">
        <v>303830</v>
      </c>
      <c r="G43" s="42">
        <v>-0.49299999999999999</v>
      </c>
      <c r="H43" s="21" t="s">
        <v>1509</v>
      </c>
      <c r="I43" s="39" t="str">
        <f ca="1">IFERROR(__xludf.DUMMYFUNCTION("IF(SUM(COUNTIF(artists!A:A, SPLIT(D43, "",""))) &gt; 0, ""UA"", 0)"),"UA")</f>
        <v>UA</v>
      </c>
      <c r="J43" s="40">
        <f ca="1">IFERROR(__xludf.DUMMYFUNCTION("IF(SUM(COUNTIF(artists!C:C, SPLIT(D43, "",""))) &gt; 0, ""RU"", 0)"),0)</f>
        <v>0</v>
      </c>
      <c r="K43" s="39">
        <f ca="1">IFERROR(__xludf.DUMMYFUNCTION("IF(SUM(COUNTIF(artists!E:E, SPLIT(D43, "",""))) &gt; 0, ""OTHER"", 0)"),0)</f>
        <v>0</v>
      </c>
    </row>
    <row r="44" spans="1:11" ht="14.25" customHeight="1">
      <c r="A44" s="21">
        <v>43</v>
      </c>
      <c r="B44" s="21">
        <v>38</v>
      </c>
      <c r="C44" s="21" t="s">
        <v>887</v>
      </c>
      <c r="D44" s="21" t="s">
        <v>89</v>
      </c>
      <c r="E44" s="21">
        <v>11</v>
      </c>
      <c r="F44" s="21">
        <v>302468</v>
      </c>
      <c r="G44" s="42">
        <v>-2.7E-2</v>
      </c>
      <c r="H44" s="21" t="s">
        <v>888</v>
      </c>
      <c r="I44" s="39" t="str">
        <f ca="1">IFERROR(__xludf.DUMMYFUNCTION("IF(SUM(COUNTIF(artists!A:A, SPLIT(D44, "",""))) &gt; 0, ""UA"", 0)"),"UA")</f>
        <v>UA</v>
      </c>
      <c r="J44" s="40">
        <f ca="1">IFERROR(__xludf.DUMMYFUNCTION("IF(SUM(COUNTIF(artists!C:C, SPLIT(D44, "",""))) &gt; 0, ""RU"", 0)"),0)</f>
        <v>0</v>
      </c>
      <c r="K44" s="39">
        <f ca="1">IFERROR(__xludf.DUMMYFUNCTION("IF(SUM(COUNTIF(artists!E:E, SPLIT(D44, "",""))) &gt; 0, ""OTHER"", 0)"),0)</f>
        <v>0</v>
      </c>
    </row>
    <row r="45" spans="1:11" ht="14.25" customHeight="1">
      <c r="A45" s="21">
        <v>44</v>
      </c>
      <c r="B45" s="21">
        <v>37</v>
      </c>
      <c r="C45" s="21" t="s">
        <v>1290</v>
      </c>
      <c r="D45" s="21" t="s">
        <v>942</v>
      </c>
      <c r="E45" s="21">
        <v>8</v>
      </c>
      <c r="F45" s="21">
        <v>301345</v>
      </c>
      <c r="G45" s="42">
        <v>-3.4000000000000002E-2</v>
      </c>
      <c r="H45" s="21" t="s">
        <v>1291</v>
      </c>
      <c r="I45" s="39" t="str">
        <f ca="1">IFERROR(__xludf.DUMMYFUNCTION("IF(SUM(COUNTIF(artists!A:A, SPLIT(D45, "",""))) &gt; 0, ""UA"", 0)"),"UA")</f>
        <v>UA</v>
      </c>
      <c r="J45" s="40">
        <f ca="1">IFERROR(__xludf.DUMMYFUNCTION("IF(SUM(COUNTIF(artists!C:C, SPLIT(D45, "",""))) &gt; 0, ""RU"", 0)"),0)</f>
        <v>0</v>
      </c>
      <c r="K45" s="39">
        <f ca="1">IFERROR(__xludf.DUMMYFUNCTION("IF(SUM(COUNTIF(artists!E:E, SPLIT(D45, "",""))) &gt; 0, ""OTHER"", 0)"),0)</f>
        <v>0</v>
      </c>
    </row>
    <row r="46" spans="1:11" ht="14.25" customHeight="1">
      <c r="A46" s="21">
        <v>45</v>
      </c>
      <c r="B46" s="21">
        <v>52</v>
      </c>
      <c r="C46" s="21" t="s">
        <v>1242</v>
      </c>
      <c r="D46" s="21" t="s">
        <v>969</v>
      </c>
      <c r="E46" s="21">
        <v>3</v>
      </c>
      <c r="F46" s="21">
        <v>292696</v>
      </c>
      <c r="G46" s="42">
        <v>0.14099999999999999</v>
      </c>
      <c r="H46" s="21" t="s">
        <v>1243</v>
      </c>
      <c r="I46" s="39" t="str">
        <f ca="1">IFERROR(__xludf.DUMMYFUNCTION("IF(SUM(COUNTIF(artists!A:A, SPLIT(D46, "",""))) &gt; 0, ""UA"", 0)"),"UA")</f>
        <v>UA</v>
      </c>
      <c r="J46" s="40">
        <f ca="1">IFERROR(__xludf.DUMMYFUNCTION("IF(SUM(COUNTIF(artists!C:C, SPLIT(D46, "",""))) &gt; 0, ""RU"", 0)"),0)</f>
        <v>0</v>
      </c>
      <c r="K46" s="39">
        <f ca="1">IFERROR(__xludf.DUMMYFUNCTION("IF(SUM(COUNTIF(artists!E:E, SPLIT(D46, "",""))) &gt; 0, ""OTHER"", 0)"),0)</f>
        <v>0</v>
      </c>
    </row>
    <row r="47" spans="1:11" ht="14.25" customHeight="1">
      <c r="A47" s="21">
        <v>46</v>
      </c>
      <c r="B47" s="21">
        <v>45</v>
      </c>
      <c r="C47" s="21" t="s">
        <v>1518</v>
      </c>
      <c r="D47" s="21" t="s">
        <v>108</v>
      </c>
      <c r="E47" s="21">
        <v>16</v>
      </c>
      <c r="F47" s="21">
        <v>283266</v>
      </c>
      <c r="G47" s="42">
        <v>-2E-3</v>
      </c>
      <c r="H47" s="21" t="s">
        <v>1519</v>
      </c>
      <c r="I47" s="39" t="str">
        <f ca="1">IFERROR(__xludf.DUMMYFUNCTION("IF(SUM(COUNTIF(artists!A:A, SPLIT(D47, "",""))) &gt; 0, ""UA"", 0)"),"UA")</f>
        <v>UA</v>
      </c>
      <c r="J47" s="40">
        <f ca="1">IFERROR(__xludf.DUMMYFUNCTION("IF(SUM(COUNTIF(artists!C:C, SPLIT(D47, "",""))) &gt; 0, ""RU"", 0)"),0)</f>
        <v>0</v>
      </c>
      <c r="K47" s="39">
        <f ca="1">IFERROR(__xludf.DUMMYFUNCTION("IF(SUM(COUNTIF(artists!E:E, SPLIT(D47, "",""))) &gt; 0, ""OTHER"", 0)"),0)</f>
        <v>0</v>
      </c>
    </row>
    <row r="48" spans="1:11" ht="14.25" customHeight="1">
      <c r="A48" s="21">
        <v>47</v>
      </c>
      <c r="C48" s="21" t="s">
        <v>1318</v>
      </c>
      <c r="D48" s="21" t="s">
        <v>1319</v>
      </c>
      <c r="E48" s="21">
        <v>1</v>
      </c>
      <c r="F48" s="21">
        <v>282607</v>
      </c>
      <c r="H48" s="21" t="s">
        <v>1320</v>
      </c>
      <c r="I48" s="39">
        <f ca="1">IFERROR(__xludf.DUMMYFUNCTION("IF(SUM(COUNTIF(artists!A:A, SPLIT(D48, "",""))) &gt; 0, ""UA"", 0)"),0)</f>
        <v>0</v>
      </c>
      <c r="J48" s="40" t="str">
        <f ca="1">IFERROR(__xludf.DUMMYFUNCTION("IF(SUM(COUNTIF(artists!C:C, SPLIT(D48, "",""))) &gt; 0, ""RU"", 0)"),"RU")</f>
        <v>RU</v>
      </c>
      <c r="K48" s="39">
        <f ca="1">IFERROR(__xludf.DUMMYFUNCTION("IF(SUM(COUNTIF(artists!E:E, SPLIT(D48, "",""))) &gt; 0, ""OTHER"", 0)"),0)</f>
        <v>0</v>
      </c>
    </row>
    <row r="49" spans="1:11" ht="14.25" customHeight="1">
      <c r="A49" s="21">
        <v>48</v>
      </c>
      <c r="B49" s="21">
        <v>33</v>
      </c>
      <c r="C49" s="21" t="s">
        <v>1502</v>
      </c>
      <c r="D49" s="21" t="s">
        <v>1503</v>
      </c>
      <c r="E49" s="21">
        <v>30</v>
      </c>
      <c r="F49" s="21">
        <v>279405</v>
      </c>
      <c r="G49" s="42">
        <v>-0.13600000000000001</v>
      </c>
      <c r="H49" s="21" t="s">
        <v>1504</v>
      </c>
      <c r="I49" s="39" t="str">
        <f ca="1">IFERROR(__xludf.DUMMYFUNCTION("IF(SUM(COUNTIF(artists!A:A, SPLIT(D49, "",""))) &gt; 0, ""UA"", 0)"),"UA")</f>
        <v>UA</v>
      </c>
      <c r="J49" s="40">
        <f ca="1">IFERROR(__xludf.DUMMYFUNCTION("IF(SUM(COUNTIF(artists!C:C, SPLIT(D49, "",""))) &gt; 0, ""RU"", 0)"),0)</f>
        <v>0</v>
      </c>
      <c r="K49" s="39">
        <f ca="1">IFERROR(__xludf.DUMMYFUNCTION("IF(SUM(COUNTIF(artists!E:E, SPLIT(D49, "",""))) &gt; 0, ""OTHER"", 0)"),0)</f>
        <v>0</v>
      </c>
    </row>
    <row r="50" spans="1:11" ht="14.25" customHeight="1">
      <c r="A50" s="21">
        <v>49</v>
      </c>
      <c r="B50" s="21">
        <v>53</v>
      </c>
      <c r="C50" s="21" t="s">
        <v>1565</v>
      </c>
      <c r="D50" s="21" t="s">
        <v>1566</v>
      </c>
      <c r="E50" s="21">
        <v>2</v>
      </c>
      <c r="F50" s="21">
        <v>272398</v>
      </c>
      <c r="G50" s="42">
        <v>8.3000000000000004E-2</v>
      </c>
      <c r="H50" s="21" t="s">
        <v>1567</v>
      </c>
      <c r="I50" s="39" t="str">
        <f ca="1">IFERROR(__xludf.DUMMYFUNCTION("IF(SUM(COUNTIF(artists!A:A, SPLIT(D50, "",""))) &gt; 0, ""UA"", 0)"),"UA")</f>
        <v>UA</v>
      </c>
      <c r="J50" s="40">
        <f ca="1">IFERROR(__xludf.DUMMYFUNCTION("IF(SUM(COUNTIF(artists!C:C, SPLIT(D50, "",""))) &gt; 0, ""RU"", 0)"),0)</f>
        <v>0</v>
      </c>
      <c r="K50" s="39">
        <f ca="1">IFERROR(__xludf.DUMMYFUNCTION("IF(SUM(COUNTIF(artists!E:E, SPLIT(D50, "",""))) &gt; 0, ""OTHER"", 0)"),0)</f>
        <v>0</v>
      </c>
    </row>
    <row r="51" spans="1:11" ht="14.25" customHeight="1">
      <c r="A51" s="21">
        <v>50</v>
      </c>
      <c r="B51" s="21">
        <v>42</v>
      </c>
      <c r="C51" s="21" t="s">
        <v>1670</v>
      </c>
      <c r="D51" s="21" t="s">
        <v>969</v>
      </c>
      <c r="E51" s="21">
        <v>23</v>
      </c>
      <c r="F51" s="21">
        <v>271241</v>
      </c>
      <c r="G51" s="42">
        <v>-6.9000000000000006E-2</v>
      </c>
      <c r="H51" s="21" t="s">
        <v>1671</v>
      </c>
      <c r="I51" s="39" t="str">
        <f ca="1">IFERROR(__xludf.DUMMYFUNCTION("IF(SUM(COUNTIF(artists!A:A, SPLIT(D51, "",""))) &gt; 0, ""UA"", 0)"),"UA")</f>
        <v>UA</v>
      </c>
      <c r="J51" s="40">
        <f ca="1">IFERROR(__xludf.DUMMYFUNCTION("IF(SUM(COUNTIF(artists!C:C, SPLIT(D51, "",""))) &gt; 0, ""RU"", 0)"),0)</f>
        <v>0</v>
      </c>
      <c r="K51" s="39">
        <f ca="1">IFERROR(__xludf.DUMMYFUNCTION("IF(SUM(COUNTIF(artists!E:E, SPLIT(D51, "",""))) &gt; 0, ""OTHER"", 0)"),0)</f>
        <v>0</v>
      </c>
    </row>
    <row r="52" spans="1:11" ht="14.25" customHeight="1">
      <c r="A52" s="21">
        <v>51</v>
      </c>
      <c r="B52" s="21">
        <v>49</v>
      </c>
      <c r="C52" s="21" t="s">
        <v>841</v>
      </c>
      <c r="D52" s="21" t="s">
        <v>842</v>
      </c>
      <c r="E52" s="21">
        <v>20</v>
      </c>
      <c r="F52" s="21">
        <v>269422</v>
      </c>
      <c r="G52" s="43">
        <v>0</v>
      </c>
      <c r="H52" s="21" t="s">
        <v>843</v>
      </c>
      <c r="I52" s="39">
        <f ca="1">IFERROR(__xludf.DUMMYFUNCTION("IF(SUM(COUNTIF(artists!A:A, SPLIT(D52, "",""))) &gt; 0, ""UA"", 0)"),0)</f>
        <v>0</v>
      </c>
      <c r="J52" s="40">
        <f ca="1">IFERROR(__xludf.DUMMYFUNCTION("IF(SUM(COUNTIF(artists!C:C, SPLIT(D52, "",""))) &gt; 0, ""RU"", 0)"),0)</f>
        <v>0</v>
      </c>
      <c r="K52" s="39" t="str">
        <f ca="1">IFERROR(__xludf.DUMMYFUNCTION("IF(SUM(COUNTIF(artists!E:E, SPLIT(D52, "",""))) &gt; 0, ""OTHER"", 0)"),"OTHER")</f>
        <v>OTHER</v>
      </c>
    </row>
    <row r="53" spans="1:11" ht="14.25" customHeight="1">
      <c r="A53" s="21">
        <v>52</v>
      </c>
      <c r="B53" s="21">
        <v>64</v>
      </c>
      <c r="C53" s="21" t="s">
        <v>1234</v>
      </c>
      <c r="D53" s="21" t="s">
        <v>1193</v>
      </c>
      <c r="E53" s="21">
        <v>2</v>
      </c>
      <c r="F53" s="21">
        <v>257051</v>
      </c>
      <c r="G53" s="42">
        <v>0.159</v>
      </c>
      <c r="H53" s="21" t="s">
        <v>1235</v>
      </c>
      <c r="I53" s="39" t="str">
        <f ca="1">IFERROR(__xludf.DUMMYFUNCTION("IF(SUM(COUNTIF(artists!A:A, SPLIT(D53, "",""))) &gt; 0, ""UA"", 0)"),"UA")</f>
        <v>UA</v>
      </c>
      <c r="J53" s="40">
        <f ca="1">IFERROR(__xludf.DUMMYFUNCTION("IF(SUM(COUNTIF(artists!C:C, SPLIT(D53, "",""))) &gt; 0, ""RU"", 0)"),0)</f>
        <v>0</v>
      </c>
      <c r="K53" s="39">
        <f ca="1">IFERROR(__xludf.DUMMYFUNCTION("IF(SUM(COUNTIF(artists!E:E, SPLIT(D53, "",""))) &gt; 0, ""OTHER"", 0)"),0)</f>
        <v>0</v>
      </c>
    </row>
    <row r="54" spans="1:11" ht="14.25" customHeight="1">
      <c r="A54" s="21">
        <v>53</v>
      </c>
      <c r="B54" s="21">
        <v>47</v>
      </c>
      <c r="C54" s="21" t="s">
        <v>1298</v>
      </c>
      <c r="D54" s="21" t="s">
        <v>226</v>
      </c>
      <c r="E54" s="21">
        <v>10</v>
      </c>
      <c r="F54" s="21">
        <v>252945</v>
      </c>
      <c r="G54" s="43">
        <v>-0.1</v>
      </c>
      <c r="H54" s="21" t="s">
        <v>1299</v>
      </c>
      <c r="I54" s="39" t="str">
        <f ca="1">IFERROR(__xludf.DUMMYFUNCTION("IF(SUM(COUNTIF(artists!A:A, SPLIT(D54, "",""))) &gt; 0, ""UA"", 0)"),"UA")</f>
        <v>UA</v>
      </c>
      <c r="J54" s="40">
        <f ca="1">IFERROR(__xludf.DUMMYFUNCTION("IF(SUM(COUNTIF(artists!C:C, SPLIT(D54, "",""))) &gt; 0, ""RU"", 0)"),0)</f>
        <v>0</v>
      </c>
      <c r="K54" s="39">
        <f ca="1">IFERROR(__xludf.DUMMYFUNCTION("IF(SUM(COUNTIF(artists!E:E, SPLIT(D54, "",""))) &gt; 0, ""OTHER"", 0)"),0)</f>
        <v>0</v>
      </c>
    </row>
    <row r="55" spans="1:11" ht="14.25" customHeight="1">
      <c r="A55" s="21">
        <v>54</v>
      </c>
      <c r="B55" s="21">
        <v>46</v>
      </c>
      <c r="C55" s="21" t="s">
        <v>118</v>
      </c>
      <c r="D55" s="21" t="s">
        <v>586</v>
      </c>
      <c r="E55" s="21">
        <v>14</v>
      </c>
      <c r="F55" s="21">
        <v>252386</v>
      </c>
      <c r="G55" s="42">
        <v>-0.108</v>
      </c>
      <c r="H55" s="21" t="s">
        <v>587</v>
      </c>
      <c r="I55" s="39" t="str">
        <f ca="1">IFERROR(__xludf.DUMMYFUNCTION("IF(SUM(COUNTIF(artists!A:A, SPLIT(D55, "",""))) &gt; 0, ""UA"", 0)"),"UA")</f>
        <v>UA</v>
      </c>
      <c r="J55" s="40">
        <f ca="1">IFERROR(__xludf.DUMMYFUNCTION("IF(SUM(COUNTIF(artists!C:C, SPLIT(D55, "",""))) &gt; 0, ""RU"", 0)"),0)</f>
        <v>0</v>
      </c>
      <c r="K55" s="39">
        <f ca="1">IFERROR(__xludf.DUMMYFUNCTION("IF(SUM(COUNTIF(artists!E:E, SPLIT(D55, "",""))) &gt; 0, ""OTHER"", 0)"),0)</f>
        <v>0</v>
      </c>
    </row>
    <row r="56" spans="1:11" ht="14.25" customHeight="1">
      <c r="A56" s="21">
        <v>55</v>
      </c>
      <c r="B56" s="21">
        <v>41</v>
      </c>
      <c r="C56" s="21" t="s">
        <v>1480</v>
      </c>
      <c r="D56" s="21" t="s">
        <v>1481</v>
      </c>
      <c r="E56" s="21">
        <v>9</v>
      </c>
      <c r="F56" s="21">
        <v>248654</v>
      </c>
      <c r="G56" s="42">
        <v>-0.154</v>
      </c>
      <c r="H56" s="21" t="s">
        <v>1482</v>
      </c>
      <c r="I56" s="39" t="str">
        <f ca="1">IFERROR(__xludf.DUMMYFUNCTION("IF(SUM(COUNTIF(artists!A:A, SPLIT(D56, "",""))) &gt; 0, ""UA"", 0)"),"UA")</f>
        <v>UA</v>
      </c>
      <c r="J56" s="40">
        <f ca="1">IFERROR(__xludf.DUMMYFUNCTION("IF(SUM(COUNTIF(artists!C:C, SPLIT(D56, "",""))) &gt; 0, ""RU"", 0)"),0)</f>
        <v>0</v>
      </c>
      <c r="K56" s="39">
        <f ca="1">IFERROR(__xludf.DUMMYFUNCTION("IF(SUM(COUNTIF(artists!E:E, SPLIT(D56, "",""))) &gt; 0, ""OTHER"", 0)"),0)</f>
        <v>0</v>
      </c>
    </row>
    <row r="57" spans="1:11" ht="14.25" customHeight="1">
      <c r="A57" s="21">
        <v>56</v>
      </c>
      <c r="C57" s="21" t="s">
        <v>1641</v>
      </c>
      <c r="D57" s="21" t="s">
        <v>1534</v>
      </c>
      <c r="E57" s="21">
        <v>1</v>
      </c>
      <c r="F57" s="21">
        <v>246960</v>
      </c>
      <c r="H57" s="21" t="s">
        <v>1642</v>
      </c>
      <c r="I57" s="39">
        <f ca="1">IFERROR(__xludf.DUMMYFUNCTION("IF(SUM(COUNTIF(artists!A:A, SPLIT(D57, "",""))) &gt; 0, ""UA"", 0)"),0)</f>
        <v>0</v>
      </c>
      <c r="J57" s="40" t="str">
        <f ca="1">IFERROR(__xludf.DUMMYFUNCTION("IF(SUM(COUNTIF(artists!C:C, SPLIT(D57, "",""))) &gt; 0, ""RU"", 0)"),"RU")</f>
        <v>RU</v>
      </c>
      <c r="K57" s="39">
        <f ca="1">IFERROR(__xludf.DUMMYFUNCTION("IF(SUM(COUNTIF(artists!E:E, SPLIT(D57, "",""))) &gt; 0, ""OTHER"", 0)"),0)</f>
        <v>0</v>
      </c>
    </row>
    <row r="58" spans="1:11" ht="14.25" customHeight="1">
      <c r="A58" s="21">
        <v>57</v>
      </c>
      <c r="B58" s="21">
        <v>79</v>
      </c>
      <c r="C58" s="21" t="s">
        <v>1672</v>
      </c>
      <c r="D58" s="21" t="s">
        <v>1439</v>
      </c>
      <c r="E58" s="21">
        <v>2</v>
      </c>
      <c r="F58" s="21">
        <v>244757</v>
      </c>
      <c r="G58" s="42">
        <v>0.316</v>
      </c>
      <c r="H58" s="21" t="s">
        <v>1673</v>
      </c>
      <c r="I58" s="39" t="str">
        <f ca="1">IFERROR(__xludf.DUMMYFUNCTION("IF(SUM(COUNTIF(artists!A:A, SPLIT(D58, "",""))) &gt; 0, ""UA"", 0)"),"UA")</f>
        <v>UA</v>
      </c>
      <c r="J58" s="40">
        <f ca="1">IFERROR(__xludf.DUMMYFUNCTION("IF(SUM(COUNTIF(artists!C:C, SPLIT(D58, "",""))) &gt; 0, ""RU"", 0)"),0)</f>
        <v>0</v>
      </c>
      <c r="K58" s="39">
        <f ca="1">IFERROR(__xludf.DUMMYFUNCTION("IF(SUM(COUNTIF(artists!E:E, SPLIT(D58, "",""))) &gt; 0, ""OTHER"", 0)"),0)</f>
        <v>0</v>
      </c>
    </row>
    <row r="59" spans="1:11" ht="14.25" customHeight="1">
      <c r="A59" s="21">
        <v>58</v>
      </c>
      <c r="B59" s="21">
        <v>58</v>
      </c>
      <c r="C59" s="21" t="s">
        <v>1387</v>
      </c>
      <c r="D59" s="21" t="s">
        <v>1388</v>
      </c>
      <c r="E59" s="21">
        <v>8</v>
      </c>
      <c r="F59" s="21">
        <v>237302</v>
      </c>
      <c r="G59" s="42">
        <v>2.3E-2</v>
      </c>
      <c r="H59" s="21" t="s">
        <v>1389</v>
      </c>
      <c r="I59" s="39">
        <f ca="1">IFERROR(__xludf.DUMMYFUNCTION("IF(SUM(COUNTIF(artists!A:A, SPLIT(D59, "",""))) &gt; 0, ""UA"", 0)"),0)</f>
        <v>0</v>
      </c>
      <c r="J59" s="40">
        <f ca="1">IFERROR(__xludf.DUMMYFUNCTION("IF(SUM(COUNTIF(artists!C:C, SPLIT(D59, "",""))) &gt; 0, ""RU"", 0)"),0)</f>
        <v>0</v>
      </c>
      <c r="K59" s="39" t="str">
        <f ca="1">IFERROR(__xludf.DUMMYFUNCTION("IF(SUM(COUNTIF(artists!E:E, SPLIT(D59, "",""))) &gt; 0, ""OTHER"", 0)"),"OTHER")</f>
        <v>OTHER</v>
      </c>
    </row>
    <row r="60" spans="1:11" ht="14.25" customHeight="1">
      <c r="A60" s="21">
        <v>59</v>
      </c>
      <c r="B60" s="21">
        <v>50</v>
      </c>
      <c r="C60" s="21" t="s">
        <v>1381</v>
      </c>
      <c r="D60" s="21" t="s">
        <v>969</v>
      </c>
      <c r="E60" s="21">
        <v>15</v>
      </c>
      <c r="F60" s="21">
        <v>236205</v>
      </c>
      <c r="G60" s="42">
        <v>-0.11799999999999999</v>
      </c>
      <c r="H60" s="21" t="s">
        <v>1382</v>
      </c>
      <c r="I60" s="39" t="str">
        <f ca="1">IFERROR(__xludf.DUMMYFUNCTION("IF(SUM(COUNTIF(artists!A:A, SPLIT(D60, "",""))) &gt; 0, ""UA"", 0)"),"UA")</f>
        <v>UA</v>
      </c>
      <c r="J60" s="40">
        <f ca="1">IFERROR(__xludf.DUMMYFUNCTION("IF(SUM(COUNTIF(artists!C:C, SPLIT(D60, "",""))) &gt; 0, ""RU"", 0)"),0)</f>
        <v>0</v>
      </c>
      <c r="K60" s="39">
        <f ca="1">IFERROR(__xludf.DUMMYFUNCTION("IF(SUM(COUNTIF(artists!E:E, SPLIT(D60, "",""))) &gt; 0, ""OTHER"", 0)"),0)</f>
        <v>0</v>
      </c>
    </row>
    <row r="61" spans="1:11" ht="14.25" customHeight="1">
      <c r="A61" s="21">
        <v>60</v>
      </c>
      <c r="B61" s="21">
        <v>55</v>
      </c>
      <c r="C61" s="21" t="s">
        <v>1636</v>
      </c>
      <c r="D61" s="21" t="s">
        <v>1637</v>
      </c>
      <c r="E61" s="21">
        <v>19</v>
      </c>
      <c r="F61" s="21">
        <v>235317</v>
      </c>
      <c r="G61" s="43">
        <v>0</v>
      </c>
      <c r="H61" s="21" t="s">
        <v>1638</v>
      </c>
      <c r="I61" s="39">
        <f ca="1">IFERROR(__xludf.DUMMYFUNCTION("IF(SUM(COUNTIF(artists!A:A, SPLIT(D61, "",""))) &gt; 0, ""UA"", 0)"),0)</f>
        <v>0</v>
      </c>
      <c r="J61" s="40" t="str">
        <f ca="1">IFERROR(__xludf.DUMMYFUNCTION("IF(SUM(COUNTIF(artists!C:C, SPLIT(D61, "",""))) &gt; 0, ""RU"", 0)"),"RU")</f>
        <v>RU</v>
      </c>
      <c r="K61" s="39">
        <f ca="1">IFERROR(__xludf.DUMMYFUNCTION("IF(SUM(COUNTIF(artists!E:E, SPLIT(D61, "",""))) &gt; 0, ""OTHER"", 0)"),0)</f>
        <v>0</v>
      </c>
    </row>
    <row r="62" spans="1:11" ht="14.25" customHeight="1">
      <c r="A62" s="21">
        <v>61</v>
      </c>
      <c r="B62" s="21">
        <v>56</v>
      </c>
      <c r="C62" s="21" t="s">
        <v>1477</v>
      </c>
      <c r="D62" s="21" t="s">
        <v>1478</v>
      </c>
      <c r="E62" s="21">
        <v>13</v>
      </c>
      <c r="F62" s="21">
        <v>232730</v>
      </c>
      <c r="G62" s="42">
        <v>-2E-3</v>
      </c>
      <c r="H62" s="21" t="s">
        <v>1479</v>
      </c>
      <c r="I62" s="39" t="str">
        <f ca="1">IFERROR(__xludf.DUMMYFUNCTION("IF(SUM(COUNTIF(artists!A:A, SPLIT(D62, "",""))) &gt; 0, ""UA"", 0)"),"UA")</f>
        <v>UA</v>
      </c>
      <c r="J62" s="40">
        <f ca="1">IFERROR(__xludf.DUMMYFUNCTION("IF(SUM(COUNTIF(artists!C:C, SPLIT(D62, "",""))) &gt; 0, ""RU"", 0)"),0)</f>
        <v>0</v>
      </c>
      <c r="K62" s="39">
        <f ca="1">IFERROR(__xludf.DUMMYFUNCTION("IF(SUM(COUNTIF(artists!E:E, SPLIT(D62, "",""))) &gt; 0, ""OTHER"", 0)"),0)</f>
        <v>0</v>
      </c>
    </row>
    <row r="63" spans="1:11" ht="14.25" customHeight="1">
      <c r="A63" s="21">
        <v>62</v>
      </c>
      <c r="B63" s="21">
        <v>60</v>
      </c>
      <c r="C63" s="21" t="s">
        <v>597</v>
      </c>
      <c r="D63" s="21" t="s">
        <v>598</v>
      </c>
      <c r="E63" s="21">
        <v>9</v>
      </c>
      <c r="F63" s="21">
        <v>226122</v>
      </c>
      <c r="G63" s="42">
        <v>1.0999999999999999E-2</v>
      </c>
      <c r="H63" s="21" t="s">
        <v>600</v>
      </c>
      <c r="I63" s="39" t="str">
        <f ca="1">IFERROR(__xludf.DUMMYFUNCTION("IF(SUM(COUNTIF(artists!A:A, SPLIT(D63, "",""))) &gt; 0, ""UA"", 0)"),"UA")</f>
        <v>UA</v>
      </c>
      <c r="J63" s="40">
        <f ca="1">IFERROR(__xludf.DUMMYFUNCTION("IF(SUM(COUNTIF(artists!C:C, SPLIT(D63, "",""))) &gt; 0, ""RU"", 0)"),0)</f>
        <v>0</v>
      </c>
      <c r="K63" s="39">
        <f ca="1">IFERROR(__xludf.DUMMYFUNCTION("IF(SUM(COUNTIF(artists!E:E, SPLIT(D63, "",""))) &gt; 0, ""OTHER"", 0)"),0)</f>
        <v>0</v>
      </c>
    </row>
    <row r="64" spans="1:11" ht="14.25" customHeight="1">
      <c r="A64" s="21">
        <v>63</v>
      </c>
      <c r="B64" s="21">
        <v>57</v>
      </c>
      <c r="C64" s="21" t="s">
        <v>1674</v>
      </c>
      <c r="D64" s="21" t="s">
        <v>172</v>
      </c>
      <c r="E64" s="21">
        <v>20</v>
      </c>
      <c r="F64" s="21">
        <v>225196</v>
      </c>
      <c r="G64" s="42">
        <v>-3.4000000000000002E-2</v>
      </c>
      <c r="H64" s="21" t="s">
        <v>1675</v>
      </c>
      <c r="I64" s="39">
        <f ca="1">IFERROR(__xludf.DUMMYFUNCTION("IF(SUM(COUNTIF(artists!A:A, SPLIT(D64, "",""))) &gt; 0, ""UA"", 0)"),0)</f>
        <v>0</v>
      </c>
      <c r="J64" s="40" t="str">
        <f ca="1">IFERROR(__xludf.DUMMYFUNCTION("IF(SUM(COUNTIF(artists!C:C, SPLIT(D64, "",""))) &gt; 0, ""RU"", 0)"),"RU")</f>
        <v>RU</v>
      </c>
      <c r="K64" s="39">
        <f ca="1">IFERROR(__xludf.DUMMYFUNCTION("IF(SUM(COUNTIF(artists!E:E, SPLIT(D64, "",""))) &gt; 0, ""OTHER"", 0)"),0)</f>
        <v>0</v>
      </c>
    </row>
    <row r="65" spans="1:11" ht="14.25" customHeight="1">
      <c r="A65" s="21">
        <v>64</v>
      </c>
      <c r="B65" s="21">
        <v>54</v>
      </c>
      <c r="C65" s="21" t="s">
        <v>1575</v>
      </c>
      <c r="D65" s="21" t="s">
        <v>945</v>
      </c>
      <c r="E65" s="21">
        <v>10</v>
      </c>
      <c r="F65" s="21">
        <v>220039</v>
      </c>
      <c r="G65" s="42">
        <v>-0.108</v>
      </c>
      <c r="H65" s="21" t="s">
        <v>1576</v>
      </c>
      <c r="I65" s="39" t="str">
        <f ca="1">IFERROR(__xludf.DUMMYFUNCTION("IF(SUM(COUNTIF(artists!A:A, SPLIT(D65, "",""))) &gt; 0, ""UA"", 0)"),"UA")</f>
        <v>UA</v>
      </c>
      <c r="J65" s="40">
        <f ca="1">IFERROR(__xludf.DUMMYFUNCTION("IF(SUM(COUNTIF(artists!C:C, SPLIT(D65, "",""))) &gt; 0, ""RU"", 0)"),0)</f>
        <v>0</v>
      </c>
      <c r="K65" s="39">
        <f ca="1">IFERROR(__xludf.DUMMYFUNCTION("IF(SUM(COUNTIF(artists!E:E, SPLIT(D65, "",""))) &gt; 0, ""OTHER"", 0)"),0)</f>
        <v>0</v>
      </c>
    </row>
    <row r="66" spans="1:11" ht="14.25" customHeight="1">
      <c r="A66" s="21">
        <v>65</v>
      </c>
      <c r="C66" s="21" t="s">
        <v>1676</v>
      </c>
      <c r="D66" s="21" t="s">
        <v>743</v>
      </c>
      <c r="E66" s="21">
        <v>21</v>
      </c>
      <c r="F66" s="21">
        <v>216463</v>
      </c>
      <c r="H66" s="21" t="s">
        <v>1677</v>
      </c>
      <c r="I66" s="39">
        <f ca="1">IFERROR(__xludf.DUMMYFUNCTION("IF(SUM(COUNTIF(artists!A:A, SPLIT(D66, "",""))) &gt; 0, ""UA"", 0)"),0)</f>
        <v>0</v>
      </c>
      <c r="J66" s="40" t="str">
        <f ca="1">IFERROR(__xludf.DUMMYFUNCTION("IF(SUM(COUNTIF(artists!C:C, SPLIT(D66, "",""))) &gt; 0, ""RU"", 0)"),"RU")</f>
        <v>RU</v>
      </c>
      <c r="K66" s="39">
        <f ca="1">IFERROR(__xludf.DUMMYFUNCTION("IF(SUM(COUNTIF(artists!E:E, SPLIT(D66, "",""))) &gt; 0, ""OTHER"", 0)"),0)</f>
        <v>0</v>
      </c>
    </row>
    <row r="67" spans="1:11" ht="14.25" customHeight="1">
      <c r="A67" s="21">
        <v>66</v>
      </c>
      <c r="B67" s="21">
        <v>63</v>
      </c>
      <c r="C67" s="21" t="s">
        <v>1487</v>
      </c>
      <c r="D67" s="21" t="s">
        <v>409</v>
      </c>
      <c r="E67" s="21">
        <v>14</v>
      </c>
      <c r="F67" s="21">
        <v>213802</v>
      </c>
      <c r="G67" s="42">
        <v>-4.1000000000000002E-2</v>
      </c>
      <c r="H67" s="21" t="s">
        <v>1488</v>
      </c>
      <c r="I67" s="39" t="str">
        <f ca="1">IFERROR(__xludf.DUMMYFUNCTION("IF(SUM(COUNTIF(artists!A:A, SPLIT(D67, "",""))) &gt; 0, ""UA"", 0)"),"UA")</f>
        <v>UA</v>
      </c>
      <c r="J67" s="40">
        <f ca="1">IFERROR(__xludf.DUMMYFUNCTION("IF(SUM(COUNTIF(artists!C:C, SPLIT(D67, "",""))) &gt; 0, ""RU"", 0)"),0)</f>
        <v>0</v>
      </c>
      <c r="K67" s="39">
        <f ca="1">IFERROR(__xludf.DUMMYFUNCTION("IF(SUM(COUNTIF(artists!E:E, SPLIT(D67, "",""))) &gt; 0, ""OTHER"", 0)"),0)</f>
        <v>0</v>
      </c>
    </row>
    <row r="68" spans="1:11" ht="14.25" customHeight="1">
      <c r="A68" s="21">
        <v>67</v>
      </c>
      <c r="B68" s="21">
        <v>69</v>
      </c>
      <c r="C68" s="21" t="s">
        <v>178</v>
      </c>
      <c r="D68" s="21" t="s">
        <v>179</v>
      </c>
      <c r="E68" s="21">
        <v>8</v>
      </c>
      <c r="F68" s="21">
        <v>212654</v>
      </c>
      <c r="G68" s="42">
        <v>2.4E-2</v>
      </c>
      <c r="H68" s="21" t="s">
        <v>181</v>
      </c>
      <c r="I68" s="39" t="str">
        <f ca="1">IFERROR(__xludf.DUMMYFUNCTION("IF(SUM(COUNTIF(artists!A:A, SPLIT(D68, "",""))) &gt; 0, ""UA"", 0)"),"UA")</f>
        <v>UA</v>
      </c>
      <c r="J68" s="40">
        <f ca="1">IFERROR(__xludf.DUMMYFUNCTION("IF(SUM(COUNTIF(artists!C:C, SPLIT(D68, "",""))) &gt; 0, ""RU"", 0)"),0)</f>
        <v>0</v>
      </c>
      <c r="K68" s="39">
        <f ca="1">IFERROR(__xludf.DUMMYFUNCTION("IF(SUM(COUNTIF(artists!E:E, SPLIT(D68, "",""))) &gt; 0, ""OTHER"", 0)"),0)</f>
        <v>0</v>
      </c>
    </row>
    <row r="69" spans="1:11" ht="14.25" customHeight="1">
      <c r="A69" s="21">
        <v>68</v>
      </c>
      <c r="B69" s="21">
        <v>43</v>
      </c>
      <c r="C69" s="21" t="s">
        <v>1662</v>
      </c>
      <c r="D69" s="21" t="s">
        <v>1663</v>
      </c>
      <c r="E69" s="21">
        <v>3</v>
      </c>
      <c r="F69" s="21">
        <v>210676</v>
      </c>
      <c r="G69" s="42">
        <v>-0.27100000000000002</v>
      </c>
      <c r="H69" s="21" t="s">
        <v>1664</v>
      </c>
      <c r="I69" s="39">
        <f ca="1">IFERROR(__xludf.DUMMYFUNCTION("IF(SUM(COUNTIF(artists!A:A, SPLIT(D69, "",""))) &gt; 0, ""UA"", 0)"),0)</f>
        <v>0</v>
      </c>
      <c r="J69" s="40">
        <f ca="1">IFERROR(__xludf.DUMMYFUNCTION("IF(SUM(COUNTIF(artists!C:C, SPLIT(D69, "",""))) &gt; 0, ""RU"", 0)"),0)</f>
        <v>0</v>
      </c>
      <c r="K69" s="39" t="str">
        <f ca="1">IFERROR(__xludf.DUMMYFUNCTION("IF(SUM(COUNTIF(artists!E:E, SPLIT(D69, "",""))) &gt; 0, ""OTHER"", 0)"),"OTHER")</f>
        <v>OTHER</v>
      </c>
    </row>
    <row r="70" spans="1:11" ht="14.25" customHeight="1">
      <c r="A70" s="21">
        <v>69</v>
      </c>
      <c r="B70" s="21">
        <v>98</v>
      </c>
      <c r="C70" s="21" t="s">
        <v>1678</v>
      </c>
      <c r="D70" s="21" t="s">
        <v>1679</v>
      </c>
      <c r="E70" s="21">
        <v>37</v>
      </c>
      <c r="F70" s="21">
        <v>206687</v>
      </c>
      <c r="G70" s="42">
        <v>0.30599999999999999</v>
      </c>
      <c r="H70" s="21" t="s">
        <v>1680</v>
      </c>
      <c r="I70" s="39">
        <f ca="1">IFERROR(__xludf.DUMMYFUNCTION("IF(SUM(COUNTIF(artists!A:A, SPLIT(D70, "",""))) &gt; 0, ""UA"", 0)"),0)</f>
        <v>0</v>
      </c>
      <c r="J70" s="40" t="str">
        <f ca="1">IFERROR(__xludf.DUMMYFUNCTION("IF(SUM(COUNTIF(artists!C:C, SPLIT(D70, "",""))) &gt; 0, ""RU"", 0)"),"RU")</f>
        <v>RU</v>
      </c>
      <c r="K70" s="39">
        <f ca="1">IFERROR(__xludf.DUMMYFUNCTION("IF(SUM(COUNTIF(artists!E:E, SPLIT(D70, "",""))) &gt; 0, ""OTHER"", 0)"),0)</f>
        <v>0</v>
      </c>
    </row>
    <row r="71" spans="1:11" ht="14.25" customHeight="1">
      <c r="A71" s="21">
        <v>70</v>
      </c>
      <c r="B71" s="21">
        <v>61</v>
      </c>
      <c r="C71" s="21" t="s">
        <v>1595</v>
      </c>
      <c r="D71" s="21" t="s">
        <v>1596</v>
      </c>
      <c r="E71" s="21">
        <v>5</v>
      </c>
      <c r="F71" s="21">
        <v>206346</v>
      </c>
      <c r="G71" s="42">
        <v>-7.5999999999999998E-2</v>
      </c>
      <c r="H71" s="21" t="s">
        <v>1597</v>
      </c>
      <c r="I71" s="39" t="str">
        <f ca="1">IFERROR(__xludf.DUMMYFUNCTION("IF(SUM(COUNTIF(artists!A:A, SPLIT(D71, "",""))) &gt; 0, ""UA"", 0)"),"UA")</f>
        <v>UA</v>
      </c>
      <c r="J71" s="40">
        <f ca="1">IFERROR(__xludf.DUMMYFUNCTION("IF(SUM(COUNTIF(artists!C:C, SPLIT(D71, "",""))) &gt; 0, ""RU"", 0)"),0)</f>
        <v>0</v>
      </c>
      <c r="K71" s="39">
        <f ca="1">IFERROR(__xludf.DUMMYFUNCTION("IF(SUM(COUNTIF(artists!E:E, SPLIT(D71, "",""))) &gt; 0, ""OTHER"", 0)"),0)</f>
        <v>0</v>
      </c>
    </row>
    <row r="72" spans="1:11" ht="14.25" customHeight="1">
      <c r="A72" s="21">
        <v>71</v>
      </c>
      <c r="B72" s="21">
        <v>78</v>
      </c>
      <c r="C72" s="21" t="s">
        <v>1588</v>
      </c>
      <c r="D72" s="21" t="s">
        <v>776</v>
      </c>
      <c r="E72" s="21">
        <v>17</v>
      </c>
      <c r="F72" s="21">
        <v>200146</v>
      </c>
      <c r="G72" s="42">
        <v>7.4999999999999997E-2</v>
      </c>
      <c r="H72" s="21" t="s">
        <v>1589</v>
      </c>
      <c r="I72" s="39" t="str">
        <f ca="1">IFERROR(__xludf.DUMMYFUNCTION("IF(SUM(COUNTIF(artists!A:A, SPLIT(D72, "",""))) &gt; 0, ""UA"", 0)"),"UA")</f>
        <v>UA</v>
      </c>
      <c r="J72" s="40">
        <f ca="1">IFERROR(__xludf.DUMMYFUNCTION("IF(SUM(COUNTIF(artists!C:C, SPLIT(D72, "",""))) &gt; 0, ""RU"", 0)"),0)</f>
        <v>0</v>
      </c>
      <c r="K72" s="39">
        <f ca="1">IFERROR(__xludf.DUMMYFUNCTION("IF(SUM(COUNTIF(artists!E:E, SPLIT(D72, "",""))) &gt; 0, ""OTHER"", 0)"),0)</f>
        <v>0</v>
      </c>
    </row>
    <row r="73" spans="1:11" ht="14.25" customHeight="1">
      <c r="A73" s="21">
        <v>72</v>
      </c>
      <c r="B73" s="21">
        <v>62</v>
      </c>
      <c r="C73" s="21" t="s">
        <v>470</v>
      </c>
      <c r="D73" s="21" t="s">
        <v>81</v>
      </c>
      <c r="E73" s="21">
        <v>13</v>
      </c>
      <c r="F73" s="21">
        <v>199316</v>
      </c>
      <c r="G73" s="42">
        <v>-0.107</v>
      </c>
      <c r="H73" s="21" t="s">
        <v>472</v>
      </c>
      <c r="I73" s="39" t="str">
        <f ca="1">IFERROR(__xludf.DUMMYFUNCTION("IF(SUM(COUNTIF(artists!A:A, SPLIT(D73, "",""))) &gt; 0, ""UA"", 0)"),"UA")</f>
        <v>UA</v>
      </c>
      <c r="J73" s="40">
        <f ca="1">IFERROR(__xludf.DUMMYFUNCTION("IF(SUM(COUNTIF(artists!C:C, SPLIT(D73, "",""))) &gt; 0, ""RU"", 0)"),0)</f>
        <v>0</v>
      </c>
      <c r="K73" s="39">
        <f ca="1">IFERROR(__xludf.DUMMYFUNCTION("IF(SUM(COUNTIF(artists!E:E, SPLIT(D73, "",""))) &gt; 0, ""OTHER"", 0)"),0)</f>
        <v>0</v>
      </c>
    </row>
    <row r="74" spans="1:11" ht="14.25" customHeight="1">
      <c r="A74" s="21">
        <v>73</v>
      </c>
      <c r="B74" s="21">
        <v>70</v>
      </c>
      <c r="C74" s="21" t="s">
        <v>1536</v>
      </c>
      <c r="D74" s="21" t="s">
        <v>1537</v>
      </c>
      <c r="E74" s="21">
        <v>5</v>
      </c>
      <c r="F74" s="21">
        <v>199185</v>
      </c>
      <c r="G74" s="42">
        <v>-3.5999999999999997E-2</v>
      </c>
      <c r="H74" s="21" t="s">
        <v>1538</v>
      </c>
      <c r="I74" s="39" t="str">
        <f ca="1">IFERROR(__xludf.DUMMYFUNCTION("IF(SUM(COUNTIF(artists!A:A, SPLIT(D74, "",""))) &gt; 0, ""UA"", 0)"),"UA")</f>
        <v>UA</v>
      </c>
      <c r="J74" s="40">
        <f ca="1">IFERROR(__xludf.DUMMYFUNCTION("IF(SUM(COUNTIF(artists!C:C, SPLIT(D74, "",""))) &gt; 0, ""RU"", 0)"),0)</f>
        <v>0</v>
      </c>
      <c r="K74" s="39">
        <f ca="1">IFERROR(__xludf.DUMMYFUNCTION("IF(SUM(COUNTIF(artists!E:E, SPLIT(D74, "",""))) &gt; 0, ""OTHER"", 0)"),0)</f>
        <v>0</v>
      </c>
    </row>
    <row r="75" spans="1:11" ht="14.25" customHeight="1">
      <c r="A75" s="21">
        <v>74</v>
      </c>
      <c r="B75" s="21">
        <v>65</v>
      </c>
      <c r="C75" s="21" t="s">
        <v>1530</v>
      </c>
      <c r="D75" s="21" t="s">
        <v>1531</v>
      </c>
      <c r="E75" s="21">
        <v>14</v>
      </c>
      <c r="F75" s="21">
        <v>199174</v>
      </c>
      <c r="G75" s="42">
        <v>-8.8999999999999996E-2</v>
      </c>
      <c r="H75" s="21" t="s">
        <v>1532</v>
      </c>
      <c r="I75" s="39">
        <f ca="1">IFERROR(__xludf.DUMMYFUNCTION("IF(SUM(COUNTIF(artists!A:A, SPLIT(D75, "",""))) &gt; 0, ""UA"", 0)"),0)</f>
        <v>0</v>
      </c>
      <c r="J75" s="40">
        <f ca="1">IFERROR(__xludf.DUMMYFUNCTION("IF(SUM(COUNTIF(artists!C:C, SPLIT(D75, "",""))) &gt; 0, ""RU"", 0)"),0)</f>
        <v>0</v>
      </c>
      <c r="K75" s="39" t="str">
        <f ca="1">IFERROR(__xludf.DUMMYFUNCTION("IF(SUM(COUNTIF(artists!E:E, SPLIT(D75, "",""))) &gt; 0, ""OTHER"", 0)"),"OTHER")</f>
        <v>OTHER</v>
      </c>
    </row>
    <row r="76" spans="1:11" ht="14.25" customHeight="1">
      <c r="A76" s="21">
        <v>75</v>
      </c>
      <c r="B76" s="21">
        <v>97</v>
      </c>
      <c r="C76" s="21" t="s">
        <v>1681</v>
      </c>
      <c r="D76" s="21" t="s">
        <v>310</v>
      </c>
      <c r="E76" s="21">
        <v>2</v>
      </c>
      <c r="F76" s="21">
        <v>195807</v>
      </c>
      <c r="G76" s="42">
        <v>0.23100000000000001</v>
      </c>
      <c r="H76" s="21" t="s">
        <v>1682</v>
      </c>
      <c r="I76" s="39">
        <f ca="1">IFERROR(__xludf.DUMMYFUNCTION("IF(SUM(COUNTIF(artists!A:A, SPLIT(D76, "",""))) &gt; 0, ""UA"", 0)"),0)</f>
        <v>0</v>
      </c>
      <c r="J76" s="40">
        <f ca="1">IFERROR(__xludf.DUMMYFUNCTION("IF(SUM(COUNTIF(artists!C:C, SPLIT(D76, "",""))) &gt; 0, ""RU"", 0)"),0)</f>
        <v>0</v>
      </c>
      <c r="K76" s="39" t="str">
        <f ca="1">IFERROR(__xludf.DUMMYFUNCTION("IF(SUM(COUNTIF(artists!E:E, SPLIT(D76, "",""))) &gt; 0, ""OTHER"", 0)"),"OTHER")</f>
        <v>OTHER</v>
      </c>
    </row>
    <row r="77" spans="1:11" ht="14.25" customHeight="1">
      <c r="A77" s="21">
        <v>76</v>
      </c>
      <c r="B77" s="21">
        <v>67</v>
      </c>
      <c r="C77" s="21" t="s">
        <v>1007</v>
      </c>
      <c r="D77" s="21" t="s">
        <v>1008</v>
      </c>
      <c r="E77" s="21">
        <v>13</v>
      </c>
      <c r="F77" s="21">
        <v>192591</v>
      </c>
      <c r="G77" s="42">
        <v>-7.4999999999999997E-2</v>
      </c>
      <c r="H77" s="21" t="s">
        <v>1009</v>
      </c>
      <c r="I77" s="39">
        <f ca="1">IFERROR(__xludf.DUMMYFUNCTION("IF(SUM(COUNTIF(artists!A:A, SPLIT(D77, "",""))) &gt; 0, ""UA"", 0)"),0)</f>
        <v>0</v>
      </c>
      <c r="J77" s="40" t="str">
        <f ca="1">IFERROR(__xludf.DUMMYFUNCTION("IF(SUM(COUNTIF(artists!C:C, SPLIT(D77, "",""))) &gt; 0, ""RU"", 0)"),"RU")</f>
        <v>RU</v>
      </c>
      <c r="K77" s="39">
        <f ca="1">IFERROR(__xludf.DUMMYFUNCTION("IF(SUM(COUNTIF(artists!E:E, SPLIT(D77, "",""))) &gt; 0, ""OTHER"", 0)"),0)</f>
        <v>0</v>
      </c>
    </row>
    <row r="78" spans="1:11" ht="14.25" customHeight="1">
      <c r="A78" s="21">
        <v>77</v>
      </c>
      <c r="B78" s="21">
        <v>75</v>
      </c>
      <c r="C78" s="21" t="s">
        <v>1622</v>
      </c>
      <c r="D78" s="21" t="s">
        <v>137</v>
      </c>
      <c r="E78" s="21">
        <v>18</v>
      </c>
      <c r="F78" s="21">
        <v>192328</v>
      </c>
      <c r="G78" s="42">
        <v>-1E-3</v>
      </c>
      <c r="H78" s="21" t="s">
        <v>1623</v>
      </c>
      <c r="I78" s="39" t="str">
        <f ca="1">IFERROR(__xludf.DUMMYFUNCTION("IF(SUM(COUNTIF(artists!A:A, SPLIT(D78, "",""))) &gt; 0, ""UA"", 0)"),"UA")</f>
        <v>UA</v>
      </c>
      <c r="J78" s="40">
        <f ca="1">IFERROR(__xludf.DUMMYFUNCTION("IF(SUM(COUNTIF(artists!C:C, SPLIT(D78, "",""))) &gt; 0, ""RU"", 0)"),0)</f>
        <v>0</v>
      </c>
      <c r="K78" s="39">
        <f ca="1">IFERROR(__xludf.DUMMYFUNCTION("IF(SUM(COUNTIF(artists!E:E, SPLIT(D78, "",""))) &gt; 0, ""OTHER"", 0)"),0)</f>
        <v>0</v>
      </c>
    </row>
    <row r="79" spans="1:11" ht="14.25" customHeight="1">
      <c r="A79" s="21">
        <v>78</v>
      </c>
      <c r="B79" s="21">
        <v>80</v>
      </c>
      <c r="C79" s="21" t="s">
        <v>636</v>
      </c>
      <c r="D79" s="21" t="s">
        <v>637</v>
      </c>
      <c r="E79" s="21">
        <v>5</v>
      </c>
      <c r="F79" s="21">
        <v>191473</v>
      </c>
      <c r="G79" s="42">
        <v>6.4000000000000001E-2</v>
      </c>
      <c r="H79" s="21" t="s">
        <v>638</v>
      </c>
      <c r="I79" s="39">
        <f ca="1">IFERROR(__xludf.DUMMYFUNCTION("IF(SUM(COUNTIF(artists!A:A, SPLIT(D79, "",""))) &gt; 0, ""UA"", 0)"),0)</f>
        <v>0</v>
      </c>
      <c r="J79" s="40">
        <f ca="1">IFERROR(__xludf.DUMMYFUNCTION("IF(SUM(COUNTIF(artists!C:C, SPLIT(D79, "",""))) &gt; 0, ""RU"", 0)"),0)</f>
        <v>0</v>
      </c>
      <c r="K79" s="39" t="str">
        <f ca="1">IFERROR(__xludf.DUMMYFUNCTION("IF(SUM(COUNTIF(artists!E:E, SPLIT(D79, "",""))) &gt; 0, ""OTHER"", 0)"),"OTHER")</f>
        <v>OTHER</v>
      </c>
    </row>
    <row r="80" spans="1:11" ht="14.25" customHeight="1">
      <c r="A80" s="21">
        <v>79</v>
      </c>
      <c r="B80" s="21">
        <v>59</v>
      </c>
      <c r="C80" s="21" t="s">
        <v>1390</v>
      </c>
      <c r="D80" s="21" t="s">
        <v>259</v>
      </c>
      <c r="E80" s="21">
        <v>4</v>
      </c>
      <c r="F80" s="21">
        <v>191140</v>
      </c>
      <c r="G80" s="42">
        <v>-0.14799999999999999</v>
      </c>
      <c r="H80" s="21" t="s">
        <v>1391</v>
      </c>
      <c r="I80" s="39" t="str">
        <f ca="1">IFERROR(__xludf.DUMMYFUNCTION("IF(SUM(COUNTIF(artists!A:A, SPLIT(D80, "",""))) &gt; 0, ""UA"", 0)"),"UA")</f>
        <v>UA</v>
      </c>
      <c r="J80" s="40">
        <f ca="1">IFERROR(__xludf.DUMMYFUNCTION("IF(SUM(COUNTIF(artists!C:C, SPLIT(D80, "",""))) &gt; 0, ""RU"", 0)"),0)</f>
        <v>0</v>
      </c>
      <c r="K80" s="39">
        <f ca="1">IFERROR(__xludf.DUMMYFUNCTION("IF(SUM(COUNTIF(artists!E:E, SPLIT(D80, "",""))) &gt; 0, ""OTHER"", 0)"),0)</f>
        <v>0</v>
      </c>
    </row>
    <row r="81" spans="1:11" ht="14.25" customHeight="1">
      <c r="A81" s="21">
        <v>80</v>
      </c>
      <c r="B81" s="21">
        <v>77</v>
      </c>
      <c r="C81" s="21" t="s">
        <v>1683</v>
      </c>
      <c r="D81" s="21" t="s">
        <v>1596</v>
      </c>
      <c r="E81" s="21">
        <v>7</v>
      </c>
      <c r="F81" s="21">
        <v>190232</v>
      </c>
      <c r="G81" s="43">
        <v>0.02</v>
      </c>
      <c r="H81" s="21" t="s">
        <v>1684</v>
      </c>
      <c r="I81" s="39" t="str">
        <f ca="1">IFERROR(__xludf.DUMMYFUNCTION("IF(SUM(COUNTIF(artists!A:A, SPLIT(D81, "",""))) &gt; 0, ""UA"", 0)"),"UA")</f>
        <v>UA</v>
      </c>
      <c r="J81" s="40">
        <f ca="1">IFERROR(__xludf.DUMMYFUNCTION("IF(SUM(COUNTIF(artists!C:C, SPLIT(D81, "",""))) &gt; 0, ""RU"", 0)"),0)</f>
        <v>0</v>
      </c>
      <c r="K81" s="39">
        <f ca="1">IFERROR(__xludf.DUMMYFUNCTION("IF(SUM(COUNTIF(artists!E:E, SPLIT(D81, "",""))) &gt; 0, ""OTHER"", 0)"),0)</f>
        <v>0</v>
      </c>
    </row>
    <row r="82" spans="1:11" ht="14.25" customHeight="1">
      <c r="A82" s="21">
        <v>81</v>
      </c>
      <c r="B82" s="21">
        <v>74</v>
      </c>
      <c r="C82" s="21" t="s">
        <v>1648</v>
      </c>
      <c r="D82" s="21" t="s">
        <v>1649</v>
      </c>
      <c r="E82" s="21">
        <v>4</v>
      </c>
      <c r="F82" s="21">
        <v>189463</v>
      </c>
      <c r="G82" s="42">
        <v>-1.7999999999999999E-2</v>
      </c>
      <c r="H82" s="21" t="s">
        <v>1650</v>
      </c>
      <c r="I82" s="39">
        <f ca="1">IFERROR(__xludf.DUMMYFUNCTION("IF(SUM(COUNTIF(artists!A:A, SPLIT(D82, "",""))) &gt; 0, ""UA"", 0)"),0)</f>
        <v>0</v>
      </c>
      <c r="J82" s="40" t="str">
        <f ca="1">IFERROR(__xludf.DUMMYFUNCTION("IF(SUM(COUNTIF(artists!C:C, SPLIT(D82, "",""))) &gt; 0, ""RU"", 0)"),"RU")</f>
        <v>RU</v>
      </c>
      <c r="K82" s="39">
        <f ca="1">IFERROR(__xludf.DUMMYFUNCTION("IF(SUM(COUNTIF(artists!E:E, SPLIT(D82, "",""))) &gt; 0, ""OTHER"", 0)"),0)</f>
        <v>0</v>
      </c>
    </row>
    <row r="83" spans="1:11" ht="14.25" customHeight="1">
      <c r="A83" s="21">
        <v>82</v>
      </c>
      <c r="B83" s="21">
        <v>86</v>
      </c>
      <c r="C83" s="21" t="s">
        <v>1601</v>
      </c>
      <c r="D83" s="21" t="s">
        <v>1602</v>
      </c>
      <c r="E83" s="21">
        <v>17</v>
      </c>
      <c r="F83" s="21">
        <v>189374</v>
      </c>
      <c r="G83" s="42">
        <v>8.5999999999999993E-2</v>
      </c>
      <c r="H83" s="21" t="s">
        <v>1603</v>
      </c>
      <c r="I83" s="39">
        <f ca="1">IFERROR(__xludf.DUMMYFUNCTION("IF(SUM(COUNTIF(artists!A:A, SPLIT(D83, "",""))) &gt; 0, ""UA"", 0)"),0)</f>
        <v>0</v>
      </c>
      <c r="J83" s="40" t="str">
        <f ca="1">IFERROR(__xludf.DUMMYFUNCTION("IF(SUM(COUNTIF(artists!C:C, SPLIT(D83, "",""))) &gt; 0, ""RU"", 0)"),"RU")</f>
        <v>RU</v>
      </c>
      <c r="K83" s="39">
        <f ca="1">IFERROR(__xludf.DUMMYFUNCTION("IF(SUM(COUNTIF(artists!E:E, SPLIT(D83, "",""))) &gt; 0, ""OTHER"", 0)"),0)</f>
        <v>0</v>
      </c>
    </row>
    <row r="84" spans="1:11" ht="14.25" customHeight="1">
      <c r="A84" s="21">
        <v>83</v>
      </c>
      <c r="B84" s="21">
        <v>73</v>
      </c>
      <c r="C84" s="21" t="s">
        <v>489</v>
      </c>
      <c r="D84" s="21" t="s">
        <v>490</v>
      </c>
      <c r="E84" s="21">
        <v>12</v>
      </c>
      <c r="F84" s="21">
        <v>186590</v>
      </c>
      <c r="G84" s="43">
        <v>-0.05</v>
      </c>
      <c r="H84" s="21" t="s">
        <v>491</v>
      </c>
      <c r="I84" s="39" t="str">
        <f ca="1">IFERROR(__xludf.DUMMYFUNCTION("IF(SUM(COUNTIF(artists!A:A, SPLIT(D84, "",""))) &gt; 0, ""UA"", 0)"),"UA")</f>
        <v>UA</v>
      </c>
      <c r="J84" s="40">
        <f ca="1">IFERROR(__xludf.DUMMYFUNCTION("IF(SUM(COUNTIF(artists!C:C, SPLIT(D84, "",""))) &gt; 0, ""RU"", 0)"),0)</f>
        <v>0</v>
      </c>
      <c r="K84" s="39">
        <f ca="1">IFERROR(__xludf.DUMMYFUNCTION("IF(SUM(COUNTIF(artists!E:E, SPLIT(D84, "",""))) &gt; 0, ""OTHER"", 0)"),0)</f>
        <v>0</v>
      </c>
    </row>
    <row r="85" spans="1:11" ht="14.25" customHeight="1">
      <c r="A85" s="21">
        <v>84</v>
      </c>
      <c r="B85" s="21">
        <v>68</v>
      </c>
      <c r="C85" s="21" t="s">
        <v>1657</v>
      </c>
      <c r="D85" s="21" t="s">
        <v>837</v>
      </c>
      <c r="E85" s="21">
        <v>8</v>
      </c>
      <c r="F85" s="21">
        <v>185658</v>
      </c>
      <c r="G85" s="42">
        <v>-0.108</v>
      </c>
      <c r="H85" s="21" t="s">
        <v>1658</v>
      </c>
      <c r="I85" s="39" t="str">
        <f ca="1">IFERROR(__xludf.DUMMYFUNCTION("IF(SUM(COUNTIF(artists!A:A, SPLIT(D85, "",""))) &gt; 0, ""UA"", 0)"),"UA")</f>
        <v>UA</v>
      </c>
      <c r="J85" s="40">
        <f ca="1">IFERROR(__xludf.DUMMYFUNCTION("IF(SUM(COUNTIF(artists!C:C, SPLIT(D85, "",""))) &gt; 0, ""RU"", 0)"),0)</f>
        <v>0</v>
      </c>
      <c r="K85" s="39">
        <f ca="1">IFERROR(__xludf.DUMMYFUNCTION("IF(SUM(COUNTIF(artists!E:E, SPLIT(D85, "",""))) &gt; 0, ""OTHER"", 0)"),0)</f>
        <v>0</v>
      </c>
    </row>
    <row r="86" spans="1:11" ht="14.25" customHeight="1">
      <c r="A86" s="21">
        <v>85</v>
      </c>
      <c r="B86" s="21">
        <v>72</v>
      </c>
      <c r="C86" s="21" t="s">
        <v>1643</v>
      </c>
      <c r="D86" s="21" t="s">
        <v>831</v>
      </c>
      <c r="E86" s="21">
        <v>2</v>
      </c>
      <c r="F86" s="21">
        <v>183187</v>
      </c>
      <c r="G86" s="42">
        <v>-6.7000000000000004E-2</v>
      </c>
      <c r="H86" s="21" t="s">
        <v>1644</v>
      </c>
      <c r="I86" s="39" t="str">
        <f ca="1">IFERROR(__xludf.DUMMYFUNCTION("IF(SUM(COUNTIF(artists!A:A, SPLIT(D86, "",""))) &gt; 0, ""UA"", 0)"),"UA")</f>
        <v>UA</v>
      </c>
      <c r="J86" s="40">
        <f ca="1">IFERROR(__xludf.DUMMYFUNCTION("IF(SUM(COUNTIF(artists!C:C, SPLIT(D86, "",""))) &gt; 0, ""RU"", 0)"),0)</f>
        <v>0</v>
      </c>
      <c r="K86" s="39">
        <f ca="1">IFERROR(__xludf.DUMMYFUNCTION("IF(SUM(COUNTIF(artists!E:E, SPLIT(D86, "",""))) &gt; 0, ""OTHER"", 0)"),0)</f>
        <v>0</v>
      </c>
    </row>
    <row r="87" spans="1:11" ht="14.25" customHeight="1">
      <c r="A87" s="21">
        <v>86</v>
      </c>
      <c r="B87" s="21">
        <v>84</v>
      </c>
      <c r="C87" s="21" t="s">
        <v>1645</v>
      </c>
      <c r="D87" s="21" t="s">
        <v>1646</v>
      </c>
      <c r="E87" s="21">
        <v>2</v>
      </c>
      <c r="F87" s="21">
        <v>181384</v>
      </c>
      <c r="G87" s="42">
        <v>3.3000000000000002E-2</v>
      </c>
      <c r="H87" s="21" t="s">
        <v>1647</v>
      </c>
      <c r="I87" s="39">
        <f ca="1">IFERROR(__xludf.DUMMYFUNCTION("IF(SUM(COUNTIF(artists!A:A, SPLIT(D87, "",""))) &gt; 0, ""UA"", 0)"),0)</f>
        <v>0</v>
      </c>
      <c r="J87" s="40" t="str">
        <f ca="1">IFERROR(__xludf.DUMMYFUNCTION("IF(SUM(COUNTIF(artists!C:C, SPLIT(D87, "",""))) &gt; 0, ""RU"", 0)"),"RU")</f>
        <v>RU</v>
      </c>
      <c r="K87" s="39">
        <f ca="1">IFERROR(__xludf.DUMMYFUNCTION("IF(SUM(COUNTIF(artists!E:E, SPLIT(D87, "",""))) &gt; 0, ""OTHER"", 0)"),0)</f>
        <v>0</v>
      </c>
    </row>
    <row r="88" spans="1:11" ht="14.25" customHeight="1">
      <c r="A88" s="21">
        <v>87</v>
      </c>
      <c r="B88" s="21">
        <v>76</v>
      </c>
      <c r="C88" s="21" t="s">
        <v>748</v>
      </c>
      <c r="D88" s="21" t="s">
        <v>586</v>
      </c>
      <c r="E88" s="21">
        <v>13</v>
      </c>
      <c r="F88" s="21">
        <v>173437</v>
      </c>
      <c r="G88" s="42">
        <v>-9.4E-2</v>
      </c>
      <c r="H88" s="21" t="s">
        <v>749</v>
      </c>
      <c r="I88" s="39" t="str">
        <f ca="1">IFERROR(__xludf.DUMMYFUNCTION("IF(SUM(COUNTIF(artists!A:A, SPLIT(D88, "",""))) &gt; 0, ""UA"", 0)"),"UA")</f>
        <v>UA</v>
      </c>
      <c r="J88" s="40">
        <f ca="1">IFERROR(__xludf.DUMMYFUNCTION("IF(SUM(COUNTIF(artists!C:C, SPLIT(D88, "",""))) &gt; 0, ""RU"", 0)"),0)</f>
        <v>0</v>
      </c>
      <c r="K88" s="39">
        <f ca="1">IFERROR(__xludf.DUMMYFUNCTION("IF(SUM(COUNTIF(artists!E:E, SPLIT(D88, "",""))) &gt; 0, ""OTHER"", 0)"),0)</f>
        <v>0</v>
      </c>
    </row>
    <row r="89" spans="1:11" ht="14.25" customHeight="1">
      <c r="A89" s="21">
        <v>88</v>
      </c>
      <c r="B89" s="21">
        <v>71</v>
      </c>
      <c r="C89" s="21" t="s">
        <v>678</v>
      </c>
      <c r="D89" s="21" t="s">
        <v>89</v>
      </c>
      <c r="E89" s="21">
        <v>5</v>
      </c>
      <c r="F89" s="21">
        <v>170995</v>
      </c>
      <c r="G89" s="42">
        <v>-0.17100000000000001</v>
      </c>
      <c r="H89" s="21" t="s">
        <v>679</v>
      </c>
      <c r="I89" s="39" t="str">
        <f ca="1">IFERROR(__xludf.DUMMYFUNCTION("IF(SUM(COUNTIF(artists!A:A, SPLIT(D89, "",""))) &gt; 0, ""UA"", 0)"),"UA")</f>
        <v>UA</v>
      </c>
      <c r="J89" s="40">
        <f ca="1">IFERROR(__xludf.DUMMYFUNCTION("IF(SUM(COUNTIF(artists!C:C, SPLIT(D89, "",""))) &gt; 0, ""RU"", 0)"),0)</f>
        <v>0</v>
      </c>
      <c r="K89" s="39">
        <f ca="1">IFERROR(__xludf.DUMMYFUNCTION("IF(SUM(COUNTIF(artists!E:E, SPLIT(D89, "",""))) &gt; 0, ""OTHER"", 0)"),0)</f>
        <v>0</v>
      </c>
    </row>
    <row r="90" spans="1:11" ht="14.25" customHeight="1">
      <c r="A90" s="21">
        <v>89</v>
      </c>
      <c r="B90" s="21">
        <v>93</v>
      </c>
      <c r="C90" s="21" t="s">
        <v>1416</v>
      </c>
      <c r="D90" s="21" t="s">
        <v>137</v>
      </c>
      <c r="E90" s="21">
        <v>9</v>
      </c>
      <c r="F90" s="21">
        <v>168211</v>
      </c>
      <c r="G90" s="42">
        <v>3.4000000000000002E-2</v>
      </c>
      <c r="H90" s="21" t="s">
        <v>1417</v>
      </c>
      <c r="I90" s="39" t="str">
        <f ca="1">IFERROR(__xludf.DUMMYFUNCTION("IF(SUM(COUNTIF(artists!A:A, SPLIT(D90, "",""))) &gt; 0, ""UA"", 0)"),"UA")</f>
        <v>UA</v>
      </c>
      <c r="J90" s="40">
        <f ca="1">IFERROR(__xludf.DUMMYFUNCTION("IF(SUM(COUNTIF(artists!C:C, SPLIT(D90, "",""))) &gt; 0, ""RU"", 0)"),0)</f>
        <v>0</v>
      </c>
      <c r="K90" s="39">
        <f ca="1">IFERROR(__xludf.DUMMYFUNCTION("IF(SUM(COUNTIF(artists!E:E, SPLIT(D90, "",""))) &gt; 0, ""OTHER"", 0)"),0)</f>
        <v>0</v>
      </c>
    </row>
    <row r="91" spans="1:11" ht="14.25" customHeight="1">
      <c r="A91" s="21">
        <v>90</v>
      </c>
      <c r="B91" s="21">
        <v>85</v>
      </c>
      <c r="C91" s="21" t="s">
        <v>1369</v>
      </c>
      <c r="D91" s="21" t="s">
        <v>1370</v>
      </c>
      <c r="E91" s="21">
        <v>14</v>
      </c>
      <c r="F91" s="21">
        <v>164140</v>
      </c>
      <c r="G91" s="42">
        <v>-6.3E-2</v>
      </c>
      <c r="H91" s="21" t="s">
        <v>1371</v>
      </c>
      <c r="I91" s="39" t="str">
        <f ca="1">IFERROR(__xludf.DUMMYFUNCTION("IF(SUM(COUNTIF(artists!A:A, SPLIT(D91, "",""))) &gt; 0, ""UA"", 0)"),"UA")</f>
        <v>UA</v>
      </c>
      <c r="J91" s="40">
        <f ca="1">IFERROR(__xludf.DUMMYFUNCTION("IF(SUM(COUNTIF(artists!C:C, SPLIT(D91, "",""))) &gt; 0, ""RU"", 0)"),0)</f>
        <v>0</v>
      </c>
      <c r="K91" s="39">
        <f ca="1">IFERROR(__xludf.DUMMYFUNCTION("IF(SUM(COUNTIF(artists!E:E, SPLIT(D91, "",""))) &gt; 0, ""OTHER"", 0)"),0)</f>
        <v>0</v>
      </c>
    </row>
    <row r="92" spans="1:11" ht="14.25" customHeight="1">
      <c r="A92" s="21">
        <v>91</v>
      </c>
      <c r="B92" s="21">
        <v>94</v>
      </c>
      <c r="C92" s="21" t="s">
        <v>1685</v>
      </c>
      <c r="D92" s="21" t="s">
        <v>1185</v>
      </c>
      <c r="E92" s="21">
        <v>3</v>
      </c>
      <c r="F92" s="21">
        <v>163046</v>
      </c>
      <c r="G92" s="42">
        <v>5.0000000000000001E-3</v>
      </c>
      <c r="H92" s="21" t="s">
        <v>1686</v>
      </c>
      <c r="I92" s="39">
        <f ca="1">IFERROR(__xludf.DUMMYFUNCTION("IF(SUM(COUNTIF(artists!A:A, SPLIT(D92, "",""))) &gt; 0, ""UA"", 0)"),0)</f>
        <v>0</v>
      </c>
      <c r="J92" s="40">
        <f ca="1">IFERROR(__xludf.DUMMYFUNCTION("IF(SUM(COUNTIF(artists!C:C, SPLIT(D92, "",""))) &gt; 0, ""RU"", 0)"),0)</f>
        <v>0</v>
      </c>
      <c r="K92" s="39" t="str">
        <f ca="1">IFERROR(__xludf.DUMMYFUNCTION("IF(SUM(COUNTIF(artists!E:E, SPLIT(D92, "",""))) &gt; 0, ""OTHER"", 0)"),"OTHER")</f>
        <v>OTHER</v>
      </c>
    </row>
    <row r="93" spans="1:11" ht="14.25" customHeight="1">
      <c r="A93" s="21">
        <v>92</v>
      </c>
      <c r="B93" s="21">
        <v>90</v>
      </c>
      <c r="C93" s="21" t="s">
        <v>1551</v>
      </c>
      <c r="D93" s="21" t="s">
        <v>1344</v>
      </c>
      <c r="E93" s="21">
        <v>5</v>
      </c>
      <c r="F93" s="21">
        <v>162912</v>
      </c>
      <c r="G93" s="42">
        <v>-2.8000000000000001E-2</v>
      </c>
      <c r="H93" s="21" t="s">
        <v>1552</v>
      </c>
      <c r="I93" s="39" t="str">
        <f ca="1">IFERROR(__xludf.DUMMYFUNCTION("IF(SUM(COUNTIF(artists!A:A, SPLIT(D93, "",""))) &gt; 0, ""UA"", 0)"),"UA")</f>
        <v>UA</v>
      </c>
      <c r="J93" s="40">
        <f ca="1">IFERROR(__xludf.DUMMYFUNCTION("IF(SUM(COUNTIF(artists!C:C, SPLIT(D93, "",""))) &gt; 0, ""RU"", 0)"),0)</f>
        <v>0</v>
      </c>
      <c r="K93" s="39">
        <f ca="1">IFERROR(__xludf.DUMMYFUNCTION("IF(SUM(COUNTIF(artists!E:E, SPLIT(D93, "",""))) &gt; 0, ""OTHER"", 0)"),0)</f>
        <v>0</v>
      </c>
    </row>
    <row r="94" spans="1:11" ht="14.25" customHeight="1">
      <c r="A94" s="21">
        <v>93</v>
      </c>
      <c r="C94" s="21" t="s">
        <v>1687</v>
      </c>
      <c r="D94" s="21" t="s">
        <v>1688</v>
      </c>
      <c r="E94" s="21">
        <v>1</v>
      </c>
      <c r="F94" s="21">
        <v>161429</v>
      </c>
      <c r="H94" s="21" t="s">
        <v>1689</v>
      </c>
      <c r="I94" s="39">
        <f ca="1">IFERROR(__xludf.DUMMYFUNCTION("IF(SUM(COUNTIF(artists!A:A, SPLIT(D94, "",""))) &gt; 0, ""UA"", 0)"),0)</f>
        <v>0</v>
      </c>
      <c r="J94" s="40" t="str">
        <f ca="1">IFERROR(__xludf.DUMMYFUNCTION("IF(SUM(COUNTIF(artists!C:C, SPLIT(D94, "",""))) &gt; 0, ""RU"", 0)"),"RU")</f>
        <v>RU</v>
      </c>
      <c r="K94" s="39">
        <f ca="1">IFERROR(__xludf.DUMMYFUNCTION("IF(SUM(COUNTIF(artists!E:E, SPLIT(D94, "",""))) &gt; 0, ""OTHER"", 0)"),0)</f>
        <v>0</v>
      </c>
    </row>
    <row r="95" spans="1:11" ht="14.25" customHeight="1">
      <c r="A95" s="21">
        <v>94</v>
      </c>
      <c r="B95" s="21">
        <v>92</v>
      </c>
      <c r="C95" s="21" t="s">
        <v>1659</v>
      </c>
      <c r="D95" s="21" t="s">
        <v>1660</v>
      </c>
      <c r="E95" s="21">
        <v>13</v>
      </c>
      <c r="F95" s="21">
        <v>159619</v>
      </c>
      <c r="G95" s="42">
        <v>-3.5999999999999997E-2</v>
      </c>
      <c r="H95" s="21" t="s">
        <v>1661</v>
      </c>
      <c r="I95" s="39">
        <f ca="1">IFERROR(__xludf.DUMMYFUNCTION("IF(SUM(COUNTIF(artists!A:A, SPLIT(D95, "",""))) &gt; 0, ""UA"", 0)"),0)</f>
        <v>0</v>
      </c>
      <c r="J95" s="40" t="str">
        <f ca="1">IFERROR(__xludf.DUMMYFUNCTION("IF(SUM(COUNTIF(artists!C:C, SPLIT(D95, "",""))) &gt; 0, ""RU"", 0)"),"RU")</f>
        <v>RU</v>
      </c>
      <c r="K95" s="39">
        <f ca="1">IFERROR(__xludf.DUMMYFUNCTION("IF(SUM(COUNTIF(artists!E:E, SPLIT(D95, "",""))) &gt; 0, ""OTHER"", 0)"),0)</f>
        <v>0</v>
      </c>
    </row>
    <row r="96" spans="1:11" ht="14.25" customHeight="1">
      <c r="A96" s="21">
        <v>95</v>
      </c>
      <c r="B96" s="21">
        <v>82</v>
      </c>
      <c r="C96" s="21" t="s">
        <v>1690</v>
      </c>
      <c r="D96" s="21" t="s">
        <v>259</v>
      </c>
      <c r="E96" s="21">
        <v>9</v>
      </c>
      <c r="F96" s="21">
        <v>158836</v>
      </c>
      <c r="G96" s="43">
        <v>-0.11</v>
      </c>
      <c r="H96" s="21" t="s">
        <v>1691</v>
      </c>
      <c r="I96" s="39" t="str">
        <f ca="1">IFERROR(__xludf.DUMMYFUNCTION("IF(SUM(COUNTIF(artists!A:A, SPLIT(D96, "",""))) &gt; 0, ""UA"", 0)"),"UA")</f>
        <v>UA</v>
      </c>
      <c r="J96" s="40">
        <f ca="1">IFERROR(__xludf.DUMMYFUNCTION("IF(SUM(COUNTIF(artists!C:C, SPLIT(D96, "",""))) &gt; 0, ""RU"", 0)"),0)</f>
        <v>0</v>
      </c>
      <c r="K96" s="39">
        <f ca="1">IFERROR(__xludf.DUMMYFUNCTION("IF(SUM(COUNTIF(artists!E:E, SPLIT(D96, "",""))) &gt; 0, ""OTHER"", 0)"),0)</f>
        <v>0</v>
      </c>
    </row>
    <row r="97" spans="1:11" ht="14.25" customHeight="1">
      <c r="A97" s="21">
        <v>96</v>
      </c>
      <c r="C97" s="21" t="s">
        <v>1392</v>
      </c>
      <c r="D97" s="21" t="s">
        <v>1393</v>
      </c>
      <c r="E97" s="21">
        <v>11</v>
      </c>
      <c r="F97" s="21">
        <v>158477</v>
      </c>
      <c r="H97" s="21" t="s">
        <v>1394</v>
      </c>
      <c r="I97" s="39">
        <f ca="1">IFERROR(__xludf.DUMMYFUNCTION("IF(SUM(COUNTIF(artists!A:A, SPLIT(D97, "",""))) &gt; 0, ""UA"", 0)"),0)</f>
        <v>0</v>
      </c>
      <c r="J97" s="40" t="str">
        <f ca="1">IFERROR(__xludf.DUMMYFUNCTION("IF(SUM(COUNTIF(artists!C:C, SPLIT(D97, "",""))) &gt; 0, ""RU"", 0)"),"RU")</f>
        <v>RU</v>
      </c>
      <c r="K97" s="39">
        <f ca="1">IFERROR(__xludf.DUMMYFUNCTION("IF(SUM(COUNTIF(artists!E:E, SPLIT(D97, "",""))) &gt; 0, ""OTHER"", 0)"),0)</f>
        <v>0</v>
      </c>
    </row>
    <row r="98" spans="1:11" ht="14.25" customHeight="1">
      <c r="A98" s="21">
        <v>97</v>
      </c>
      <c r="B98" s="21">
        <v>81</v>
      </c>
      <c r="C98" s="21" t="s">
        <v>1692</v>
      </c>
      <c r="D98" s="21" t="s">
        <v>1693</v>
      </c>
      <c r="E98" s="21">
        <v>6</v>
      </c>
      <c r="F98" s="21">
        <v>157247</v>
      </c>
      <c r="G98" s="42">
        <v>-0.123</v>
      </c>
      <c r="H98" s="21" t="s">
        <v>1694</v>
      </c>
      <c r="I98" s="39" t="str">
        <f ca="1">IFERROR(__xludf.DUMMYFUNCTION("IF(SUM(COUNTIF(artists!A:A, SPLIT(D98, "",""))) &gt; 0, ""UA"", 0)"),"UA")</f>
        <v>UA</v>
      </c>
      <c r="J98" s="40">
        <f ca="1">IFERROR(__xludf.DUMMYFUNCTION("IF(SUM(COUNTIF(artists!C:C, SPLIT(D98, "",""))) &gt; 0, ""RU"", 0)"),0)</f>
        <v>0</v>
      </c>
      <c r="K98" s="39">
        <f ca="1">IFERROR(__xludf.DUMMYFUNCTION("IF(SUM(COUNTIF(artists!E:E, SPLIT(D98, "",""))) &gt; 0, ""OTHER"", 0)"),0)</f>
        <v>0</v>
      </c>
    </row>
    <row r="99" spans="1:11" ht="14.25" customHeight="1">
      <c r="A99" s="21">
        <v>98</v>
      </c>
      <c r="B99" s="21">
        <v>88</v>
      </c>
      <c r="C99" s="21" t="s">
        <v>1614</v>
      </c>
      <c r="D99" s="21" t="s">
        <v>1027</v>
      </c>
      <c r="E99" s="21">
        <v>11</v>
      </c>
      <c r="F99" s="21">
        <v>156689</v>
      </c>
      <c r="G99" s="42">
        <v>-7.3999999999999996E-2</v>
      </c>
      <c r="H99" s="21" t="s">
        <v>1615</v>
      </c>
      <c r="I99" s="39" t="str">
        <f ca="1">IFERROR(__xludf.DUMMYFUNCTION("IF(SUM(COUNTIF(artists!A:A, SPLIT(D99, "",""))) &gt; 0, ""UA"", 0)"),"UA")</f>
        <v>UA</v>
      </c>
      <c r="J99" s="40">
        <f ca="1">IFERROR(__xludf.DUMMYFUNCTION("IF(SUM(COUNTIF(artists!C:C, SPLIT(D99, "",""))) &gt; 0, ""RU"", 0)"),0)</f>
        <v>0</v>
      </c>
      <c r="K99" s="39">
        <f ca="1">IFERROR(__xludf.DUMMYFUNCTION("IF(SUM(COUNTIF(artists!E:E, SPLIT(D99, "",""))) &gt; 0, ""OTHER"", 0)"),0)</f>
        <v>0</v>
      </c>
    </row>
    <row r="100" spans="1:11" ht="14.25" customHeight="1">
      <c r="A100" s="21">
        <v>99</v>
      </c>
      <c r="C100" s="21" t="s">
        <v>613</v>
      </c>
      <c r="D100" s="21" t="s">
        <v>614</v>
      </c>
      <c r="E100" s="21">
        <v>16</v>
      </c>
      <c r="F100" s="21">
        <v>154861</v>
      </c>
      <c r="H100" s="21" t="s">
        <v>615</v>
      </c>
      <c r="I100" s="39">
        <f ca="1">IFERROR(__xludf.DUMMYFUNCTION("IF(SUM(COUNTIF(artists!A:A, SPLIT(D100, "",""))) &gt; 0, ""UA"", 0)"),0)</f>
        <v>0</v>
      </c>
      <c r="J100" s="40" t="str">
        <f ca="1">IFERROR(__xludf.DUMMYFUNCTION("IF(SUM(COUNTIF(artists!C:C, SPLIT(D100, "",""))) &gt; 0, ""RU"", 0)"),"RU")</f>
        <v>RU</v>
      </c>
      <c r="K100" s="39">
        <f ca="1">IFERROR(__xludf.DUMMYFUNCTION("IF(SUM(COUNTIF(artists!E:E, SPLIT(D100, "",""))) &gt; 0, ""OTHER"", 0)"),0)</f>
        <v>0</v>
      </c>
    </row>
    <row r="101" spans="1:11" ht="14.25" customHeight="1">
      <c r="A101" s="21">
        <v>100</v>
      </c>
      <c r="B101" s="21">
        <v>87</v>
      </c>
      <c r="C101" s="21" t="s">
        <v>1491</v>
      </c>
      <c r="D101" s="21" t="s">
        <v>1492</v>
      </c>
      <c r="E101" s="21">
        <v>4</v>
      </c>
      <c r="F101" s="21">
        <v>154428</v>
      </c>
      <c r="G101" s="42">
        <v>-0.109</v>
      </c>
      <c r="H101" s="21" t="s">
        <v>1493</v>
      </c>
      <c r="I101" s="39" t="str">
        <f ca="1">IFERROR(__xludf.DUMMYFUNCTION("IF(SUM(COUNTIF(artists!A:A, SPLIT(D101, "",""))) &gt; 0, ""UA"", 0)"),"UA")</f>
        <v>UA</v>
      </c>
      <c r="J101" s="40">
        <f ca="1">IFERROR(__xludf.DUMMYFUNCTION("IF(SUM(COUNTIF(artists!C:C, SPLIT(D101, "",""))) &gt; 0, ""RU"", 0)"),0)</f>
        <v>0</v>
      </c>
      <c r="K101" s="39">
        <f ca="1">IFERROR(__xludf.DUMMYFUNCTION("IF(SUM(COUNTIF(artists!E:E, SPLIT(D101, "",""))) &gt; 0, ""OTHER"", 0)"),0)</f>
        <v>0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43" priority="1">
      <formula>AND($I2=0, $J2=0, $K2=0)</formula>
    </cfRule>
    <cfRule type="expression" dxfId="42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Аркуш42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4" width="8.6640625" customWidth="1"/>
    <col min="5" max="5" width="8.6640625" hidden="1" customWidth="1"/>
    <col min="6" max="6" width="8.6640625" customWidth="1"/>
    <col min="7" max="7" width="13.10937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B2" s="21">
        <v>1</v>
      </c>
      <c r="C2" s="21" t="s">
        <v>645</v>
      </c>
      <c r="D2" s="21" t="s">
        <v>352</v>
      </c>
      <c r="E2" s="21">
        <v>16</v>
      </c>
      <c r="F2" s="21">
        <v>3284493</v>
      </c>
      <c r="G2" s="42">
        <v>-0.40500000000000003</v>
      </c>
      <c r="H2" s="21" t="s">
        <v>647</v>
      </c>
      <c r="I2" s="39" t="str">
        <f ca="1">IFERROR(__xludf.DUMMYFUNCTION("IF(SUM(COUNTIF(artists!A:A, SPLIT(D2, "",""))) &gt; 0, ""UA"", 0)"),"UA")</f>
        <v>UA</v>
      </c>
      <c r="J2" s="40">
        <f ca="1">IFERROR(__xludf.DUMMYFUNCTION("IF(SUM(COUNTIF(artists!C:C, SPLIT(D2, "",""))) &gt; 0, ""RU"", 0)"),0)</f>
        <v>0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B3" s="21">
        <v>2</v>
      </c>
      <c r="C3" s="21" t="s">
        <v>194</v>
      </c>
      <c r="D3" s="21" t="s">
        <v>195</v>
      </c>
      <c r="E3" s="21">
        <v>6</v>
      </c>
      <c r="F3" s="21">
        <v>1355364</v>
      </c>
      <c r="G3" s="42">
        <v>-0.20699999999999999</v>
      </c>
      <c r="H3" s="21" t="s">
        <v>197</v>
      </c>
      <c r="I3" s="39" t="str">
        <f ca="1">IFERROR(__xludf.DUMMYFUNCTION("IF(SUM(COUNTIF(artists!A:A, SPLIT(D3, "",""))) &gt; 0, ""UA"", 0)"),"UA")</f>
        <v>UA</v>
      </c>
      <c r="J3" s="40">
        <f ca="1">IFERROR(__xludf.DUMMYFUNCTION("IF(SUM(COUNTIF(artists!C:C, SPLIT(D3, "",""))) &gt; 0, ""RU"", 0)"),0)</f>
        <v>0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B4" s="21">
        <v>4</v>
      </c>
      <c r="C4" s="21" t="s">
        <v>1010</v>
      </c>
      <c r="D4" s="21" t="s">
        <v>1011</v>
      </c>
      <c r="E4" s="21">
        <v>4</v>
      </c>
      <c r="F4" s="21">
        <v>1112153</v>
      </c>
      <c r="G4" s="42">
        <v>-0.219</v>
      </c>
      <c r="H4" s="21" t="s">
        <v>1012</v>
      </c>
      <c r="I4" s="39" t="str">
        <f ca="1">IFERROR(__xludf.DUMMYFUNCTION("IF(SUM(COUNTIF(artists!A:A, SPLIT(D4, "",""))) &gt; 0, ""UA"", 0)"),"UA")</f>
        <v>UA</v>
      </c>
      <c r="J4" s="40">
        <f ca="1">IFERROR(__xludf.DUMMYFUNCTION("IF(SUM(COUNTIF(artists!C:C, SPLIT(D4, "",""))) &gt; 0, ""RU"", 0)"),0)</f>
        <v>0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B5" s="21">
        <v>5</v>
      </c>
      <c r="C5" s="21" t="s">
        <v>895</v>
      </c>
      <c r="D5" s="21" t="s">
        <v>896</v>
      </c>
      <c r="E5" s="21">
        <v>15</v>
      </c>
      <c r="F5" s="21">
        <v>837023</v>
      </c>
      <c r="G5" s="42">
        <v>-0.13800000000000001</v>
      </c>
      <c r="H5" s="21" t="s">
        <v>897</v>
      </c>
      <c r="I5" s="39" t="str">
        <f ca="1">IFERROR(__xludf.DUMMYFUNCTION("IF(SUM(COUNTIF(artists!A:A, SPLIT(D5, "",""))) &gt; 0, ""UA"", 0)"),"UA")</f>
        <v>UA</v>
      </c>
      <c r="J5" s="40">
        <f ca="1">IFERROR(__xludf.DUMMYFUNCTION("IF(SUM(COUNTIF(artists!C:C, SPLIT(D5, "",""))) &gt; 0, ""RU"", 0)"),0)</f>
        <v>0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B6" s="21">
        <v>6</v>
      </c>
      <c r="C6" s="21" t="s">
        <v>1287</v>
      </c>
      <c r="D6" s="21" t="s">
        <v>1288</v>
      </c>
      <c r="E6" s="21">
        <v>4</v>
      </c>
      <c r="F6" s="21">
        <v>790921</v>
      </c>
      <c r="G6" s="42">
        <v>-0.17899999999999999</v>
      </c>
      <c r="H6" s="21" t="s">
        <v>1289</v>
      </c>
      <c r="I6" s="39">
        <f ca="1">IFERROR(__xludf.DUMMYFUNCTION("IF(SUM(COUNTIF(artists!A:A, SPLIT(D6, "",""))) &gt; 0, ""UA"", 0)"),0)</f>
        <v>0</v>
      </c>
      <c r="J6" s="40">
        <f ca="1">IFERROR(__xludf.DUMMYFUNCTION("IF(SUM(COUNTIF(artists!C:C, SPLIT(D6, "",""))) &gt; 0, ""RU"", 0)"),0)</f>
        <v>0</v>
      </c>
      <c r="K6" s="39" t="str">
        <f ca="1">IFERROR(__xludf.DUMMYFUNCTION("IF(SUM(COUNTIF(artists!E:E, SPLIT(D6, "",""))) &gt; 0, ""OTHER"", 0)"),"OTHER")</f>
        <v>OTHER</v>
      </c>
    </row>
    <row r="7" spans="1:11" ht="14.25" customHeight="1">
      <c r="A7" s="21">
        <v>6</v>
      </c>
      <c r="B7" s="21">
        <v>14</v>
      </c>
      <c r="C7" s="21" t="s">
        <v>1377</v>
      </c>
      <c r="D7" s="21" t="s">
        <v>463</v>
      </c>
      <c r="E7" s="21">
        <v>2</v>
      </c>
      <c r="F7" s="21">
        <v>745241</v>
      </c>
      <c r="G7" s="42">
        <v>0.36399999999999999</v>
      </c>
      <c r="H7" s="21" t="s">
        <v>1378</v>
      </c>
      <c r="I7" s="39" t="str">
        <f ca="1">IFERROR(__xludf.DUMMYFUNCTION("IF(SUM(COUNTIF(artists!A:A, SPLIT(D7, "",""))) &gt; 0, ""UA"", 0)"),"UA")</f>
        <v>UA</v>
      </c>
      <c r="J7" s="40">
        <f ca="1">IFERROR(__xludf.DUMMYFUNCTION("IF(SUM(COUNTIF(artists!C:C, SPLIT(D7, "",""))) &gt; 0, ""RU"", 0)"),0)</f>
        <v>0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B8" s="21">
        <v>8</v>
      </c>
      <c r="C8" s="21" t="s">
        <v>1668</v>
      </c>
      <c r="D8" s="21" t="s">
        <v>1358</v>
      </c>
      <c r="E8" s="21">
        <v>8</v>
      </c>
      <c r="F8" s="21">
        <v>717834</v>
      </c>
      <c r="G8" s="42">
        <v>-0.115</v>
      </c>
      <c r="H8" s="21" t="s">
        <v>1669</v>
      </c>
      <c r="I8" s="39" t="str">
        <f ca="1">IFERROR(__xludf.DUMMYFUNCTION("IF(SUM(COUNTIF(artists!A:A, SPLIT(D8, "",""))) &gt; 0, ""UA"", 0)"),"UA")</f>
        <v>UA</v>
      </c>
      <c r="J8" s="40">
        <f ca="1">IFERROR(__xludf.DUMMYFUNCTION("IF(SUM(COUNTIF(artists!C:C, SPLIT(D8, "",""))) &gt; 0, ""RU"", 0)"),0)</f>
        <v>0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B9" s="21">
        <v>9</v>
      </c>
      <c r="C9" s="21" t="s">
        <v>175</v>
      </c>
      <c r="D9" s="21" t="s">
        <v>89</v>
      </c>
      <c r="E9" s="21">
        <v>3</v>
      </c>
      <c r="F9" s="21">
        <v>696839</v>
      </c>
      <c r="G9" s="42">
        <v>-0.121</v>
      </c>
      <c r="H9" s="21" t="s">
        <v>177</v>
      </c>
      <c r="I9" s="39" t="str">
        <f ca="1">IFERROR(__xludf.DUMMYFUNCTION("IF(SUM(COUNTIF(artists!A:A, SPLIT(D9, "",""))) &gt; 0, ""UA"", 0)"),"UA")</f>
        <v>UA</v>
      </c>
      <c r="J9" s="40">
        <f ca="1">IFERROR(__xludf.DUMMYFUNCTION("IF(SUM(COUNTIF(artists!C:C, SPLIT(D9, "",""))) &gt; 0, ""RU"", 0)"),0)</f>
        <v>0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B10" s="21">
        <v>12</v>
      </c>
      <c r="C10" s="21" t="s">
        <v>1431</v>
      </c>
      <c r="D10" s="21" t="s">
        <v>969</v>
      </c>
      <c r="E10" s="21">
        <v>31</v>
      </c>
      <c r="F10" s="21">
        <v>635301</v>
      </c>
      <c r="G10" s="42">
        <v>9.9000000000000005E-2</v>
      </c>
      <c r="H10" s="21" t="s">
        <v>1432</v>
      </c>
      <c r="I10" s="39" t="str">
        <f ca="1">IFERROR(__xludf.DUMMYFUNCTION("IF(SUM(COUNTIF(artists!A:A, SPLIT(D10, "",""))) &gt; 0, ""UA"", 0)"),"UA")</f>
        <v>UA</v>
      </c>
      <c r="J10" s="40">
        <f ca="1">IFERROR(__xludf.DUMMYFUNCTION("IF(SUM(COUNTIF(artists!C:C, SPLIT(D10, "",""))) &gt; 0, ""RU"", 0)"),0)</f>
        <v>0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B11" s="21">
        <v>7</v>
      </c>
      <c r="C11" s="21" t="s">
        <v>1508</v>
      </c>
      <c r="D11" s="21" t="s">
        <v>776</v>
      </c>
      <c r="E11" s="21">
        <v>7</v>
      </c>
      <c r="F11" s="21">
        <v>598727</v>
      </c>
      <c r="G11" s="42">
        <v>-0.28199999999999997</v>
      </c>
      <c r="H11" s="21" t="s">
        <v>1509</v>
      </c>
      <c r="I11" s="39" t="str">
        <f ca="1">IFERROR(__xludf.DUMMYFUNCTION("IF(SUM(COUNTIF(artists!A:A, SPLIT(D11, "",""))) &gt; 0, ""UA"", 0)"),"UA")</f>
        <v>UA</v>
      </c>
      <c r="J11" s="40">
        <f ca="1">IFERROR(__xludf.DUMMYFUNCTION("IF(SUM(COUNTIF(artists!C:C, SPLIT(D11, "",""))) &gt; 0, ""RU"", 0)"),0)</f>
        <v>0</v>
      </c>
      <c r="K11" s="39">
        <f ca="1">IFERROR(__xludf.DUMMYFUNCTION("IF(SUM(COUNTIF(artists!E:E, SPLIT(D11, "",""))) &gt; 0, ""OTHER"", 0)"),0)</f>
        <v>0</v>
      </c>
    </row>
    <row r="12" spans="1:11" ht="14.25" customHeight="1">
      <c r="A12" s="21">
        <v>11</v>
      </c>
      <c r="B12" s="21">
        <v>13</v>
      </c>
      <c r="C12" s="21" t="s">
        <v>799</v>
      </c>
      <c r="D12" s="21" t="s">
        <v>494</v>
      </c>
      <c r="E12" s="21">
        <v>12</v>
      </c>
      <c r="F12" s="21">
        <v>544163</v>
      </c>
      <c r="G12" s="42">
        <v>-4.9000000000000002E-2</v>
      </c>
      <c r="H12" s="21" t="s">
        <v>800</v>
      </c>
      <c r="I12" s="39" t="str">
        <f ca="1">IFERROR(__xludf.DUMMYFUNCTION("IF(SUM(COUNTIF(artists!A:A, SPLIT(D12, "",""))) &gt; 0, ""UA"", 0)"),"UA")</f>
        <v>UA</v>
      </c>
      <c r="J12" s="40">
        <f ca="1">IFERROR(__xludf.DUMMYFUNCTION("IF(SUM(COUNTIF(artists!C:C, SPLIT(D12, "",""))) &gt; 0, ""RU"", 0)"),0)</f>
        <v>0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B13" s="21">
        <v>10</v>
      </c>
      <c r="C13" s="21" t="s">
        <v>1383</v>
      </c>
      <c r="D13" s="21" t="s">
        <v>463</v>
      </c>
      <c r="E13" s="21">
        <v>8</v>
      </c>
      <c r="F13" s="21">
        <v>538640</v>
      </c>
      <c r="G13" s="42">
        <v>-0.252</v>
      </c>
      <c r="H13" s="21" t="s">
        <v>1384</v>
      </c>
      <c r="I13" s="39" t="str">
        <f ca="1">IFERROR(__xludf.DUMMYFUNCTION("IF(SUM(COUNTIF(artists!A:A, SPLIT(D13, "",""))) &gt; 0, ""UA"", 0)"),"UA")</f>
        <v>UA</v>
      </c>
      <c r="J13" s="40">
        <f ca="1">IFERROR(__xludf.DUMMYFUNCTION("IF(SUM(COUNTIF(artists!C:C, SPLIT(D13, "",""))) &gt; 0, ""RU"", 0)"),0)</f>
        <v>0</v>
      </c>
      <c r="K13" s="39">
        <f ca="1">IFERROR(__xludf.DUMMYFUNCTION("IF(SUM(COUNTIF(artists!E:E, SPLIT(D13, "",""))) &gt; 0, ""OTHER"", 0)"),0)</f>
        <v>0</v>
      </c>
    </row>
    <row r="14" spans="1:11" ht="14.25" customHeight="1">
      <c r="A14" s="21">
        <v>13</v>
      </c>
      <c r="B14" s="21">
        <v>17</v>
      </c>
      <c r="C14" s="21" t="s">
        <v>909</v>
      </c>
      <c r="D14" s="21" t="s">
        <v>910</v>
      </c>
      <c r="E14" s="21">
        <v>13</v>
      </c>
      <c r="F14" s="21">
        <v>517907</v>
      </c>
      <c r="G14" s="42">
        <v>8.0000000000000002E-3</v>
      </c>
      <c r="H14" s="21" t="s">
        <v>911</v>
      </c>
      <c r="I14" s="39" t="str">
        <f ca="1">IFERROR(__xludf.DUMMYFUNCTION("IF(SUM(COUNTIF(artists!A:A, SPLIT(D14, "",""))) &gt; 0, ""UA"", 0)"),"UA")</f>
        <v>UA</v>
      </c>
      <c r="J14" s="40">
        <f ca="1">IFERROR(__xludf.DUMMYFUNCTION("IF(SUM(COUNTIF(artists!C:C, SPLIT(D14, "",""))) &gt; 0, ""RU"", 0)"),0)</f>
        <v>0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B15" s="21">
        <v>16</v>
      </c>
      <c r="C15" s="21" t="s">
        <v>1263</v>
      </c>
      <c r="D15" s="21" t="s">
        <v>1264</v>
      </c>
      <c r="E15" s="21">
        <v>29</v>
      </c>
      <c r="F15" s="21">
        <v>511901</v>
      </c>
      <c r="G15" s="42">
        <v>-2.1000000000000001E-2</v>
      </c>
      <c r="H15" s="21" t="s">
        <v>1265</v>
      </c>
      <c r="I15" s="39">
        <f ca="1">IFERROR(__xludf.DUMMYFUNCTION("IF(SUM(COUNTIF(artists!A:A, SPLIT(D15, "",""))) &gt; 0, ""UA"", 0)"),0)</f>
        <v>0</v>
      </c>
      <c r="J15" s="40" t="str">
        <f ca="1">IFERROR(__xludf.DUMMYFUNCTION("IF(SUM(COUNTIF(artists!C:C, SPLIT(D15, "",""))) &gt; 0, ""RU"", 0)"),"RU")</f>
        <v>RU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B16" s="21">
        <v>24</v>
      </c>
      <c r="C16" s="21" t="s">
        <v>132</v>
      </c>
      <c r="D16" s="21" t="s">
        <v>133</v>
      </c>
      <c r="E16" s="21">
        <v>3</v>
      </c>
      <c r="F16" s="21">
        <v>498423</v>
      </c>
      <c r="G16" s="42">
        <v>0.14099999999999999</v>
      </c>
      <c r="H16" s="21" t="s">
        <v>135</v>
      </c>
      <c r="I16" s="39" t="str">
        <f ca="1">IFERROR(__xludf.DUMMYFUNCTION("IF(SUM(COUNTIF(artists!A:A, SPLIT(D16, "",""))) &gt; 0, ""UA"", 0)"),"UA")</f>
        <v>UA</v>
      </c>
      <c r="J16" s="40">
        <f ca="1">IFERROR(__xludf.DUMMYFUNCTION("IF(SUM(COUNTIF(artists!C:C, SPLIT(D16, "",""))) &gt; 0, ""RU"", 0)"),0)</f>
        <v>0</v>
      </c>
      <c r="K16" s="39">
        <f ca="1">IFERROR(__xludf.DUMMYFUNCTION("IF(SUM(COUNTIF(artists!E:E, SPLIT(D16, "",""))) &gt; 0, ""OTHER"", 0)"),0)</f>
        <v>0</v>
      </c>
    </row>
    <row r="17" spans="1:11" ht="14.25" customHeight="1">
      <c r="A17" s="21">
        <v>16</v>
      </c>
      <c r="B17" s="21">
        <v>18</v>
      </c>
      <c r="C17" s="21" t="s">
        <v>968</v>
      </c>
      <c r="D17" s="21" t="s">
        <v>969</v>
      </c>
      <c r="E17" s="21">
        <v>23</v>
      </c>
      <c r="F17" s="21">
        <v>493888</v>
      </c>
      <c r="G17" s="42">
        <v>-1.9E-2</v>
      </c>
      <c r="H17" s="21" t="s">
        <v>970</v>
      </c>
      <c r="I17" s="39" t="str">
        <f ca="1">IFERROR(__xludf.DUMMYFUNCTION("IF(SUM(COUNTIF(artists!A:A, SPLIT(D17, "",""))) &gt; 0, ""UA"", 0)"),"UA")</f>
        <v>UA</v>
      </c>
      <c r="J17" s="40">
        <f ca="1">IFERROR(__xludf.DUMMYFUNCTION("IF(SUM(COUNTIF(artists!C:C, SPLIT(D17, "",""))) &gt; 0, ""RU"", 0)"),0)</f>
        <v>0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B18" s="21">
        <v>19</v>
      </c>
      <c r="C18" s="21" t="s">
        <v>1284</v>
      </c>
      <c r="D18" s="21" t="s">
        <v>1285</v>
      </c>
      <c r="E18" s="21">
        <v>4</v>
      </c>
      <c r="F18" s="21">
        <v>468733</v>
      </c>
      <c r="G18" s="42">
        <v>-1.9E-2</v>
      </c>
      <c r="H18" s="21" t="s">
        <v>1286</v>
      </c>
      <c r="I18" s="39">
        <f ca="1">IFERROR(__xludf.DUMMYFUNCTION("IF(SUM(COUNTIF(artists!A:A, SPLIT(D18, "",""))) &gt; 0, ""UA"", 0)"),0)</f>
        <v>0</v>
      </c>
      <c r="J18" s="40" t="str">
        <f ca="1">IFERROR(__xludf.DUMMYFUNCTION("IF(SUM(COUNTIF(artists!C:C, SPLIT(D18, "",""))) &gt; 0, ""RU"", 0)"),"RU")</f>
        <v>RU</v>
      </c>
      <c r="K18" s="39">
        <f ca="1">IFERROR(__xludf.DUMMYFUNCTION("IF(SUM(COUNTIF(artists!E:E, SPLIT(D18, "",""))) &gt; 0, ""OTHER"", 0)"),0)</f>
        <v>0</v>
      </c>
    </row>
    <row r="19" spans="1:11" ht="14.25" customHeight="1">
      <c r="A19" s="21">
        <v>18</v>
      </c>
      <c r="B19" s="21">
        <v>15</v>
      </c>
      <c r="C19" s="21" t="s">
        <v>1332</v>
      </c>
      <c r="D19" s="21" t="s">
        <v>1333</v>
      </c>
      <c r="E19" s="21">
        <v>5</v>
      </c>
      <c r="F19" s="21">
        <v>455643</v>
      </c>
      <c r="G19" s="42">
        <v>-0.14899999999999999</v>
      </c>
      <c r="H19" s="21" t="s">
        <v>1334</v>
      </c>
      <c r="I19" s="39" t="str">
        <f ca="1">IFERROR(__xludf.DUMMYFUNCTION("IF(SUM(COUNTIF(artists!A:A, SPLIT(D19, "",""))) &gt; 0, ""UA"", 0)"),"UA")</f>
        <v>UA</v>
      </c>
      <c r="J19" s="40">
        <f ca="1">IFERROR(__xludf.DUMMYFUNCTION("IF(SUM(COUNTIF(artists!C:C, SPLIT(D19, "",""))) &gt; 0, ""RU"", 0)"),0)</f>
        <v>0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B20" s="21">
        <v>28</v>
      </c>
      <c r="C20" s="21" t="s">
        <v>229</v>
      </c>
      <c r="D20" s="21" t="s">
        <v>230</v>
      </c>
      <c r="E20" s="21">
        <v>10</v>
      </c>
      <c r="F20" s="21">
        <v>453224</v>
      </c>
      <c r="G20" s="42">
        <v>0.126</v>
      </c>
      <c r="H20" s="21" t="s">
        <v>232</v>
      </c>
      <c r="I20" s="39" t="str">
        <f ca="1">IFERROR(__xludf.DUMMYFUNCTION("IF(SUM(COUNTIF(artists!A:A, SPLIT(D20, "",""))) &gt; 0, ""UA"", 0)"),"UA")</f>
        <v>UA</v>
      </c>
      <c r="J20" s="40">
        <f ca="1">IFERROR(__xludf.DUMMYFUNCTION("IF(SUM(COUNTIF(artists!C:C, SPLIT(D20, "",""))) &gt; 0, ""RU"", 0)"),0)</f>
        <v>0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B21" s="21">
        <v>20</v>
      </c>
      <c r="C21" s="21" t="s">
        <v>1471</v>
      </c>
      <c r="D21" s="21" t="s">
        <v>1472</v>
      </c>
      <c r="E21" s="21">
        <v>12</v>
      </c>
      <c r="F21" s="21">
        <v>444322</v>
      </c>
      <c r="G21" s="42">
        <v>-2.1999999999999999E-2</v>
      </c>
      <c r="H21" s="21" t="s">
        <v>1473</v>
      </c>
      <c r="I21" s="39" t="str">
        <f ca="1">IFERROR(__xludf.DUMMYFUNCTION("IF(SUM(COUNTIF(artists!A:A, SPLIT(D21, "",""))) &gt; 0, ""UA"", 0)"),"UA")</f>
        <v>UA</v>
      </c>
      <c r="J21" s="40">
        <f ca="1">IFERROR(__xludf.DUMMYFUNCTION("IF(SUM(COUNTIF(artists!C:C, SPLIT(D21, "",""))) &gt; 0, ""RU"", 0)"),0)</f>
        <v>0</v>
      </c>
      <c r="K21" s="39">
        <f ca="1">IFERROR(__xludf.DUMMYFUNCTION("IF(SUM(COUNTIF(artists!E:E, SPLIT(D21, "",""))) &gt; 0, ""OTHER"", 0)"),0)</f>
        <v>0</v>
      </c>
    </row>
    <row r="22" spans="1:11" ht="14.25" customHeight="1">
      <c r="A22" s="21">
        <v>21</v>
      </c>
      <c r="B22" s="21">
        <v>25</v>
      </c>
      <c r="C22" s="21" t="s">
        <v>1447</v>
      </c>
      <c r="D22" s="21" t="s">
        <v>969</v>
      </c>
      <c r="E22" s="21">
        <v>22</v>
      </c>
      <c r="F22" s="21">
        <v>416444</v>
      </c>
      <c r="G22" s="42">
        <v>-1.7999999999999999E-2</v>
      </c>
      <c r="H22" s="21" t="s">
        <v>1448</v>
      </c>
      <c r="I22" s="39" t="str">
        <f ca="1">IFERROR(__xludf.DUMMYFUNCTION("IF(SUM(COUNTIF(artists!A:A, SPLIT(D22, "",""))) &gt; 0, ""UA"", 0)"),"UA")</f>
        <v>UA</v>
      </c>
      <c r="J22" s="40">
        <f ca="1">IFERROR(__xludf.DUMMYFUNCTION("IF(SUM(COUNTIF(artists!C:C, SPLIT(D22, "",""))) &gt; 0, ""RU"", 0)"),0)</f>
        <v>0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B23" s="21">
        <v>29</v>
      </c>
      <c r="C23" s="21" t="s">
        <v>1498</v>
      </c>
      <c r="D23" s="21" t="s">
        <v>969</v>
      </c>
      <c r="E23" s="21">
        <v>35</v>
      </c>
      <c r="F23" s="21">
        <v>386801</v>
      </c>
      <c r="G23" s="42">
        <v>-2.1999999999999999E-2</v>
      </c>
      <c r="H23" s="21" t="s">
        <v>1499</v>
      </c>
      <c r="I23" s="39" t="str">
        <f ca="1">IFERROR(__xludf.DUMMYFUNCTION("IF(SUM(COUNTIF(artists!A:A, SPLIT(D23, "",""))) &gt; 0, ""UA"", 0)"),"UA")</f>
        <v>UA</v>
      </c>
      <c r="J23" s="40">
        <f ca="1">IFERROR(__xludf.DUMMYFUNCTION("IF(SUM(COUNTIF(artists!C:C, SPLIT(D23, "",""))) &gt; 0, ""RU"", 0)"),0)</f>
        <v>0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B24" s="21">
        <v>26</v>
      </c>
      <c r="C24" s="21" t="s">
        <v>253</v>
      </c>
      <c r="D24" s="21" t="s">
        <v>89</v>
      </c>
      <c r="E24" s="21">
        <v>12</v>
      </c>
      <c r="F24" s="21">
        <v>386623</v>
      </c>
      <c r="G24" s="42">
        <v>-8.6999999999999994E-2</v>
      </c>
      <c r="H24" s="21" t="s">
        <v>254</v>
      </c>
      <c r="I24" s="39" t="str">
        <f ca="1">IFERROR(__xludf.DUMMYFUNCTION("IF(SUM(COUNTIF(artists!A:A, SPLIT(D24, "",""))) &gt; 0, ""UA"", 0)"),"UA")</f>
        <v>UA</v>
      </c>
      <c r="J24" s="40">
        <f ca="1">IFERROR(__xludf.DUMMYFUNCTION("IF(SUM(COUNTIF(artists!C:C, SPLIT(D24, "",""))) &gt; 0, ""RU"", 0)"),0)</f>
        <v>0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B25" s="21">
        <v>30</v>
      </c>
      <c r="C25" s="21" t="s">
        <v>1282</v>
      </c>
      <c r="D25" s="21" t="s">
        <v>108</v>
      </c>
      <c r="E25" s="21">
        <v>30</v>
      </c>
      <c r="F25" s="21">
        <v>381180</v>
      </c>
      <c r="G25" s="42">
        <v>-2.1000000000000001E-2</v>
      </c>
      <c r="H25" s="21" t="s">
        <v>1283</v>
      </c>
      <c r="I25" s="39" t="str">
        <f ca="1">IFERROR(__xludf.DUMMYFUNCTION("IF(SUM(COUNTIF(artists!A:A, SPLIT(D25, "",""))) &gt; 0, ""UA"", 0)"),"UA")</f>
        <v>UA</v>
      </c>
      <c r="J25" s="40">
        <f ca="1">IFERROR(__xludf.DUMMYFUNCTION("IF(SUM(COUNTIF(artists!C:C, SPLIT(D25, "",""))) &gt; 0, ""RU"", 0)"),0)</f>
        <v>0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B26" s="21">
        <v>23</v>
      </c>
      <c r="C26" s="21" t="s">
        <v>1436</v>
      </c>
      <c r="D26" s="21" t="s">
        <v>896</v>
      </c>
      <c r="E26" s="21">
        <v>10</v>
      </c>
      <c r="F26" s="21">
        <v>370902</v>
      </c>
      <c r="G26" s="42">
        <v>-0.157</v>
      </c>
      <c r="H26" s="21" t="s">
        <v>1437</v>
      </c>
      <c r="I26" s="39" t="str">
        <f ca="1">IFERROR(__xludf.DUMMYFUNCTION("IF(SUM(COUNTIF(artists!A:A, SPLIT(D26, "",""))) &gt; 0, ""UA"", 0)"),"UA")</f>
        <v>UA</v>
      </c>
      <c r="J26" s="40">
        <f ca="1">IFERROR(__xludf.DUMMYFUNCTION("IF(SUM(COUNTIF(artists!C:C, SPLIT(D26, "",""))) &gt; 0, ""RU"", 0)"),0)</f>
        <v>0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B27" s="21">
        <v>32</v>
      </c>
      <c r="C27" s="21" t="s">
        <v>918</v>
      </c>
      <c r="D27" s="21" t="s">
        <v>108</v>
      </c>
      <c r="E27" s="21">
        <v>39</v>
      </c>
      <c r="F27" s="21">
        <v>370609</v>
      </c>
      <c r="G27" s="42">
        <v>6.0000000000000001E-3</v>
      </c>
      <c r="H27" s="21" t="s">
        <v>919</v>
      </c>
      <c r="I27" s="39" t="str">
        <f ca="1">IFERROR(__xludf.DUMMYFUNCTION("IF(SUM(COUNTIF(artists!A:A, SPLIT(D27, "",""))) &gt; 0, ""UA"", 0)"),"UA")</f>
        <v>UA</v>
      </c>
      <c r="J27" s="40">
        <f ca="1">IFERROR(__xludf.DUMMYFUNCTION("IF(SUM(COUNTIF(artists!C:C, SPLIT(D27, "",""))) &gt; 0, ""RU"", 0)"),0)</f>
        <v>0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B28" s="21">
        <v>34</v>
      </c>
      <c r="C28" s="21" t="s">
        <v>935</v>
      </c>
      <c r="D28" s="21" t="s">
        <v>936</v>
      </c>
      <c r="E28" s="21">
        <v>30</v>
      </c>
      <c r="F28" s="21">
        <v>365943</v>
      </c>
      <c r="G28" s="42">
        <v>3.6999999999999998E-2</v>
      </c>
      <c r="H28" s="21" t="s">
        <v>937</v>
      </c>
      <c r="I28" s="39">
        <f ca="1">IFERROR(__xludf.DUMMYFUNCTION("IF(SUM(COUNTIF(artists!A:A, SPLIT(D28, "",""))) &gt; 0, ""UA"", 0)"),0)</f>
        <v>0</v>
      </c>
      <c r="J28" s="40" t="str">
        <f ca="1">IFERROR(__xludf.DUMMYFUNCTION("IF(SUM(COUNTIF(artists!C:C, SPLIT(D28, "",""))) &gt; 0, ""RU"", 0)"),"RU")</f>
        <v>RU</v>
      </c>
      <c r="K28" s="39">
        <f ca="1">IFERROR(__xludf.DUMMYFUNCTION("IF(SUM(COUNTIF(artists!E:E, SPLIT(D28, "",""))) &gt; 0, ""OTHER"", 0)"),0)</f>
        <v>0</v>
      </c>
    </row>
    <row r="29" spans="1:11" ht="14.25" customHeight="1">
      <c r="A29" s="21">
        <v>28</v>
      </c>
      <c r="B29" s="21">
        <v>33</v>
      </c>
      <c r="C29" s="21" t="s">
        <v>1586</v>
      </c>
      <c r="D29" s="21" t="s">
        <v>969</v>
      </c>
      <c r="E29" s="21">
        <v>16</v>
      </c>
      <c r="F29" s="21">
        <v>348596</v>
      </c>
      <c r="G29" s="42">
        <v>-1.9E-2</v>
      </c>
      <c r="H29" s="21" t="s">
        <v>1587</v>
      </c>
      <c r="I29" s="39" t="str">
        <f ca="1">IFERROR(__xludf.DUMMYFUNCTION("IF(SUM(COUNTIF(artists!A:A, SPLIT(D29, "",""))) &gt; 0, ""UA"", 0)"),"UA")</f>
        <v>UA</v>
      </c>
      <c r="J29" s="40">
        <f ca="1">IFERROR(__xludf.DUMMYFUNCTION("IF(SUM(COUNTIF(artists!C:C, SPLIT(D29, "",""))) &gt; 0, ""RU"", 0)"),0)</f>
        <v>0</v>
      </c>
      <c r="K29" s="39">
        <f ca="1">IFERROR(__xludf.DUMMYFUNCTION("IF(SUM(COUNTIF(artists!E:E, SPLIT(D29, "",""))) &gt; 0, ""OTHER"", 0)"),0)</f>
        <v>0</v>
      </c>
    </row>
    <row r="30" spans="1:11" ht="14.25" customHeight="1">
      <c r="A30" s="21">
        <v>29</v>
      </c>
      <c r="C30" s="21" t="s">
        <v>1598</v>
      </c>
      <c r="D30" s="21" t="s">
        <v>1599</v>
      </c>
      <c r="E30" s="21">
        <v>1</v>
      </c>
      <c r="F30" s="21">
        <v>346550</v>
      </c>
      <c r="H30" s="21" t="s">
        <v>1600</v>
      </c>
      <c r="I30" s="39">
        <f ca="1">IFERROR(__xludf.DUMMYFUNCTION("IF(SUM(COUNTIF(artists!A:A, SPLIT(D30, "",""))) &gt; 0, ""UA"", 0)"),0)</f>
        <v>0</v>
      </c>
      <c r="J30" s="40" t="str">
        <f ca="1">IFERROR(__xludf.DUMMYFUNCTION("IF(SUM(COUNTIF(artists!C:C, SPLIT(D30, "",""))) &gt; 0, ""RU"", 0)"),"RU")</f>
        <v>RU</v>
      </c>
      <c r="K30" s="39">
        <f ca="1">IFERROR(__xludf.DUMMYFUNCTION("IF(SUM(COUNTIF(artists!E:E, SPLIT(D30, "",""))) &gt; 0, ""OTHER"", 0)"),0)</f>
        <v>0</v>
      </c>
    </row>
    <row r="31" spans="1:11" ht="14.25" customHeight="1">
      <c r="A31" s="21">
        <v>30</v>
      </c>
      <c r="B31" s="21">
        <v>31</v>
      </c>
      <c r="C31" s="21" t="s">
        <v>1354</v>
      </c>
      <c r="D31" s="21" t="s">
        <v>1355</v>
      </c>
      <c r="E31" s="21">
        <v>33</v>
      </c>
      <c r="F31" s="21">
        <v>342946</v>
      </c>
      <c r="G31" s="42">
        <v>-8.1000000000000003E-2</v>
      </c>
      <c r="H31" s="21" t="s">
        <v>1356</v>
      </c>
      <c r="I31" s="39" t="str">
        <f ca="1">IFERROR(__xludf.DUMMYFUNCTION("IF(SUM(COUNTIF(artists!A:A, SPLIT(D31, "",""))) &gt; 0, ""UA"", 0)"),"UA")</f>
        <v>UA</v>
      </c>
      <c r="J31" s="40">
        <f ca="1">IFERROR(__xludf.DUMMYFUNCTION("IF(SUM(COUNTIF(artists!C:C, SPLIT(D31, "",""))) &gt; 0, ""RU"", 0)"),0)</f>
        <v>0</v>
      </c>
      <c r="K31" s="39">
        <f ca="1">IFERROR(__xludf.DUMMYFUNCTION("IF(SUM(COUNTIF(artists!E:E, SPLIT(D31, "",""))) &gt; 0, ""OTHER"", 0)"),0)</f>
        <v>0</v>
      </c>
    </row>
    <row r="32" spans="1:11" ht="14.25" customHeight="1">
      <c r="A32" s="21">
        <v>31</v>
      </c>
      <c r="B32" s="21">
        <v>43</v>
      </c>
      <c r="C32" s="21" t="s">
        <v>1327</v>
      </c>
      <c r="D32" s="21" t="s">
        <v>89</v>
      </c>
      <c r="E32" s="21">
        <v>32</v>
      </c>
      <c r="F32" s="21">
        <v>339617</v>
      </c>
      <c r="G32" s="42">
        <v>5.6000000000000001E-2</v>
      </c>
      <c r="H32" s="21" t="s">
        <v>1328</v>
      </c>
      <c r="I32" s="39" t="str">
        <f ca="1">IFERROR(__xludf.DUMMYFUNCTION("IF(SUM(COUNTIF(artists!A:A, SPLIT(D32, "",""))) &gt; 0, ""UA"", 0)"),"UA")</f>
        <v>UA</v>
      </c>
      <c r="J32" s="40">
        <f ca="1">IFERROR(__xludf.DUMMYFUNCTION("IF(SUM(COUNTIF(artists!C:C, SPLIT(D32, "",""))) &gt; 0, ""RU"", 0)"),0)</f>
        <v>0</v>
      </c>
      <c r="K32" s="39">
        <f ca="1">IFERROR(__xludf.DUMMYFUNCTION("IF(SUM(COUNTIF(artists!E:E, SPLIT(D32, "",""))) &gt; 0, ""OTHER"", 0)"),0)</f>
        <v>0</v>
      </c>
    </row>
    <row r="33" spans="1:11" ht="14.25" customHeight="1">
      <c r="A33" s="21">
        <v>32</v>
      </c>
      <c r="B33" s="21">
        <v>21</v>
      </c>
      <c r="C33" s="21" t="s">
        <v>1182</v>
      </c>
      <c r="D33" s="21" t="s">
        <v>466</v>
      </c>
      <c r="E33" s="21">
        <v>5</v>
      </c>
      <c r="F33" s="21">
        <v>329051</v>
      </c>
      <c r="G33" s="42">
        <v>-0.26500000000000001</v>
      </c>
      <c r="H33" s="21" t="s">
        <v>1183</v>
      </c>
      <c r="I33" s="39" t="str">
        <f ca="1">IFERROR(__xludf.DUMMYFUNCTION("IF(SUM(COUNTIF(artists!A:A, SPLIT(D33, "",""))) &gt; 0, ""UA"", 0)"),"UA")</f>
        <v>UA</v>
      </c>
      <c r="J33" s="40">
        <f ca="1">IFERROR(__xludf.DUMMYFUNCTION("IF(SUM(COUNTIF(artists!C:C, SPLIT(D33, "",""))) &gt; 0, ""RU"", 0)"),0)</f>
        <v>0</v>
      </c>
      <c r="K33" s="39">
        <f ca="1">IFERROR(__xludf.DUMMYFUNCTION("IF(SUM(COUNTIF(artists!E:E, SPLIT(D33, "",""))) &gt; 0, ""OTHER"", 0)"),0)</f>
        <v>0</v>
      </c>
    </row>
    <row r="34" spans="1:11" ht="14.25" customHeight="1">
      <c r="A34" s="21">
        <v>33</v>
      </c>
      <c r="B34" s="21">
        <v>27</v>
      </c>
      <c r="C34" s="21" t="s">
        <v>1502</v>
      </c>
      <c r="D34" s="21" t="s">
        <v>1503</v>
      </c>
      <c r="E34" s="21">
        <v>29</v>
      </c>
      <c r="F34" s="21">
        <v>323261</v>
      </c>
      <c r="G34" s="42">
        <v>-0.22800000000000001</v>
      </c>
      <c r="H34" s="21" t="s">
        <v>1504</v>
      </c>
      <c r="I34" s="39" t="str">
        <f ca="1">IFERROR(__xludf.DUMMYFUNCTION("IF(SUM(COUNTIF(artists!A:A, SPLIT(D34, "",""))) &gt; 0, ""UA"", 0)"),"UA")</f>
        <v>UA</v>
      </c>
      <c r="J34" s="40">
        <f ca="1">IFERROR(__xludf.DUMMYFUNCTION("IF(SUM(COUNTIF(artists!C:C, SPLIT(D34, "",""))) &gt; 0, ""RU"", 0)"),0)</f>
        <v>0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B35" s="21">
        <v>35</v>
      </c>
      <c r="C35" s="21" t="s">
        <v>1463</v>
      </c>
      <c r="D35" s="21" t="s">
        <v>1344</v>
      </c>
      <c r="E35" s="21">
        <v>11</v>
      </c>
      <c r="F35" s="21">
        <v>319288</v>
      </c>
      <c r="G35" s="42">
        <v>-7.5999999999999998E-2</v>
      </c>
      <c r="H35" s="21" t="s">
        <v>1464</v>
      </c>
      <c r="I35" s="39" t="str">
        <f ca="1">IFERROR(__xludf.DUMMYFUNCTION("IF(SUM(COUNTIF(artists!A:A, SPLIT(D35, "",""))) &gt; 0, ""UA"", 0)"),"UA")</f>
        <v>UA</v>
      </c>
      <c r="J35" s="40">
        <f ca="1">IFERROR(__xludf.DUMMYFUNCTION("IF(SUM(COUNTIF(artists!C:C, SPLIT(D35, "",""))) &gt; 0, ""RU"", 0)"),0)</f>
        <v>0</v>
      </c>
      <c r="K35" s="39">
        <f ca="1">IFERROR(__xludf.DUMMYFUNCTION("IF(SUM(COUNTIF(artists!E:E, SPLIT(D35, "",""))) &gt; 0, ""OTHER"", 0)"),0)</f>
        <v>0</v>
      </c>
    </row>
    <row r="36" spans="1:11" ht="14.25" customHeight="1">
      <c r="A36" s="21">
        <v>35</v>
      </c>
      <c r="B36" s="21">
        <v>41</v>
      </c>
      <c r="C36" s="21" t="s">
        <v>1500</v>
      </c>
      <c r="D36" s="21" t="s">
        <v>907</v>
      </c>
      <c r="E36" s="21">
        <v>33</v>
      </c>
      <c r="F36" s="21">
        <v>319004</v>
      </c>
      <c r="G36" s="42">
        <v>-1.2E-2</v>
      </c>
      <c r="H36" s="21" t="s">
        <v>1501</v>
      </c>
      <c r="I36" s="39">
        <f ca="1">IFERROR(__xludf.DUMMYFUNCTION("IF(SUM(COUNTIF(artists!A:A, SPLIT(D36, "",""))) &gt; 0, ""UA"", 0)"),0)</f>
        <v>0</v>
      </c>
      <c r="J36" s="40" t="str">
        <f ca="1">IFERROR(__xludf.DUMMYFUNCTION("IF(SUM(COUNTIF(artists!C:C, SPLIT(D36, "",""))) &gt; 0, ""RU"", 0)"),"RU")</f>
        <v>RU</v>
      </c>
      <c r="K36" s="39">
        <f ca="1">IFERROR(__xludf.DUMMYFUNCTION("IF(SUM(COUNTIF(artists!E:E, SPLIT(D36, "",""))) &gt; 0, ""OTHER"", 0)"),0)</f>
        <v>0</v>
      </c>
    </row>
    <row r="37" spans="1:11" ht="14.25" customHeight="1">
      <c r="A37" s="21">
        <v>36</v>
      </c>
      <c r="B37" s="21">
        <v>39</v>
      </c>
      <c r="C37" s="21" t="s">
        <v>632</v>
      </c>
      <c r="D37" s="21" t="s">
        <v>633</v>
      </c>
      <c r="E37" s="21">
        <v>7</v>
      </c>
      <c r="F37" s="21">
        <v>317336</v>
      </c>
      <c r="G37" s="42">
        <v>-3.4000000000000002E-2</v>
      </c>
      <c r="H37" s="21" t="s">
        <v>634</v>
      </c>
      <c r="I37" s="39" t="str">
        <f ca="1">IFERROR(__xludf.DUMMYFUNCTION("IF(SUM(COUNTIF(artists!A:A, SPLIT(D37, "",""))) &gt; 0, ""UA"", 0)"),"UA")</f>
        <v>UA</v>
      </c>
      <c r="J37" s="40">
        <f ca="1">IFERROR(__xludf.DUMMYFUNCTION("IF(SUM(COUNTIF(artists!C:C, SPLIT(D37, "",""))) &gt; 0, ""RU"", 0)"),0)</f>
        <v>0</v>
      </c>
      <c r="K37" s="39">
        <f ca="1">IFERROR(__xludf.DUMMYFUNCTION("IF(SUM(COUNTIF(artists!E:E, SPLIT(D37, "",""))) &gt; 0, ""OTHER"", 0)"),0)</f>
        <v>0</v>
      </c>
    </row>
    <row r="38" spans="1:11" ht="14.25" customHeight="1">
      <c r="A38" s="21">
        <v>37</v>
      </c>
      <c r="B38" s="21">
        <v>37</v>
      </c>
      <c r="C38" s="21" t="s">
        <v>1290</v>
      </c>
      <c r="D38" s="21" t="s">
        <v>942</v>
      </c>
      <c r="E38" s="21">
        <v>7</v>
      </c>
      <c r="F38" s="21">
        <v>312056</v>
      </c>
      <c r="G38" s="42">
        <v>-8.6999999999999994E-2</v>
      </c>
      <c r="H38" s="21" t="s">
        <v>1291</v>
      </c>
      <c r="I38" s="39" t="str">
        <f ca="1">IFERROR(__xludf.DUMMYFUNCTION("IF(SUM(COUNTIF(artists!A:A, SPLIT(D38, "",""))) &gt; 0, ""UA"", 0)"),"UA")</f>
        <v>UA</v>
      </c>
      <c r="J38" s="40">
        <f ca="1">IFERROR(__xludf.DUMMYFUNCTION("IF(SUM(COUNTIF(artists!C:C, SPLIT(D38, "",""))) &gt; 0, ""RU"", 0)"),0)</f>
        <v>0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B39" s="21">
        <v>36</v>
      </c>
      <c r="C39" s="21" t="s">
        <v>887</v>
      </c>
      <c r="D39" s="21" t="s">
        <v>89</v>
      </c>
      <c r="E39" s="21">
        <v>10</v>
      </c>
      <c r="F39" s="21">
        <v>310830</v>
      </c>
      <c r="G39" s="42">
        <v>-9.9000000000000005E-2</v>
      </c>
      <c r="H39" s="21" t="s">
        <v>888</v>
      </c>
      <c r="I39" s="39" t="str">
        <f ca="1">IFERROR(__xludf.DUMMYFUNCTION("IF(SUM(COUNTIF(artists!A:A, SPLIT(D39, "",""))) &gt; 0, ""UA"", 0)"),"UA")</f>
        <v>UA</v>
      </c>
      <c r="J39" s="40">
        <f ca="1">IFERROR(__xludf.DUMMYFUNCTION("IF(SUM(COUNTIF(artists!C:C, SPLIT(D39, "",""))) &gt; 0, ""RU"", 0)"),0)</f>
        <v>0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B40" s="21">
        <v>38</v>
      </c>
      <c r="C40" s="21" t="s">
        <v>1616</v>
      </c>
      <c r="D40" s="21" t="s">
        <v>1617</v>
      </c>
      <c r="E40" s="21">
        <v>45</v>
      </c>
      <c r="F40" s="21">
        <v>309925</v>
      </c>
      <c r="G40" s="42">
        <v>-6.4000000000000001E-2</v>
      </c>
      <c r="H40" s="21" t="s">
        <v>1618</v>
      </c>
      <c r="I40" s="39">
        <f ca="1">IFERROR(__xludf.DUMMYFUNCTION("IF(SUM(COUNTIF(artists!A:A, SPLIT(D40, "",""))) &gt; 0, ""UA"", 0)"),0)</f>
        <v>0</v>
      </c>
      <c r="J40" s="40" t="str">
        <f ca="1">IFERROR(__xludf.DUMMYFUNCTION("IF(SUM(COUNTIF(artists!C:C, SPLIT(D40, "",""))) &gt; 0, ""RU"", 0)"),"RU")</f>
        <v>RU</v>
      </c>
      <c r="K40" s="39">
        <f ca="1">IFERROR(__xludf.DUMMYFUNCTION("IF(SUM(COUNTIF(artists!E:E, SPLIT(D40, "",""))) &gt; 0, ""OTHER"", 0)"),0)</f>
        <v>0</v>
      </c>
    </row>
    <row r="41" spans="1:11" ht="14.25" customHeight="1">
      <c r="A41" s="21">
        <v>40</v>
      </c>
      <c r="B41" s="21">
        <v>40</v>
      </c>
      <c r="C41" s="21" t="s">
        <v>493</v>
      </c>
      <c r="D41" s="21" t="s">
        <v>494</v>
      </c>
      <c r="E41" s="21">
        <v>18</v>
      </c>
      <c r="F41" s="21">
        <v>307032</v>
      </c>
      <c r="G41" s="43">
        <v>-0.05</v>
      </c>
      <c r="H41" s="21" t="s">
        <v>495</v>
      </c>
      <c r="I41" s="39" t="str">
        <f ca="1">IFERROR(__xludf.DUMMYFUNCTION("IF(SUM(COUNTIF(artists!A:A, SPLIT(D41, "",""))) &gt; 0, ""UA"", 0)"),"UA")</f>
        <v>UA</v>
      </c>
      <c r="J41" s="40">
        <f ca="1">IFERROR(__xludf.DUMMYFUNCTION("IF(SUM(COUNTIF(artists!C:C, SPLIT(D41, "",""))) &gt; 0, ""RU"", 0)"),0)</f>
        <v>0</v>
      </c>
      <c r="K41" s="39">
        <f ca="1">IFERROR(__xludf.DUMMYFUNCTION("IF(SUM(COUNTIF(artists!E:E, SPLIT(D41, "",""))) &gt; 0, ""OTHER"", 0)"),0)</f>
        <v>0</v>
      </c>
    </row>
    <row r="42" spans="1:11" ht="14.25" customHeight="1">
      <c r="A42" s="21">
        <v>41</v>
      </c>
      <c r="B42" s="21">
        <v>42</v>
      </c>
      <c r="C42" s="21" t="s">
        <v>1480</v>
      </c>
      <c r="D42" s="21" t="s">
        <v>1481</v>
      </c>
      <c r="E42" s="21">
        <v>8</v>
      </c>
      <c r="F42" s="21">
        <v>293866</v>
      </c>
      <c r="G42" s="43">
        <v>-0.09</v>
      </c>
      <c r="H42" s="21" t="s">
        <v>1482</v>
      </c>
      <c r="I42" s="39" t="str">
        <f ca="1">IFERROR(__xludf.DUMMYFUNCTION("IF(SUM(COUNTIF(artists!A:A, SPLIT(D42, "",""))) &gt; 0, ""UA"", 0)"),"UA")</f>
        <v>UA</v>
      </c>
      <c r="J42" s="40">
        <f ca="1">IFERROR(__xludf.DUMMYFUNCTION("IF(SUM(COUNTIF(artists!C:C, SPLIT(D42, "",""))) &gt; 0, ""RU"", 0)"),0)</f>
        <v>0</v>
      </c>
      <c r="K42" s="39">
        <f ca="1">IFERROR(__xludf.DUMMYFUNCTION("IF(SUM(COUNTIF(artists!E:E, SPLIT(D42, "",""))) &gt; 0, ""OTHER"", 0)"),0)</f>
        <v>0</v>
      </c>
    </row>
    <row r="43" spans="1:11" ht="14.25" customHeight="1">
      <c r="A43" s="21">
        <v>42</v>
      </c>
      <c r="B43" s="21">
        <v>53</v>
      </c>
      <c r="C43" s="21" t="s">
        <v>1670</v>
      </c>
      <c r="D43" s="21" t="s">
        <v>969</v>
      </c>
      <c r="E43" s="21">
        <v>22</v>
      </c>
      <c r="F43" s="21">
        <v>291449</v>
      </c>
      <c r="G43" s="42">
        <v>0.113</v>
      </c>
      <c r="H43" s="21" t="s">
        <v>1671</v>
      </c>
      <c r="I43" s="39" t="str">
        <f ca="1">IFERROR(__xludf.DUMMYFUNCTION("IF(SUM(COUNTIF(artists!A:A, SPLIT(D43, "",""))) &gt; 0, ""UA"", 0)"),"UA")</f>
        <v>UA</v>
      </c>
      <c r="J43" s="40">
        <f ca="1">IFERROR(__xludf.DUMMYFUNCTION("IF(SUM(COUNTIF(artists!C:C, SPLIT(D43, "",""))) &gt; 0, ""RU"", 0)"),0)</f>
        <v>0</v>
      </c>
      <c r="K43" s="39">
        <f ca="1">IFERROR(__xludf.DUMMYFUNCTION("IF(SUM(COUNTIF(artists!E:E, SPLIT(D43, "",""))) &gt; 0, ""OTHER"", 0)"),0)</f>
        <v>0</v>
      </c>
    </row>
    <row r="44" spans="1:11" ht="14.25" customHeight="1">
      <c r="A44" s="21">
        <v>43</v>
      </c>
      <c r="B44" s="21">
        <v>67</v>
      </c>
      <c r="C44" s="21" t="s">
        <v>1662</v>
      </c>
      <c r="D44" s="21" t="s">
        <v>1663</v>
      </c>
      <c r="E44" s="21">
        <v>2</v>
      </c>
      <c r="F44" s="21">
        <v>289142</v>
      </c>
      <c r="G44" s="42">
        <v>0.30099999999999999</v>
      </c>
      <c r="H44" s="21" t="s">
        <v>1664</v>
      </c>
      <c r="I44" s="39">
        <f ca="1">IFERROR(__xludf.DUMMYFUNCTION("IF(SUM(COUNTIF(artists!A:A, SPLIT(D44, "",""))) &gt; 0, ""UA"", 0)"),0)</f>
        <v>0</v>
      </c>
      <c r="J44" s="40">
        <f ca="1">IFERROR(__xludf.DUMMYFUNCTION("IF(SUM(COUNTIF(artists!C:C, SPLIT(D44, "",""))) &gt; 0, ""RU"", 0)"),0)</f>
        <v>0</v>
      </c>
      <c r="K44" s="39" t="str">
        <f ca="1">IFERROR(__xludf.DUMMYFUNCTION("IF(SUM(COUNTIF(artists!E:E, SPLIT(D44, "",""))) &gt; 0, ""OTHER"", 0)"),"OTHER")</f>
        <v>OTHER</v>
      </c>
    </row>
    <row r="45" spans="1:11" ht="14.25" customHeight="1">
      <c r="A45" s="21">
        <v>44</v>
      </c>
      <c r="C45" s="21" t="s">
        <v>1116</v>
      </c>
      <c r="D45" s="21" t="s">
        <v>1117</v>
      </c>
      <c r="E45" s="21">
        <v>24</v>
      </c>
      <c r="F45" s="21">
        <v>285767</v>
      </c>
      <c r="H45" s="21" t="s">
        <v>1118</v>
      </c>
      <c r="I45" s="39">
        <f ca="1">IFERROR(__xludf.DUMMYFUNCTION("IF(SUM(COUNTIF(artists!A:A, SPLIT(D45, "",""))) &gt; 0, ""UA"", 0)"),0)</f>
        <v>0</v>
      </c>
      <c r="J45" s="40" t="str">
        <f ca="1">IFERROR(__xludf.DUMMYFUNCTION("IF(SUM(COUNTIF(artists!C:C, SPLIT(D45, "",""))) &gt; 0, ""RU"", 0)"),"RU")</f>
        <v>RU</v>
      </c>
      <c r="K45" s="39">
        <f ca="1">IFERROR(__xludf.DUMMYFUNCTION("IF(SUM(COUNTIF(artists!E:E, SPLIT(D45, "",""))) &gt; 0, ""OTHER"", 0)"),0)</f>
        <v>0</v>
      </c>
    </row>
    <row r="46" spans="1:11" ht="14.25" customHeight="1">
      <c r="A46" s="21">
        <v>45</v>
      </c>
      <c r="B46" s="21">
        <v>44</v>
      </c>
      <c r="C46" s="21" t="s">
        <v>1518</v>
      </c>
      <c r="D46" s="21" t="s">
        <v>108</v>
      </c>
      <c r="E46" s="21">
        <v>15</v>
      </c>
      <c r="F46" s="21">
        <v>283848</v>
      </c>
      <c r="G46" s="42">
        <v>-0.104</v>
      </c>
      <c r="H46" s="21" t="s">
        <v>1519</v>
      </c>
      <c r="I46" s="39" t="str">
        <f ca="1">IFERROR(__xludf.DUMMYFUNCTION("IF(SUM(COUNTIF(artists!A:A, SPLIT(D46, "",""))) &gt; 0, ""UA"", 0)"),"UA")</f>
        <v>UA</v>
      </c>
      <c r="J46" s="40">
        <f ca="1">IFERROR(__xludf.DUMMYFUNCTION("IF(SUM(COUNTIF(artists!C:C, SPLIT(D46, "",""))) &gt; 0, ""RU"", 0)"),0)</f>
        <v>0</v>
      </c>
      <c r="K46" s="39">
        <f ca="1">IFERROR(__xludf.DUMMYFUNCTION("IF(SUM(COUNTIF(artists!E:E, SPLIT(D46, "",""))) &gt; 0, ""OTHER"", 0)"),0)</f>
        <v>0</v>
      </c>
    </row>
    <row r="47" spans="1:11" ht="14.25" customHeight="1">
      <c r="A47" s="21">
        <v>46</v>
      </c>
      <c r="B47" s="21">
        <v>45</v>
      </c>
      <c r="C47" s="21" t="s">
        <v>118</v>
      </c>
      <c r="D47" s="21" t="s">
        <v>586</v>
      </c>
      <c r="E47" s="21">
        <v>13</v>
      </c>
      <c r="F47" s="21">
        <v>283086</v>
      </c>
      <c r="G47" s="42">
        <v>-8.3000000000000004E-2</v>
      </c>
      <c r="H47" s="21" t="s">
        <v>587</v>
      </c>
      <c r="I47" s="39" t="str">
        <f ca="1">IFERROR(__xludf.DUMMYFUNCTION("IF(SUM(COUNTIF(artists!A:A, SPLIT(D47, "",""))) &gt; 0, ""UA"", 0)"),"UA")</f>
        <v>UA</v>
      </c>
      <c r="J47" s="40">
        <f ca="1">IFERROR(__xludf.DUMMYFUNCTION("IF(SUM(COUNTIF(artists!C:C, SPLIT(D47, "",""))) &gt; 0, ""RU"", 0)"),0)</f>
        <v>0</v>
      </c>
      <c r="K47" s="39">
        <f ca="1">IFERROR(__xludf.DUMMYFUNCTION("IF(SUM(COUNTIF(artists!E:E, SPLIT(D47, "",""))) &gt; 0, ""OTHER"", 0)"),0)</f>
        <v>0</v>
      </c>
    </row>
    <row r="48" spans="1:11" ht="14.25" customHeight="1">
      <c r="A48" s="21">
        <v>47</v>
      </c>
      <c r="B48" s="21">
        <v>49</v>
      </c>
      <c r="C48" s="21" t="s">
        <v>1298</v>
      </c>
      <c r="D48" s="21" t="s">
        <v>226</v>
      </c>
      <c r="E48" s="21">
        <v>9</v>
      </c>
      <c r="F48" s="21">
        <v>281025</v>
      </c>
      <c r="G48" s="43">
        <v>-0.04</v>
      </c>
      <c r="H48" s="21" t="s">
        <v>1299</v>
      </c>
      <c r="I48" s="39" t="str">
        <f ca="1">IFERROR(__xludf.DUMMYFUNCTION("IF(SUM(COUNTIF(artists!A:A, SPLIT(D48, "",""))) &gt; 0, ""UA"", 0)"),"UA")</f>
        <v>UA</v>
      </c>
      <c r="J48" s="40">
        <f ca="1">IFERROR(__xludf.DUMMYFUNCTION("IF(SUM(COUNTIF(artists!C:C, SPLIT(D48, "",""))) &gt; 0, ""RU"", 0)"),0)</f>
        <v>0</v>
      </c>
      <c r="K48" s="39">
        <f ca="1">IFERROR(__xludf.DUMMYFUNCTION("IF(SUM(COUNTIF(artists!E:E, SPLIT(D48, "",""))) &gt; 0, ""OTHER"", 0)"),0)</f>
        <v>0</v>
      </c>
    </row>
    <row r="49" spans="1:11" ht="14.25" customHeight="1">
      <c r="A49" s="21">
        <v>48</v>
      </c>
      <c r="B49" s="21">
        <v>54</v>
      </c>
      <c r="C49" s="21" t="s">
        <v>186</v>
      </c>
      <c r="D49" s="21" t="s">
        <v>187</v>
      </c>
      <c r="E49" s="21">
        <v>7</v>
      </c>
      <c r="F49" s="21">
        <v>271367</v>
      </c>
      <c r="G49" s="42">
        <v>6.8000000000000005E-2</v>
      </c>
      <c r="H49" s="21" t="s">
        <v>189</v>
      </c>
      <c r="I49" s="39" t="str">
        <f ca="1">IFERROR(__xludf.DUMMYFUNCTION("IF(SUM(COUNTIF(artists!A:A, SPLIT(D49, "",""))) &gt; 0, ""UA"", 0)"),"UA")</f>
        <v>UA</v>
      </c>
      <c r="J49" s="40">
        <f ca="1">IFERROR(__xludf.DUMMYFUNCTION("IF(SUM(COUNTIF(artists!C:C, SPLIT(D49, "",""))) &gt; 0, ""RU"", 0)"),0)</f>
        <v>0</v>
      </c>
      <c r="K49" s="39">
        <f ca="1">IFERROR(__xludf.DUMMYFUNCTION("IF(SUM(COUNTIF(artists!E:E, SPLIT(D49, "",""))) &gt; 0, ""OTHER"", 0)"),0)</f>
        <v>0</v>
      </c>
    </row>
    <row r="50" spans="1:11" ht="14.25" customHeight="1">
      <c r="A50" s="21">
        <v>49</v>
      </c>
      <c r="B50" s="21">
        <v>52</v>
      </c>
      <c r="C50" s="21" t="s">
        <v>841</v>
      </c>
      <c r="D50" s="21" t="s">
        <v>842</v>
      </c>
      <c r="E50" s="21">
        <v>19</v>
      </c>
      <c r="F50" s="21">
        <v>269549</v>
      </c>
      <c r="G50" s="42">
        <v>-4.2999999999999997E-2</v>
      </c>
      <c r="H50" s="21" t="s">
        <v>843</v>
      </c>
      <c r="I50" s="39">
        <f ca="1">IFERROR(__xludf.DUMMYFUNCTION("IF(SUM(COUNTIF(artists!A:A, SPLIT(D50, "",""))) &gt; 0, ""UA"", 0)"),0)</f>
        <v>0</v>
      </c>
      <c r="J50" s="40">
        <f ca="1">IFERROR(__xludf.DUMMYFUNCTION("IF(SUM(COUNTIF(artists!C:C, SPLIT(D50, "",""))) &gt; 0, ""RU"", 0)"),0)</f>
        <v>0</v>
      </c>
      <c r="K50" s="39" t="str">
        <f ca="1">IFERROR(__xludf.DUMMYFUNCTION("IF(SUM(COUNTIF(artists!E:E, SPLIT(D50, "",""))) &gt; 0, ""OTHER"", 0)"),"OTHER")</f>
        <v>OTHER</v>
      </c>
    </row>
    <row r="51" spans="1:11" ht="14.25" customHeight="1">
      <c r="A51" s="21">
        <v>50</v>
      </c>
      <c r="B51" s="21">
        <v>46</v>
      </c>
      <c r="C51" s="21" t="s">
        <v>1381</v>
      </c>
      <c r="D51" s="21" t="s">
        <v>969</v>
      </c>
      <c r="E51" s="21">
        <v>14</v>
      </c>
      <c r="F51" s="21">
        <v>267908</v>
      </c>
      <c r="G51" s="42">
        <v>-0.111</v>
      </c>
      <c r="H51" s="21" t="s">
        <v>1382</v>
      </c>
      <c r="I51" s="39" t="str">
        <f ca="1">IFERROR(__xludf.DUMMYFUNCTION("IF(SUM(COUNTIF(artists!A:A, SPLIT(D51, "",""))) &gt; 0, ""UA"", 0)"),"UA")</f>
        <v>UA</v>
      </c>
      <c r="J51" s="40">
        <f ca="1">IFERROR(__xludf.DUMMYFUNCTION("IF(SUM(COUNTIF(artists!C:C, SPLIT(D51, "",""))) &gt; 0, ""RU"", 0)"),0)</f>
        <v>0</v>
      </c>
      <c r="K51" s="39">
        <f ca="1">IFERROR(__xludf.DUMMYFUNCTION("IF(SUM(COUNTIF(artists!E:E, SPLIT(D51, "",""))) &gt; 0, ""OTHER"", 0)"),0)</f>
        <v>0</v>
      </c>
    </row>
    <row r="52" spans="1:11" ht="14.25" customHeight="1">
      <c r="A52" s="21">
        <v>51</v>
      </c>
      <c r="C52" s="21" t="s">
        <v>1695</v>
      </c>
      <c r="D52" s="21" t="s">
        <v>1696</v>
      </c>
      <c r="E52" s="21">
        <v>1</v>
      </c>
      <c r="F52" s="21">
        <v>258045</v>
      </c>
      <c r="H52" s="21" t="s">
        <v>1697</v>
      </c>
      <c r="I52" s="39">
        <f ca="1">IFERROR(__xludf.DUMMYFUNCTION("IF(SUM(COUNTIF(artists!A:A, SPLIT(D52, "",""))) &gt; 0, ""UA"", 0)"),0)</f>
        <v>0</v>
      </c>
      <c r="J52" s="40" t="str">
        <f ca="1">IFERROR(__xludf.DUMMYFUNCTION("IF(SUM(COUNTIF(artists!C:C, SPLIT(D52, "",""))) &gt; 0, ""RU"", 0)"),"RU")</f>
        <v>RU</v>
      </c>
      <c r="K52" s="39">
        <f ca="1">IFERROR(__xludf.DUMMYFUNCTION("IF(SUM(COUNTIF(artists!E:E, SPLIT(D52, "",""))) &gt; 0, ""OTHER"", 0)"),0)</f>
        <v>0</v>
      </c>
    </row>
    <row r="53" spans="1:11" ht="14.25" customHeight="1">
      <c r="A53" s="21">
        <v>52</v>
      </c>
      <c r="B53" s="21">
        <v>70</v>
      </c>
      <c r="C53" s="21" t="s">
        <v>1242</v>
      </c>
      <c r="D53" s="21" t="s">
        <v>969</v>
      </c>
      <c r="E53" s="21">
        <v>2</v>
      </c>
      <c r="F53" s="21">
        <v>256551</v>
      </c>
      <c r="G53" s="42">
        <v>0.19900000000000001</v>
      </c>
      <c r="H53" s="21" t="s">
        <v>1243</v>
      </c>
      <c r="I53" s="39" t="str">
        <f ca="1">IFERROR(__xludf.DUMMYFUNCTION("IF(SUM(COUNTIF(artists!A:A, SPLIT(D53, "",""))) &gt; 0, ""UA"", 0)"),"UA")</f>
        <v>UA</v>
      </c>
      <c r="J53" s="40">
        <f ca="1">IFERROR(__xludf.DUMMYFUNCTION("IF(SUM(COUNTIF(artists!C:C, SPLIT(D53, "",""))) &gt; 0, ""RU"", 0)"),0)</f>
        <v>0</v>
      </c>
      <c r="K53" s="39">
        <f ca="1">IFERROR(__xludf.DUMMYFUNCTION("IF(SUM(COUNTIF(artists!E:E, SPLIT(D53, "",""))) &gt; 0, ""OTHER"", 0)"),0)</f>
        <v>0</v>
      </c>
    </row>
    <row r="54" spans="1:11" ht="14.25" customHeight="1">
      <c r="A54" s="21">
        <v>53</v>
      </c>
      <c r="C54" s="21" t="s">
        <v>1565</v>
      </c>
      <c r="D54" s="21" t="s">
        <v>1566</v>
      </c>
      <c r="E54" s="21">
        <v>1</v>
      </c>
      <c r="F54" s="21">
        <v>251584</v>
      </c>
      <c r="H54" s="21" t="s">
        <v>1567</v>
      </c>
      <c r="I54" s="39" t="str">
        <f ca="1">IFERROR(__xludf.DUMMYFUNCTION("IF(SUM(COUNTIF(artists!A:A, SPLIT(D54, "",""))) &gt; 0, ""UA"", 0)"),"UA")</f>
        <v>UA</v>
      </c>
      <c r="J54" s="40">
        <f ca="1">IFERROR(__xludf.DUMMYFUNCTION("IF(SUM(COUNTIF(artists!C:C, SPLIT(D54, "",""))) &gt; 0, ""RU"", 0)"),0)</f>
        <v>0</v>
      </c>
      <c r="K54" s="39">
        <f ca="1">IFERROR(__xludf.DUMMYFUNCTION("IF(SUM(COUNTIF(artists!E:E, SPLIT(D54, "",""))) &gt; 0, ""OTHER"", 0)"),0)</f>
        <v>0</v>
      </c>
    </row>
    <row r="55" spans="1:11" ht="14.25" customHeight="1">
      <c r="A55" s="21">
        <v>54</v>
      </c>
      <c r="B55" s="21">
        <v>50</v>
      </c>
      <c r="C55" s="21" t="s">
        <v>1575</v>
      </c>
      <c r="D55" s="21" t="s">
        <v>945</v>
      </c>
      <c r="E55" s="21">
        <v>9</v>
      </c>
      <c r="F55" s="21">
        <v>246682</v>
      </c>
      <c r="G55" s="42">
        <v>-0.14499999999999999</v>
      </c>
      <c r="H55" s="21" t="s">
        <v>1576</v>
      </c>
      <c r="I55" s="39" t="str">
        <f ca="1">IFERROR(__xludf.DUMMYFUNCTION("IF(SUM(COUNTIF(artists!A:A, SPLIT(D55, "",""))) &gt; 0, ""UA"", 0)"),"UA")</f>
        <v>UA</v>
      </c>
      <c r="J55" s="40">
        <f ca="1">IFERROR(__xludf.DUMMYFUNCTION("IF(SUM(COUNTIF(artists!C:C, SPLIT(D55, "",""))) &gt; 0, ""RU"", 0)"),0)</f>
        <v>0</v>
      </c>
      <c r="K55" s="39">
        <f ca="1">IFERROR(__xludf.DUMMYFUNCTION("IF(SUM(COUNTIF(artists!E:E, SPLIT(D55, "",""))) &gt; 0, ""OTHER"", 0)"),0)</f>
        <v>0</v>
      </c>
    </row>
    <row r="56" spans="1:11" ht="14.25" customHeight="1">
      <c r="A56" s="21">
        <v>55</v>
      </c>
      <c r="B56" s="21">
        <v>61</v>
      </c>
      <c r="C56" s="21" t="s">
        <v>1636</v>
      </c>
      <c r="D56" s="21" t="s">
        <v>1637</v>
      </c>
      <c r="E56" s="21">
        <v>18</v>
      </c>
      <c r="F56" s="21">
        <v>235390</v>
      </c>
      <c r="G56" s="42">
        <v>-1.7999999999999999E-2</v>
      </c>
      <c r="H56" s="21" t="s">
        <v>1638</v>
      </c>
      <c r="I56" s="39">
        <f ca="1">IFERROR(__xludf.DUMMYFUNCTION("IF(SUM(COUNTIF(artists!A:A, SPLIT(D56, "",""))) &gt; 0, ""UA"", 0)"),0)</f>
        <v>0</v>
      </c>
      <c r="J56" s="40" t="str">
        <f ca="1">IFERROR(__xludf.DUMMYFUNCTION("IF(SUM(COUNTIF(artists!C:C, SPLIT(D56, "",""))) &gt; 0, ""RU"", 0)"),"RU")</f>
        <v>RU</v>
      </c>
      <c r="K56" s="39">
        <f ca="1">IFERROR(__xludf.DUMMYFUNCTION("IF(SUM(COUNTIF(artists!E:E, SPLIT(D56, "",""))) &gt; 0, ""OTHER"", 0)"),0)</f>
        <v>0</v>
      </c>
    </row>
    <row r="57" spans="1:11" ht="14.25" customHeight="1">
      <c r="A57" s="21">
        <v>56</v>
      </c>
      <c r="B57" s="21">
        <v>60</v>
      </c>
      <c r="C57" s="21" t="s">
        <v>1477</v>
      </c>
      <c r="D57" s="21" t="s">
        <v>1478</v>
      </c>
      <c r="E57" s="21">
        <v>12</v>
      </c>
      <c r="F57" s="21">
        <v>233149</v>
      </c>
      <c r="G57" s="42">
        <v>-2.8000000000000001E-2</v>
      </c>
      <c r="H57" s="21" t="s">
        <v>1479</v>
      </c>
      <c r="I57" s="39" t="str">
        <f ca="1">IFERROR(__xludf.DUMMYFUNCTION("IF(SUM(COUNTIF(artists!A:A, SPLIT(D57, "",""))) &gt; 0, ""UA"", 0)"),"UA")</f>
        <v>UA</v>
      </c>
      <c r="J57" s="40">
        <f ca="1">IFERROR(__xludf.DUMMYFUNCTION("IF(SUM(COUNTIF(artists!C:C, SPLIT(D57, "",""))) &gt; 0, ""RU"", 0)"),0)</f>
        <v>0</v>
      </c>
      <c r="K57" s="39">
        <f ca="1">IFERROR(__xludf.DUMMYFUNCTION("IF(SUM(COUNTIF(artists!E:E, SPLIT(D57, "",""))) &gt; 0, ""OTHER"", 0)"),0)</f>
        <v>0</v>
      </c>
    </row>
    <row r="58" spans="1:11" ht="14.25" customHeight="1">
      <c r="A58" s="21">
        <v>57</v>
      </c>
      <c r="B58" s="21">
        <v>68</v>
      </c>
      <c r="C58" s="21" t="s">
        <v>1674</v>
      </c>
      <c r="D58" s="21" t="s">
        <v>172</v>
      </c>
      <c r="E58" s="21">
        <v>19</v>
      </c>
      <c r="F58" s="21">
        <v>233093</v>
      </c>
      <c r="G58" s="42">
        <v>5.7000000000000002E-2</v>
      </c>
      <c r="H58" s="21" t="s">
        <v>1675</v>
      </c>
      <c r="I58" s="39">
        <f ca="1">IFERROR(__xludf.DUMMYFUNCTION("IF(SUM(COUNTIF(artists!A:A, SPLIT(D58, "",""))) &gt; 0, ""UA"", 0)"),0)</f>
        <v>0</v>
      </c>
      <c r="J58" s="40" t="str">
        <f ca="1">IFERROR(__xludf.DUMMYFUNCTION("IF(SUM(COUNTIF(artists!C:C, SPLIT(D58, "",""))) &gt; 0, ""RU"", 0)"),"RU")</f>
        <v>RU</v>
      </c>
      <c r="K58" s="39">
        <f ca="1">IFERROR(__xludf.DUMMYFUNCTION("IF(SUM(COUNTIF(artists!E:E, SPLIT(D58, "",""))) &gt; 0, ""OTHER"", 0)"),0)</f>
        <v>0</v>
      </c>
    </row>
    <row r="59" spans="1:11" ht="14.25" customHeight="1">
      <c r="A59" s="21">
        <v>58</v>
      </c>
      <c r="B59" s="21">
        <v>56</v>
      </c>
      <c r="C59" s="21" t="s">
        <v>1387</v>
      </c>
      <c r="D59" s="21" t="s">
        <v>1388</v>
      </c>
      <c r="E59" s="21">
        <v>7</v>
      </c>
      <c r="F59" s="21">
        <v>231912</v>
      </c>
      <c r="G59" s="42">
        <v>-7.4999999999999997E-2</v>
      </c>
      <c r="H59" s="21" t="s">
        <v>1389</v>
      </c>
      <c r="I59" s="39">
        <f ca="1">IFERROR(__xludf.DUMMYFUNCTION("IF(SUM(COUNTIF(artists!A:A, SPLIT(D59, "",""))) &gt; 0, ""UA"", 0)"),0)</f>
        <v>0</v>
      </c>
      <c r="J59" s="40">
        <f ca="1">IFERROR(__xludf.DUMMYFUNCTION("IF(SUM(COUNTIF(artists!C:C, SPLIT(D59, "",""))) &gt; 0, ""RU"", 0)"),0)</f>
        <v>0</v>
      </c>
      <c r="K59" s="39" t="str">
        <f ca="1">IFERROR(__xludf.DUMMYFUNCTION("IF(SUM(COUNTIF(artists!E:E, SPLIT(D59, "",""))) &gt; 0, ""OTHER"", 0)"),"OTHER")</f>
        <v>OTHER</v>
      </c>
    </row>
    <row r="60" spans="1:11" ht="14.25" customHeight="1">
      <c r="A60" s="21">
        <v>59</v>
      </c>
      <c r="B60" s="21">
        <v>55</v>
      </c>
      <c r="C60" s="21" t="s">
        <v>1390</v>
      </c>
      <c r="D60" s="21" t="s">
        <v>259</v>
      </c>
      <c r="E60" s="21">
        <v>3</v>
      </c>
      <c r="F60" s="21">
        <v>224413</v>
      </c>
      <c r="G60" s="42">
        <v>-0.115</v>
      </c>
      <c r="H60" s="21" t="s">
        <v>1391</v>
      </c>
      <c r="I60" s="39" t="str">
        <f ca="1">IFERROR(__xludf.DUMMYFUNCTION("IF(SUM(COUNTIF(artists!A:A, SPLIT(D60, "",""))) &gt; 0, ""UA"", 0)"),"UA")</f>
        <v>UA</v>
      </c>
      <c r="J60" s="40">
        <f ca="1">IFERROR(__xludf.DUMMYFUNCTION("IF(SUM(COUNTIF(artists!C:C, SPLIT(D60, "",""))) &gt; 0, ""RU"", 0)"),0)</f>
        <v>0</v>
      </c>
      <c r="K60" s="39">
        <f ca="1">IFERROR(__xludf.DUMMYFUNCTION("IF(SUM(COUNTIF(artists!E:E, SPLIT(D60, "",""))) &gt; 0, ""OTHER"", 0)"),0)</f>
        <v>0</v>
      </c>
    </row>
    <row r="61" spans="1:11" ht="14.25" customHeight="1">
      <c r="A61" s="21">
        <v>60</v>
      </c>
      <c r="B61" s="21">
        <v>76</v>
      </c>
      <c r="C61" s="21" t="s">
        <v>597</v>
      </c>
      <c r="D61" s="21" t="s">
        <v>598</v>
      </c>
      <c r="E61" s="21">
        <v>8</v>
      </c>
      <c r="F61" s="21">
        <v>223691</v>
      </c>
      <c r="G61" s="42">
        <v>0.115</v>
      </c>
      <c r="H61" s="21" t="s">
        <v>600</v>
      </c>
      <c r="I61" s="39" t="str">
        <f ca="1">IFERROR(__xludf.DUMMYFUNCTION("IF(SUM(COUNTIF(artists!A:A, SPLIT(D61, "",""))) &gt; 0, ""UA"", 0)"),"UA")</f>
        <v>UA</v>
      </c>
      <c r="J61" s="40">
        <f ca="1">IFERROR(__xludf.DUMMYFUNCTION("IF(SUM(COUNTIF(artists!C:C, SPLIT(D61, "",""))) &gt; 0, ""RU"", 0)"),0)</f>
        <v>0</v>
      </c>
      <c r="K61" s="39">
        <f ca="1">IFERROR(__xludf.DUMMYFUNCTION("IF(SUM(COUNTIF(artists!E:E, SPLIT(D61, "",""))) &gt; 0, ""OTHER"", 0)"),0)</f>
        <v>0</v>
      </c>
    </row>
    <row r="62" spans="1:11" ht="14.25" customHeight="1">
      <c r="A62" s="21">
        <v>61</v>
      </c>
      <c r="B62" s="21">
        <v>48</v>
      </c>
      <c r="C62" s="21" t="s">
        <v>1595</v>
      </c>
      <c r="D62" s="21" t="s">
        <v>1596</v>
      </c>
      <c r="E62" s="21">
        <v>4</v>
      </c>
      <c r="F62" s="21">
        <v>223417</v>
      </c>
      <c r="G62" s="42">
        <v>-0.23899999999999999</v>
      </c>
      <c r="H62" s="21" t="s">
        <v>1597</v>
      </c>
      <c r="I62" s="39" t="str">
        <f ca="1">IFERROR(__xludf.DUMMYFUNCTION("IF(SUM(COUNTIF(artists!A:A, SPLIT(D62, "",""))) &gt; 0, ""UA"", 0)"),"UA")</f>
        <v>UA</v>
      </c>
      <c r="J62" s="40">
        <f ca="1">IFERROR(__xludf.DUMMYFUNCTION("IF(SUM(COUNTIF(artists!C:C, SPLIT(D62, "",""))) &gt; 0, ""RU"", 0)"),0)</f>
        <v>0</v>
      </c>
      <c r="K62" s="39">
        <f ca="1">IFERROR(__xludf.DUMMYFUNCTION("IF(SUM(COUNTIF(artists!E:E, SPLIT(D62, "",""))) &gt; 0, ""OTHER"", 0)"),0)</f>
        <v>0</v>
      </c>
    </row>
    <row r="63" spans="1:11" ht="14.25" customHeight="1">
      <c r="A63" s="21">
        <v>62</v>
      </c>
      <c r="B63" s="21">
        <v>58</v>
      </c>
      <c r="C63" s="21" t="s">
        <v>470</v>
      </c>
      <c r="D63" s="21" t="s">
        <v>81</v>
      </c>
      <c r="E63" s="21">
        <v>12</v>
      </c>
      <c r="F63" s="21">
        <v>223093</v>
      </c>
      <c r="G63" s="42">
        <v>-9.5000000000000001E-2</v>
      </c>
      <c r="H63" s="21" t="s">
        <v>472</v>
      </c>
      <c r="I63" s="39" t="str">
        <f ca="1">IFERROR(__xludf.DUMMYFUNCTION("IF(SUM(COUNTIF(artists!A:A, SPLIT(D63, "",""))) &gt; 0, ""UA"", 0)"),"UA")</f>
        <v>UA</v>
      </c>
      <c r="J63" s="40">
        <f ca="1">IFERROR(__xludf.DUMMYFUNCTION("IF(SUM(COUNTIF(artists!C:C, SPLIT(D63, "",""))) &gt; 0, ""RU"", 0)"),0)</f>
        <v>0</v>
      </c>
      <c r="K63" s="39">
        <f ca="1">IFERROR(__xludf.DUMMYFUNCTION("IF(SUM(COUNTIF(artists!E:E, SPLIT(D63, "",""))) &gt; 0, ""OTHER"", 0)"),0)</f>
        <v>0</v>
      </c>
    </row>
    <row r="64" spans="1:11" ht="14.25" customHeight="1">
      <c r="A64" s="21">
        <v>63</v>
      </c>
      <c r="B64" s="21">
        <v>57</v>
      </c>
      <c r="C64" s="21" t="s">
        <v>1487</v>
      </c>
      <c r="D64" s="21" t="s">
        <v>409</v>
      </c>
      <c r="E64" s="21">
        <v>13</v>
      </c>
      <c r="F64" s="21">
        <v>222840</v>
      </c>
      <c r="G64" s="42">
        <v>-0.104</v>
      </c>
      <c r="H64" s="21" t="s">
        <v>1488</v>
      </c>
      <c r="I64" s="39" t="str">
        <f ca="1">IFERROR(__xludf.DUMMYFUNCTION("IF(SUM(COUNTIF(artists!A:A, SPLIT(D64, "",""))) &gt; 0, ""UA"", 0)"),"UA")</f>
        <v>UA</v>
      </c>
      <c r="J64" s="40">
        <f ca="1">IFERROR(__xludf.DUMMYFUNCTION("IF(SUM(COUNTIF(artists!C:C, SPLIT(D64, "",""))) &gt; 0, ""RU"", 0)"),0)</f>
        <v>0</v>
      </c>
      <c r="K64" s="39">
        <f ca="1">IFERROR(__xludf.DUMMYFUNCTION("IF(SUM(COUNTIF(artists!E:E, SPLIT(D64, "",""))) &gt; 0, ""OTHER"", 0)"),0)</f>
        <v>0</v>
      </c>
    </row>
    <row r="65" spans="1:11" ht="14.25" customHeight="1">
      <c r="A65" s="21">
        <v>64</v>
      </c>
      <c r="C65" s="21" t="s">
        <v>1234</v>
      </c>
      <c r="D65" s="21" t="s">
        <v>1193</v>
      </c>
      <c r="E65" s="21">
        <v>1</v>
      </c>
      <c r="F65" s="21">
        <v>221703</v>
      </c>
      <c r="H65" s="21" t="s">
        <v>1235</v>
      </c>
      <c r="I65" s="39" t="str">
        <f ca="1">IFERROR(__xludf.DUMMYFUNCTION("IF(SUM(COUNTIF(artists!A:A, SPLIT(D65, "",""))) &gt; 0, ""UA"", 0)"),"UA")</f>
        <v>UA</v>
      </c>
      <c r="J65" s="40">
        <f ca="1">IFERROR(__xludf.DUMMYFUNCTION("IF(SUM(COUNTIF(artists!C:C, SPLIT(D65, "",""))) &gt; 0, ""RU"", 0)"),0)</f>
        <v>0</v>
      </c>
      <c r="K65" s="39">
        <f ca="1">IFERROR(__xludf.DUMMYFUNCTION("IF(SUM(COUNTIF(artists!E:E, SPLIT(D65, "",""))) &gt; 0, ""OTHER"", 0)"),0)</f>
        <v>0</v>
      </c>
    </row>
    <row r="66" spans="1:11" ht="14.25" customHeight="1">
      <c r="A66" s="21">
        <v>65</v>
      </c>
      <c r="B66" s="21">
        <v>64</v>
      </c>
      <c r="C66" s="21" t="s">
        <v>1530</v>
      </c>
      <c r="D66" s="21" t="s">
        <v>1531</v>
      </c>
      <c r="E66" s="21">
        <v>13</v>
      </c>
      <c r="F66" s="21">
        <v>218725</v>
      </c>
      <c r="G66" s="42">
        <v>-5.3999999999999999E-2</v>
      </c>
      <c r="H66" s="21" t="s">
        <v>1532</v>
      </c>
      <c r="I66" s="39">
        <f ca="1">IFERROR(__xludf.DUMMYFUNCTION("IF(SUM(COUNTIF(artists!A:A, SPLIT(D66, "",""))) &gt; 0, ""UA"", 0)"),0)</f>
        <v>0</v>
      </c>
      <c r="J66" s="40">
        <f ca="1">IFERROR(__xludf.DUMMYFUNCTION("IF(SUM(COUNTIF(artists!C:C, SPLIT(D66, "",""))) &gt; 0, ""RU"", 0)"),0)</f>
        <v>0</v>
      </c>
      <c r="K66" s="39" t="str">
        <f ca="1">IFERROR(__xludf.DUMMYFUNCTION("IF(SUM(COUNTIF(artists!E:E, SPLIT(D66, "",""))) &gt; 0, ""OTHER"", 0)"),"OTHER")</f>
        <v>OTHER</v>
      </c>
    </row>
    <row r="67" spans="1:11" ht="14.25" customHeight="1">
      <c r="A67" s="21">
        <v>66</v>
      </c>
      <c r="B67" s="21">
        <v>85</v>
      </c>
      <c r="C67" s="21" t="s">
        <v>1385</v>
      </c>
      <c r="D67" s="21" t="s">
        <v>896</v>
      </c>
      <c r="E67" s="21">
        <v>2</v>
      </c>
      <c r="F67" s="21">
        <v>209226</v>
      </c>
      <c r="G67" s="42">
        <v>0.14299999999999999</v>
      </c>
      <c r="H67" s="21" t="s">
        <v>1386</v>
      </c>
      <c r="I67" s="39" t="str">
        <f ca="1">IFERROR(__xludf.DUMMYFUNCTION("IF(SUM(COUNTIF(artists!A:A, SPLIT(D67, "",""))) &gt; 0, ""UA"", 0)"),"UA")</f>
        <v>UA</v>
      </c>
      <c r="J67" s="40">
        <f ca="1">IFERROR(__xludf.DUMMYFUNCTION("IF(SUM(COUNTIF(artists!C:C, SPLIT(D67, "",""))) &gt; 0, ""RU"", 0)"),0)</f>
        <v>0</v>
      </c>
      <c r="K67" s="39">
        <f ca="1">IFERROR(__xludf.DUMMYFUNCTION("IF(SUM(COUNTIF(artists!E:E, SPLIT(D67, "",""))) &gt; 0, ""OTHER"", 0)"),0)</f>
        <v>0</v>
      </c>
    </row>
    <row r="68" spans="1:11" ht="14.25" customHeight="1">
      <c r="A68" s="21">
        <v>67</v>
      </c>
      <c r="B68" s="21">
        <v>71</v>
      </c>
      <c r="C68" s="21" t="s">
        <v>1007</v>
      </c>
      <c r="D68" s="21" t="s">
        <v>1008</v>
      </c>
      <c r="E68" s="21">
        <v>12</v>
      </c>
      <c r="F68" s="21">
        <v>208309</v>
      </c>
      <c r="G68" s="43">
        <v>-0.01</v>
      </c>
      <c r="H68" s="21" t="s">
        <v>1009</v>
      </c>
      <c r="I68" s="39">
        <f ca="1">IFERROR(__xludf.DUMMYFUNCTION("IF(SUM(COUNTIF(artists!A:A, SPLIT(D68, "",""))) &gt; 0, ""UA"", 0)"),0)</f>
        <v>0</v>
      </c>
      <c r="J68" s="40" t="str">
        <f ca="1">IFERROR(__xludf.DUMMYFUNCTION("IF(SUM(COUNTIF(artists!C:C, SPLIT(D68, "",""))) &gt; 0, ""RU"", 0)"),"RU")</f>
        <v>RU</v>
      </c>
      <c r="K68" s="39">
        <f ca="1">IFERROR(__xludf.DUMMYFUNCTION("IF(SUM(COUNTIF(artists!E:E, SPLIT(D68, "",""))) &gt; 0, ""OTHER"", 0)"),0)</f>
        <v>0</v>
      </c>
    </row>
    <row r="69" spans="1:11" ht="14.25" customHeight="1">
      <c r="A69" s="21">
        <v>68</v>
      </c>
      <c r="B69" s="21">
        <v>51</v>
      </c>
      <c r="C69" s="21" t="s">
        <v>1657</v>
      </c>
      <c r="D69" s="21" t="s">
        <v>837</v>
      </c>
      <c r="E69" s="21">
        <v>7</v>
      </c>
      <c r="F69" s="21">
        <v>208129</v>
      </c>
      <c r="G69" s="42">
        <v>-0.27200000000000002</v>
      </c>
      <c r="H69" s="21" t="s">
        <v>1658</v>
      </c>
      <c r="I69" s="39" t="str">
        <f ca="1">IFERROR(__xludf.DUMMYFUNCTION("IF(SUM(COUNTIF(artists!A:A, SPLIT(D69, "",""))) &gt; 0, ""UA"", 0)"),"UA")</f>
        <v>UA</v>
      </c>
      <c r="J69" s="40">
        <f ca="1">IFERROR(__xludf.DUMMYFUNCTION("IF(SUM(COUNTIF(artists!C:C, SPLIT(D69, "",""))) &gt; 0, ""RU"", 0)"),0)</f>
        <v>0</v>
      </c>
      <c r="K69" s="39">
        <f ca="1">IFERROR(__xludf.DUMMYFUNCTION("IF(SUM(COUNTIF(artists!E:E, SPLIT(D69, "",""))) &gt; 0, ""OTHER"", 0)"),0)</f>
        <v>0</v>
      </c>
    </row>
    <row r="70" spans="1:11" ht="14.25" customHeight="1">
      <c r="A70" s="21">
        <v>69</v>
      </c>
      <c r="B70" s="21">
        <v>73</v>
      </c>
      <c r="C70" s="21" t="s">
        <v>178</v>
      </c>
      <c r="D70" s="21" t="s">
        <v>179</v>
      </c>
      <c r="E70" s="21">
        <v>7</v>
      </c>
      <c r="F70" s="21">
        <v>207741</v>
      </c>
      <c r="G70" s="42">
        <v>2.3E-2</v>
      </c>
      <c r="H70" s="21" t="s">
        <v>181</v>
      </c>
      <c r="I70" s="39" t="str">
        <f ca="1">IFERROR(__xludf.DUMMYFUNCTION("IF(SUM(COUNTIF(artists!A:A, SPLIT(D70, "",""))) &gt; 0, ""UA"", 0)"),"UA")</f>
        <v>UA</v>
      </c>
      <c r="J70" s="40">
        <f ca="1">IFERROR(__xludf.DUMMYFUNCTION("IF(SUM(COUNTIF(artists!C:C, SPLIT(D70, "",""))) &gt; 0, ""RU"", 0)"),0)</f>
        <v>0</v>
      </c>
      <c r="K70" s="39">
        <f ca="1">IFERROR(__xludf.DUMMYFUNCTION("IF(SUM(COUNTIF(artists!E:E, SPLIT(D70, "",""))) &gt; 0, ""OTHER"", 0)"),0)</f>
        <v>0</v>
      </c>
    </row>
    <row r="71" spans="1:11" ht="14.25" customHeight="1">
      <c r="A71" s="21">
        <v>70</v>
      </c>
      <c r="B71" s="21">
        <v>59</v>
      </c>
      <c r="C71" s="21" t="s">
        <v>1536</v>
      </c>
      <c r="D71" s="21" t="s">
        <v>1537</v>
      </c>
      <c r="E71" s="21">
        <v>4</v>
      </c>
      <c r="F71" s="21">
        <v>206569</v>
      </c>
      <c r="G71" s="42">
        <v>-0.14599999999999999</v>
      </c>
      <c r="H71" s="21" t="s">
        <v>1538</v>
      </c>
      <c r="I71" s="39" t="str">
        <f ca="1">IFERROR(__xludf.DUMMYFUNCTION("IF(SUM(COUNTIF(artists!A:A, SPLIT(D71, "",""))) &gt; 0, ""UA"", 0)"),"UA")</f>
        <v>UA</v>
      </c>
      <c r="J71" s="40">
        <f ca="1">IFERROR(__xludf.DUMMYFUNCTION("IF(SUM(COUNTIF(artists!C:C, SPLIT(D71, "",""))) &gt; 0, ""RU"", 0)"),0)</f>
        <v>0</v>
      </c>
      <c r="K71" s="39">
        <f ca="1">IFERROR(__xludf.DUMMYFUNCTION("IF(SUM(COUNTIF(artists!E:E, SPLIT(D71, "",""))) &gt; 0, ""OTHER"", 0)"),0)</f>
        <v>0</v>
      </c>
    </row>
    <row r="72" spans="1:11" ht="14.25" customHeight="1">
      <c r="A72" s="21">
        <v>71</v>
      </c>
      <c r="B72" s="21">
        <v>75</v>
      </c>
      <c r="C72" s="21" t="s">
        <v>678</v>
      </c>
      <c r="D72" s="21" t="s">
        <v>89</v>
      </c>
      <c r="E72" s="21">
        <v>4</v>
      </c>
      <c r="F72" s="21">
        <v>206373</v>
      </c>
      <c r="G72" s="42">
        <v>2.5999999999999999E-2</v>
      </c>
      <c r="H72" s="21" t="s">
        <v>679</v>
      </c>
      <c r="I72" s="39" t="str">
        <f ca="1">IFERROR(__xludf.DUMMYFUNCTION("IF(SUM(COUNTIF(artists!A:A, SPLIT(D72, "",""))) &gt; 0, ""UA"", 0)"),"UA")</f>
        <v>UA</v>
      </c>
      <c r="J72" s="40">
        <f ca="1">IFERROR(__xludf.DUMMYFUNCTION("IF(SUM(COUNTIF(artists!C:C, SPLIT(D72, "",""))) &gt; 0, ""RU"", 0)"),0)</f>
        <v>0</v>
      </c>
      <c r="K72" s="39">
        <f ca="1">IFERROR(__xludf.DUMMYFUNCTION("IF(SUM(COUNTIF(artists!E:E, SPLIT(D72, "",""))) &gt; 0, ""OTHER"", 0)"),0)</f>
        <v>0</v>
      </c>
    </row>
    <row r="73" spans="1:11" ht="14.25" customHeight="1">
      <c r="A73" s="21">
        <v>72</v>
      </c>
      <c r="C73" s="21" t="s">
        <v>1643</v>
      </c>
      <c r="D73" s="21" t="s">
        <v>831</v>
      </c>
      <c r="E73" s="21">
        <v>1</v>
      </c>
      <c r="F73" s="21">
        <v>196428</v>
      </c>
      <c r="H73" s="21" t="s">
        <v>1644</v>
      </c>
      <c r="I73" s="39" t="str">
        <f ca="1">IFERROR(__xludf.DUMMYFUNCTION("IF(SUM(COUNTIF(artists!A:A, SPLIT(D73, "",""))) &gt; 0, ""UA"", 0)"),"UA")</f>
        <v>UA</v>
      </c>
      <c r="J73" s="40">
        <f ca="1">IFERROR(__xludf.DUMMYFUNCTION("IF(SUM(COUNTIF(artists!C:C, SPLIT(D73, "",""))) &gt; 0, ""RU"", 0)"),0)</f>
        <v>0</v>
      </c>
      <c r="K73" s="39">
        <f ca="1">IFERROR(__xludf.DUMMYFUNCTION("IF(SUM(COUNTIF(artists!E:E, SPLIT(D73, "",""))) &gt; 0, ""OTHER"", 0)"),0)</f>
        <v>0</v>
      </c>
    </row>
    <row r="74" spans="1:11" ht="14.25" customHeight="1">
      <c r="A74" s="21">
        <v>73</v>
      </c>
      <c r="B74" s="21">
        <v>81</v>
      </c>
      <c r="C74" s="21" t="s">
        <v>489</v>
      </c>
      <c r="D74" s="21" t="s">
        <v>490</v>
      </c>
      <c r="E74" s="21">
        <v>11</v>
      </c>
      <c r="F74" s="21">
        <v>196422</v>
      </c>
      <c r="G74" s="42">
        <v>4.9000000000000002E-2</v>
      </c>
      <c r="H74" s="21" t="s">
        <v>491</v>
      </c>
      <c r="I74" s="39" t="str">
        <f ca="1">IFERROR(__xludf.DUMMYFUNCTION("IF(SUM(COUNTIF(artists!A:A, SPLIT(D74, "",""))) &gt; 0, ""UA"", 0)"),"UA")</f>
        <v>UA</v>
      </c>
      <c r="J74" s="40">
        <f ca="1">IFERROR(__xludf.DUMMYFUNCTION("IF(SUM(COUNTIF(artists!C:C, SPLIT(D74, "",""))) &gt; 0, ""RU"", 0)"),0)</f>
        <v>0</v>
      </c>
      <c r="K74" s="39">
        <f ca="1">IFERROR(__xludf.DUMMYFUNCTION("IF(SUM(COUNTIF(artists!E:E, SPLIT(D74, "",""))) &gt; 0, ""OTHER"", 0)"),0)</f>
        <v>0</v>
      </c>
    </row>
    <row r="75" spans="1:11" ht="14.25" customHeight="1">
      <c r="A75" s="21">
        <v>74</v>
      </c>
      <c r="B75" s="21">
        <v>65</v>
      </c>
      <c r="C75" s="21" t="s">
        <v>1648</v>
      </c>
      <c r="D75" s="21" t="s">
        <v>1649</v>
      </c>
      <c r="E75" s="21">
        <v>3</v>
      </c>
      <c r="F75" s="21">
        <v>192916</v>
      </c>
      <c r="G75" s="42">
        <v>-0.154</v>
      </c>
      <c r="H75" s="21" t="s">
        <v>1650</v>
      </c>
      <c r="I75" s="39">
        <f ca="1">IFERROR(__xludf.DUMMYFUNCTION("IF(SUM(COUNTIF(artists!A:A, SPLIT(D75, "",""))) &gt; 0, ""UA"", 0)"),0)</f>
        <v>0</v>
      </c>
      <c r="J75" s="40" t="str">
        <f ca="1">IFERROR(__xludf.DUMMYFUNCTION("IF(SUM(COUNTIF(artists!C:C, SPLIT(D75, "",""))) &gt; 0, ""RU"", 0)"),"RU")</f>
        <v>RU</v>
      </c>
      <c r="K75" s="39">
        <f ca="1">IFERROR(__xludf.DUMMYFUNCTION("IF(SUM(COUNTIF(artists!E:E, SPLIT(D75, "",""))) &gt; 0, ""OTHER"", 0)"),0)</f>
        <v>0</v>
      </c>
    </row>
    <row r="76" spans="1:11" ht="14.25" customHeight="1">
      <c r="A76" s="21">
        <v>75</v>
      </c>
      <c r="B76" s="21">
        <v>87</v>
      </c>
      <c r="C76" s="21" t="s">
        <v>1622</v>
      </c>
      <c r="D76" s="21" t="s">
        <v>137</v>
      </c>
      <c r="E76" s="21">
        <v>17</v>
      </c>
      <c r="F76" s="21">
        <v>192613</v>
      </c>
      <c r="G76" s="42">
        <v>7.1999999999999995E-2</v>
      </c>
      <c r="H76" s="21" t="s">
        <v>1623</v>
      </c>
      <c r="I76" s="39" t="str">
        <f ca="1">IFERROR(__xludf.DUMMYFUNCTION("IF(SUM(COUNTIF(artists!A:A, SPLIT(D76, "",""))) &gt; 0, ""UA"", 0)"),"UA")</f>
        <v>UA</v>
      </c>
      <c r="J76" s="40">
        <f ca="1">IFERROR(__xludf.DUMMYFUNCTION("IF(SUM(COUNTIF(artists!C:C, SPLIT(D76, "",""))) &gt; 0, ""RU"", 0)"),0)</f>
        <v>0</v>
      </c>
      <c r="K76" s="39">
        <f ca="1">IFERROR(__xludf.DUMMYFUNCTION("IF(SUM(COUNTIF(artists!E:E, SPLIT(D76, "",""))) &gt; 0, ""OTHER"", 0)"),0)</f>
        <v>0</v>
      </c>
    </row>
    <row r="77" spans="1:11" ht="14.25" customHeight="1">
      <c r="A77" s="21">
        <v>76</v>
      </c>
      <c r="B77" s="21">
        <v>72</v>
      </c>
      <c r="C77" s="21" t="s">
        <v>748</v>
      </c>
      <c r="D77" s="21" t="s">
        <v>586</v>
      </c>
      <c r="E77" s="21">
        <v>12</v>
      </c>
      <c r="F77" s="21">
        <v>191401</v>
      </c>
      <c r="G77" s="42">
        <v>-6.3E-2</v>
      </c>
      <c r="H77" s="21" t="s">
        <v>749</v>
      </c>
      <c r="I77" s="39" t="str">
        <f ca="1">IFERROR(__xludf.DUMMYFUNCTION("IF(SUM(COUNTIF(artists!A:A, SPLIT(D77, "",""))) &gt; 0, ""UA"", 0)"),"UA")</f>
        <v>UA</v>
      </c>
      <c r="J77" s="40">
        <f ca="1">IFERROR(__xludf.DUMMYFUNCTION("IF(SUM(COUNTIF(artists!C:C, SPLIT(D77, "",""))) &gt; 0, ""RU"", 0)"),0)</f>
        <v>0</v>
      </c>
      <c r="K77" s="39">
        <f ca="1">IFERROR(__xludf.DUMMYFUNCTION("IF(SUM(COUNTIF(artists!E:E, SPLIT(D77, "",""))) &gt; 0, ""OTHER"", 0)"),0)</f>
        <v>0</v>
      </c>
    </row>
    <row r="78" spans="1:11" ht="14.25" customHeight="1">
      <c r="A78" s="21">
        <v>77</v>
      </c>
      <c r="B78" s="21">
        <v>63</v>
      </c>
      <c r="C78" s="21" t="s">
        <v>1683</v>
      </c>
      <c r="D78" s="21" t="s">
        <v>1596</v>
      </c>
      <c r="E78" s="21">
        <v>6</v>
      </c>
      <c r="F78" s="21">
        <v>186525</v>
      </c>
      <c r="G78" s="42">
        <v>-0.19400000000000001</v>
      </c>
      <c r="H78" s="21" t="s">
        <v>1684</v>
      </c>
      <c r="I78" s="39" t="str">
        <f ca="1">IFERROR(__xludf.DUMMYFUNCTION("IF(SUM(COUNTIF(artists!A:A, SPLIT(D78, "",""))) &gt; 0, ""UA"", 0)"),"UA")</f>
        <v>UA</v>
      </c>
      <c r="J78" s="40">
        <f ca="1">IFERROR(__xludf.DUMMYFUNCTION("IF(SUM(COUNTIF(artists!C:C, SPLIT(D78, "",""))) &gt; 0, ""RU"", 0)"),0)</f>
        <v>0</v>
      </c>
      <c r="K78" s="39">
        <f ca="1">IFERROR(__xludf.DUMMYFUNCTION("IF(SUM(COUNTIF(artists!E:E, SPLIT(D78, "",""))) &gt; 0, ""OTHER"", 0)"),0)</f>
        <v>0</v>
      </c>
    </row>
    <row r="79" spans="1:11" ht="14.25" customHeight="1">
      <c r="A79" s="21">
        <v>78</v>
      </c>
      <c r="B79" s="21">
        <v>89</v>
      </c>
      <c r="C79" s="21" t="s">
        <v>1588</v>
      </c>
      <c r="D79" s="21" t="s">
        <v>776</v>
      </c>
      <c r="E79" s="21">
        <v>16</v>
      </c>
      <c r="F79" s="21">
        <v>186224</v>
      </c>
      <c r="G79" s="42">
        <v>5.1999999999999998E-2</v>
      </c>
      <c r="H79" s="21" t="s">
        <v>1589</v>
      </c>
      <c r="I79" s="39" t="str">
        <f ca="1">IFERROR(__xludf.DUMMYFUNCTION("IF(SUM(COUNTIF(artists!A:A, SPLIT(D79, "",""))) &gt; 0, ""UA"", 0)"),"UA")</f>
        <v>UA</v>
      </c>
      <c r="J79" s="40">
        <f ca="1">IFERROR(__xludf.DUMMYFUNCTION("IF(SUM(COUNTIF(artists!C:C, SPLIT(D79, "",""))) &gt; 0, ""RU"", 0)"),0)</f>
        <v>0</v>
      </c>
      <c r="K79" s="39">
        <f ca="1">IFERROR(__xludf.DUMMYFUNCTION("IF(SUM(COUNTIF(artists!E:E, SPLIT(D79, "",""))) &gt; 0, ""OTHER"", 0)"),0)</f>
        <v>0</v>
      </c>
    </row>
    <row r="80" spans="1:11" ht="14.25" customHeight="1">
      <c r="A80" s="21">
        <v>79</v>
      </c>
      <c r="C80" s="21" t="s">
        <v>1672</v>
      </c>
      <c r="D80" s="21" t="s">
        <v>1439</v>
      </c>
      <c r="E80" s="21">
        <v>1</v>
      </c>
      <c r="F80" s="21">
        <v>185927</v>
      </c>
      <c r="H80" s="21" t="s">
        <v>1673</v>
      </c>
      <c r="I80" s="39" t="str">
        <f ca="1">IFERROR(__xludf.DUMMYFUNCTION("IF(SUM(COUNTIF(artists!A:A, SPLIT(D80, "",""))) &gt; 0, ""UA"", 0)"),"UA")</f>
        <v>UA</v>
      </c>
      <c r="J80" s="40">
        <f ca="1">IFERROR(__xludf.DUMMYFUNCTION("IF(SUM(COUNTIF(artists!C:C, SPLIT(D80, "",""))) &gt; 0, ""RU"", 0)"),0)</f>
        <v>0</v>
      </c>
      <c r="K80" s="39">
        <f ca="1">IFERROR(__xludf.DUMMYFUNCTION("IF(SUM(COUNTIF(artists!E:E, SPLIT(D80, "",""))) &gt; 0, ""OTHER"", 0)"),0)</f>
        <v>0</v>
      </c>
    </row>
    <row r="81" spans="1:11" ht="14.25" customHeight="1">
      <c r="A81" s="21">
        <v>80</v>
      </c>
      <c r="B81" s="21">
        <v>90</v>
      </c>
      <c r="C81" s="21" t="s">
        <v>636</v>
      </c>
      <c r="D81" s="21" t="s">
        <v>637</v>
      </c>
      <c r="E81" s="21">
        <v>4</v>
      </c>
      <c r="F81" s="21">
        <v>179875</v>
      </c>
      <c r="G81" s="42">
        <v>1.7999999999999999E-2</v>
      </c>
      <c r="H81" s="21" t="s">
        <v>638</v>
      </c>
      <c r="I81" s="39">
        <f ca="1">IFERROR(__xludf.DUMMYFUNCTION("IF(SUM(COUNTIF(artists!A:A, SPLIT(D81, "",""))) &gt; 0, ""UA"", 0)"),0)</f>
        <v>0</v>
      </c>
      <c r="J81" s="40">
        <f ca="1">IFERROR(__xludf.DUMMYFUNCTION("IF(SUM(COUNTIF(artists!C:C, SPLIT(D81, "",""))) &gt; 0, ""RU"", 0)"),0)</f>
        <v>0</v>
      </c>
      <c r="K81" s="39" t="str">
        <f ca="1">IFERROR(__xludf.DUMMYFUNCTION("IF(SUM(COUNTIF(artists!E:E, SPLIT(D81, "",""))) &gt; 0, ""OTHER"", 0)"),"OTHER")</f>
        <v>OTHER</v>
      </c>
    </row>
    <row r="82" spans="1:11" ht="14.25" customHeight="1">
      <c r="A82" s="21">
        <v>81</v>
      </c>
      <c r="B82" s="21">
        <v>88</v>
      </c>
      <c r="C82" s="21" t="s">
        <v>1692</v>
      </c>
      <c r="D82" s="21" t="s">
        <v>1693</v>
      </c>
      <c r="E82" s="21">
        <v>5</v>
      </c>
      <c r="F82" s="21">
        <v>179379</v>
      </c>
      <c r="G82" s="42">
        <v>3.0000000000000001E-3</v>
      </c>
      <c r="H82" s="21" t="s">
        <v>1694</v>
      </c>
      <c r="I82" s="39" t="str">
        <f ca="1">IFERROR(__xludf.DUMMYFUNCTION("IF(SUM(COUNTIF(artists!A:A, SPLIT(D82, "",""))) &gt; 0, ""UA"", 0)"),"UA")</f>
        <v>UA</v>
      </c>
      <c r="J82" s="40">
        <f ca="1">IFERROR(__xludf.DUMMYFUNCTION("IF(SUM(COUNTIF(artists!C:C, SPLIT(D82, "",""))) &gt; 0, ""RU"", 0)"),0)</f>
        <v>0</v>
      </c>
      <c r="K82" s="39">
        <f ca="1">IFERROR(__xludf.DUMMYFUNCTION("IF(SUM(COUNTIF(artists!E:E, SPLIT(D82, "",""))) &gt; 0, ""OTHER"", 0)"),0)</f>
        <v>0</v>
      </c>
    </row>
    <row r="83" spans="1:11" ht="14.25" customHeight="1">
      <c r="A83" s="21">
        <v>82</v>
      </c>
      <c r="B83" s="21">
        <v>69</v>
      </c>
      <c r="C83" s="21" t="s">
        <v>1690</v>
      </c>
      <c r="D83" s="21" t="s">
        <v>259</v>
      </c>
      <c r="E83" s="21">
        <v>8</v>
      </c>
      <c r="F83" s="21">
        <v>178437</v>
      </c>
      <c r="G83" s="42">
        <v>-0.188</v>
      </c>
      <c r="H83" s="21" t="s">
        <v>1691</v>
      </c>
      <c r="I83" s="39" t="str">
        <f ca="1">IFERROR(__xludf.DUMMYFUNCTION("IF(SUM(COUNTIF(artists!A:A, SPLIT(D83, "",""))) &gt; 0, ""UA"", 0)"),"UA")</f>
        <v>UA</v>
      </c>
      <c r="J83" s="40">
        <f ca="1">IFERROR(__xludf.DUMMYFUNCTION("IF(SUM(COUNTIF(artists!C:C, SPLIT(D83, "",""))) &gt; 0, ""RU"", 0)"),0)</f>
        <v>0</v>
      </c>
      <c r="K83" s="39">
        <f ca="1">IFERROR(__xludf.DUMMYFUNCTION("IF(SUM(COUNTIF(artists!E:E, SPLIT(D83, "",""))) &gt; 0, ""OTHER"", 0)"),0)</f>
        <v>0</v>
      </c>
    </row>
    <row r="84" spans="1:11" ht="14.25" customHeight="1">
      <c r="A84" s="21">
        <v>83</v>
      </c>
      <c r="B84" s="21">
        <v>78</v>
      </c>
      <c r="C84" s="21" t="s">
        <v>1698</v>
      </c>
      <c r="D84" s="21" t="s">
        <v>1699</v>
      </c>
      <c r="E84" s="21">
        <v>5</v>
      </c>
      <c r="F84" s="21">
        <v>176095</v>
      </c>
      <c r="G84" s="42">
        <v>-9.8000000000000004E-2</v>
      </c>
      <c r="H84" s="21" t="s">
        <v>1700</v>
      </c>
      <c r="I84" s="39">
        <f ca="1">IFERROR(__xludf.DUMMYFUNCTION("IF(SUM(COUNTIF(artists!A:A, SPLIT(D84, "",""))) &gt; 0, ""UA"", 0)"),0)</f>
        <v>0</v>
      </c>
      <c r="J84" s="40" t="str">
        <f ca="1">IFERROR(__xludf.DUMMYFUNCTION("IF(SUM(COUNTIF(artists!C:C, SPLIT(D84, "",""))) &gt; 0, ""RU"", 0)"),"RU")</f>
        <v>RU</v>
      </c>
      <c r="K84" s="39">
        <f ca="1">IFERROR(__xludf.DUMMYFUNCTION("IF(SUM(COUNTIF(artists!E:E, SPLIT(D84, "",""))) &gt; 0, ""OTHER"", 0)"),0)</f>
        <v>0</v>
      </c>
    </row>
    <row r="85" spans="1:11" ht="14.25" customHeight="1">
      <c r="A85" s="21">
        <v>84</v>
      </c>
      <c r="C85" s="21" t="s">
        <v>1645</v>
      </c>
      <c r="D85" s="21" t="s">
        <v>1646</v>
      </c>
      <c r="E85" s="21">
        <v>1</v>
      </c>
      <c r="F85" s="21">
        <v>175524</v>
      </c>
      <c r="H85" s="21" t="s">
        <v>1647</v>
      </c>
      <c r="I85" s="39">
        <f ca="1">IFERROR(__xludf.DUMMYFUNCTION("IF(SUM(COUNTIF(artists!A:A, SPLIT(D85, "",""))) &gt; 0, ""UA"", 0)"),0)</f>
        <v>0</v>
      </c>
      <c r="J85" s="40" t="str">
        <f ca="1">IFERROR(__xludf.DUMMYFUNCTION("IF(SUM(COUNTIF(artists!C:C, SPLIT(D85, "",""))) &gt; 0, ""RU"", 0)"),"RU")</f>
        <v>RU</v>
      </c>
      <c r="K85" s="39">
        <f ca="1">IFERROR(__xludf.DUMMYFUNCTION("IF(SUM(COUNTIF(artists!E:E, SPLIT(D85, "",""))) &gt; 0, ""OTHER"", 0)"),0)</f>
        <v>0</v>
      </c>
    </row>
    <row r="86" spans="1:11" ht="14.25" customHeight="1">
      <c r="A86" s="21">
        <v>85</v>
      </c>
      <c r="B86" s="21">
        <v>82</v>
      </c>
      <c r="C86" s="21" t="s">
        <v>1369</v>
      </c>
      <c r="D86" s="21" t="s">
        <v>1370</v>
      </c>
      <c r="E86" s="21">
        <v>13</v>
      </c>
      <c r="F86" s="21">
        <v>175158</v>
      </c>
      <c r="G86" s="42">
        <v>-6.4000000000000001E-2</v>
      </c>
      <c r="H86" s="21" t="s">
        <v>1371</v>
      </c>
      <c r="I86" s="39" t="str">
        <f ca="1">IFERROR(__xludf.DUMMYFUNCTION("IF(SUM(COUNTIF(artists!A:A, SPLIT(D86, "",""))) &gt; 0, ""UA"", 0)"),"UA")</f>
        <v>UA</v>
      </c>
      <c r="J86" s="40">
        <f ca="1">IFERROR(__xludf.DUMMYFUNCTION("IF(SUM(COUNTIF(artists!C:C, SPLIT(D86, "",""))) &gt; 0, ""RU"", 0)"),0)</f>
        <v>0</v>
      </c>
      <c r="K86" s="39">
        <f ca="1">IFERROR(__xludf.DUMMYFUNCTION("IF(SUM(COUNTIF(artists!E:E, SPLIT(D86, "",""))) &gt; 0, ""OTHER"", 0)"),0)</f>
        <v>0</v>
      </c>
    </row>
    <row r="87" spans="1:11" ht="14.25" customHeight="1">
      <c r="A87" s="21">
        <v>86</v>
      </c>
      <c r="B87" s="21">
        <v>96</v>
      </c>
      <c r="C87" s="21" t="s">
        <v>1601</v>
      </c>
      <c r="D87" s="21" t="s">
        <v>1602</v>
      </c>
      <c r="E87" s="21">
        <v>16</v>
      </c>
      <c r="F87" s="21">
        <v>174311</v>
      </c>
      <c r="G87" s="42">
        <v>6.0999999999999999E-2</v>
      </c>
      <c r="H87" s="21" t="s">
        <v>1603</v>
      </c>
      <c r="I87" s="39">
        <f ca="1">IFERROR(__xludf.DUMMYFUNCTION("IF(SUM(COUNTIF(artists!A:A, SPLIT(D87, "",""))) &gt; 0, ""UA"", 0)"),0)</f>
        <v>0</v>
      </c>
      <c r="J87" s="40" t="str">
        <f ca="1">IFERROR(__xludf.DUMMYFUNCTION("IF(SUM(COUNTIF(artists!C:C, SPLIT(D87, "",""))) &gt; 0, ""RU"", 0)"),"RU")</f>
        <v>RU</v>
      </c>
      <c r="K87" s="39">
        <f ca="1">IFERROR(__xludf.DUMMYFUNCTION("IF(SUM(COUNTIF(artists!E:E, SPLIT(D87, "",""))) &gt; 0, ""OTHER"", 0)"),0)</f>
        <v>0</v>
      </c>
    </row>
    <row r="88" spans="1:11" ht="14.25" customHeight="1">
      <c r="A88" s="21">
        <v>87</v>
      </c>
      <c r="B88" s="21">
        <v>93</v>
      </c>
      <c r="C88" s="21" t="s">
        <v>1491</v>
      </c>
      <c r="D88" s="21" t="s">
        <v>1492</v>
      </c>
      <c r="E88" s="21">
        <v>3</v>
      </c>
      <c r="F88" s="21">
        <v>173368</v>
      </c>
      <c r="G88" s="42">
        <v>2.3E-2</v>
      </c>
      <c r="H88" s="21" t="s">
        <v>1493</v>
      </c>
      <c r="I88" s="39" t="str">
        <f ca="1">IFERROR(__xludf.DUMMYFUNCTION("IF(SUM(COUNTIF(artists!A:A, SPLIT(D88, "",""))) &gt; 0, ""UA"", 0)"),"UA")</f>
        <v>UA</v>
      </c>
      <c r="J88" s="40">
        <f ca="1">IFERROR(__xludf.DUMMYFUNCTION("IF(SUM(COUNTIF(artists!C:C, SPLIT(D88, "",""))) &gt; 0, ""RU"", 0)"),0)</f>
        <v>0</v>
      </c>
      <c r="K88" s="39">
        <f ca="1">IFERROR(__xludf.DUMMYFUNCTION("IF(SUM(COUNTIF(artists!E:E, SPLIT(D88, "",""))) &gt; 0, ""OTHER"", 0)"),0)</f>
        <v>0</v>
      </c>
    </row>
    <row r="89" spans="1:11" ht="14.25" customHeight="1">
      <c r="A89" s="21">
        <v>88</v>
      </c>
      <c r="B89" s="21">
        <v>84</v>
      </c>
      <c r="C89" s="21" t="s">
        <v>1614</v>
      </c>
      <c r="D89" s="21" t="s">
        <v>1027</v>
      </c>
      <c r="E89" s="21">
        <v>10</v>
      </c>
      <c r="F89" s="21">
        <v>169214</v>
      </c>
      <c r="G89" s="42">
        <v>-7.4999999999999997E-2</v>
      </c>
      <c r="H89" s="21" t="s">
        <v>1615</v>
      </c>
      <c r="I89" s="39" t="str">
        <f ca="1">IFERROR(__xludf.DUMMYFUNCTION("IF(SUM(COUNTIF(artists!A:A, SPLIT(D89, "",""))) &gt; 0, ""UA"", 0)"),"UA")</f>
        <v>UA</v>
      </c>
      <c r="J89" s="40">
        <f ca="1">IFERROR(__xludf.DUMMYFUNCTION("IF(SUM(COUNTIF(artists!C:C, SPLIT(D89, "",""))) &gt; 0, ""RU"", 0)"),0)</f>
        <v>0</v>
      </c>
      <c r="K89" s="39">
        <f ca="1">IFERROR(__xludf.DUMMYFUNCTION("IF(SUM(COUNTIF(artists!E:E, SPLIT(D89, "",""))) &gt; 0, ""OTHER"", 0)"),0)</f>
        <v>0</v>
      </c>
    </row>
    <row r="90" spans="1:11" ht="14.25" customHeight="1">
      <c r="A90" s="21">
        <v>89</v>
      </c>
      <c r="C90" s="21" t="s">
        <v>1701</v>
      </c>
      <c r="D90" s="21" t="s">
        <v>1702</v>
      </c>
      <c r="E90" s="21">
        <v>1</v>
      </c>
      <c r="F90" s="21">
        <v>167803</v>
      </c>
      <c r="H90" s="21" t="s">
        <v>1703</v>
      </c>
      <c r="I90" s="39">
        <f ca="1">IFERROR(__xludf.DUMMYFUNCTION("IF(SUM(COUNTIF(artists!A:A, SPLIT(D90, "",""))) &gt; 0, ""UA"", 0)"),0)</f>
        <v>0</v>
      </c>
      <c r="J90" s="40" t="str">
        <f ca="1">IFERROR(__xludf.DUMMYFUNCTION("IF(SUM(COUNTIF(artists!C:C, SPLIT(D90, "",""))) &gt; 0, ""RU"", 0)"),"RU")</f>
        <v>RU</v>
      </c>
      <c r="K90" s="39">
        <f ca="1">IFERROR(__xludf.DUMMYFUNCTION("IF(SUM(COUNTIF(artists!E:E, SPLIT(D90, "",""))) &gt; 0, ""OTHER"", 0)"),0)</f>
        <v>0</v>
      </c>
    </row>
    <row r="91" spans="1:11" ht="14.25" customHeight="1">
      <c r="A91" s="21">
        <v>90</v>
      </c>
      <c r="B91" s="21">
        <v>66</v>
      </c>
      <c r="C91" s="21" t="s">
        <v>1551</v>
      </c>
      <c r="D91" s="21" t="s">
        <v>1344</v>
      </c>
      <c r="E91" s="21">
        <v>4</v>
      </c>
      <c r="F91" s="21">
        <v>167667</v>
      </c>
      <c r="G91" s="42">
        <v>-0.26100000000000001</v>
      </c>
      <c r="H91" s="21" t="s">
        <v>1552</v>
      </c>
      <c r="I91" s="39" t="str">
        <f ca="1">IFERROR(__xludf.DUMMYFUNCTION("IF(SUM(COUNTIF(artists!A:A, SPLIT(D91, "",""))) &gt; 0, ""UA"", 0)"),"UA")</f>
        <v>UA</v>
      </c>
      <c r="J91" s="40">
        <f ca="1">IFERROR(__xludf.DUMMYFUNCTION("IF(SUM(COUNTIF(artists!C:C, SPLIT(D91, "",""))) &gt; 0, ""RU"", 0)"),0)</f>
        <v>0</v>
      </c>
      <c r="K91" s="39">
        <f ca="1">IFERROR(__xludf.DUMMYFUNCTION("IF(SUM(COUNTIF(artists!E:E, SPLIT(D91, "",""))) &gt; 0, ""OTHER"", 0)"),0)</f>
        <v>0</v>
      </c>
    </row>
    <row r="92" spans="1:11" ht="14.25" customHeight="1">
      <c r="A92" s="21">
        <v>91</v>
      </c>
      <c r="B92" s="21">
        <v>91</v>
      </c>
      <c r="C92" s="21" t="s">
        <v>1546</v>
      </c>
      <c r="D92" s="21" t="s">
        <v>1429</v>
      </c>
      <c r="E92" s="21">
        <v>9</v>
      </c>
      <c r="F92" s="21">
        <v>166554</v>
      </c>
      <c r="G92" s="42">
        <v>-4.4999999999999998E-2</v>
      </c>
      <c r="H92" s="21" t="s">
        <v>1547</v>
      </c>
      <c r="I92" s="39" t="str">
        <f ca="1">IFERROR(__xludf.DUMMYFUNCTION("IF(SUM(COUNTIF(artists!A:A, SPLIT(D92, "",""))) &gt; 0, ""UA"", 0)"),"UA")</f>
        <v>UA</v>
      </c>
      <c r="J92" s="40">
        <f ca="1">IFERROR(__xludf.DUMMYFUNCTION("IF(SUM(COUNTIF(artists!C:C, SPLIT(D92, "",""))) &gt; 0, ""RU"", 0)"),0)</f>
        <v>0</v>
      </c>
      <c r="K92" s="39">
        <f ca="1">IFERROR(__xludf.DUMMYFUNCTION("IF(SUM(COUNTIF(artists!E:E, SPLIT(D92, "",""))) &gt; 0, ""OTHER"", 0)"),0)</f>
        <v>0</v>
      </c>
    </row>
    <row r="93" spans="1:11" ht="14.25" customHeight="1">
      <c r="A93" s="21">
        <v>92</v>
      </c>
      <c r="B93" s="21">
        <v>98</v>
      </c>
      <c r="C93" s="21" t="s">
        <v>1659</v>
      </c>
      <c r="D93" s="21" t="s">
        <v>1660</v>
      </c>
      <c r="E93" s="21">
        <v>12</v>
      </c>
      <c r="F93" s="21">
        <v>165571</v>
      </c>
      <c r="G93" s="42">
        <v>4.1000000000000002E-2</v>
      </c>
      <c r="H93" s="21" t="s">
        <v>1661</v>
      </c>
      <c r="I93" s="39">
        <f ca="1">IFERROR(__xludf.DUMMYFUNCTION("IF(SUM(COUNTIF(artists!A:A, SPLIT(D93, "",""))) &gt; 0, ""UA"", 0)"),0)</f>
        <v>0</v>
      </c>
      <c r="J93" s="40" t="str">
        <f ca="1">IFERROR(__xludf.DUMMYFUNCTION("IF(SUM(COUNTIF(artists!C:C, SPLIT(D93, "",""))) &gt; 0, ""RU"", 0)"),"RU")</f>
        <v>RU</v>
      </c>
      <c r="K93" s="39">
        <f ca="1">IFERROR(__xludf.DUMMYFUNCTION("IF(SUM(COUNTIF(artists!E:E, SPLIT(D93, "",""))) &gt; 0, ""OTHER"", 0)"),0)</f>
        <v>0</v>
      </c>
    </row>
    <row r="94" spans="1:11" ht="14.25" customHeight="1">
      <c r="A94" s="21">
        <v>93</v>
      </c>
      <c r="B94" s="21">
        <v>92</v>
      </c>
      <c r="C94" s="21" t="s">
        <v>1416</v>
      </c>
      <c r="D94" s="21" t="s">
        <v>137</v>
      </c>
      <c r="E94" s="21">
        <v>8</v>
      </c>
      <c r="F94" s="21">
        <v>162744</v>
      </c>
      <c r="G94" s="42">
        <v>-4.7E-2</v>
      </c>
      <c r="H94" s="21" t="s">
        <v>1417</v>
      </c>
      <c r="I94" s="39" t="str">
        <f ca="1">IFERROR(__xludf.DUMMYFUNCTION("IF(SUM(COUNTIF(artists!A:A, SPLIT(D94, "",""))) &gt; 0, ""UA"", 0)"),"UA")</f>
        <v>UA</v>
      </c>
      <c r="J94" s="40">
        <f ca="1">IFERROR(__xludf.DUMMYFUNCTION("IF(SUM(COUNTIF(artists!C:C, SPLIT(D94, "",""))) &gt; 0, ""RU"", 0)"),0)</f>
        <v>0</v>
      </c>
      <c r="K94" s="39">
        <f ca="1">IFERROR(__xludf.DUMMYFUNCTION("IF(SUM(COUNTIF(artists!E:E, SPLIT(D94, "",""))) &gt; 0, ""OTHER"", 0)"),0)</f>
        <v>0</v>
      </c>
    </row>
    <row r="95" spans="1:11" ht="14.25" customHeight="1">
      <c r="A95" s="21">
        <v>94</v>
      </c>
      <c r="B95" s="21">
        <v>79</v>
      </c>
      <c r="C95" s="21" t="s">
        <v>1685</v>
      </c>
      <c r="D95" s="21" t="s">
        <v>1185</v>
      </c>
      <c r="E95" s="21">
        <v>2</v>
      </c>
      <c r="F95" s="21">
        <v>162191</v>
      </c>
      <c r="G95" s="42">
        <v>-0.16600000000000001</v>
      </c>
      <c r="H95" s="21" t="s">
        <v>1686</v>
      </c>
      <c r="I95" s="39">
        <f ca="1">IFERROR(__xludf.DUMMYFUNCTION("IF(SUM(COUNTIF(artists!A:A, SPLIT(D95, "",""))) &gt; 0, ""UA"", 0)"),0)</f>
        <v>0</v>
      </c>
      <c r="J95" s="40">
        <f ca="1">IFERROR(__xludf.DUMMYFUNCTION("IF(SUM(COUNTIF(artists!C:C, SPLIT(D95, "",""))) &gt; 0, ""RU"", 0)"),0)</f>
        <v>0</v>
      </c>
      <c r="K95" s="39" t="str">
        <f ca="1">IFERROR(__xludf.DUMMYFUNCTION("IF(SUM(COUNTIF(artists!E:E, SPLIT(D95, "",""))) &gt; 0, ""OTHER"", 0)"),"OTHER")</f>
        <v>OTHER</v>
      </c>
    </row>
    <row r="96" spans="1:11" ht="14.25" customHeight="1">
      <c r="A96" s="21">
        <v>95</v>
      </c>
      <c r="B96" s="21">
        <v>86</v>
      </c>
      <c r="C96" s="21" t="s">
        <v>1704</v>
      </c>
      <c r="D96" s="21" t="s">
        <v>1503</v>
      </c>
      <c r="E96" s="21">
        <v>6</v>
      </c>
      <c r="F96" s="21">
        <v>161375</v>
      </c>
      <c r="G96" s="42">
        <v>-0.107</v>
      </c>
      <c r="H96" s="21" t="s">
        <v>1705</v>
      </c>
      <c r="I96" s="39" t="str">
        <f ca="1">IFERROR(__xludf.DUMMYFUNCTION("IF(SUM(COUNTIF(artists!A:A, SPLIT(D96, "",""))) &gt; 0, ""UA"", 0)"),"UA")</f>
        <v>UA</v>
      </c>
      <c r="J96" s="40">
        <f ca="1">IFERROR(__xludf.DUMMYFUNCTION("IF(SUM(COUNTIF(artists!C:C, SPLIT(D96, "",""))) &gt; 0, ""RU"", 0)"),0)</f>
        <v>0</v>
      </c>
      <c r="K96" s="39">
        <f ca="1">IFERROR(__xludf.DUMMYFUNCTION("IF(SUM(COUNTIF(artists!E:E, SPLIT(D96, "",""))) &gt; 0, ""OTHER"", 0)"),0)</f>
        <v>0</v>
      </c>
    </row>
    <row r="97" spans="1:11" ht="14.25" customHeight="1">
      <c r="A97" s="21">
        <v>96</v>
      </c>
      <c r="C97" s="21" t="s">
        <v>1706</v>
      </c>
      <c r="D97" s="21" t="s">
        <v>975</v>
      </c>
      <c r="E97" s="21">
        <v>1</v>
      </c>
      <c r="F97" s="21">
        <v>160714</v>
      </c>
      <c r="H97" s="21" t="s">
        <v>1707</v>
      </c>
      <c r="I97" s="39" t="str">
        <f ca="1">IFERROR(__xludf.DUMMYFUNCTION("IF(SUM(COUNTIF(artists!A:A, SPLIT(D97, "",""))) &gt; 0, ""UA"", 0)"),"UA")</f>
        <v>UA</v>
      </c>
      <c r="J97" s="40">
        <f ca="1">IFERROR(__xludf.DUMMYFUNCTION("IF(SUM(COUNTIF(artists!C:C, SPLIT(D97, "",""))) &gt; 0, ""RU"", 0)"),0)</f>
        <v>0</v>
      </c>
      <c r="K97" s="39">
        <f ca="1">IFERROR(__xludf.DUMMYFUNCTION("IF(SUM(COUNTIF(artists!E:E, SPLIT(D97, "",""))) &gt; 0, ""OTHER"", 0)"),0)</f>
        <v>0</v>
      </c>
    </row>
    <row r="98" spans="1:11" ht="14.25" customHeight="1">
      <c r="A98" s="21">
        <v>97</v>
      </c>
      <c r="C98" s="21" t="s">
        <v>1681</v>
      </c>
      <c r="D98" s="21" t="s">
        <v>310</v>
      </c>
      <c r="E98" s="21">
        <v>1</v>
      </c>
      <c r="F98" s="21">
        <v>159079</v>
      </c>
      <c r="H98" s="21" t="s">
        <v>1682</v>
      </c>
      <c r="I98" s="39">
        <f ca="1">IFERROR(__xludf.DUMMYFUNCTION("IF(SUM(COUNTIF(artists!A:A, SPLIT(D98, "",""))) &gt; 0, ""UA"", 0)"),0)</f>
        <v>0</v>
      </c>
      <c r="J98" s="40">
        <f ca="1">IFERROR(__xludf.DUMMYFUNCTION("IF(SUM(COUNTIF(artists!C:C, SPLIT(D98, "",""))) &gt; 0, ""RU"", 0)"),0)</f>
        <v>0</v>
      </c>
      <c r="K98" s="39" t="str">
        <f ca="1">IFERROR(__xludf.DUMMYFUNCTION("IF(SUM(COUNTIF(artists!E:E, SPLIT(D98, "",""))) &gt; 0, ""OTHER"", 0)"),"OTHER")</f>
        <v>OTHER</v>
      </c>
    </row>
    <row r="99" spans="1:11" ht="14.25" customHeight="1">
      <c r="A99" s="21">
        <v>98</v>
      </c>
      <c r="C99" s="21" t="s">
        <v>1678</v>
      </c>
      <c r="D99" s="21" t="s">
        <v>1679</v>
      </c>
      <c r="E99" s="21">
        <v>36</v>
      </c>
      <c r="F99" s="21">
        <v>158309</v>
      </c>
      <c r="H99" s="21" t="s">
        <v>1680</v>
      </c>
      <c r="I99" s="39">
        <f ca="1">IFERROR(__xludf.DUMMYFUNCTION("IF(SUM(COUNTIF(artists!A:A, SPLIT(D99, "",""))) &gt; 0, ""UA"", 0)"),0)</f>
        <v>0</v>
      </c>
      <c r="J99" s="40" t="str">
        <f ca="1">IFERROR(__xludf.DUMMYFUNCTION("IF(SUM(COUNTIF(artists!C:C, SPLIT(D99, "",""))) &gt; 0, ""RU"", 0)"),"RU")</f>
        <v>RU</v>
      </c>
      <c r="K99" s="39">
        <f ca="1">IFERROR(__xludf.DUMMYFUNCTION("IF(SUM(COUNTIF(artists!E:E, SPLIT(D99, "",""))) &gt; 0, ""OTHER"", 0)"),0)</f>
        <v>0</v>
      </c>
    </row>
    <row r="100" spans="1:11" ht="14.25" customHeight="1">
      <c r="A100" s="21">
        <v>99</v>
      </c>
      <c r="B100" s="21">
        <v>94</v>
      </c>
      <c r="C100" s="21" t="s">
        <v>1708</v>
      </c>
      <c r="D100" s="21" t="s">
        <v>969</v>
      </c>
      <c r="E100" s="21">
        <v>3</v>
      </c>
      <c r="F100" s="21">
        <v>158293</v>
      </c>
      <c r="G100" s="42">
        <v>-6.4000000000000001E-2</v>
      </c>
      <c r="H100" s="21" t="s">
        <v>1709</v>
      </c>
      <c r="I100" s="39" t="str">
        <f ca="1">IFERROR(__xludf.DUMMYFUNCTION("IF(SUM(COUNTIF(artists!A:A, SPLIT(D100, "",""))) &gt; 0, ""UA"", 0)"),"UA")</f>
        <v>UA</v>
      </c>
      <c r="J100" s="40">
        <f ca="1">IFERROR(__xludf.DUMMYFUNCTION("IF(SUM(COUNTIF(artists!C:C, SPLIT(D100, "",""))) &gt; 0, ""RU"", 0)"),0)</f>
        <v>0</v>
      </c>
      <c r="K100" s="39">
        <f ca="1">IFERROR(__xludf.DUMMYFUNCTION("IF(SUM(COUNTIF(artists!E:E, SPLIT(D100, "",""))) &gt; 0, ""OTHER"", 0)"),0)</f>
        <v>0</v>
      </c>
    </row>
    <row r="101" spans="1:11" ht="14.25" customHeight="1">
      <c r="A101" s="21">
        <v>100</v>
      </c>
      <c r="C101" s="21" t="s">
        <v>1710</v>
      </c>
      <c r="D101" s="21" t="s">
        <v>1711</v>
      </c>
      <c r="E101" s="21">
        <v>1</v>
      </c>
      <c r="F101" s="21">
        <v>158037</v>
      </c>
      <c r="H101" s="21" t="s">
        <v>1712</v>
      </c>
      <c r="I101" s="39" t="str">
        <f ca="1">IFERROR(__xludf.DUMMYFUNCTION("IF(SUM(COUNTIF(artists!A:A, SPLIT(D101, "",""))) &gt; 0, ""UA"", 0)"),"UA")</f>
        <v>UA</v>
      </c>
      <c r="J101" s="40">
        <f ca="1">IFERROR(__xludf.DUMMYFUNCTION("IF(SUM(COUNTIF(artists!C:C, SPLIT(D101, "",""))) &gt; 0, ""RU"", 0)"),0)</f>
        <v>0</v>
      </c>
      <c r="K101" s="39">
        <f ca="1">IFERROR(__xludf.DUMMYFUNCTION("IF(SUM(COUNTIF(artists!E:E, SPLIT(D101, "",""))) &gt; 0, ""OTHER"", 0)"),0)</f>
        <v>0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41" priority="1">
      <formula>AND($I2=0, $J2=0, $K2=0)</formula>
    </cfRule>
    <cfRule type="expression" dxfId="40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Аркуш43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4" width="8.6640625" customWidth="1"/>
    <col min="5" max="5" width="8.6640625" hidden="1" customWidth="1"/>
    <col min="6" max="6" width="8.6640625" customWidth="1"/>
    <col min="7" max="7" width="13.10937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B2" s="21">
        <v>4</v>
      </c>
      <c r="C2" s="21" t="s">
        <v>645</v>
      </c>
      <c r="D2" s="21" t="s">
        <v>352</v>
      </c>
      <c r="E2" s="21">
        <v>15</v>
      </c>
      <c r="F2" s="21">
        <v>5518015</v>
      </c>
      <c r="G2" s="42">
        <v>3.4769999999999999</v>
      </c>
      <c r="H2" s="21" t="s">
        <v>647</v>
      </c>
      <c r="I2" s="39" t="str">
        <f ca="1">IFERROR(__xludf.DUMMYFUNCTION("IF(SUM(COUNTIF(artists!A:A, SPLIT(D2, "",""))) &gt; 0, ""UA"", 0)"),"UA")</f>
        <v>UA</v>
      </c>
      <c r="J2" s="40">
        <f ca="1">IFERROR(__xludf.DUMMYFUNCTION("IF(SUM(COUNTIF(artists!C:C, SPLIT(D2, "",""))) &gt; 0, ""RU"", 0)"),0)</f>
        <v>0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B3" s="21">
        <v>1</v>
      </c>
      <c r="C3" s="21" t="s">
        <v>194</v>
      </c>
      <c r="D3" s="21" t="s">
        <v>195</v>
      </c>
      <c r="E3" s="21">
        <v>5</v>
      </c>
      <c r="F3" s="21">
        <v>1708184</v>
      </c>
      <c r="G3" s="43">
        <v>-0.09</v>
      </c>
      <c r="H3" s="21" t="s">
        <v>197</v>
      </c>
      <c r="I3" s="39" t="str">
        <f ca="1">IFERROR(__xludf.DUMMYFUNCTION("IF(SUM(COUNTIF(artists!A:A, SPLIT(D3, "",""))) &gt; 0, ""UA"", 0)"),"UA")</f>
        <v>UA</v>
      </c>
      <c r="J3" s="40">
        <f ca="1">IFERROR(__xludf.DUMMYFUNCTION("IF(SUM(COUNTIF(artists!C:C, SPLIT(D3, "",""))) &gt; 0, ""RU"", 0)"),0)</f>
        <v>0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B4" s="21">
        <v>3</v>
      </c>
      <c r="C4" s="21" t="s">
        <v>1496</v>
      </c>
      <c r="D4" s="21" t="s">
        <v>969</v>
      </c>
      <c r="E4" s="21">
        <v>52</v>
      </c>
      <c r="F4" s="21">
        <v>1616926</v>
      </c>
      <c r="G4" s="42">
        <v>0.23400000000000001</v>
      </c>
      <c r="H4" s="21" t="s">
        <v>1497</v>
      </c>
      <c r="I4" s="39" t="str">
        <f ca="1">IFERROR(__xludf.DUMMYFUNCTION("IF(SUM(COUNTIF(artists!A:A, SPLIT(D4, "",""))) &gt; 0, ""UA"", 0)"),"UA")</f>
        <v>UA</v>
      </c>
      <c r="J4" s="40">
        <f ca="1">IFERROR(__xludf.DUMMYFUNCTION("IF(SUM(COUNTIF(artists!C:C, SPLIT(D4, "",""))) &gt; 0, ""RU"", 0)"),0)</f>
        <v>0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B5" s="21">
        <v>5</v>
      </c>
      <c r="C5" s="21" t="s">
        <v>1010</v>
      </c>
      <c r="D5" s="21" t="s">
        <v>1011</v>
      </c>
      <c r="E5" s="21">
        <v>3</v>
      </c>
      <c r="F5" s="21">
        <v>1423982</v>
      </c>
      <c r="G5" s="42">
        <v>0.20200000000000001</v>
      </c>
      <c r="H5" s="21" t="s">
        <v>1012</v>
      </c>
      <c r="I5" s="39" t="str">
        <f ca="1">IFERROR(__xludf.DUMMYFUNCTION("IF(SUM(COUNTIF(artists!A:A, SPLIT(D5, "",""))) &gt; 0, ""UA"", 0)"),"UA")</f>
        <v>UA</v>
      </c>
      <c r="J5" s="40">
        <f ca="1">IFERROR(__xludf.DUMMYFUNCTION("IF(SUM(COUNTIF(artists!C:C, SPLIT(D5, "",""))) &gt; 0, ""RU"", 0)"),0)</f>
        <v>0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B6" s="21">
        <v>7</v>
      </c>
      <c r="C6" s="21" t="s">
        <v>895</v>
      </c>
      <c r="D6" s="21" t="s">
        <v>896</v>
      </c>
      <c r="E6" s="21">
        <v>14</v>
      </c>
      <c r="F6" s="21">
        <v>971241</v>
      </c>
      <c r="G6" s="42">
        <v>5.2999999999999999E-2</v>
      </c>
      <c r="H6" s="21" t="s">
        <v>897</v>
      </c>
      <c r="I6" s="39" t="str">
        <f ca="1">IFERROR(__xludf.DUMMYFUNCTION("IF(SUM(COUNTIF(artists!A:A, SPLIT(D6, "",""))) &gt; 0, ""UA"", 0)"),"UA")</f>
        <v>UA</v>
      </c>
      <c r="J6" s="40">
        <f ca="1">IFERROR(__xludf.DUMMYFUNCTION("IF(SUM(COUNTIF(artists!C:C, SPLIT(D6, "",""))) &gt; 0, ""RU"", 0)"),0)</f>
        <v>0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B7" s="21">
        <v>2</v>
      </c>
      <c r="C7" s="21" t="s">
        <v>1287</v>
      </c>
      <c r="D7" s="21" t="s">
        <v>1288</v>
      </c>
      <c r="E7" s="21">
        <v>3</v>
      </c>
      <c r="F7" s="21">
        <v>963741</v>
      </c>
      <c r="G7" s="42">
        <v>-0.29499999999999998</v>
      </c>
      <c r="H7" s="21" t="s">
        <v>1289</v>
      </c>
      <c r="I7" s="39">
        <f ca="1">IFERROR(__xludf.DUMMYFUNCTION("IF(SUM(COUNTIF(artists!A:A, SPLIT(D7, "",""))) &gt; 0, ""UA"", 0)"),0)</f>
        <v>0</v>
      </c>
      <c r="J7" s="40">
        <f ca="1">IFERROR(__xludf.DUMMYFUNCTION("IF(SUM(COUNTIF(artists!C:C, SPLIT(D7, "",""))) &gt; 0, ""RU"", 0)"),0)</f>
        <v>0</v>
      </c>
      <c r="K7" s="39" t="str">
        <f ca="1">IFERROR(__xludf.DUMMYFUNCTION("IF(SUM(COUNTIF(artists!E:E, SPLIT(D7, "",""))) &gt; 0, ""OTHER"", 0)"),"OTHER")</f>
        <v>OTHER</v>
      </c>
    </row>
    <row r="8" spans="1:11" ht="14.25" customHeight="1">
      <c r="A8" s="21">
        <v>7</v>
      </c>
      <c r="B8" s="21">
        <v>6</v>
      </c>
      <c r="C8" s="21" t="s">
        <v>1508</v>
      </c>
      <c r="D8" s="21" t="s">
        <v>776</v>
      </c>
      <c r="E8" s="21">
        <v>6</v>
      </c>
      <c r="F8" s="21">
        <v>833557</v>
      </c>
      <c r="G8" s="42">
        <v>-0.22700000000000001</v>
      </c>
      <c r="H8" s="21" t="s">
        <v>1509</v>
      </c>
      <c r="I8" s="39" t="str">
        <f ca="1">IFERROR(__xludf.DUMMYFUNCTION("IF(SUM(COUNTIF(artists!A:A, SPLIT(D8, "",""))) &gt; 0, ""UA"", 0)"),"UA")</f>
        <v>UA</v>
      </c>
      <c r="J8" s="40">
        <f ca="1">IFERROR(__xludf.DUMMYFUNCTION("IF(SUM(COUNTIF(artists!C:C, SPLIT(D8, "",""))) &gt; 0, ""RU"", 0)"),0)</f>
        <v>0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B9" s="21">
        <v>8</v>
      </c>
      <c r="C9" s="21" t="s">
        <v>1668</v>
      </c>
      <c r="D9" s="21" t="s">
        <v>1358</v>
      </c>
      <c r="E9" s="21">
        <v>7</v>
      </c>
      <c r="F9" s="21">
        <v>811450</v>
      </c>
      <c r="G9" s="42">
        <v>-8.5999999999999993E-2</v>
      </c>
      <c r="H9" s="21" t="s">
        <v>1669</v>
      </c>
      <c r="I9" s="39" t="str">
        <f ca="1">IFERROR(__xludf.DUMMYFUNCTION("IF(SUM(COUNTIF(artists!A:A, SPLIT(D9, "",""))) &gt; 0, ""UA"", 0)"),"UA")</f>
        <v>UA</v>
      </c>
      <c r="J9" s="40">
        <f ca="1">IFERROR(__xludf.DUMMYFUNCTION("IF(SUM(COUNTIF(artists!C:C, SPLIT(D9, "",""))) &gt; 0, ""RU"", 0)"),0)</f>
        <v>0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B10" s="21">
        <v>13</v>
      </c>
      <c r="C10" s="21" t="s">
        <v>175</v>
      </c>
      <c r="D10" s="21" t="s">
        <v>89</v>
      </c>
      <c r="E10" s="21">
        <v>2</v>
      </c>
      <c r="F10" s="21">
        <v>792468</v>
      </c>
      <c r="G10" s="42">
        <v>0.38400000000000001</v>
      </c>
      <c r="H10" s="21" t="s">
        <v>177</v>
      </c>
      <c r="I10" s="39" t="str">
        <f ca="1">IFERROR(__xludf.DUMMYFUNCTION("IF(SUM(COUNTIF(artists!A:A, SPLIT(D10, "",""))) &gt; 0, ""UA"", 0)"),"UA")</f>
        <v>UA</v>
      </c>
      <c r="J10" s="40">
        <f ca="1">IFERROR(__xludf.DUMMYFUNCTION("IF(SUM(COUNTIF(artists!C:C, SPLIT(D10, "",""))) &gt; 0, ""RU"", 0)"),0)</f>
        <v>0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B11" s="21">
        <v>10</v>
      </c>
      <c r="C11" s="21" t="s">
        <v>1383</v>
      </c>
      <c r="D11" s="21" t="s">
        <v>463</v>
      </c>
      <c r="E11" s="21">
        <v>7</v>
      </c>
      <c r="F11" s="21">
        <v>719955</v>
      </c>
      <c r="G11" s="42">
        <v>7.2999999999999995E-2</v>
      </c>
      <c r="H11" s="21" t="s">
        <v>1384</v>
      </c>
      <c r="I11" s="39" t="str">
        <f ca="1">IFERROR(__xludf.DUMMYFUNCTION("IF(SUM(COUNTIF(artists!A:A, SPLIT(D11, "",""))) &gt; 0, ""UA"", 0)"),"UA")</f>
        <v>UA</v>
      </c>
      <c r="J11" s="40">
        <f ca="1">IFERROR(__xludf.DUMMYFUNCTION("IF(SUM(COUNTIF(artists!C:C, SPLIT(D11, "",""))) &gt; 0, ""RU"", 0)"),0)</f>
        <v>0</v>
      </c>
      <c r="K11" s="39">
        <f ca="1">IFERROR(__xludf.DUMMYFUNCTION("IF(SUM(COUNTIF(artists!E:E, SPLIT(D11, "",""))) &gt; 0, ""OTHER"", 0)"),0)</f>
        <v>0</v>
      </c>
    </row>
    <row r="12" spans="1:11" ht="14.25" customHeight="1">
      <c r="A12" s="21">
        <v>11</v>
      </c>
      <c r="C12" s="21" t="s">
        <v>1713</v>
      </c>
      <c r="D12" s="21" t="s">
        <v>969</v>
      </c>
      <c r="E12" s="21">
        <v>26</v>
      </c>
      <c r="F12" s="21">
        <v>699333</v>
      </c>
      <c r="H12" s="21" t="s">
        <v>1714</v>
      </c>
      <c r="I12" s="39" t="str">
        <f ca="1">IFERROR(__xludf.DUMMYFUNCTION("IF(SUM(COUNTIF(artists!A:A, SPLIT(D12, "",""))) &gt; 0, ""UA"", 0)"),"UA")</f>
        <v>UA</v>
      </c>
      <c r="J12" s="40">
        <f ca="1">IFERROR(__xludf.DUMMYFUNCTION("IF(SUM(COUNTIF(artists!C:C, SPLIT(D12, "",""))) &gt; 0, ""RU"", 0)"),0)</f>
        <v>0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B13" s="21">
        <v>19</v>
      </c>
      <c r="C13" s="21" t="s">
        <v>1431</v>
      </c>
      <c r="D13" s="21" t="s">
        <v>969</v>
      </c>
      <c r="E13" s="21">
        <v>30</v>
      </c>
      <c r="F13" s="21">
        <v>578125</v>
      </c>
      <c r="G13" s="43">
        <v>0.4</v>
      </c>
      <c r="H13" s="21" t="s">
        <v>1432</v>
      </c>
      <c r="I13" s="39" t="str">
        <f ca="1">IFERROR(__xludf.DUMMYFUNCTION("IF(SUM(COUNTIF(artists!A:A, SPLIT(D13, "",""))) &gt; 0, ""UA"", 0)"),"UA")</f>
        <v>UA</v>
      </c>
      <c r="J13" s="40">
        <f ca="1">IFERROR(__xludf.DUMMYFUNCTION("IF(SUM(COUNTIF(artists!C:C, SPLIT(D13, "",""))) &gt; 0, ""RU"", 0)"),0)</f>
        <v>0</v>
      </c>
      <c r="K13" s="39">
        <f ca="1">IFERROR(__xludf.DUMMYFUNCTION("IF(SUM(COUNTIF(artists!E:E, SPLIT(D13, "",""))) &gt; 0, ""OTHER"", 0)"),0)</f>
        <v>0</v>
      </c>
    </row>
    <row r="14" spans="1:11" ht="14.25" customHeight="1">
      <c r="A14" s="21">
        <v>13</v>
      </c>
      <c r="B14" s="21">
        <v>11</v>
      </c>
      <c r="C14" s="21" t="s">
        <v>799</v>
      </c>
      <c r="D14" s="21" t="s">
        <v>494</v>
      </c>
      <c r="E14" s="21">
        <v>11</v>
      </c>
      <c r="F14" s="21">
        <v>572298</v>
      </c>
      <c r="G14" s="42">
        <v>-4.8000000000000001E-2</v>
      </c>
      <c r="H14" s="21" t="s">
        <v>800</v>
      </c>
      <c r="I14" s="39" t="str">
        <f ca="1">IFERROR(__xludf.DUMMYFUNCTION("IF(SUM(COUNTIF(artists!A:A, SPLIT(D14, "",""))) &gt; 0, ""UA"", 0)"),"UA")</f>
        <v>UA</v>
      </c>
      <c r="J14" s="40">
        <f ca="1">IFERROR(__xludf.DUMMYFUNCTION("IF(SUM(COUNTIF(artists!C:C, SPLIT(D14, "",""))) &gt; 0, ""RU"", 0)"),0)</f>
        <v>0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C15" s="21" t="s">
        <v>1377</v>
      </c>
      <c r="D15" s="21" t="s">
        <v>463</v>
      </c>
      <c r="E15" s="21">
        <v>1</v>
      </c>
      <c r="F15" s="21">
        <v>546456</v>
      </c>
      <c r="H15" s="21" t="s">
        <v>1378</v>
      </c>
      <c r="I15" s="39" t="str">
        <f ca="1">IFERROR(__xludf.DUMMYFUNCTION("IF(SUM(COUNTIF(artists!A:A, SPLIT(D15, "",""))) &gt; 0, ""UA"", 0)"),"UA")</f>
        <v>UA</v>
      </c>
      <c r="J15" s="40">
        <f ca="1">IFERROR(__xludf.DUMMYFUNCTION("IF(SUM(COUNTIF(artists!C:C, SPLIT(D15, "",""))) &gt; 0, ""RU"", 0)"),0)</f>
        <v>0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B16" s="21">
        <v>9</v>
      </c>
      <c r="C16" s="21" t="s">
        <v>1332</v>
      </c>
      <c r="D16" s="21" t="s">
        <v>1333</v>
      </c>
      <c r="E16" s="21">
        <v>4</v>
      </c>
      <c r="F16" s="21">
        <v>535396</v>
      </c>
      <c r="G16" s="42">
        <v>-0.23899999999999999</v>
      </c>
      <c r="H16" s="21" t="s">
        <v>1334</v>
      </c>
      <c r="I16" s="39" t="str">
        <f ca="1">IFERROR(__xludf.DUMMYFUNCTION("IF(SUM(COUNTIF(artists!A:A, SPLIT(D16, "",""))) &gt; 0, ""UA"", 0)"),"UA")</f>
        <v>UA</v>
      </c>
      <c r="J16" s="40">
        <f ca="1">IFERROR(__xludf.DUMMYFUNCTION("IF(SUM(COUNTIF(artists!C:C, SPLIT(D16, "",""))) &gt; 0, ""RU"", 0)"),0)</f>
        <v>0</v>
      </c>
      <c r="K16" s="39">
        <f ca="1">IFERROR(__xludf.DUMMYFUNCTION("IF(SUM(COUNTIF(artists!E:E, SPLIT(D16, "",""))) &gt; 0, ""OTHER"", 0)"),0)</f>
        <v>0</v>
      </c>
    </row>
    <row r="17" spans="1:11" ht="14.25" customHeight="1">
      <c r="A17" s="21">
        <v>16</v>
      </c>
      <c r="B17" s="21">
        <v>14</v>
      </c>
      <c r="C17" s="21" t="s">
        <v>1263</v>
      </c>
      <c r="D17" s="21" t="s">
        <v>1264</v>
      </c>
      <c r="E17" s="21">
        <v>28</v>
      </c>
      <c r="F17" s="21">
        <v>522857</v>
      </c>
      <c r="G17" s="42">
        <v>-1.9E-2</v>
      </c>
      <c r="H17" s="21" t="s">
        <v>1265</v>
      </c>
      <c r="I17" s="39">
        <f ca="1">IFERROR(__xludf.DUMMYFUNCTION("IF(SUM(COUNTIF(artists!A:A, SPLIT(D17, "",""))) &gt; 0, ""UA"", 0)"),0)</f>
        <v>0</v>
      </c>
      <c r="J17" s="40" t="str">
        <f ca="1">IFERROR(__xludf.DUMMYFUNCTION("IF(SUM(COUNTIF(artists!C:C, SPLIT(D17, "",""))) &gt; 0, ""RU"", 0)"),"RU")</f>
        <v>RU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B18" s="21">
        <v>16</v>
      </c>
      <c r="C18" s="21" t="s">
        <v>909</v>
      </c>
      <c r="D18" s="21" t="s">
        <v>910</v>
      </c>
      <c r="E18" s="21">
        <v>12</v>
      </c>
      <c r="F18" s="21">
        <v>514038</v>
      </c>
      <c r="G18" s="42">
        <v>3.1E-2</v>
      </c>
      <c r="H18" s="21" t="s">
        <v>911</v>
      </c>
      <c r="I18" s="39" t="str">
        <f ca="1">IFERROR(__xludf.DUMMYFUNCTION("IF(SUM(COUNTIF(artists!A:A, SPLIT(D18, "",""))) &gt; 0, ""UA"", 0)"),"UA")</f>
        <v>UA</v>
      </c>
      <c r="J18" s="40">
        <f ca="1">IFERROR(__xludf.DUMMYFUNCTION("IF(SUM(COUNTIF(artists!C:C, SPLIT(D18, "",""))) &gt; 0, ""RU"", 0)"),0)</f>
        <v>0</v>
      </c>
      <c r="K18" s="39">
        <f ca="1">IFERROR(__xludf.DUMMYFUNCTION("IF(SUM(COUNTIF(artists!E:E, SPLIT(D18, "",""))) &gt; 0, ""OTHER"", 0)"),0)</f>
        <v>0</v>
      </c>
    </row>
    <row r="19" spans="1:11" ht="14.25" customHeight="1">
      <c r="A19" s="21">
        <v>18</v>
      </c>
      <c r="B19" s="21">
        <v>23</v>
      </c>
      <c r="C19" s="21" t="s">
        <v>968</v>
      </c>
      <c r="D19" s="21" t="s">
        <v>969</v>
      </c>
      <c r="E19" s="21">
        <v>22</v>
      </c>
      <c r="F19" s="21">
        <v>503433</v>
      </c>
      <c r="G19" s="42">
        <v>0.36899999999999999</v>
      </c>
      <c r="H19" s="21" t="s">
        <v>970</v>
      </c>
      <c r="I19" s="39" t="str">
        <f ca="1">IFERROR(__xludf.DUMMYFUNCTION("IF(SUM(COUNTIF(artists!A:A, SPLIT(D19, "",""))) &gt; 0, ""UA"", 0)"),"UA")</f>
        <v>UA</v>
      </c>
      <c r="J19" s="40">
        <f ca="1">IFERROR(__xludf.DUMMYFUNCTION("IF(SUM(COUNTIF(artists!C:C, SPLIT(D19, "",""))) &gt; 0, ""RU"", 0)"),0)</f>
        <v>0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B20" s="21">
        <v>15</v>
      </c>
      <c r="C20" s="21" t="s">
        <v>1284</v>
      </c>
      <c r="D20" s="21" t="s">
        <v>1285</v>
      </c>
      <c r="E20" s="21">
        <v>3</v>
      </c>
      <c r="F20" s="21">
        <v>477747</v>
      </c>
      <c r="G20" s="43">
        <v>-7.0000000000000007E-2</v>
      </c>
      <c r="H20" s="21" t="s">
        <v>1286</v>
      </c>
      <c r="I20" s="39">
        <f ca="1">IFERROR(__xludf.DUMMYFUNCTION("IF(SUM(COUNTIF(artists!A:A, SPLIT(D20, "",""))) &gt; 0, ""UA"", 0)"),0)</f>
        <v>0</v>
      </c>
      <c r="J20" s="40" t="str">
        <f ca="1">IFERROR(__xludf.DUMMYFUNCTION("IF(SUM(COUNTIF(artists!C:C, SPLIT(D20, "",""))) &gt; 0, ""RU"", 0)"),"RU")</f>
        <v>RU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B21" s="21">
        <v>17</v>
      </c>
      <c r="C21" s="21" t="s">
        <v>1471</v>
      </c>
      <c r="D21" s="21" t="s">
        <v>1472</v>
      </c>
      <c r="E21" s="21">
        <v>11</v>
      </c>
      <c r="F21" s="21">
        <v>454286</v>
      </c>
      <c r="G21" s="42">
        <v>-4.7E-2</v>
      </c>
      <c r="H21" s="21" t="s">
        <v>1473</v>
      </c>
      <c r="I21" s="39" t="str">
        <f ca="1">IFERROR(__xludf.DUMMYFUNCTION("IF(SUM(COUNTIF(artists!A:A, SPLIT(D21, "",""))) &gt; 0, ""UA"", 0)"),"UA")</f>
        <v>UA</v>
      </c>
      <c r="J21" s="40">
        <f ca="1">IFERROR(__xludf.DUMMYFUNCTION("IF(SUM(COUNTIF(artists!C:C, SPLIT(D21, "",""))) &gt; 0, ""RU"", 0)"),0)</f>
        <v>0</v>
      </c>
      <c r="K21" s="39">
        <f ca="1">IFERROR(__xludf.DUMMYFUNCTION("IF(SUM(COUNTIF(artists!E:E, SPLIT(D21, "",""))) &gt; 0, ""OTHER"", 0)"),0)</f>
        <v>0</v>
      </c>
    </row>
    <row r="22" spans="1:11" ht="14.25" customHeight="1">
      <c r="A22" s="21">
        <v>21</v>
      </c>
      <c r="B22" s="21">
        <v>12</v>
      </c>
      <c r="C22" s="21" t="s">
        <v>1182</v>
      </c>
      <c r="D22" s="21" t="s">
        <v>466</v>
      </c>
      <c r="E22" s="21">
        <v>4</v>
      </c>
      <c r="F22" s="21">
        <v>447668</v>
      </c>
      <c r="G22" s="42">
        <v>-0.22600000000000001</v>
      </c>
      <c r="H22" s="21" t="s">
        <v>1183</v>
      </c>
      <c r="I22" s="39" t="str">
        <f ca="1">IFERROR(__xludf.DUMMYFUNCTION("IF(SUM(COUNTIF(artists!A:A, SPLIT(D22, "",""))) &gt; 0, ""UA"", 0)"),"UA")</f>
        <v>UA</v>
      </c>
      <c r="J22" s="40">
        <f ca="1">IFERROR(__xludf.DUMMYFUNCTION("IF(SUM(COUNTIF(artists!C:C, SPLIT(D22, "",""))) &gt; 0, ""RU"", 0)"),0)</f>
        <v>0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C23" s="21" t="s">
        <v>1715</v>
      </c>
      <c r="D23" s="21" t="s">
        <v>1716</v>
      </c>
      <c r="E23" s="21">
        <v>1</v>
      </c>
      <c r="F23" s="21">
        <v>444523</v>
      </c>
      <c r="H23" s="21" t="s">
        <v>1717</v>
      </c>
      <c r="I23" s="39">
        <f ca="1">IFERROR(__xludf.DUMMYFUNCTION("IF(SUM(COUNTIF(artists!A:A, SPLIT(D23, "",""))) &gt; 0, ""UA"", 0)"),0)</f>
        <v>0</v>
      </c>
      <c r="J23" s="40">
        <f ca="1">IFERROR(__xludf.DUMMYFUNCTION("IF(SUM(COUNTIF(artists!C:C, SPLIT(D23, "",""))) &gt; 0, ""RU"", 0)"),0)</f>
        <v>0</v>
      </c>
      <c r="K23" s="39" t="str">
        <f ca="1">IFERROR(__xludf.DUMMYFUNCTION("IF(SUM(COUNTIF(artists!E:E, SPLIT(D23, "",""))) &gt; 0, ""OTHER"", 0)"),"OTHER")</f>
        <v>OTHER</v>
      </c>
    </row>
    <row r="24" spans="1:11" ht="14.25" customHeight="1">
      <c r="A24" s="21">
        <v>23</v>
      </c>
      <c r="B24" s="21">
        <v>18</v>
      </c>
      <c r="C24" s="21" t="s">
        <v>1436</v>
      </c>
      <c r="D24" s="21" t="s">
        <v>896</v>
      </c>
      <c r="E24" s="21">
        <v>9</v>
      </c>
      <c r="F24" s="21">
        <v>440152</v>
      </c>
      <c r="G24" s="42">
        <v>3.5999999999999997E-2</v>
      </c>
      <c r="H24" s="21" t="s">
        <v>1437</v>
      </c>
      <c r="I24" s="39" t="str">
        <f ca="1">IFERROR(__xludf.DUMMYFUNCTION("IF(SUM(COUNTIF(artists!A:A, SPLIT(D24, "",""))) &gt; 0, ""UA"", 0)"),"UA")</f>
        <v>UA</v>
      </c>
      <c r="J24" s="40">
        <f ca="1">IFERROR(__xludf.DUMMYFUNCTION("IF(SUM(COUNTIF(artists!C:C, SPLIT(D24, "",""))) &gt; 0, ""RU"", 0)"),0)</f>
        <v>0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B25" s="21">
        <v>29</v>
      </c>
      <c r="C25" s="21" t="s">
        <v>132</v>
      </c>
      <c r="D25" s="21" t="s">
        <v>133</v>
      </c>
      <c r="E25" s="21">
        <v>2</v>
      </c>
      <c r="F25" s="21">
        <v>436811</v>
      </c>
      <c r="G25" s="43">
        <v>0.27</v>
      </c>
      <c r="H25" s="21" t="s">
        <v>135</v>
      </c>
      <c r="I25" s="39" t="str">
        <f ca="1">IFERROR(__xludf.DUMMYFUNCTION("IF(SUM(COUNTIF(artists!A:A, SPLIT(D25, "",""))) &gt; 0, ""UA"", 0)"),"UA")</f>
        <v>UA</v>
      </c>
      <c r="J25" s="40">
        <f ca="1">IFERROR(__xludf.DUMMYFUNCTION("IF(SUM(COUNTIF(artists!C:C, SPLIT(D25, "",""))) &gt; 0, ""RU"", 0)"),0)</f>
        <v>0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C26" s="21" t="s">
        <v>1447</v>
      </c>
      <c r="D26" s="21" t="s">
        <v>969</v>
      </c>
      <c r="E26" s="21">
        <v>21</v>
      </c>
      <c r="F26" s="21">
        <v>423876</v>
      </c>
      <c r="H26" s="21" t="s">
        <v>1448</v>
      </c>
      <c r="I26" s="39" t="str">
        <f ca="1">IFERROR(__xludf.DUMMYFUNCTION("IF(SUM(COUNTIF(artists!A:A, SPLIT(D26, "",""))) &gt; 0, ""UA"", 0)"),"UA")</f>
        <v>UA</v>
      </c>
      <c r="J26" s="40">
        <f ca="1">IFERROR(__xludf.DUMMYFUNCTION("IF(SUM(COUNTIF(artists!C:C, SPLIT(D26, "",""))) &gt; 0, ""RU"", 0)"),0)</f>
        <v>0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B27" s="21">
        <v>26</v>
      </c>
      <c r="C27" s="21" t="s">
        <v>253</v>
      </c>
      <c r="D27" s="21" t="s">
        <v>89</v>
      </c>
      <c r="E27" s="21">
        <v>11</v>
      </c>
      <c r="F27" s="21">
        <v>423283</v>
      </c>
      <c r="G27" s="42">
        <v>0.192</v>
      </c>
      <c r="H27" s="21" t="s">
        <v>254</v>
      </c>
      <c r="I27" s="39" t="str">
        <f ca="1">IFERROR(__xludf.DUMMYFUNCTION("IF(SUM(COUNTIF(artists!A:A, SPLIT(D27, "",""))) &gt; 0, ""UA"", 0)"),"UA")</f>
        <v>UA</v>
      </c>
      <c r="J27" s="40">
        <f ca="1">IFERROR(__xludf.DUMMYFUNCTION("IF(SUM(COUNTIF(artists!C:C, SPLIT(D27, "",""))) &gt; 0, ""RU"", 0)"),0)</f>
        <v>0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B28" s="21">
        <v>50</v>
      </c>
      <c r="C28" s="21" t="s">
        <v>1502</v>
      </c>
      <c r="D28" s="21" t="s">
        <v>1503</v>
      </c>
      <c r="E28" s="21">
        <v>28</v>
      </c>
      <c r="F28" s="21">
        <v>418845</v>
      </c>
      <c r="G28" s="43">
        <v>0.55000000000000004</v>
      </c>
      <c r="H28" s="21" t="s">
        <v>1504</v>
      </c>
      <c r="I28" s="39" t="str">
        <f ca="1">IFERROR(__xludf.DUMMYFUNCTION("IF(SUM(COUNTIF(artists!A:A, SPLIT(D28, "",""))) &gt; 0, ""UA"", 0)"),"UA")</f>
        <v>UA</v>
      </c>
      <c r="J28" s="40">
        <f ca="1">IFERROR(__xludf.DUMMYFUNCTION("IF(SUM(COUNTIF(artists!C:C, SPLIT(D28, "",""))) &gt; 0, ""RU"", 0)"),0)</f>
        <v>0</v>
      </c>
      <c r="K28" s="39">
        <f ca="1">IFERROR(__xludf.DUMMYFUNCTION("IF(SUM(COUNTIF(artists!E:E, SPLIT(D28, "",""))) &gt; 0, ""OTHER"", 0)"),0)</f>
        <v>0</v>
      </c>
    </row>
    <row r="29" spans="1:11" ht="14.25" customHeight="1">
      <c r="A29" s="21">
        <v>28</v>
      </c>
      <c r="B29" s="21">
        <v>41</v>
      </c>
      <c r="C29" s="21" t="s">
        <v>229</v>
      </c>
      <c r="D29" s="21" t="s">
        <v>230</v>
      </c>
      <c r="E29" s="21">
        <v>9</v>
      </c>
      <c r="F29" s="21">
        <v>402344</v>
      </c>
      <c r="G29" s="42">
        <v>0.36699999999999999</v>
      </c>
      <c r="H29" s="21" t="s">
        <v>232</v>
      </c>
      <c r="I29" s="39" t="str">
        <f ca="1">IFERROR(__xludf.DUMMYFUNCTION("IF(SUM(COUNTIF(artists!A:A, SPLIT(D29, "",""))) &gt; 0, ""UA"", 0)"),"UA")</f>
        <v>UA</v>
      </c>
      <c r="J29" s="40">
        <f ca="1">IFERROR(__xludf.DUMMYFUNCTION("IF(SUM(COUNTIF(artists!C:C, SPLIT(D29, "",""))) &gt; 0, ""RU"", 0)"),0)</f>
        <v>0</v>
      </c>
      <c r="K29" s="39">
        <f ca="1">IFERROR(__xludf.DUMMYFUNCTION("IF(SUM(COUNTIF(artists!E:E, SPLIT(D29, "",""))) &gt; 0, ""OTHER"", 0)"),0)</f>
        <v>0</v>
      </c>
    </row>
    <row r="30" spans="1:11" ht="14.25" customHeight="1">
      <c r="A30" s="21">
        <v>29</v>
      </c>
      <c r="B30" s="21">
        <v>40</v>
      </c>
      <c r="C30" s="21" t="s">
        <v>1498</v>
      </c>
      <c r="D30" s="21" t="s">
        <v>969</v>
      </c>
      <c r="E30" s="21">
        <v>34</v>
      </c>
      <c r="F30" s="21">
        <v>395377</v>
      </c>
      <c r="G30" s="42">
        <v>0.33600000000000002</v>
      </c>
      <c r="H30" s="21" t="s">
        <v>1499</v>
      </c>
      <c r="I30" s="39" t="str">
        <f ca="1">IFERROR(__xludf.DUMMYFUNCTION("IF(SUM(COUNTIF(artists!A:A, SPLIT(D30, "",""))) &gt; 0, ""UA"", 0)"),"UA")</f>
        <v>UA</v>
      </c>
      <c r="J30" s="40">
        <f ca="1">IFERROR(__xludf.DUMMYFUNCTION("IF(SUM(COUNTIF(artists!C:C, SPLIT(D30, "",""))) &gt; 0, ""RU"", 0)"),0)</f>
        <v>0</v>
      </c>
      <c r="K30" s="39">
        <f ca="1">IFERROR(__xludf.DUMMYFUNCTION("IF(SUM(COUNTIF(artists!E:E, SPLIT(D30, "",""))) &gt; 0, ""OTHER"", 0)"),0)</f>
        <v>0</v>
      </c>
    </row>
    <row r="31" spans="1:11" ht="14.25" customHeight="1">
      <c r="A31" s="21">
        <v>30</v>
      </c>
      <c r="B31" s="21">
        <v>31</v>
      </c>
      <c r="C31" s="21" t="s">
        <v>1282</v>
      </c>
      <c r="D31" s="21" t="s">
        <v>108</v>
      </c>
      <c r="E31" s="21">
        <v>29</v>
      </c>
      <c r="F31" s="21">
        <v>389410</v>
      </c>
      <c r="G31" s="42">
        <v>0.161</v>
      </c>
      <c r="H31" s="21" t="s">
        <v>1283</v>
      </c>
      <c r="I31" s="39" t="str">
        <f ca="1">IFERROR(__xludf.DUMMYFUNCTION("IF(SUM(COUNTIF(artists!A:A, SPLIT(D31, "",""))) &gt; 0, ""UA"", 0)"),"UA")</f>
        <v>UA</v>
      </c>
      <c r="J31" s="40">
        <f ca="1">IFERROR(__xludf.DUMMYFUNCTION("IF(SUM(COUNTIF(artists!C:C, SPLIT(D31, "",""))) &gt; 0, ""RU"", 0)"),0)</f>
        <v>0</v>
      </c>
      <c r="K31" s="39">
        <f ca="1">IFERROR(__xludf.DUMMYFUNCTION("IF(SUM(COUNTIF(artists!E:E, SPLIT(D31, "",""))) &gt; 0, ""OTHER"", 0)"),0)</f>
        <v>0</v>
      </c>
    </row>
    <row r="32" spans="1:11" ht="14.25" customHeight="1">
      <c r="A32" s="21">
        <v>31</v>
      </c>
      <c r="B32" s="21">
        <v>24</v>
      </c>
      <c r="C32" s="21" t="s">
        <v>1354</v>
      </c>
      <c r="D32" s="21" t="s">
        <v>1355</v>
      </c>
      <c r="E32" s="21">
        <v>32</v>
      </c>
      <c r="F32" s="21">
        <v>373226</v>
      </c>
      <c r="G32" s="42">
        <v>4.4999999999999998E-2</v>
      </c>
      <c r="H32" s="21" t="s">
        <v>1356</v>
      </c>
      <c r="I32" s="39" t="str">
        <f ca="1">IFERROR(__xludf.DUMMYFUNCTION("IF(SUM(COUNTIF(artists!A:A, SPLIT(D32, "",""))) &gt; 0, ""UA"", 0)"),"UA")</f>
        <v>UA</v>
      </c>
      <c r="J32" s="40">
        <f ca="1">IFERROR(__xludf.DUMMYFUNCTION("IF(SUM(COUNTIF(artists!C:C, SPLIT(D32, "",""))) &gt; 0, ""RU"", 0)"),0)</f>
        <v>0</v>
      </c>
      <c r="K32" s="39">
        <f ca="1">IFERROR(__xludf.DUMMYFUNCTION("IF(SUM(COUNTIF(artists!E:E, SPLIT(D32, "",""))) &gt; 0, ""OTHER"", 0)"),0)</f>
        <v>0</v>
      </c>
    </row>
    <row r="33" spans="1:11" ht="14.25" customHeight="1">
      <c r="A33" s="21">
        <v>32</v>
      </c>
      <c r="B33" s="21">
        <v>32</v>
      </c>
      <c r="C33" s="21" t="s">
        <v>918</v>
      </c>
      <c r="D33" s="21" t="s">
        <v>108</v>
      </c>
      <c r="E33" s="21">
        <v>38</v>
      </c>
      <c r="F33" s="21">
        <v>368541</v>
      </c>
      <c r="G33" s="42">
        <v>0.128</v>
      </c>
      <c r="H33" s="21" t="s">
        <v>919</v>
      </c>
      <c r="I33" s="39" t="str">
        <f ca="1">IFERROR(__xludf.DUMMYFUNCTION("IF(SUM(COUNTIF(artists!A:A, SPLIT(D33, "",""))) &gt; 0, ""UA"", 0)"),"UA")</f>
        <v>UA</v>
      </c>
      <c r="J33" s="40">
        <f ca="1">IFERROR(__xludf.DUMMYFUNCTION("IF(SUM(COUNTIF(artists!C:C, SPLIT(D33, "",""))) &gt; 0, ""RU"", 0)"),0)</f>
        <v>0</v>
      </c>
      <c r="K33" s="39">
        <f ca="1">IFERROR(__xludf.DUMMYFUNCTION("IF(SUM(COUNTIF(artists!E:E, SPLIT(D33, "",""))) &gt; 0, ""OTHER"", 0)"),0)</f>
        <v>0</v>
      </c>
    </row>
    <row r="34" spans="1:11" ht="14.25" customHeight="1">
      <c r="A34" s="21">
        <v>33</v>
      </c>
      <c r="B34" s="21">
        <v>54</v>
      </c>
      <c r="C34" s="21" t="s">
        <v>1586</v>
      </c>
      <c r="D34" s="21" t="s">
        <v>969</v>
      </c>
      <c r="E34" s="21">
        <v>15</v>
      </c>
      <c r="F34" s="21">
        <v>355440</v>
      </c>
      <c r="G34" s="42">
        <v>0.439</v>
      </c>
      <c r="H34" s="21" t="s">
        <v>1587</v>
      </c>
      <c r="I34" s="39" t="str">
        <f ca="1">IFERROR(__xludf.DUMMYFUNCTION("IF(SUM(COUNTIF(artists!A:A, SPLIT(D34, "",""))) &gt; 0, ""UA"", 0)"),"UA")</f>
        <v>UA</v>
      </c>
      <c r="J34" s="40">
        <f ca="1">IFERROR(__xludf.DUMMYFUNCTION("IF(SUM(COUNTIF(artists!C:C, SPLIT(D34, "",""))) &gt; 0, ""RU"", 0)"),0)</f>
        <v>0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B35" s="21">
        <v>21</v>
      </c>
      <c r="C35" s="21" t="s">
        <v>935</v>
      </c>
      <c r="D35" s="21" t="s">
        <v>936</v>
      </c>
      <c r="E35" s="21">
        <v>29</v>
      </c>
      <c r="F35" s="21">
        <v>352932</v>
      </c>
      <c r="G35" s="42">
        <v>-7.3999999999999996E-2</v>
      </c>
      <c r="H35" s="21" t="s">
        <v>937</v>
      </c>
      <c r="I35" s="39">
        <f ca="1">IFERROR(__xludf.DUMMYFUNCTION("IF(SUM(COUNTIF(artists!A:A, SPLIT(D35, "",""))) &gt; 0, ""UA"", 0)"),0)</f>
        <v>0</v>
      </c>
      <c r="J35" s="40" t="str">
        <f ca="1">IFERROR(__xludf.DUMMYFUNCTION("IF(SUM(COUNTIF(artists!C:C, SPLIT(D35, "",""))) &gt; 0, ""RU"", 0)"),"RU")</f>
        <v>RU</v>
      </c>
      <c r="K35" s="39">
        <f ca="1">IFERROR(__xludf.DUMMYFUNCTION("IF(SUM(COUNTIF(artists!E:E, SPLIT(D35, "",""))) &gt; 0, ""OTHER"", 0)"),0)</f>
        <v>0</v>
      </c>
    </row>
    <row r="36" spans="1:11" ht="14.25" customHeight="1">
      <c r="A36" s="21">
        <v>35</v>
      </c>
      <c r="B36" s="21">
        <v>20</v>
      </c>
      <c r="C36" s="21" t="s">
        <v>1463</v>
      </c>
      <c r="D36" s="21" t="s">
        <v>1344</v>
      </c>
      <c r="E36" s="21">
        <v>10</v>
      </c>
      <c r="F36" s="21">
        <v>345636</v>
      </c>
      <c r="G36" s="43">
        <v>-0.11</v>
      </c>
      <c r="H36" s="21" t="s">
        <v>1464</v>
      </c>
      <c r="I36" s="39" t="str">
        <f ca="1">IFERROR(__xludf.DUMMYFUNCTION("IF(SUM(COUNTIF(artists!A:A, SPLIT(D36, "",""))) &gt; 0, ""UA"", 0)"),"UA")</f>
        <v>UA</v>
      </c>
      <c r="J36" s="40">
        <f ca="1">IFERROR(__xludf.DUMMYFUNCTION("IF(SUM(COUNTIF(artists!C:C, SPLIT(D36, "",""))) &gt; 0, ""RU"", 0)"),0)</f>
        <v>0</v>
      </c>
      <c r="K36" s="39">
        <f ca="1">IFERROR(__xludf.DUMMYFUNCTION("IF(SUM(COUNTIF(artists!E:E, SPLIT(D36, "",""))) &gt; 0, ""OTHER"", 0)"),0)</f>
        <v>0</v>
      </c>
    </row>
    <row r="37" spans="1:11" ht="14.25" customHeight="1">
      <c r="A37" s="21">
        <v>36</v>
      </c>
      <c r="B37" s="21">
        <v>33</v>
      </c>
      <c r="C37" s="21" t="s">
        <v>887</v>
      </c>
      <c r="D37" s="21" t="s">
        <v>89</v>
      </c>
      <c r="E37" s="21">
        <v>9</v>
      </c>
      <c r="F37" s="21">
        <v>344815</v>
      </c>
      <c r="G37" s="42">
        <v>5.8999999999999997E-2</v>
      </c>
      <c r="H37" s="21" t="s">
        <v>888</v>
      </c>
      <c r="I37" s="39" t="str">
        <f ca="1">IFERROR(__xludf.DUMMYFUNCTION("IF(SUM(COUNTIF(artists!A:A, SPLIT(D37, "",""))) &gt; 0, ""UA"", 0)"),"UA")</f>
        <v>UA</v>
      </c>
      <c r="J37" s="40">
        <f ca="1">IFERROR(__xludf.DUMMYFUNCTION("IF(SUM(COUNTIF(artists!C:C, SPLIT(D37, "",""))) &gt; 0, ""RU"", 0)"),0)</f>
        <v>0</v>
      </c>
      <c r="K37" s="39">
        <f ca="1">IFERROR(__xludf.DUMMYFUNCTION("IF(SUM(COUNTIF(artists!E:E, SPLIT(D37, "",""))) &gt; 0, ""OTHER"", 0)"),0)</f>
        <v>0</v>
      </c>
    </row>
    <row r="38" spans="1:11" ht="14.25" customHeight="1">
      <c r="A38" s="21">
        <v>37</v>
      </c>
      <c r="B38" s="21">
        <v>27</v>
      </c>
      <c r="C38" s="21" t="s">
        <v>1290</v>
      </c>
      <c r="D38" s="21" t="s">
        <v>942</v>
      </c>
      <c r="E38" s="21">
        <v>6</v>
      </c>
      <c r="F38" s="21">
        <v>341972</v>
      </c>
      <c r="G38" s="43">
        <v>-0.03</v>
      </c>
      <c r="H38" s="21" t="s">
        <v>1291</v>
      </c>
      <c r="I38" s="39" t="str">
        <f ca="1">IFERROR(__xludf.DUMMYFUNCTION("IF(SUM(COUNTIF(artists!A:A, SPLIT(D38, "",""))) &gt; 0, ""UA"", 0)"),"UA")</f>
        <v>UA</v>
      </c>
      <c r="J38" s="40">
        <f ca="1">IFERROR(__xludf.DUMMYFUNCTION("IF(SUM(COUNTIF(artists!C:C, SPLIT(D38, "",""))) &gt; 0, ""RU"", 0)"),0)</f>
        <v>0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B39" s="21">
        <v>47</v>
      </c>
      <c r="C39" s="21" t="s">
        <v>1616</v>
      </c>
      <c r="D39" s="21" t="s">
        <v>1617</v>
      </c>
      <c r="E39" s="21">
        <v>44</v>
      </c>
      <c r="F39" s="21">
        <v>331094</v>
      </c>
      <c r="G39" s="42">
        <v>0.20300000000000001</v>
      </c>
      <c r="H39" s="21" t="s">
        <v>1618</v>
      </c>
      <c r="I39" s="39">
        <f ca="1">IFERROR(__xludf.DUMMYFUNCTION("IF(SUM(COUNTIF(artists!A:A, SPLIT(D39, "",""))) &gt; 0, ""UA"", 0)"),0)</f>
        <v>0</v>
      </c>
      <c r="J39" s="40" t="str">
        <f ca="1">IFERROR(__xludf.DUMMYFUNCTION("IF(SUM(COUNTIF(artists!C:C, SPLIT(D39, "",""))) &gt; 0, ""RU"", 0)"),"RU")</f>
        <v>RU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B40" s="21">
        <v>42</v>
      </c>
      <c r="C40" s="21" t="s">
        <v>632</v>
      </c>
      <c r="D40" s="21" t="s">
        <v>633</v>
      </c>
      <c r="E40" s="21">
        <v>6</v>
      </c>
      <c r="F40" s="21">
        <v>328512</v>
      </c>
      <c r="G40" s="42">
        <v>0.127</v>
      </c>
      <c r="H40" s="21" t="s">
        <v>634</v>
      </c>
      <c r="I40" s="39" t="str">
        <f ca="1">IFERROR(__xludf.DUMMYFUNCTION("IF(SUM(COUNTIF(artists!A:A, SPLIT(D40, "",""))) &gt; 0, ""UA"", 0)"),"UA")</f>
        <v>UA</v>
      </c>
      <c r="J40" s="40">
        <f ca="1">IFERROR(__xludf.DUMMYFUNCTION("IF(SUM(COUNTIF(artists!C:C, SPLIT(D40, "",""))) &gt; 0, ""RU"", 0)"),0)</f>
        <v>0</v>
      </c>
      <c r="K40" s="39">
        <f ca="1">IFERROR(__xludf.DUMMYFUNCTION("IF(SUM(COUNTIF(artists!E:E, SPLIT(D40, "",""))) &gt; 0, ""OTHER"", 0)"),0)</f>
        <v>0</v>
      </c>
    </row>
    <row r="41" spans="1:11" ht="14.25" customHeight="1">
      <c r="A41" s="21">
        <v>40</v>
      </c>
      <c r="B41" s="21">
        <v>34</v>
      </c>
      <c r="C41" s="21" t="s">
        <v>493</v>
      </c>
      <c r="D41" s="21" t="s">
        <v>494</v>
      </c>
      <c r="E41" s="21">
        <v>17</v>
      </c>
      <c r="F41" s="21">
        <v>323357</v>
      </c>
      <c r="G41" s="42">
        <v>1.0999999999999999E-2</v>
      </c>
      <c r="H41" s="21" t="s">
        <v>495</v>
      </c>
      <c r="I41" s="39" t="str">
        <f ca="1">IFERROR(__xludf.DUMMYFUNCTION("IF(SUM(COUNTIF(artists!A:A, SPLIT(D41, "",""))) &gt; 0, ""UA"", 0)"),"UA")</f>
        <v>UA</v>
      </c>
      <c r="J41" s="40">
        <f ca="1">IFERROR(__xludf.DUMMYFUNCTION("IF(SUM(COUNTIF(artists!C:C, SPLIT(D41, "",""))) &gt; 0, ""RU"", 0)"),0)</f>
        <v>0</v>
      </c>
      <c r="K41" s="39">
        <f ca="1">IFERROR(__xludf.DUMMYFUNCTION("IF(SUM(COUNTIF(artists!E:E, SPLIT(D41, "",""))) &gt; 0, ""OTHER"", 0)"),0)</f>
        <v>0</v>
      </c>
    </row>
    <row r="42" spans="1:11" ht="14.25" customHeight="1">
      <c r="A42" s="21">
        <v>41</v>
      </c>
      <c r="B42" s="21">
        <v>36</v>
      </c>
      <c r="C42" s="21" t="s">
        <v>1500</v>
      </c>
      <c r="D42" s="21" t="s">
        <v>907</v>
      </c>
      <c r="E42" s="21">
        <v>32</v>
      </c>
      <c r="F42" s="21">
        <v>323025</v>
      </c>
      <c r="G42" s="43">
        <v>0.02</v>
      </c>
      <c r="H42" s="21" t="s">
        <v>1501</v>
      </c>
      <c r="I42" s="39">
        <f ca="1">IFERROR(__xludf.DUMMYFUNCTION("IF(SUM(COUNTIF(artists!A:A, SPLIT(D42, "",""))) &gt; 0, ""UA"", 0)"),0)</f>
        <v>0</v>
      </c>
      <c r="J42" s="40" t="str">
        <f ca="1">IFERROR(__xludf.DUMMYFUNCTION("IF(SUM(COUNTIF(artists!C:C, SPLIT(D42, "",""))) &gt; 0, ""RU"", 0)"),"RU")</f>
        <v>RU</v>
      </c>
      <c r="K42" s="39">
        <f ca="1">IFERROR(__xludf.DUMMYFUNCTION("IF(SUM(COUNTIF(artists!E:E, SPLIT(D42, "",""))) &gt; 0, ""OTHER"", 0)"),0)</f>
        <v>0</v>
      </c>
    </row>
    <row r="43" spans="1:11" ht="14.25" customHeight="1">
      <c r="A43" s="21">
        <v>42</v>
      </c>
      <c r="B43" s="21">
        <v>25</v>
      </c>
      <c r="C43" s="21" t="s">
        <v>1480</v>
      </c>
      <c r="D43" s="21" t="s">
        <v>1481</v>
      </c>
      <c r="E43" s="21">
        <v>7</v>
      </c>
      <c r="F43" s="21">
        <v>322847</v>
      </c>
      <c r="G43" s="42">
        <v>-9.4E-2</v>
      </c>
      <c r="H43" s="21" t="s">
        <v>1482</v>
      </c>
      <c r="I43" s="39" t="str">
        <f ca="1">IFERROR(__xludf.DUMMYFUNCTION("IF(SUM(COUNTIF(artists!A:A, SPLIT(D43, "",""))) &gt; 0, ""UA"", 0)"),"UA")</f>
        <v>UA</v>
      </c>
      <c r="J43" s="40">
        <f ca="1">IFERROR(__xludf.DUMMYFUNCTION("IF(SUM(COUNTIF(artists!C:C, SPLIT(D43, "",""))) &gt; 0, ""RU"", 0)"),0)</f>
        <v>0</v>
      </c>
      <c r="K43" s="39">
        <f ca="1">IFERROR(__xludf.DUMMYFUNCTION("IF(SUM(COUNTIF(artists!E:E, SPLIT(D43, "",""))) &gt; 0, ""OTHER"", 0)"),0)</f>
        <v>0</v>
      </c>
    </row>
    <row r="44" spans="1:11" ht="14.25" customHeight="1">
      <c r="A44" s="21">
        <v>43</v>
      </c>
      <c r="B44" s="21">
        <v>46</v>
      </c>
      <c r="C44" s="21" t="s">
        <v>1327</v>
      </c>
      <c r="D44" s="21" t="s">
        <v>89</v>
      </c>
      <c r="E44" s="21">
        <v>31</v>
      </c>
      <c r="F44" s="21">
        <v>321689</v>
      </c>
      <c r="G44" s="43">
        <v>0.16</v>
      </c>
      <c r="H44" s="21" t="s">
        <v>1328</v>
      </c>
      <c r="I44" s="39" t="str">
        <f ca="1">IFERROR(__xludf.DUMMYFUNCTION("IF(SUM(COUNTIF(artists!A:A, SPLIT(D44, "",""))) &gt; 0, ""UA"", 0)"),"UA")</f>
        <v>UA</v>
      </c>
      <c r="J44" s="40">
        <f ca="1">IFERROR(__xludf.DUMMYFUNCTION("IF(SUM(COUNTIF(artists!C:C, SPLIT(D44, "",""))) &gt; 0, ""RU"", 0)"),0)</f>
        <v>0</v>
      </c>
      <c r="K44" s="39">
        <f ca="1">IFERROR(__xludf.DUMMYFUNCTION("IF(SUM(COUNTIF(artists!E:E, SPLIT(D44, "",""))) &gt; 0, ""OTHER"", 0)"),0)</f>
        <v>0</v>
      </c>
    </row>
    <row r="45" spans="1:11" ht="14.25" customHeight="1">
      <c r="A45" s="21">
        <v>44</v>
      </c>
      <c r="B45" s="21">
        <v>49</v>
      </c>
      <c r="C45" s="21" t="s">
        <v>1518</v>
      </c>
      <c r="D45" s="21" t="s">
        <v>108</v>
      </c>
      <c r="E45" s="21">
        <v>14</v>
      </c>
      <c r="F45" s="21">
        <v>316750</v>
      </c>
      <c r="G45" s="42">
        <v>0.17199999999999999</v>
      </c>
      <c r="H45" s="21" t="s">
        <v>1519</v>
      </c>
      <c r="I45" s="39" t="str">
        <f ca="1">IFERROR(__xludf.DUMMYFUNCTION("IF(SUM(COUNTIF(artists!A:A, SPLIT(D45, "",""))) &gt; 0, ""UA"", 0)"),"UA")</f>
        <v>UA</v>
      </c>
      <c r="J45" s="40">
        <f ca="1">IFERROR(__xludf.DUMMYFUNCTION("IF(SUM(COUNTIF(artists!C:C, SPLIT(D45, "",""))) &gt; 0, ""RU"", 0)"),0)</f>
        <v>0</v>
      </c>
      <c r="K45" s="39">
        <f ca="1">IFERROR(__xludf.DUMMYFUNCTION("IF(SUM(COUNTIF(artists!E:E, SPLIT(D45, "",""))) &gt; 0, ""OTHER"", 0)"),0)</f>
        <v>0</v>
      </c>
    </row>
    <row r="46" spans="1:11" ht="14.25" customHeight="1">
      <c r="A46" s="21">
        <v>45</v>
      </c>
      <c r="B46" s="21">
        <v>39</v>
      </c>
      <c r="C46" s="21" t="s">
        <v>118</v>
      </c>
      <c r="D46" s="21" t="s">
        <v>586</v>
      </c>
      <c r="E46" s="21">
        <v>12</v>
      </c>
      <c r="F46" s="21">
        <v>308650</v>
      </c>
      <c r="G46" s="42">
        <v>3.1E-2</v>
      </c>
      <c r="H46" s="21" t="s">
        <v>587</v>
      </c>
      <c r="I46" s="39" t="str">
        <f ca="1">IFERROR(__xludf.DUMMYFUNCTION("IF(SUM(COUNTIF(artists!A:A, SPLIT(D46, "",""))) &gt; 0, ""UA"", 0)"),"UA")</f>
        <v>UA</v>
      </c>
      <c r="J46" s="40">
        <f ca="1">IFERROR(__xludf.DUMMYFUNCTION("IF(SUM(COUNTIF(artists!C:C, SPLIT(D46, "",""))) &gt; 0, ""RU"", 0)"),0)</f>
        <v>0</v>
      </c>
      <c r="K46" s="39">
        <f ca="1">IFERROR(__xludf.DUMMYFUNCTION("IF(SUM(COUNTIF(artists!E:E, SPLIT(D46, "",""))) &gt; 0, ""OTHER"", 0)"),0)</f>
        <v>0</v>
      </c>
    </row>
    <row r="47" spans="1:11" ht="14.25" customHeight="1">
      <c r="A47" s="21">
        <v>46</v>
      </c>
      <c r="B47" s="21">
        <v>59</v>
      </c>
      <c r="C47" s="21" t="s">
        <v>1381</v>
      </c>
      <c r="D47" s="21" t="s">
        <v>969</v>
      </c>
      <c r="E47" s="21">
        <v>13</v>
      </c>
      <c r="F47" s="21">
        <v>301304</v>
      </c>
      <c r="G47" s="42">
        <v>0.30299999999999999</v>
      </c>
      <c r="H47" s="21" t="s">
        <v>1382</v>
      </c>
      <c r="I47" s="39" t="str">
        <f ca="1">IFERROR(__xludf.DUMMYFUNCTION("IF(SUM(COUNTIF(artists!A:A, SPLIT(D47, "",""))) &gt; 0, ""UA"", 0)"),"UA")</f>
        <v>UA</v>
      </c>
      <c r="J47" s="40">
        <f ca="1">IFERROR(__xludf.DUMMYFUNCTION("IF(SUM(COUNTIF(artists!C:C, SPLIT(D47, "",""))) &gt; 0, ""RU"", 0)"),0)</f>
        <v>0</v>
      </c>
      <c r="K47" s="39">
        <f ca="1">IFERROR(__xludf.DUMMYFUNCTION("IF(SUM(COUNTIF(artists!E:E, SPLIT(D47, "",""))) &gt; 0, ""OTHER"", 0)"),0)</f>
        <v>0</v>
      </c>
    </row>
    <row r="48" spans="1:11" ht="14.25" customHeight="1">
      <c r="A48" s="21">
        <v>47</v>
      </c>
      <c r="C48" s="21" t="s">
        <v>1718</v>
      </c>
      <c r="D48" s="21" t="s">
        <v>1534</v>
      </c>
      <c r="E48" s="21">
        <v>1</v>
      </c>
      <c r="F48" s="21">
        <v>297161</v>
      </c>
      <c r="H48" s="21" t="s">
        <v>1719</v>
      </c>
      <c r="I48" s="39">
        <f ca="1">IFERROR(__xludf.DUMMYFUNCTION("IF(SUM(COUNTIF(artists!A:A, SPLIT(D48, "",""))) &gt; 0, ""UA"", 0)"),0)</f>
        <v>0</v>
      </c>
      <c r="J48" s="40" t="str">
        <f ca="1">IFERROR(__xludf.DUMMYFUNCTION("IF(SUM(COUNTIF(artists!C:C, SPLIT(D48, "",""))) &gt; 0, ""RU"", 0)"),"RU")</f>
        <v>RU</v>
      </c>
      <c r="K48" s="39">
        <f ca="1">IFERROR(__xludf.DUMMYFUNCTION("IF(SUM(COUNTIF(artists!E:E, SPLIT(D48, "",""))) &gt; 0, ""OTHER"", 0)"),0)</f>
        <v>0</v>
      </c>
    </row>
    <row r="49" spans="1:11" ht="14.25" customHeight="1">
      <c r="A49" s="21">
        <v>48</v>
      </c>
      <c r="B49" s="21">
        <v>28</v>
      </c>
      <c r="C49" s="21" t="s">
        <v>1595</v>
      </c>
      <c r="D49" s="21" t="s">
        <v>1596</v>
      </c>
      <c r="E49" s="21">
        <v>3</v>
      </c>
      <c r="F49" s="21">
        <v>293611</v>
      </c>
      <c r="G49" s="42">
        <v>-0.14799999999999999</v>
      </c>
      <c r="H49" s="21" t="s">
        <v>1597</v>
      </c>
      <c r="I49" s="39" t="str">
        <f ca="1">IFERROR(__xludf.DUMMYFUNCTION("IF(SUM(COUNTIF(artists!A:A, SPLIT(D49, "",""))) &gt; 0, ""UA"", 0)"),"UA")</f>
        <v>UA</v>
      </c>
      <c r="J49" s="40">
        <f ca="1">IFERROR(__xludf.DUMMYFUNCTION("IF(SUM(COUNTIF(artists!C:C, SPLIT(D49, "",""))) &gt; 0, ""RU"", 0)"),0)</f>
        <v>0</v>
      </c>
      <c r="K49" s="39">
        <f ca="1">IFERROR(__xludf.DUMMYFUNCTION("IF(SUM(COUNTIF(artists!E:E, SPLIT(D49, "",""))) &gt; 0, ""OTHER"", 0)"),0)</f>
        <v>0</v>
      </c>
    </row>
    <row r="50" spans="1:11" ht="14.25" customHeight="1">
      <c r="A50" s="21">
        <v>49</v>
      </c>
      <c r="B50" s="21">
        <v>37</v>
      </c>
      <c r="C50" s="21" t="s">
        <v>1298</v>
      </c>
      <c r="D50" s="21" t="s">
        <v>226</v>
      </c>
      <c r="E50" s="21">
        <v>8</v>
      </c>
      <c r="F50" s="21">
        <v>292685</v>
      </c>
      <c r="G50" s="42">
        <v>-5.2999999999999999E-2</v>
      </c>
      <c r="H50" s="21" t="s">
        <v>1299</v>
      </c>
      <c r="I50" s="39" t="str">
        <f ca="1">IFERROR(__xludf.DUMMYFUNCTION("IF(SUM(COUNTIF(artists!A:A, SPLIT(D50, "",""))) &gt; 0, ""UA"", 0)"),"UA")</f>
        <v>UA</v>
      </c>
      <c r="J50" s="40">
        <f ca="1">IFERROR(__xludf.DUMMYFUNCTION("IF(SUM(COUNTIF(artists!C:C, SPLIT(D50, "",""))) &gt; 0, ""RU"", 0)"),0)</f>
        <v>0</v>
      </c>
      <c r="K50" s="39">
        <f ca="1">IFERROR(__xludf.DUMMYFUNCTION("IF(SUM(COUNTIF(artists!E:E, SPLIT(D50, "",""))) &gt; 0, ""OTHER"", 0)"),0)</f>
        <v>0</v>
      </c>
    </row>
    <row r="51" spans="1:11" ht="14.25" customHeight="1">
      <c r="A51" s="21">
        <v>50</v>
      </c>
      <c r="B51" s="21">
        <v>35</v>
      </c>
      <c r="C51" s="21" t="s">
        <v>1575</v>
      </c>
      <c r="D51" s="21" t="s">
        <v>945</v>
      </c>
      <c r="E51" s="21">
        <v>8</v>
      </c>
      <c r="F51" s="21">
        <v>288435</v>
      </c>
      <c r="G51" s="42">
        <v>-9.8000000000000004E-2</v>
      </c>
      <c r="H51" s="21" t="s">
        <v>1576</v>
      </c>
      <c r="I51" s="39" t="str">
        <f ca="1">IFERROR(__xludf.DUMMYFUNCTION("IF(SUM(COUNTIF(artists!A:A, SPLIT(D51, "",""))) &gt; 0, ""UA"", 0)"),"UA")</f>
        <v>UA</v>
      </c>
      <c r="J51" s="40">
        <f ca="1">IFERROR(__xludf.DUMMYFUNCTION("IF(SUM(COUNTIF(artists!C:C, SPLIT(D51, "",""))) &gt; 0, ""RU"", 0)"),0)</f>
        <v>0</v>
      </c>
      <c r="K51" s="39">
        <f ca="1">IFERROR(__xludf.DUMMYFUNCTION("IF(SUM(COUNTIF(artists!E:E, SPLIT(D51, "",""))) &gt; 0, ""OTHER"", 0)"),0)</f>
        <v>0</v>
      </c>
    </row>
    <row r="52" spans="1:11" ht="14.25" customHeight="1">
      <c r="A52" s="21">
        <v>51</v>
      </c>
      <c r="B52" s="21">
        <v>30</v>
      </c>
      <c r="C52" s="21" t="s">
        <v>1657</v>
      </c>
      <c r="D52" s="21" t="s">
        <v>837</v>
      </c>
      <c r="E52" s="21">
        <v>6</v>
      </c>
      <c r="F52" s="21">
        <v>285741</v>
      </c>
      <c r="G52" s="42">
        <v>-0.151</v>
      </c>
      <c r="H52" s="21" t="s">
        <v>1658</v>
      </c>
      <c r="I52" s="39" t="str">
        <f ca="1">IFERROR(__xludf.DUMMYFUNCTION("IF(SUM(COUNTIF(artists!A:A, SPLIT(D52, "",""))) &gt; 0, ""UA"", 0)"),"UA")</f>
        <v>UA</v>
      </c>
      <c r="J52" s="40">
        <f ca="1">IFERROR(__xludf.DUMMYFUNCTION("IF(SUM(COUNTIF(artists!C:C, SPLIT(D52, "",""))) &gt; 0, ""RU"", 0)"),0)</f>
        <v>0</v>
      </c>
      <c r="K52" s="39">
        <f ca="1">IFERROR(__xludf.DUMMYFUNCTION("IF(SUM(COUNTIF(artists!E:E, SPLIT(D52, "",""))) &gt; 0, ""OTHER"", 0)"),0)</f>
        <v>0</v>
      </c>
    </row>
    <row r="53" spans="1:11" ht="14.25" customHeight="1">
      <c r="A53" s="21">
        <v>52</v>
      </c>
      <c r="B53" s="21">
        <v>48</v>
      </c>
      <c r="C53" s="21" t="s">
        <v>841</v>
      </c>
      <c r="D53" s="21" t="s">
        <v>842</v>
      </c>
      <c r="E53" s="21">
        <v>18</v>
      </c>
      <c r="F53" s="21">
        <v>281758</v>
      </c>
      <c r="G53" s="42">
        <v>3.2000000000000001E-2</v>
      </c>
      <c r="H53" s="21" t="s">
        <v>843</v>
      </c>
      <c r="I53" s="39">
        <f ca="1">IFERROR(__xludf.DUMMYFUNCTION("IF(SUM(COUNTIF(artists!A:A, SPLIT(D53, "",""))) &gt; 0, ""UA"", 0)"),0)</f>
        <v>0</v>
      </c>
      <c r="J53" s="40">
        <f ca="1">IFERROR(__xludf.DUMMYFUNCTION("IF(SUM(COUNTIF(artists!C:C, SPLIT(D53, "",""))) &gt; 0, ""RU"", 0)"),0)</f>
        <v>0</v>
      </c>
      <c r="K53" s="39" t="str">
        <f ca="1">IFERROR(__xludf.DUMMYFUNCTION("IF(SUM(COUNTIF(artists!E:E, SPLIT(D53, "",""))) &gt; 0, ""OTHER"", 0)"),"OTHER")</f>
        <v>OTHER</v>
      </c>
    </row>
    <row r="54" spans="1:11" ht="14.25" customHeight="1">
      <c r="A54" s="21">
        <v>53</v>
      </c>
      <c r="C54" s="21" t="s">
        <v>1670</v>
      </c>
      <c r="D54" s="21" t="s">
        <v>969</v>
      </c>
      <c r="E54" s="21">
        <v>21</v>
      </c>
      <c r="F54" s="21">
        <v>261964</v>
      </c>
      <c r="H54" s="21" t="s">
        <v>1671</v>
      </c>
      <c r="I54" s="39" t="str">
        <f ca="1">IFERROR(__xludf.DUMMYFUNCTION("IF(SUM(COUNTIF(artists!A:A, SPLIT(D54, "",""))) &gt; 0, ""UA"", 0)"),"UA")</f>
        <v>UA</v>
      </c>
      <c r="J54" s="40">
        <f ca="1">IFERROR(__xludf.DUMMYFUNCTION("IF(SUM(COUNTIF(artists!C:C, SPLIT(D54, "",""))) &gt; 0, ""RU"", 0)"),0)</f>
        <v>0</v>
      </c>
      <c r="K54" s="39">
        <f ca="1">IFERROR(__xludf.DUMMYFUNCTION("IF(SUM(COUNTIF(artists!E:E, SPLIT(D54, "",""))) &gt; 0, ""OTHER"", 0)"),0)</f>
        <v>0</v>
      </c>
    </row>
    <row r="55" spans="1:11" ht="14.25" customHeight="1">
      <c r="A55" s="21">
        <v>54</v>
      </c>
      <c r="B55" s="21">
        <v>51</v>
      </c>
      <c r="C55" s="21" t="s">
        <v>186</v>
      </c>
      <c r="D55" s="21" t="s">
        <v>187</v>
      </c>
      <c r="E55" s="21">
        <v>6</v>
      </c>
      <c r="F55" s="21">
        <v>254105</v>
      </c>
      <c r="G55" s="42">
        <v>-5.3999999999999999E-2</v>
      </c>
      <c r="H55" s="21" t="s">
        <v>189</v>
      </c>
      <c r="I55" s="39" t="str">
        <f ca="1">IFERROR(__xludf.DUMMYFUNCTION("IF(SUM(COUNTIF(artists!A:A, SPLIT(D55, "",""))) &gt; 0, ""UA"", 0)"),"UA")</f>
        <v>UA</v>
      </c>
      <c r="J55" s="40">
        <f ca="1">IFERROR(__xludf.DUMMYFUNCTION("IF(SUM(COUNTIF(artists!C:C, SPLIT(D55, "",""))) &gt; 0, ""RU"", 0)"),0)</f>
        <v>0</v>
      </c>
      <c r="K55" s="39">
        <f ca="1">IFERROR(__xludf.DUMMYFUNCTION("IF(SUM(COUNTIF(artists!E:E, SPLIT(D55, "",""))) &gt; 0, ""OTHER"", 0)"),0)</f>
        <v>0</v>
      </c>
    </row>
    <row r="56" spans="1:11" ht="14.25" customHeight="1">
      <c r="A56" s="21">
        <v>55</v>
      </c>
      <c r="B56" s="21">
        <v>22</v>
      </c>
      <c r="C56" s="21" t="s">
        <v>1390</v>
      </c>
      <c r="D56" s="21" t="s">
        <v>259</v>
      </c>
      <c r="E56" s="21">
        <v>2</v>
      </c>
      <c r="F56" s="21">
        <v>253516</v>
      </c>
      <c r="G56" s="42">
        <v>-0.32700000000000001</v>
      </c>
      <c r="H56" s="21" t="s">
        <v>1391</v>
      </c>
      <c r="I56" s="39" t="str">
        <f ca="1">IFERROR(__xludf.DUMMYFUNCTION("IF(SUM(COUNTIF(artists!A:A, SPLIT(D56, "",""))) &gt; 0, ""UA"", 0)"),"UA")</f>
        <v>UA</v>
      </c>
      <c r="J56" s="40">
        <f ca="1">IFERROR(__xludf.DUMMYFUNCTION("IF(SUM(COUNTIF(artists!C:C, SPLIT(D56, "",""))) &gt; 0, ""RU"", 0)"),0)</f>
        <v>0</v>
      </c>
      <c r="K56" s="39">
        <f ca="1">IFERROR(__xludf.DUMMYFUNCTION("IF(SUM(COUNTIF(artists!E:E, SPLIT(D56, "",""))) &gt; 0, ""OTHER"", 0)"),0)</f>
        <v>0</v>
      </c>
    </row>
    <row r="57" spans="1:11" ht="14.25" customHeight="1">
      <c r="A57" s="21">
        <v>56</v>
      </c>
      <c r="B57" s="21">
        <v>56</v>
      </c>
      <c r="C57" s="21" t="s">
        <v>1387</v>
      </c>
      <c r="D57" s="21" t="s">
        <v>1388</v>
      </c>
      <c r="E57" s="21">
        <v>6</v>
      </c>
      <c r="F57" s="21">
        <v>250736</v>
      </c>
      <c r="G57" s="42">
        <v>2.7E-2</v>
      </c>
      <c r="H57" s="21" t="s">
        <v>1389</v>
      </c>
      <c r="I57" s="39">
        <f ca="1">IFERROR(__xludf.DUMMYFUNCTION("IF(SUM(COUNTIF(artists!A:A, SPLIT(D57, "",""))) &gt; 0, ""UA"", 0)"),0)</f>
        <v>0</v>
      </c>
      <c r="J57" s="40">
        <f ca="1">IFERROR(__xludf.DUMMYFUNCTION("IF(SUM(COUNTIF(artists!C:C, SPLIT(D57, "",""))) &gt; 0, ""RU"", 0)"),0)</f>
        <v>0</v>
      </c>
      <c r="K57" s="39" t="str">
        <f ca="1">IFERROR(__xludf.DUMMYFUNCTION("IF(SUM(COUNTIF(artists!E:E, SPLIT(D57, "",""))) &gt; 0, ""OTHER"", 0)"),"OTHER")</f>
        <v>OTHER</v>
      </c>
    </row>
    <row r="58" spans="1:11" ht="14.25" customHeight="1">
      <c r="A58" s="21">
        <v>57</v>
      </c>
      <c r="B58" s="21">
        <v>52</v>
      </c>
      <c r="C58" s="21" t="s">
        <v>1487</v>
      </c>
      <c r="D58" s="21" t="s">
        <v>409</v>
      </c>
      <c r="E58" s="21">
        <v>12</v>
      </c>
      <c r="F58" s="21">
        <v>248622</v>
      </c>
      <c r="G58" s="42">
        <v>-6.9000000000000006E-2</v>
      </c>
      <c r="H58" s="21" t="s">
        <v>1488</v>
      </c>
      <c r="I58" s="39" t="str">
        <f ca="1">IFERROR(__xludf.DUMMYFUNCTION("IF(SUM(COUNTIF(artists!A:A, SPLIT(D58, "",""))) &gt; 0, ""UA"", 0)"),"UA")</f>
        <v>UA</v>
      </c>
      <c r="J58" s="40">
        <f ca="1">IFERROR(__xludf.DUMMYFUNCTION("IF(SUM(COUNTIF(artists!C:C, SPLIT(D58, "",""))) &gt; 0, ""RU"", 0)"),0)</f>
        <v>0</v>
      </c>
      <c r="K58" s="39">
        <f ca="1">IFERROR(__xludf.DUMMYFUNCTION("IF(SUM(COUNTIF(artists!E:E, SPLIT(D58, "",""))) &gt; 0, ""OTHER"", 0)"),0)</f>
        <v>0</v>
      </c>
    </row>
    <row r="59" spans="1:11" ht="14.25" customHeight="1">
      <c r="A59" s="21">
        <v>58</v>
      </c>
      <c r="B59" s="21">
        <v>55</v>
      </c>
      <c r="C59" s="21" t="s">
        <v>470</v>
      </c>
      <c r="D59" s="21" t="s">
        <v>81</v>
      </c>
      <c r="E59" s="21">
        <v>11</v>
      </c>
      <c r="F59" s="21">
        <v>246569</v>
      </c>
      <c r="G59" s="42">
        <v>7.0000000000000001E-3</v>
      </c>
      <c r="H59" s="21" t="s">
        <v>472</v>
      </c>
      <c r="I59" s="39" t="str">
        <f ca="1">IFERROR(__xludf.DUMMYFUNCTION("IF(SUM(COUNTIF(artists!A:A, SPLIT(D59, "",""))) &gt; 0, ""UA"", 0)"),"UA")</f>
        <v>UA</v>
      </c>
      <c r="J59" s="40">
        <f ca="1">IFERROR(__xludf.DUMMYFUNCTION("IF(SUM(COUNTIF(artists!C:C, SPLIT(D59, "",""))) &gt; 0, ""RU"", 0)"),0)</f>
        <v>0</v>
      </c>
      <c r="K59" s="39">
        <f ca="1">IFERROR(__xludf.DUMMYFUNCTION("IF(SUM(COUNTIF(artists!E:E, SPLIT(D59, "",""))) &gt; 0, ""OTHER"", 0)"),0)</f>
        <v>0</v>
      </c>
    </row>
    <row r="60" spans="1:11" ht="14.25" customHeight="1">
      <c r="A60" s="21">
        <v>59</v>
      </c>
      <c r="B60" s="21">
        <v>38</v>
      </c>
      <c r="C60" s="21" t="s">
        <v>1536</v>
      </c>
      <c r="D60" s="21" t="s">
        <v>1537</v>
      </c>
      <c r="E60" s="21">
        <v>3</v>
      </c>
      <c r="F60" s="21">
        <v>241881</v>
      </c>
      <c r="G60" s="42">
        <v>-0.20699999999999999</v>
      </c>
      <c r="H60" s="21" t="s">
        <v>1538</v>
      </c>
      <c r="I60" s="39" t="str">
        <f ca="1">IFERROR(__xludf.DUMMYFUNCTION("IF(SUM(COUNTIF(artists!A:A, SPLIT(D60, "",""))) &gt; 0, ""UA"", 0)"),"UA")</f>
        <v>UA</v>
      </c>
      <c r="J60" s="40">
        <f ca="1">IFERROR(__xludf.DUMMYFUNCTION("IF(SUM(COUNTIF(artists!C:C, SPLIT(D60, "",""))) &gt; 0, ""RU"", 0)"),0)</f>
        <v>0</v>
      </c>
      <c r="K60" s="39">
        <f ca="1">IFERROR(__xludf.DUMMYFUNCTION("IF(SUM(COUNTIF(artists!E:E, SPLIT(D60, "",""))) &gt; 0, ""OTHER"", 0)"),0)</f>
        <v>0</v>
      </c>
    </row>
    <row r="61" spans="1:11" ht="14.25" customHeight="1">
      <c r="A61" s="21">
        <v>60</v>
      </c>
      <c r="B61" s="21">
        <v>64</v>
      </c>
      <c r="C61" s="21" t="s">
        <v>1477</v>
      </c>
      <c r="D61" s="21" t="s">
        <v>1478</v>
      </c>
      <c r="E61" s="21">
        <v>11</v>
      </c>
      <c r="F61" s="21">
        <v>239827</v>
      </c>
      <c r="G61" s="42">
        <v>8.1000000000000003E-2</v>
      </c>
      <c r="H61" s="21" t="s">
        <v>1479</v>
      </c>
      <c r="I61" s="39" t="str">
        <f ca="1">IFERROR(__xludf.DUMMYFUNCTION("IF(SUM(COUNTIF(artists!A:A, SPLIT(D61, "",""))) &gt; 0, ""UA"", 0)"),"UA")</f>
        <v>UA</v>
      </c>
      <c r="J61" s="40">
        <f ca="1">IFERROR(__xludf.DUMMYFUNCTION("IF(SUM(COUNTIF(artists!C:C, SPLIT(D61, "",""))) &gt; 0, ""RU"", 0)"),0)</f>
        <v>0</v>
      </c>
      <c r="K61" s="39">
        <f ca="1">IFERROR(__xludf.DUMMYFUNCTION("IF(SUM(COUNTIF(artists!E:E, SPLIT(D61, "",""))) &gt; 0, ""OTHER"", 0)"),0)</f>
        <v>0</v>
      </c>
    </row>
    <row r="62" spans="1:11" ht="14.25" customHeight="1">
      <c r="A62" s="21">
        <v>61</v>
      </c>
      <c r="B62" s="21">
        <v>58</v>
      </c>
      <c r="C62" s="21" t="s">
        <v>1636</v>
      </c>
      <c r="D62" s="21" t="s">
        <v>1637</v>
      </c>
      <c r="E62" s="21">
        <v>17</v>
      </c>
      <c r="F62" s="21">
        <v>239628</v>
      </c>
      <c r="G62" s="42">
        <v>2.8000000000000001E-2</v>
      </c>
      <c r="H62" s="21" t="s">
        <v>1638</v>
      </c>
      <c r="I62" s="39">
        <f ca="1">IFERROR(__xludf.DUMMYFUNCTION("IF(SUM(COUNTIF(artists!A:A, SPLIT(D62, "",""))) &gt; 0, ""UA"", 0)"),0)</f>
        <v>0</v>
      </c>
      <c r="J62" s="40" t="str">
        <f ca="1">IFERROR(__xludf.DUMMYFUNCTION("IF(SUM(COUNTIF(artists!C:C, SPLIT(D62, "",""))) &gt; 0, ""RU"", 0)"),"RU")</f>
        <v>RU</v>
      </c>
      <c r="K62" s="39">
        <f ca="1">IFERROR(__xludf.DUMMYFUNCTION("IF(SUM(COUNTIF(artists!E:E, SPLIT(D62, "",""))) &gt; 0, ""OTHER"", 0)"),0)</f>
        <v>0</v>
      </c>
    </row>
    <row r="63" spans="1:11" ht="14.25" customHeight="1">
      <c r="A63" s="21">
        <v>62</v>
      </c>
      <c r="C63" s="21" t="s">
        <v>1261</v>
      </c>
      <c r="D63" s="21" t="s">
        <v>137</v>
      </c>
      <c r="E63" s="21">
        <v>21</v>
      </c>
      <c r="F63" s="21">
        <v>234290</v>
      </c>
      <c r="H63" s="21" t="s">
        <v>1262</v>
      </c>
      <c r="I63" s="39" t="str">
        <f ca="1">IFERROR(__xludf.DUMMYFUNCTION("IF(SUM(COUNTIF(artists!A:A, SPLIT(D63, "",""))) &gt; 0, ""UA"", 0)"),"UA")</f>
        <v>UA</v>
      </c>
      <c r="J63" s="40">
        <f ca="1">IFERROR(__xludf.DUMMYFUNCTION("IF(SUM(COUNTIF(artists!C:C, SPLIT(D63, "",""))) &gt; 0, ""RU"", 0)"),0)</f>
        <v>0</v>
      </c>
      <c r="K63" s="39">
        <f ca="1">IFERROR(__xludf.DUMMYFUNCTION("IF(SUM(COUNTIF(artists!E:E, SPLIT(D63, "",""))) &gt; 0, ""OTHER"", 0)"),0)</f>
        <v>0</v>
      </c>
    </row>
    <row r="64" spans="1:11" ht="14.25" customHeight="1">
      <c r="A64" s="21">
        <v>63</v>
      </c>
      <c r="B64" s="21">
        <v>53</v>
      </c>
      <c r="C64" s="21" t="s">
        <v>1683</v>
      </c>
      <c r="D64" s="21" t="s">
        <v>1596</v>
      </c>
      <c r="E64" s="21">
        <v>5</v>
      </c>
      <c r="F64" s="21">
        <v>231519</v>
      </c>
      <c r="G64" s="43">
        <v>-0.13</v>
      </c>
      <c r="H64" s="21" t="s">
        <v>1684</v>
      </c>
      <c r="I64" s="39" t="str">
        <f ca="1">IFERROR(__xludf.DUMMYFUNCTION("IF(SUM(COUNTIF(artists!A:A, SPLIT(D64, "",""))) &gt; 0, ""UA"", 0)"),"UA")</f>
        <v>UA</v>
      </c>
      <c r="J64" s="40">
        <f ca="1">IFERROR(__xludf.DUMMYFUNCTION("IF(SUM(COUNTIF(artists!C:C, SPLIT(D64, "",""))) &gt; 0, ""RU"", 0)"),0)</f>
        <v>0</v>
      </c>
      <c r="K64" s="39">
        <f ca="1">IFERROR(__xludf.DUMMYFUNCTION("IF(SUM(COUNTIF(artists!E:E, SPLIT(D64, "",""))) &gt; 0, ""OTHER"", 0)"),0)</f>
        <v>0</v>
      </c>
    </row>
    <row r="65" spans="1:11" ht="14.25" customHeight="1">
      <c r="A65" s="21">
        <v>64</v>
      </c>
      <c r="B65" s="21">
        <v>60</v>
      </c>
      <c r="C65" s="21" t="s">
        <v>1530</v>
      </c>
      <c r="D65" s="21" t="s">
        <v>1531</v>
      </c>
      <c r="E65" s="21">
        <v>12</v>
      </c>
      <c r="F65" s="21">
        <v>231182</v>
      </c>
      <c r="G65" s="42">
        <v>6.0000000000000001E-3</v>
      </c>
      <c r="H65" s="21" t="s">
        <v>1532</v>
      </c>
      <c r="I65" s="39">
        <f ca="1">IFERROR(__xludf.DUMMYFUNCTION("IF(SUM(COUNTIF(artists!A:A, SPLIT(D65, "",""))) &gt; 0, ""UA"", 0)"),0)</f>
        <v>0</v>
      </c>
      <c r="J65" s="40">
        <f ca="1">IFERROR(__xludf.DUMMYFUNCTION("IF(SUM(COUNTIF(artists!C:C, SPLIT(D65, "",""))) &gt; 0, ""RU"", 0)"),0)</f>
        <v>0</v>
      </c>
      <c r="K65" s="39" t="str">
        <f ca="1">IFERROR(__xludf.DUMMYFUNCTION("IF(SUM(COUNTIF(artists!E:E, SPLIT(D65, "",""))) &gt; 0, ""OTHER"", 0)"),"OTHER")</f>
        <v>OTHER</v>
      </c>
    </row>
    <row r="66" spans="1:11" ht="14.25" customHeight="1">
      <c r="A66" s="21">
        <v>65</v>
      </c>
      <c r="B66" s="21">
        <v>77</v>
      </c>
      <c r="C66" s="21" t="s">
        <v>1648</v>
      </c>
      <c r="D66" s="21" t="s">
        <v>1649</v>
      </c>
      <c r="E66" s="21">
        <v>2</v>
      </c>
      <c r="F66" s="21">
        <v>227989</v>
      </c>
      <c r="G66" s="42">
        <v>0.29799999999999999</v>
      </c>
      <c r="H66" s="21" t="s">
        <v>1650</v>
      </c>
      <c r="I66" s="39">
        <f ca="1">IFERROR(__xludf.DUMMYFUNCTION("IF(SUM(COUNTIF(artists!A:A, SPLIT(D66, "",""))) &gt; 0, ""UA"", 0)"),0)</f>
        <v>0</v>
      </c>
      <c r="J66" s="40" t="str">
        <f ca="1">IFERROR(__xludf.DUMMYFUNCTION("IF(SUM(COUNTIF(artists!C:C, SPLIT(D66, "",""))) &gt; 0, ""RU"", 0)"),"RU")</f>
        <v>RU</v>
      </c>
      <c r="K66" s="39">
        <f ca="1">IFERROR(__xludf.DUMMYFUNCTION("IF(SUM(COUNTIF(artists!E:E, SPLIT(D66, "",""))) &gt; 0, ""OTHER"", 0)"),0)</f>
        <v>0</v>
      </c>
    </row>
    <row r="67" spans="1:11" ht="14.25" customHeight="1">
      <c r="A67" s="21">
        <v>66</v>
      </c>
      <c r="B67" s="21">
        <v>57</v>
      </c>
      <c r="C67" s="21" t="s">
        <v>1551</v>
      </c>
      <c r="D67" s="21" t="s">
        <v>1344</v>
      </c>
      <c r="E67" s="21">
        <v>3</v>
      </c>
      <c r="F67" s="21">
        <v>226811</v>
      </c>
      <c r="G67" s="42">
        <v>-5.0999999999999997E-2</v>
      </c>
      <c r="H67" s="21" t="s">
        <v>1552</v>
      </c>
      <c r="I67" s="39" t="str">
        <f ca="1">IFERROR(__xludf.DUMMYFUNCTION("IF(SUM(COUNTIF(artists!A:A, SPLIT(D67, "",""))) &gt; 0, ""UA"", 0)"),"UA")</f>
        <v>UA</v>
      </c>
      <c r="J67" s="40">
        <f ca="1">IFERROR(__xludf.DUMMYFUNCTION("IF(SUM(COUNTIF(artists!C:C, SPLIT(D67, "",""))) &gt; 0, ""RU"", 0)"),0)</f>
        <v>0</v>
      </c>
      <c r="K67" s="39">
        <f ca="1">IFERROR(__xludf.DUMMYFUNCTION("IF(SUM(COUNTIF(artists!E:E, SPLIT(D67, "",""))) &gt; 0, ""OTHER"", 0)"),0)</f>
        <v>0</v>
      </c>
    </row>
    <row r="68" spans="1:11" ht="14.25" customHeight="1">
      <c r="A68" s="21">
        <v>67</v>
      </c>
      <c r="C68" s="21" t="s">
        <v>1662</v>
      </c>
      <c r="D68" s="21" t="s">
        <v>1663</v>
      </c>
      <c r="E68" s="21">
        <v>1</v>
      </c>
      <c r="F68" s="21">
        <v>222284</v>
      </c>
      <c r="H68" s="21" t="s">
        <v>1664</v>
      </c>
      <c r="I68" s="39">
        <f ca="1">IFERROR(__xludf.DUMMYFUNCTION("IF(SUM(COUNTIF(artists!A:A, SPLIT(D68, "",""))) &gt; 0, ""UA"", 0)"),0)</f>
        <v>0</v>
      </c>
      <c r="J68" s="40">
        <f ca="1">IFERROR(__xludf.DUMMYFUNCTION("IF(SUM(COUNTIF(artists!C:C, SPLIT(D68, "",""))) &gt; 0, ""RU"", 0)"),0)</f>
        <v>0</v>
      </c>
      <c r="K68" s="39" t="str">
        <f ca="1">IFERROR(__xludf.DUMMYFUNCTION("IF(SUM(COUNTIF(artists!E:E, SPLIT(D68, "",""))) &gt; 0, ""OTHER"", 0)"),"OTHER")</f>
        <v>OTHER</v>
      </c>
    </row>
    <row r="69" spans="1:11" ht="14.25" customHeight="1">
      <c r="A69" s="21">
        <v>68</v>
      </c>
      <c r="B69" s="21">
        <v>61</v>
      </c>
      <c r="C69" s="21" t="s">
        <v>1674</v>
      </c>
      <c r="D69" s="21" t="s">
        <v>172</v>
      </c>
      <c r="E69" s="21">
        <v>18</v>
      </c>
      <c r="F69" s="21">
        <v>220486</v>
      </c>
      <c r="G69" s="42">
        <v>-2.5000000000000001E-2</v>
      </c>
      <c r="H69" s="21" t="s">
        <v>1675</v>
      </c>
      <c r="I69" s="39">
        <f ca="1">IFERROR(__xludf.DUMMYFUNCTION("IF(SUM(COUNTIF(artists!A:A, SPLIT(D69, "",""))) &gt; 0, ""UA"", 0)"),0)</f>
        <v>0</v>
      </c>
      <c r="J69" s="40" t="str">
        <f ca="1">IFERROR(__xludf.DUMMYFUNCTION("IF(SUM(COUNTIF(artists!C:C, SPLIT(D69, "",""))) &gt; 0, ""RU"", 0)"),"RU")</f>
        <v>RU</v>
      </c>
      <c r="K69" s="39">
        <f ca="1">IFERROR(__xludf.DUMMYFUNCTION("IF(SUM(COUNTIF(artists!E:E, SPLIT(D69, "",""))) &gt; 0, ""OTHER"", 0)"),0)</f>
        <v>0</v>
      </c>
    </row>
    <row r="70" spans="1:11" ht="14.25" customHeight="1">
      <c r="A70" s="21">
        <v>69</v>
      </c>
      <c r="B70" s="21">
        <v>68</v>
      </c>
      <c r="C70" s="21" t="s">
        <v>1690</v>
      </c>
      <c r="D70" s="21" t="s">
        <v>259</v>
      </c>
      <c r="E70" s="21">
        <v>7</v>
      </c>
      <c r="F70" s="21">
        <v>219660</v>
      </c>
      <c r="G70" s="42">
        <v>0.107</v>
      </c>
      <c r="H70" s="21" t="s">
        <v>1691</v>
      </c>
      <c r="I70" s="39" t="str">
        <f ca="1">IFERROR(__xludf.DUMMYFUNCTION("IF(SUM(COUNTIF(artists!A:A, SPLIT(D70, "",""))) &gt; 0, ""UA"", 0)"),"UA")</f>
        <v>UA</v>
      </c>
      <c r="J70" s="40">
        <f ca="1">IFERROR(__xludf.DUMMYFUNCTION("IF(SUM(COUNTIF(artists!C:C, SPLIT(D70, "",""))) &gt; 0, ""RU"", 0)"),0)</f>
        <v>0</v>
      </c>
      <c r="K70" s="39">
        <f ca="1">IFERROR(__xludf.DUMMYFUNCTION("IF(SUM(COUNTIF(artists!E:E, SPLIT(D70, "",""))) &gt; 0, ""OTHER"", 0)"),0)</f>
        <v>0</v>
      </c>
    </row>
    <row r="71" spans="1:11" ht="14.25" customHeight="1">
      <c r="A71" s="21">
        <v>70</v>
      </c>
      <c r="C71" s="21" t="s">
        <v>1242</v>
      </c>
      <c r="D71" s="21" t="s">
        <v>969</v>
      </c>
      <c r="E71" s="21">
        <v>1</v>
      </c>
      <c r="F71" s="21">
        <v>213991</v>
      </c>
      <c r="H71" s="21" t="s">
        <v>1243</v>
      </c>
      <c r="I71" s="39" t="str">
        <f ca="1">IFERROR(__xludf.DUMMYFUNCTION("IF(SUM(COUNTIF(artists!A:A, SPLIT(D71, "",""))) &gt; 0, ""UA"", 0)"),"UA")</f>
        <v>UA</v>
      </c>
      <c r="J71" s="40">
        <f ca="1">IFERROR(__xludf.DUMMYFUNCTION("IF(SUM(COUNTIF(artists!C:C, SPLIT(D71, "",""))) &gt; 0, ""RU"", 0)"),0)</f>
        <v>0</v>
      </c>
      <c r="K71" s="39">
        <f ca="1">IFERROR(__xludf.DUMMYFUNCTION("IF(SUM(COUNTIF(artists!E:E, SPLIT(D71, "",""))) &gt; 0, ""OTHER"", 0)"),0)</f>
        <v>0</v>
      </c>
    </row>
    <row r="72" spans="1:11" ht="14.25" customHeight="1">
      <c r="A72" s="21">
        <v>71</v>
      </c>
      <c r="C72" s="21" t="s">
        <v>1007</v>
      </c>
      <c r="D72" s="21" t="s">
        <v>1008</v>
      </c>
      <c r="E72" s="21">
        <v>11</v>
      </c>
      <c r="F72" s="21">
        <v>210341</v>
      </c>
      <c r="H72" s="21" t="s">
        <v>1009</v>
      </c>
      <c r="I72" s="39">
        <f ca="1">IFERROR(__xludf.DUMMYFUNCTION("IF(SUM(COUNTIF(artists!A:A, SPLIT(D72, "",""))) &gt; 0, ""UA"", 0)"),0)</f>
        <v>0</v>
      </c>
      <c r="J72" s="40" t="str">
        <f ca="1">IFERROR(__xludf.DUMMYFUNCTION("IF(SUM(COUNTIF(artists!C:C, SPLIT(D72, "",""))) &gt; 0, ""RU"", 0)"),"RU")</f>
        <v>RU</v>
      </c>
      <c r="K72" s="39">
        <f ca="1">IFERROR(__xludf.DUMMYFUNCTION("IF(SUM(COUNTIF(artists!E:E, SPLIT(D72, "",""))) &gt; 0, ""OTHER"", 0)"),0)</f>
        <v>0</v>
      </c>
    </row>
    <row r="73" spans="1:11" ht="14.25" customHeight="1">
      <c r="A73" s="21">
        <v>72</v>
      </c>
      <c r="B73" s="21">
        <v>69</v>
      </c>
      <c r="C73" s="21" t="s">
        <v>748</v>
      </c>
      <c r="D73" s="21" t="s">
        <v>586</v>
      </c>
      <c r="E73" s="21">
        <v>11</v>
      </c>
      <c r="F73" s="21">
        <v>204178</v>
      </c>
      <c r="G73" s="42">
        <v>4.5999999999999999E-2</v>
      </c>
      <c r="H73" s="21" t="s">
        <v>749</v>
      </c>
      <c r="I73" s="39" t="str">
        <f ca="1">IFERROR(__xludf.DUMMYFUNCTION("IF(SUM(COUNTIF(artists!A:A, SPLIT(D73, "",""))) &gt; 0, ""UA"", 0)"),"UA")</f>
        <v>UA</v>
      </c>
      <c r="J73" s="40">
        <f ca="1">IFERROR(__xludf.DUMMYFUNCTION("IF(SUM(COUNTIF(artists!C:C, SPLIT(D73, "",""))) &gt; 0, ""RU"", 0)"),0)</f>
        <v>0</v>
      </c>
      <c r="K73" s="39">
        <f ca="1">IFERROR(__xludf.DUMMYFUNCTION("IF(SUM(COUNTIF(artists!E:E, SPLIT(D73, "",""))) &gt; 0, ""OTHER"", 0)"),0)</f>
        <v>0</v>
      </c>
    </row>
    <row r="74" spans="1:11" ht="14.25" customHeight="1">
      <c r="A74" s="21">
        <v>73</v>
      </c>
      <c r="B74" s="21">
        <v>74</v>
      </c>
      <c r="C74" s="21" t="s">
        <v>178</v>
      </c>
      <c r="D74" s="21" t="s">
        <v>179</v>
      </c>
      <c r="E74" s="21">
        <v>6</v>
      </c>
      <c r="F74" s="21">
        <v>203161</v>
      </c>
      <c r="G74" s="42">
        <v>0.13400000000000001</v>
      </c>
      <c r="H74" s="21" t="s">
        <v>181</v>
      </c>
      <c r="I74" s="39" t="str">
        <f ca="1">IFERROR(__xludf.DUMMYFUNCTION("IF(SUM(COUNTIF(artists!A:A, SPLIT(D74, "",""))) &gt; 0, ""UA"", 0)"),"UA")</f>
        <v>UA</v>
      </c>
      <c r="J74" s="40">
        <f ca="1">IFERROR(__xludf.DUMMYFUNCTION("IF(SUM(COUNTIF(artists!C:C, SPLIT(D74, "",""))) &gt; 0, ""RU"", 0)"),0)</f>
        <v>0</v>
      </c>
      <c r="K74" s="39">
        <f ca="1">IFERROR(__xludf.DUMMYFUNCTION("IF(SUM(COUNTIF(artists!E:E, SPLIT(D74, "",""))) &gt; 0, ""OTHER"", 0)"),0)</f>
        <v>0</v>
      </c>
    </row>
    <row r="75" spans="1:11" ht="14.25" customHeight="1">
      <c r="A75" s="21">
        <v>74</v>
      </c>
      <c r="B75" s="21">
        <v>86</v>
      </c>
      <c r="C75" s="21" t="s">
        <v>1720</v>
      </c>
      <c r="D75" s="21" t="s">
        <v>1721</v>
      </c>
      <c r="E75" s="21">
        <v>2</v>
      </c>
      <c r="F75" s="21">
        <v>201260</v>
      </c>
      <c r="G75" s="42">
        <v>0.20699999999999999</v>
      </c>
      <c r="H75" s="21" t="s">
        <v>1722</v>
      </c>
      <c r="I75" s="39" t="str">
        <f ca="1">IFERROR(__xludf.DUMMYFUNCTION("IF(SUM(COUNTIF(artists!A:A, SPLIT(D75, "",""))) &gt; 0, ""UA"", 0)"),"UA")</f>
        <v>UA</v>
      </c>
      <c r="J75" s="40">
        <f ca="1">IFERROR(__xludf.DUMMYFUNCTION("IF(SUM(COUNTIF(artists!C:C, SPLIT(D75, "",""))) &gt; 0, ""RU"", 0)"),0)</f>
        <v>0</v>
      </c>
      <c r="K75" s="39">
        <f ca="1">IFERROR(__xludf.DUMMYFUNCTION("IF(SUM(COUNTIF(artists!E:E, SPLIT(D75, "",""))) &gt; 0, ""OTHER"", 0)"),0)</f>
        <v>0</v>
      </c>
    </row>
    <row r="76" spans="1:11" ht="14.25" customHeight="1">
      <c r="A76" s="21">
        <v>75</v>
      </c>
      <c r="B76" s="21">
        <v>82</v>
      </c>
      <c r="C76" s="21" t="s">
        <v>678</v>
      </c>
      <c r="D76" s="21" t="s">
        <v>89</v>
      </c>
      <c r="E76" s="21">
        <v>3</v>
      </c>
      <c r="F76" s="21">
        <v>201094</v>
      </c>
      <c r="G76" s="42">
        <v>0.189</v>
      </c>
      <c r="H76" s="21" t="s">
        <v>679</v>
      </c>
      <c r="I76" s="39" t="str">
        <f ca="1">IFERROR(__xludf.DUMMYFUNCTION("IF(SUM(COUNTIF(artists!A:A, SPLIT(D76, "",""))) &gt; 0, ""UA"", 0)"),"UA")</f>
        <v>UA</v>
      </c>
      <c r="J76" s="40">
        <f ca="1">IFERROR(__xludf.DUMMYFUNCTION("IF(SUM(COUNTIF(artists!C:C, SPLIT(D76, "",""))) &gt; 0, ""RU"", 0)"),0)</f>
        <v>0</v>
      </c>
      <c r="K76" s="39">
        <f ca="1">IFERROR(__xludf.DUMMYFUNCTION("IF(SUM(COUNTIF(artists!E:E, SPLIT(D76, "",""))) &gt; 0, ""OTHER"", 0)"),0)</f>
        <v>0</v>
      </c>
    </row>
    <row r="77" spans="1:11" ht="14.25" customHeight="1">
      <c r="A77" s="21">
        <v>76</v>
      </c>
      <c r="B77" s="21">
        <v>63</v>
      </c>
      <c r="C77" s="21" t="s">
        <v>597</v>
      </c>
      <c r="D77" s="21" t="s">
        <v>598</v>
      </c>
      <c r="E77" s="21">
        <v>7</v>
      </c>
      <c r="F77" s="21">
        <v>200635</v>
      </c>
      <c r="G77" s="42">
        <v>-0.107</v>
      </c>
      <c r="H77" s="21" t="s">
        <v>600</v>
      </c>
      <c r="I77" s="39" t="str">
        <f ca="1">IFERROR(__xludf.DUMMYFUNCTION("IF(SUM(COUNTIF(artists!A:A, SPLIT(D77, "",""))) &gt; 0, ""UA"", 0)"),"UA")</f>
        <v>UA</v>
      </c>
      <c r="J77" s="40">
        <f ca="1">IFERROR(__xludf.DUMMYFUNCTION("IF(SUM(COUNTIF(artists!C:C, SPLIT(D77, "",""))) &gt; 0, ""RU"", 0)"),0)</f>
        <v>0</v>
      </c>
      <c r="K77" s="39">
        <f ca="1">IFERROR(__xludf.DUMMYFUNCTION("IF(SUM(COUNTIF(artists!E:E, SPLIT(D77, "",""))) &gt; 0, ""OTHER"", 0)"),0)</f>
        <v>0</v>
      </c>
    </row>
    <row r="78" spans="1:11" ht="14.25" customHeight="1">
      <c r="A78" s="21">
        <v>77</v>
      </c>
      <c r="B78" s="21">
        <v>72</v>
      </c>
      <c r="C78" s="21" t="s">
        <v>355</v>
      </c>
      <c r="D78" s="21" t="s">
        <v>356</v>
      </c>
      <c r="E78" s="21">
        <v>8</v>
      </c>
      <c r="F78" s="21">
        <v>199064</v>
      </c>
      <c r="G78" s="42">
        <v>6.8000000000000005E-2</v>
      </c>
      <c r="H78" s="21" t="s">
        <v>357</v>
      </c>
      <c r="I78" s="39">
        <f ca="1">IFERROR(__xludf.DUMMYFUNCTION("IF(SUM(COUNTIF(artists!A:A, SPLIT(D78, "",""))) &gt; 0, ""UA"", 0)"),0)</f>
        <v>0</v>
      </c>
      <c r="J78" s="40">
        <f ca="1">IFERROR(__xludf.DUMMYFUNCTION("IF(SUM(COUNTIF(artists!C:C, SPLIT(D78, "",""))) &gt; 0, ""RU"", 0)"),0)</f>
        <v>0</v>
      </c>
      <c r="K78" s="39" t="str">
        <f ca="1">IFERROR(__xludf.DUMMYFUNCTION("IF(SUM(COUNTIF(artists!E:E, SPLIT(D78, "",""))) &gt; 0, ""OTHER"", 0)"),"OTHER")</f>
        <v>OTHER</v>
      </c>
    </row>
    <row r="79" spans="1:11" ht="14.25" customHeight="1">
      <c r="A79" s="21">
        <v>78</v>
      </c>
      <c r="B79" s="21">
        <v>88</v>
      </c>
      <c r="C79" s="21" t="s">
        <v>1698</v>
      </c>
      <c r="D79" s="21" t="s">
        <v>1699</v>
      </c>
      <c r="E79" s="21">
        <v>4</v>
      </c>
      <c r="F79" s="21">
        <v>195141</v>
      </c>
      <c r="G79" s="42">
        <v>0.19500000000000001</v>
      </c>
      <c r="H79" s="21" t="s">
        <v>1700</v>
      </c>
      <c r="I79" s="39">
        <f ca="1">IFERROR(__xludf.DUMMYFUNCTION("IF(SUM(COUNTIF(artists!A:A, SPLIT(D79, "",""))) &gt; 0, ""UA"", 0)"),0)</f>
        <v>0</v>
      </c>
      <c r="J79" s="40" t="str">
        <f ca="1">IFERROR(__xludf.DUMMYFUNCTION("IF(SUM(COUNTIF(artists!C:C, SPLIT(D79, "",""))) &gt; 0, ""RU"", 0)"),"RU")</f>
        <v>RU</v>
      </c>
      <c r="K79" s="39">
        <f ca="1">IFERROR(__xludf.DUMMYFUNCTION("IF(SUM(COUNTIF(artists!E:E, SPLIT(D79, "",""))) &gt; 0, ""OTHER"", 0)"),0)</f>
        <v>0</v>
      </c>
    </row>
    <row r="80" spans="1:11" ht="14.25" customHeight="1">
      <c r="A80" s="21">
        <v>79</v>
      </c>
      <c r="C80" s="21" t="s">
        <v>1685</v>
      </c>
      <c r="D80" s="21" t="s">
        <v>1185</v>
      </c>
      <c r="E80" s="21">
        <v>1</v>
      </c>
      <c r="F80" s="21">
        <v>194456</v>
      </c>
      <c r="H80" s="21" t="s">
        <v>1686</v>
      </c>
      <c r="I80" s="39">
        <f ca="1">IFERROR(__xludf.DUMMYFUNCTION("IF(SUM(COUNTIF(artists!A:A, SPLIT(D80, "",""))) &gt; 0, ""UA"", 0)"),0)</f>
        <v>0</v>
      </c>
      <c r="J80" s="40">
        <f ca="1">IFERROR(__xludf.DUMMYFUNCTION("IF(SUM(COUNTIF(artists!C:C, SPLIT(D80, "",""))) &gt; 0, ""RU"", 0)"),0)</f>
        <v>0</v>
      </c>
      <c r="K80" s="39" t="str">
        <f ca="1">IFERROR(__xludf.DUMMYFUNCTION("IF(SUM(COUNTIF(artists!E:E, SPLIT(D80, "",""))) &gt; 0, ""OTHER"", 0)"),"OTHER")</f>
        <v>OTHER</v>
      </c>
    </row>
    <row r="81" spans="1:11" ht="14.25" customHeight="1">
      <c r="A81" s="21">
        <v>80</v>
      </c>
      <c r="B81" s="21">
        <v>62</v>
      </c>
      <c r="C81" s="21" t="s">
        <v>31</v>
      </c>
      <c r="D81" s="21" t="s">
        <v>32</v>
      </c>
      <c r="E81" s="21">
        <v>7</v>
      </c>
      <c r="F81" s="21">
        <v>191974</v>
      </c>
      <c r="G81" s="42">
        <v>-0.151</v>
      </c>
      <c r="H81" s="21" t="s">
        <v>1630</v>
      </c>
      <c r="I81" s="39" t="s">
        <v>77</v>
      </c>
      <c r="J81" s="40">
        <f ca="1">IFERROR(__xludf.DUMMYFUNCTION("IF(SUM(COUNTIF(artists!C:C, SPLIT(D81, "",""))) &gt; 0, ""RU"", 0)"),0)</f>
        <v>0</v>
      </c>
      <c r="K81" s="39">
        <f ca="1">IFERROR(__xludf.DUMMYFUNCTION("IF(SUM(COUNTIF(artists!E:E, SPLIT(D81, "",""))) &gt; 0, ""OTHER"", 0)"),0)</f>
        <v>0</v>
      </c>
    </row>
    <row r="82" spans="1:11" ht="14.25" customHeight="1">
      <c r="A82" s="21">
        <v>81</v>
      </c>
      <c r="B82" s="21">
        <v>75</v>
      </c>
      <c r="C82" s="21" t="s">
        <v>489</v>
      </c>
      <c r="D82" s="21" t="s">
        <v>490</v>
      </c>
      <c r="E82" s="21">
        <v>10</v>
      </c>
      <c r="F82" s="21">
        <v>187265</v>
      </c>
      <c r="G82" s="42">
        <v>5.6000000000000001E-2</v>
      </c>
      <c r="H82" s="21" t="s">
        <v>491</v>
      </c>
      <c r="I82" s="39" t="str">
        <f ca="1">IFERROR(__xludf.DUMMYFUNCTION("IF(SUM(COUNTIF(artists!A:A, SPLIT(D82, "",""))) &gt; 0, ""UA"", 0)"),"UA")</f>
        <v>UA</v>
      </c>
      <c r="J82" s="40">
        <f ca="1">IFERROR(__xludf.DUMMYFUNCTION("IF(SUM(COUNTIF(artists!C:C, SPLIT(D82, "",""))) &gt; 0, ""RU"", 0)"),0)</f>
        <v>0</v>
      </c>
      <c r="K82" s="39">
        <f ca="1">IFERROR(__xludf.DUMMYFUNCTION("IF(SUM(COUNTIF(artists!E:E, SPLIT(D82, "",""))) &gt; 0, ""OTHER"", 0)"),0)</f>
        <v>0</v>
      </c>
    </row>
    <row r="83" spans="1:11" ht="14.25" customHeight="1">
      <c r="A83" s="21">
        <v>82</v>
      </c>
      <c r="B83" s="21">
        <v>70</v>
      </c>
      <c r="C83" s="21" t="s">
        <v>1369</v>
      </c>
      <c r="D83" s="21" t="s">
        <v>1370</v>
      </c>
      <c r="E83" s="21">
        <v>12</v>
      </c>
      <c r="F83" s="21">
        <v>187221</v>
      </c>
      <c r="G83" s="42">
        <v>-1.9E-2</v>
      </c>
      <c r="H83" s="21" t="s">
        <v>1371</v>
      </c>
      <c r="I83" s="39" t="str">
        <f ca="1">IFERROR(__xludf.DUMMYFUNCTION("IF(SUM(COUNTIF(artists!A:A, SPLIT(D83, "",""))) &gt; 0, ""UA"", 0)"),"UA")</f>
        <v>UA</v>
      </c>
      <c r="J83" s="40">
        <f ca="1">IFERROR(__xludf.DUMMYFUNCTION("IF(SUM(COUNTIF(artists!C:C, SPLIT(D83, "",""))) &gt; 0, ""RU"", 0)"),0)</f>
        <v>0</v>
      </c>
      <c r="K83" s="39">
        <f ca="1">IFERROR(__xludf.DUMMYFUNCTION("IF(SUM(COUNTIF(artists!E:E, SPLIT(D83, "",""))) &gt; 0, ""OTHER"", 0)"),0)</f>
        <v>0</v>
      </c>
    </row>
    <row r="84" spans="1:11" ht="14.25" customHeight="1">
      <c r="A84" s="21">
        <v>83</v>
      </c>
      <c r="C84" s="21" t="s">
        <v>1723</v>
      </c>
      <c r="D84" s="21" t="s">
        <v>1724</v>
      </c>
      <c r="E84" s="21">
        <v>3</v>
      </c>
      <c r="F84" s="21">
        <v>185748</v>
      </c>
      <c r="H84" s="21" t="s">
        <v>1725</v>
      </c>
      <c r="I84" s="39" t="str">
        <f ca="1">IFERROR(__xludf.DUMMYFUNCTION("IF(SUM(COUNTIF(artists!A:A, SPLIT(D84, "",""))) &gt; 0, ""UA"", 0)"),"UA")</f>
        <v>UA</v>
      </c>
      <c r="J84" s="40">
        <f ca="1">IFERROR(__xludf.DUMMYFUNCTION("IF(SUM(COUNTIF(artists!C:C, SPLIT(D84, "",""))) &gt; 0, ""RU"", 0)"),0)</f>
        <v>0</v>
      </c>
      <c r="K84" s="39">
        <f ca="1">IFERROR(__xludf.DUMMYFUNCTION("IF(SUM(COUNTIF(artists!E:E, SPLIT(D84, "",""))) &gt; 0, ""OTHER"", 0)"),0)</f>
        <v>0</v>
      </c>
    </row>
    <row r="85" spans="1:11" ht="14.25" customHeight="1">
      <c r="A85" s="21">
        <v>84</v>
      </c>
      <c r="B85" s="21">
        <v>65</v>
      </c>
      <c r="C85" s="21" t="s">
        <v>1614</v>
      </c>
      <c r="D85" s="21" t="s">
        <v>1027</v>
      </c>
      <c r="E85" s="21">
        <v>9</v>
      </c>
      <c r="F85" s="21">
        <v>183001</v>
      </c>
      <c r="G85" s="42">
        <v>-0.158</v>
      </c>
      <c r="H85" s="21" t="s">
        <v>1615</v>
      </c>
      <c r="I85" s="39" t="str">
        <f ca="1">IFERROR(__xludf.DUMMYFUNCTION("IF(SUM(COUNTIF(artists!A:A, SPLIT(D85, "",""))) &gt; 0, ""UA"", 0)"),"UA")</f>
        <v>UA</v>
      </c>
      <c r="J85" s="40">
        <f ca="1">IFERROR(__xludf.DUMMYFUNCTION("IF(SUM(COUNTIF(artists!C:C, SPLIT(D85, "",""))) &gt; 0, ""RU"", 0)"),0)</f>
        <v>0</v>
      </c>
      <c r="K85" s="39">
        <f ca="1">IFERROR(__xludf.DUMMYFUNCTION("IF(SUM(COUNTIF(artists!E:E, SPLIT(D85, "",""))) &gt; 0, ""OTHER"", 0)"),0)</f>
        <v>0</v>
      </c>
    </row>
    <row r="86" spans="1:11" ht="14.25" customHeight="1">
      <c r="A86" s="21">
        <v>85</v>
      </c>
      <c r="C86" s="21" t="s">
        <v>1385</v>
      </c>
      <c r="D86" s="21" t="s">
        <v>896</v>
      </c>
      <c r="E86" s="21">
        <v>1</v>
      </c>
      <c r="F86" s="21">
        <v>182989</v>
      </c>
      <c r="H86" s="21" t="s">
        <v>1386</v>
      </c>
      <c r="I86" s="39" t="str">
        <f ca="1">IFERROR(__xludf.DUMMYFUNCTION("IF(SUM(COUNTIF(artists!A:A, SPLIT(D86, "",""))) &gt; 0, ""UA"", 0)"),"UA")</f>
        <v>UA</v>
      </c>
      <c r="J86" s="40">
        <f ca="1">IFERROR(__xludf.DUMMYFUNCTION("IF(SUM(COUNTIF(artists!C:C, SPLIT(D86, "",""))) &gt; 0, ""RU"", 0)"),0)</f>
        <v>0</v>
      </c>
      <c r="K86" s="39">
        <f ca="1">IFERROR(__xludf.DUMMYFUNCTION("IF(SUM(COUNTIF(artists!E:E, SPLIT(D86, "",""))) &gt; 0, ""OTHER"", 0)"),0)</f>
        <v>0</v>
      </c>
    </row>
    <row r="87" spans="1:11" ht="14.25" customHeight="1">
      <c r="A87" s="21">
        <v>86</v>
      </c>
      <c r="C87" s="21" t="s">
        <v>1704</v>
      </c>
      <c r="D87" s="21" t="s">
        <v>1503</v>
      </c>
      <c r="E87" s="21">
        <v>5</v>
      </c>
      <c r="F87" s="21">
        <v>180691</v>
      </c>
      <c r="H87" s="21" t="s">
        <v>1705</v>
      </c>
      <c r="I87" s="39" t="str">
        <f ca="1">IFERROR(__xludf.DUMMYFUNCTION("IF(SUM(COUNTIF(artists!A:A, SPLIT(D87, "",""))) &gt; 0, ""UA"", 0)"),"UA")</f>
        <v>UA</v>
      </c>
      <c r="J87" s="40">
        <f ca="1">IFERROR(__xludf.DUMMYFUNCTION("IF(SUM(COUNTIF(artists!C:C, SPLIT(D87, "",""))) &gt; 0, ""RU"", 0)"),0)</f>
        <v>0</v>
      </c>
      <c r="K87" s="39">
        <f ca="1">IFERROR(__xludf.DUMMYFUNCTION("IF(SUM(COUNTIF(artists!E:E, SPLIT(D87, "",""))) &gt; 0, ""OTHER"", 0)"),0)</f>
        <v>0</v>
      </c>
    </row>
    <row r="88" spans="1:11" ht="14.25" customHeight="1">
      <c r="A88" s="21">
        <v>87</v>
      </c>
      <c r="B88" s="21">
        <v>96</v>
      </c>
      <c r="C88" s="21" t="s">
        <v>1622</v>
      </c>
      <c r="D88" s="21" t="s">
        <v>137</v>
      </c>
      <c r="E88" s="21">
        <v>16</v>
      </c>
      <c r="F88" s="21">
        <v>179639</v>
      </c>
      <c r="G88" s="42">
        <v>0.13500000000000001</v>
      </c>
      <c r="H88" s="21" t="s">
        <v>1623</v>
      </c>
      <c r="I88" s="39" t="str">
        <f ca="1">IFERROR(__xludf.DUMMYFUNCTION("IF(SUM(COUNTIF(artists!A:A, SPLIT(D88, "",""))) &gt; 0, ""UA"", 0)"),"UA")</f>
        <v>UA</v>
      </c>
      <c r="J88" s="40">
        <f ca="1">IFERROR(__xludf.DUMMYFUNCTION("IF(SUM(COUNTIF(artists!C:C, SPLIT(D88, "",""))) &gt; 0, ""RU"", 0)"),0)</f>
        <v>0</v>
      </c>
      <c r="K88" s="39">
        <f ca="1">IFERROR(__xludf.DUMMYFUNCTION("IF(SUM(COUNTIF(artists!E:E, SPLIT(D88, "",""))) &gt; 0, ""OTHER"", 0)"),0)</f>
        <v>0</v>
      </c>
    </row>
    <row r="89" spans="1:11" ht="14.25" customHeight="1">
      <c r="A89" s="21">
        <v>88</v>
      </c>
      <c r="C89" s="21" t="s">
        <v>1692</v>
      </c>
      <c r="D89" s="21" t="s">
        <v>1693</v>
      </c>
      <c r="E89" s="21">
        <v>4</v>
      </c>
      <c r="F89" s="21">
        <v>178872</v>
      </c>
      <c r="H89" s="21" t="s">
        <v>1694</v>
      </c>
      <c r="I89" s="39" t="str">
        <f ca="1">IFERROR(__xludf.DUMMYFUNCTION("IF(SUM(COUNTIF(artists!A:A, SPLIT(D89, "",""))) &gt; 0, ""UA"", 0)"),"UA")</f>
        <v>UA</v>
      </c>
      <c r="J89" s="40">
        <f ca="1">IFERROR(__xludf.DUMMYFUNCTION("IF(SUM(COUNTIF(artists!C:C, SPLIT(D89, "",""))) &gt; 0, ""RU"", 0)"),0)</f>
        <v>0</v>
      </c>
      <c r="K89" s="39">
        <f ca="1">IFERROR(__xludf.DUMMYFUNCTION("IF(SUM(COUNTIF(artists!E:E, SPLIT(D89, "",""))) &gt; 0, ""OTHER"", 0)"),0)</f>
        <v>0</v>
      </c>
    </row>
    <row r="90" spans="1:11" ht="14.25" customHeight="1">
      <c r="A90" s="21">
        <v>89</v>
      </c>
      <c r="B90" s="21">
        <v>73</v>
      </c>
      <c r="C90" s="21" t="s">
        <v>1588</v>
      </c>
      <c r="D90" s="21" t="s">
        <v>776</v>
      </c>
      <c r="E90" s="21">
        <v>15</v>
      </c>
      <c r="F90" s="21">
        <v>176949</v>
      </c>
      <c r="G90" s="42">
        <v>-4.9000000000000002E-2</v>
      </c>
      <c r="H90" s="21" t="s">
        <v>1589</v>
      </c>
      <c r="I90" s="39" t="str">
        <f ca="1">IFERROR(__xludf.DUMMYFUNCTION("IF(SUM(COUNTIF(artists!A:A, SPLIT(D90, "",""))) &gt; 0, ""UA"", 0)"),"UA")</f>
        <v>UA</v>
      </c>
      <c r="J90" s="40">
        <f ca="1">IFERROR(__xludf.DUMMYFUNCTION("IF(SUM(COUNTIF(artists!C:C, SPLIT(D90, "",""))) &gt; 0, ""RU"", 0)"),0)</f>
        <v>0</v>
      </c>
      <c r="K90" s="39">
        <f ca="1">IFERROR(__xludf.DUMMYFUNCTION("IF(SUM(COUNTIF(artists!E:E, SPLIT(D90, "",""))) &gt; 0, ""OTHER"", 0)"),0)</f>
        <v>0</v>
      </c>
    </row>
    <row r="91" spans="1:11" ht="14.25" customHeight="1">
      <c r="A91" s="21">
        <v>90</v>
      </c>
      <c r="B91" s="21">
        <v>94</v>
      </c>
      <c r="C91" s="21" t="s">
        <v>636</v>
      </c>
      <c r="D91" s="21" t="s">
        <v>637</v>
      </c>
      <c r="E91" s="21">
        <v>3</v>
      </c>
      <c r="F91" s="21">
        <v>176640</v>
      </c>
      <c r="G91" s="42">
        <v>0.106</v>
      </c>
      <c r="H91" s="21" t="s">
        <v>638</v>
      </c>
      <c r="I91" s="39">
        <f ca="1">IFERROR(__xludf.DUMMYFUNCTION("IF(SUM(COUNTIF(artists!A:A, SPLIT(D91, "",""))) &gt; 0, ""UA"", 0)"),0)</f>
        <v>0</v>
      </c>
      <c r="J91" s="40">
        <f ca="1">IFERROR(__xludf.DUMMYFUNCTION("IF(SUM(COUNTIF(artists!C:C, SPLIT(D91, "",""))) &gt; 0, ""RU"", 0)"),0)</f>
        <v>0</v>
      </c>
      <c r="K91" s="39" t="str">
        <f ca="1">IFERROR(__xludf.DUMMYFUNCTION("IF(SUM(COUNTIF(artists!E:E, SPLIT(D91, "",""))) &gt; 0, ""OTHER"", 0)"),"OTHER")</f>
        <v>OTHER</v>
      </c>
    </row>
    <row r="92" spans="1:11" ht="14.25" customHeight="1">
      <c r="A92" s="21">
        <v>91</v>
      </c>
      <c r="B92" s="21">
        <v>76</v>
      </c>
      <c r="C92" s="21" t="s">
        <v>1546</v>
      </c>
      <c r="D92" s="21" t="s">
        <v>1429</v>
      </c>
      <c r="E92" s="21">
        <v>8</v>
      </c>
      <c r="F92" s="21">
        <v>174464</v>
      </c>
      <c r="G92" s="42">
        <v>-8.9999999999999993E-3</v>
      </c>
      <c r="H92" s="21" t="s">
        <v>1547</v>
      </c>
      <c r="I92" s="39" t="str">
        <f ca="1">IFERROR(__xludf.DUMMYFUNCTION("IF(SUM(COUNTIF(artists!A:A, SPLIT(D92, "",""))) &gt; 0, ""UA"", 0)"),"UA")</f>
        <v>UA</v>
      </c>
      <c r="J92" s="40">
        <f ca="1">IFERROR(__xludf.DUMMYFUNCTION("IF(SUM(COUNTIF(artists!C:C, SPLIT(D92, "",""))) &gt; 0, ""RU"", 0)"),0)</f>
        <v>0</v>
      </c>
      <c r="K92" s="39">
        <f ca="1">IFERROR(__xludf.DUMMYFUNCTION("IF(SUM(COUNTIF(artists!E:E, SPLIT(D92, "",""))) &gt; 0, ""OTHER"", 0)"),0)</f>
        <v>0</v>
      </c>
    </row>
    <row r="93" spans="1:11" ht="14.25" customHeight="1">
      <c r="A93" s="21">
        <v>92</v>
      </c>
      <c r="B93" s="21">
        <v>100</v>
      </c>
      <c r="C93" s="21" t="s">
        <v>1416</v>
      </c>
      <c r="D93" s="21" t="s">
        <v>137</v>
      </c>
      <c r="E93" s="21">
        <v>7</v>
      </c>
      <c r="F93" s="21">
        <v>170781</v>
      </c>
      <c r="G93" s="43">
        <v>0.1</v>
      </c>
      <c r="H93" s="21" t="s">
        <v>1417</v>
      </c>
      <c r="I93" s="39" t="str">
        <f ca="1">IFERROR(__xludf.DUMMYFUNCTION("IF(SUM(COUNTIF(artists!A:A, SPLIT(D93, "",""))) &gt; 0, ""UA"", 0)"),"UA")</f>
        <v>UA</v>
      </c>
      <c r="J93" s="40">
        <f ca="1">IFERROR(__xludf.DUMMYFUNCTION("IF(SUM(COUNTIF(artists!C:C, SPLIT(D93, "",""))) &gt; 0, ""RU"", 0)"),0)</f>
        <v>0</v>
      </c>
      <c r="K93" s="39">
        <f ca="1">IFERROR(__xludf.DUMMYFUNCTION("IF(SUM(COUNTIF(artists!E:E, SPLIT(D93, "",""))) &gt; 0, ""OTHER"", 0)"),0)</f>
        <v>0</v>
      </c>
    </row>
    <row r="94" spans="1:11" ht="14.25" customHeight="1">
      <c r="A94" s="21">
        <v>93</v>
      </c>
      <c r="B94" s="21">
        <v>81</v>
      </c>
      <c r="C94" s="21" t="s">
        <v>1491</v>
      </c>
      <c r="D94" s="21" t="s">
        <v>1492</v>
      </c>
      <c r="E94" s="21">
        <v>2</v>
      </c>
      <c r="F94" s="21">
        <v>169498</v>
      </c>
      <c r="G94" s="42">
        <v>-2E-3</v>
      </c>
      <c r="H94" s="21" t="s">
        <v>1493</v>
      </c>
      <c r="I94" s="39" t="str">
        <f ca="1">IFERROR(__xludf.DUMMYFUNCTION("IF(SUM(COUNTIF(artists!A:A, SPLIT(D94, "",""))) &gt; 0, ""UA"", 0)"),"UA")</f>
        <v>UA</v>
      </c>
      <c r="J94" s="40">
        <f ca="1">IFERROR(__xludf.DUMMYFUNCTION("IF(SUM(COUNTIF(artists!C:C, SPLIT(D94, "",""))) &gt; 0, ""RU"", 0)"),0)</f>
        <v>0</v>
      </c>
      <c r="K94" s="39">
        <f ca="1">IFERROR(__xludf.DUMMYFUNCTION("IF(SUM(COUNTIF(artists!E:E, SPLIT(D94, "",""))) &gt; 0, ""OTHER"", 0)"),0)</f>
        <v>0</v>
      </c>
    </row>
    <row r="95" spans="1:11" ht="14.25" customHeight="1">
      <c r="A95" s="21">
        <v>94</v>
      </c>
      <c r="C95" s="21" t="s">
        <v>1708</v>
      </c>
      <c r="D95" s="21" t="s">
        <v>969</v>
      </c>
      <c r="E95" s="21">
        <v>2</v>
      </c>
      <c r="F95" s="21">
        <v>169065</v>
      </c>
      <c r="H95" s="21" t="s">
        <v>1709</v>
      </c>
      <c r="I95" s="39" t="str">
        <f ca="1">IFERROR(__xludf.DUMMYFUNCTION("IF(SUM(COUNTIF(artists!A:A, SPLIT(D95, "",""))) &gt; 0, ""UA"", 0)"),"UA")</f>
        <v>UA</v>
      </c>
      <c r="J95" s="40">
        <f ca="1">IFERROR(__xludf.DUMMYFUNCTION("IF(SUM(COUNTIF(artists!C:C, SPLIT(D95, "",""))) &gt; 0, ""RU"", 0)"),0)</f>
        <v>0</v>
      </c>
      <c r="K95" s="39">
        <f ca="1">IFERROR(__xludf.DUMMYFUNCTION("IF(SUM(COUNTIF(artists!E:E, SPLIT(D95, "",""))) &gt; 0, ""OTHER"", 0)"),0)</f>
        <v>0</v>
      </c>
    </row>
    <row r="96" spans="1:11" ht="14.25" customHeight="1">
      <c r="A96" s="21">
        <v>95</v>
      </c>
      <c r="C96" s="21" t="s">
        <v>1524</v>
      </c>
      <c r="D96" s="21" t="s">
        <v>1525</v>
      </c>
      <c r="E96" s="21">
        <v>22</v>
      </c>
      <c r="F96" s="21">
        <v>165639</v>
      </c>
      <c r="H96" s="21" t="s">
        <v>1526</v>
      </c>
      <c r="I96" s="39" t="str">
        <f ca="1">IFERROR(__xludf.DUMMYFUNCTION("IF(SUM(COUNTIF(artists!A:A, SPLIT(D96, "",""))) &gt; 0, ""UA"", 0)"),"UA")</f>
        <v>UA</v>
      </c>
      <c r="J96" s="40">
        <f ca="1">IFERROR(__xludf.DUMMYFUNCTION("IF(SUM(COUNTIF(artists!C:C, SPLIT(D96, "",""))) &gt; 0, ""RU"", 0)"),0)</f>
        <v>0</v>
      </c>
      <c r="K96" s="39">
        <f ca="1">IFERROR(__xludf.DUMMYFUNCTION("IF(SUM(COUNTIF(artists!E:E, SPLIT(D96, "",""))) &gt; 0, ""OTHER"", 0)"),0)</f>
        <v>0</v>
      </c>
    </row>
    <row r="97" spans="1:11" ht="14.25" customHeight="1">
      <c r="A97" s="21">
        <v>96</v>
      </c>
      <c r="B97" s="21">
        <v>95</v>
      </c>
      <c r="C97" s="21" t="s">
        <v>1601</v>
      </c>
      <c r="D97" s="21" t="s">
        <v>1602</v>
      </c>
      <c r="E97" s="21">
        <v>15</v>
      </c>
      <c r="F97" s="21">
        <v>164358</v>
      </c>
      <c r="G97" s="43">
        <v>0.03</v>
      </c>
      <c r="H97" s="21" t="s">
        <v>1603</v>
      </c>
      <c r="I97" s="39">
        <f ca="1">IFERROR(__xludf.DUMMYFUNCTION("IF(SUM(COUNTIF(artists!A:A, SPLIT(D97, "",""))) &gt; 0, ""UA"", 0)"),0)</f>
        <v>0</v>
      </c>
      <c r="J97" s="40" t="str">
        <f ca="1">IFERROR(__xludf.DUMMYFUNCTION("IF(SUM(COUNTIF(artists!C:C, SPLIT(D97, "",""))) &gt; 0, ""RU"", 0)"),"RU")</f>
        <v>RU</v>
      </c>
      <c r="K97" s="39">
        <f ca="1">IFERROR(__xludf.DUMMYFUNCTION("IF(SUM(COUNTIF(artists!E:E, SPLIT(D97, "",""))) &gt; 0, ""OTHER"", 0)"),0)</f>
        <v>0</v>
      </c>
    </row>
    <row r="98" spans="1:11" ht="14.25" customHeight="1">
      <c r="A98" s="21">
        <v>97</v>
      </c>
      <c r="C98" s="21" t="s">
        <v>1445</v>
      </c>
      <c r="D98" s="21" t="s">
        <v>81</v>
      </c>
      <c r="E98" s="21">
        <v>6</v>
      </c>
      <c r="F98" s="21">
        <v>161570</v>
      </c>
      <c r="H98" s="21" t="s">
        <v>1446</v>
      </c>
      <c r="I98" s="39" t="str">
        <f ca="1">IFERROR(__xludf.DUMMYFUNCTION("IF(SUM(COUNTIF(artists!A:A, SPLIT(D98, "",""))) &gt; 0, ""UA"", 0)"),"UA")</f>
        <v>UA</v>
      </c>
      <c r="J98" s="40">
        <f ca="1">IFERROR(__xludf.DUMMYFUNCTION("IF(SUM(COUNTIF(artists!C:C, SPLIT(D98, "",""))) &gt; 0, ""RU"", 0)"),0)</f>
        <v>0</v>
      </c>
      <c r="K98" s="39">
        <f ca="1">IFERROR(__xludf.DUMMYFUNCTION("IF(SUM(COUNTIF(artists!E:E, SPLIT(D98, "",""))) &gt; 0, ""OTHER"", 0)"),0)</f>
        <v>0</v>
      </c>
    </row>
    <row r="99" spans="1:11" ht="14.25" customHeight="1">
      <c r="A99" s="21">
        <v>98</v>
      </c>
      <c r="B99" s="21">
        <v>83</v>
      </c>
      <c r="C99" s="21" t="s">
        <v>1659</v>
      </c>
      <c r="D99" s="21" t="s">
        <v>1660</v>
      </c>
      <c r="E99" s="21">
        <v>11</v>
      </c>
      <c r="F99" s="21">
        <v>159094</v>
      </c>
      <c r="G99" s="42">
        <v>-5.8000000000000003E-2</v>
      </c>
      <c r="H99" s="21" t="s">
        <v>1661</v>
      </c>
      <c r="I99" s="39">
        <f ca="1">IFERROR(__xludf.DUMMYFUNCTION("IF(SUM(COUNTIF(artists!A:A, SPLIT(D99, "",""))) &gt; 0, ""UA"", 0)"),0)</f>
        <v>0</v>
      </c>
      <c r="J99" s="40" t="str">
        <f ca="1">IFERROR(__xludf.DUMMYFUNCTION("IF(SUM(COUNTIF(artists!C:C, SPLIT(D99, "",""))) &gt; 0, ""RU"", 0)"),"RU")</f>
        <v>RU</v>
      </c>
      <c r="K99" s="39">
        <f ca="1">IFERROR(__xludf.DUMMYFUNCTION("IF(SUM(COUNTIF(artists!E:E, SPLIT(D99, "",""))) &gt; 0, ""OTHER"", 0)"),0)</f>
        <v>0</v>
      </c>
    </row>
    <row r="100" spans="1:11" ht="14.25" customHeight="1">
      <c r="A100" s="21">
        <v>99</v>
      </c>
      <c r="B100" s="21">
        <v>89</v>
      </c>
      <c r="C100" s="21" t="s">
        <v>1611</v>
      </c>
      <c r="D100" s="21" t="s">
        <v>1612</v>
      </c>
      <c r="E100" s="21">
        <v>6</v>
      </c>
      <c r="F100" s="21">
        <v>158945</v>
      </c>
      <c r="G100" s="42">
        <v>-2.5000000000000001E-2</v>
      </c>
      <c r="H100" s="21" t="s">
        <v>1613</v>
      </c>
      <c r="I100" s="39" t="str">
        <f ca="1">IFERROR(__xludf.DUMMYFUNCTION("IF(SUM(COUNTIF(artists!A:A, SPLIT(D100, "",""))) &gt; 0, ""UA"", 0)"),"UA")</f>
        <v>UA</v>
      </c>
      <c r="J100" s="40">
        <f ca="1">IFERROR(__xludf.DUMMYFUNCTION("IF(SUM(COUNTIF(artists!C:C, SPLIT(D100, "",""))) &gt; 0, ""RU"", 0)"),0)</f>
        <v>0</v>
      </c>
      <c r="K100" s="39">
        <f ca="1">IFERROR(__xludf.DUMMYFUNCTION("IF(SUM(COUNTIF(artists!E:E, SPLIT(D100, "",""))) &gt; 0, ""OTHER"", 0)"),0)</f>
        <v>0</v>
      </c>
    </row>
    <row r="101" spans="1:11" ht="14.25" customHeight="1">
      <c r="A101" s="21">
        <v>100</v>
      </c>
      <c r="B101" s="21">
        <v>80</v>
      </c>
      <c r="C101" s="21" t="s">
        <v>1726</v>
      </c>
      <c r="D101" s="21" t="s">
        <v>1727</v>
      </c>
      <c r="E101" s="21">
        <v>12</v>
      </c>
      <c r="F101" s="21">
        <v>158301</v>
      </c>
      <c r="G101" s="43">
        <v>-0.08</v>
      </c>
      <c r="H101" s="21" t="s">
        <v>1728</v>
      </c>
      <c r="I101" s="39" t="str">
        <f ca="1">IFERROR(__xludf.DUMMYFUNCTION("IF(SUM(COUNTIF(artists!A:A, SPLIT(D101, "",""))) &gt; 0, ""UA"", 0)"),"UA")</f>
        <v>UA</v>
      </c>
      <c r="J101" s="40">
        <f ca="1">IFERROR(__xludf.DUMMYFUNCTION("IF(SUM(COUNTIF(artists!C:C, SPLIT(D101, "",""))) &gt; 0, ""RU"", 0)"),0)</f>
        <v>0</v>
      </c>
      <c r="K101" s="39">
        <f ca="1">IFERROR(__xludf.DUMMYFUNCTION("IF(SUM(COUNTIF(artists!E:E, SPLIT(D101, "",""))) &gt; 0, ""OTHER"", 0)"),0)</f>
        <v>0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39" priority="1">
      <formula>AND($I2=0, $J2=0, $K2=0)</formula>
    </cfRule>
    <cfRule type="expression" dxfId="38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Аркуш44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4" width="8.6640625" customWidth="1"/>
    <col min="5" max="5" width="8.6640625" hidden="1" customWidth="1"/>
    <col min="6" max="6" width="8.6640625" customWidth="1"/>
    <col min="7" max="7" width="13.10937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B2" s="21">
        <v>1</v>
      </c>
      <c r="C2" s="21" t="s">
        <v>194</v>
      </c>
      <c r="D2" s="21" t="s">
        <v>195</v>
      </c>
      <c r="E2" s="21">
        <v>4</v>
      </c>
      <c r="F2" s="21">
        <v>1876928</v>
      </c>
      <c r="G2" s="42">
        <v>0.108</v>
      </c>
      <c r="H2" s="21" t="s">
        <v>197</v>
      </c>
      <c r="I2" s="39" t="str">
        <f ca="1">IFERROR(__xludf.DUMMYFUNCTION("IF(SUM(COUNTIF(artists!A:A, SPLIT(D2, "",""))) &gt; 0, ""UA"", 0)"),"UA")</f>
        <v>UA</v>
      </c>
      <c r="J2" s="40">
        <f ca="1">IFERROR(__xludf.DUMMYFUNCTION("IF(SUM(COUNTIF(artists!C:C, SPLIT(D2, "",""))) &gt; 0, ""RU"", 0)"),0)</f>
        <v>0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B3" s="21">
        <v>4</v>
      </c>
      <c r="C3" s="21" t="s">
        <v>1287</v>
      </c>
      <c r="D3" s="21" t="s">
        <v>1288</v>
      </c>
      <c r="E3" s="21">
        <v>2</v>
      </c>
      <c r="F3" s="21">
        <v>1366877</v>
      </c>
      <c r="G3" s="42">
        <v>5.8000000000000003E-2</v>
      </c>
      <c r="H3" s="21" t="s">
        <v>1289</v>
      </c>
      <c r="I3" s="39">
        <f ca="1">IFERROR(__xludf.DUMMYFUNCTION("IF(SUM(COUNTIF(artists!A:A, SPLIT(D3, "",""))) &gt; 0, ""UA"", 0)"),0)</f>
        <v>0</v>
      </c>
      <c r="J3" s="40">
        <f ca="1">IFERROR(__xludf.DUMMYFUNCTION("IF(SUM(COUNTIF(artists!C:C, SPLIT(D3, "",""))) &gt; 0, ""RU"", 0)"),0)</f>
        <v>0</v>
      </c>
      <c r="K3" s="39" t="str">
        <f ca="1">IFERROR(__xludf.DUMMYFUNCTION("IF(SUM(COUNTIF(artists!E:E, SPLIT(D3, "",""))) &gt; 0, ""OTHER"", 0)"),"OTHER")</f>
        <v>OTHER</v>
      </c>
    </row>
    <row r="4" spans="1:11" ht="14.25" customHeight="1">
      <c r="A4" s="21">
        <v>3</v>
      </c>
      <c r="B4" s="21">
        <v>2</v>
      </c>
      <c r="C4" s="21" t="s">
        <v>1496</v>
      </c>
      <c r="D4" s="21" t="s">
        <v>969</v>
      </c>
      <c r="E4" s="21">
        <v>51</v>
      </c>
      <c r="F4" s="21">
        <v>1309788</v>
      </c>
      <c r="G4" s="42">
        <v>-0.17699999999999999</v>
      </c>
      <c r="H4" s="21" t="s">
        <v>1497</v>
      </c>
      <c r="I4" s="39" t="str">
        <f ca="1">IFERROR(__xludf.DUMMYFUNCTION("IF(SUM(COUNTIF(artists!A:A, SPLIT(D4, "",""))) &gt; 0, ""UA"", 0)"),"UA")</f>
        <v>UA</v>
      </c>
      <c r="J4" s="40">
        <f ca="1">IFERROR(__xludf.DUMMYFUNCTION("IF(SUM(COUNTIF(artists!C:C, SPLIT(D4, "",""))) &gt; 0, ""RU"", 0)"),0)</f>
        <v>0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B5" s="21">
        <v>5</v>
      </c>
      <c r="C5" s="21" t="s">
        <v>645</v>
      </c>
      <c r="D5" s="21" t="s">
        <v>352</v>
      </c>
      <c r="E5" s="21">
        <v>14</v>
      </c>
      <c r="F5" s="21">
        <v>1232619</v>
      </c>
      <c r="G5" s="42">
        <v>0.158</v>
      </c>
      <c r="H5" s="21" t="s">
        <v>647</v>
      </c>
      <c r="I5" s="39" t="str">
        <f ca="1">IFERROR(__xludf.DUMMYFUNCTION("IF(SUM(COUNTIF(artists!A:A, SPLIT(D5, "",""))) &gt; 0, ""UA"", 0)"),"UA")</f>
        <v>UA</v>
      </c>
      <c r="J5" s="40">
        <f ca="1">IFERROR(__xludf.DUMMYFUNCTION("IF(SUM(COUNTIF(artists!C:C, SPLIT(D5, "",""))) &gt; 0, ""RU"", 0)"),0)</f>
        <v>0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B6" s="21">
        <v>9</v>
      </c>
      <c r="C6" s="21" t="s">
        <v>1010</v>
      </c>
      <c r="D6" s="21" t="s">
        <v>1011</v>
      </c>
      <c r="E6" s="21">
        <v>2</v>
      </c>
      <c r="F6" s="21">
        <v>1184212</v>
      </c>
      <c r="G6" s="42">
        <v>0.69599999999999995</v>
      </c>
      <c r="H6" s="21" t="s">
        <v>1012</v>
      </c>
      <c r="I6" s="39" t="str">
        <f ca="1">IFERROR(__xludf.DUMMYFUNCTION("IF(SUM(COUNTIF(artists!A:A, SPLIT(D6, "",""))) &gt; 0, ""UA"", 0)"),"UA")</f>
        <v>UA</v>
      </c>
      <c r="J6" s="40">
        <f ca="1">IFERROR(__xludf.DUMMYFUNCTION("IF(SUM(COUNTIF(artists!C:C, SPLIT(D6, "",""))) &gt; 0, ""RU"", 0)"),0)</f>
        <v>0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B7" s="21">
        <v>3</v>
      </c>
      <c r="C7" s="21" t="s">
        <v>1508</v>
      </c>
      <c r="D7" s="21" t="s">
        <v>776</v>
      </c>
      <c r="E7" s="21">
        <v>5</v>
      </c>
      <c r="F7" s="21">
        <v>1078724</v>
      </c>
      <c r="G7" s="42">
        <v>-0.17399999999999999</v>
      </c>
      <c r="H7" s="21" t="s">
        <v>1509</v>
      </c>
      <c r="I7" s="39" t="str">
        <f ca="1">IFERROR(__xludf.DUMMYFUNCTION("IF(SUM(COUNTIF(artists!A:A, SPLIT(D7, "",""))) &gt; 0, ""UA"", 0)"),"UA")</f>
        <v>UA</v>
      </c>
      <c r="J7" s="40">
        <f ca="1">IFERROR(__xludf.DUMMYFUNCTION("IF(SUM(COUNTIF(artists!C:C, SPLIT(D7, "",""))) &gt; 0, ""RU"", 0)"),0)</f>
        <v>0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B8" s="21">
        <v>6</v>
      </c>
      <c r="C8" s="21" t="s">
        <v>895</v>
      </c>
      <c r="D8" s="21" t="s">
        <v>896</v>
      </c>
      <c r="E8" s="21">
        <v>13</v>
      </c>
      <c r="F8" s="21">
        <v>922599</v>
      </c>
      <c r="G8" s="42">
        <v>-5.2999999999999999E-2</v>
      </c>
      <c r="H8" s="21" t="s">
        <v>897</v>
      </c>
      <c r="I8" s="39" t="str">
        <f ca="1">IFERROR(__xludf.DUMMYFUNCTION("IF(SUM(COUNTIF(artists!A:A, SPLIT(D8, "",""))) &gt; 0, ""UA"", 0)"),"UA")</f>
        <v>UA</v>
      </c>
      <c r="J8" s="40">
        <f ca="1">IFERROR(__xludf.DUMMYFUNCTION("IF(SUM(COUNTIF(artists!C:C, SPLIT(D8, "",""))) &gt; 0, ""RU"", 0)"),0)</f>
        <v>0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B9" s="21">
        <v>7</v>
      </c>
      <c r="C9" s="21" t="s">
        <v>1668</v>
      </c>
      <c r="D9" s="21" t="s">
        <v>1358</v>
      </c>
      <c r="E9" s="21">
        <v>6</v>
      </c>
      <c r="F9" s="21">
        <v>887866</v>
      </c>
      <c r="G9" s="42">
        <v>-3.3000000000000002E-2</v>
      </c>
      <c r="H9" s="21" t="s">
        <v>1669</v>
      </c>
      <c r="I9" s="39" t="str">
        <f ca="1">IFERROR(__xludf.DUMMYFUNCTION("IF(SUM(COUNTIF(artists!A:A, SPLIT(D9, "",""))) &gt; 0, ""UA"", 0)"),"UA")</f>
        <v>UA</v>
      </c>
      <c r="J9" s="40">
        <f ca="1">IFERROR(__xludf.DUMMYFUNCTION("IF(SUM(COUNTIF(artists!C:C, SPLIT(D9, "",""))) &gt; 0, ""RU"", 0)"),0)</f>
        <v>0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B10" s="21">
        <v>8</v>
      </c>
      <c r="C10" s="21" t="s">
        <v>1332</v>
      </c>
      <c r="D10" s="21" t="s">
        <v>1333</v>
      </c>
      <c r="E10" s="21">
        <v>3</v>
      </c>
      <c r="F10" s="21">
        <v>703206</v>
      </c>
      <c r="G10" s="42">
        <v>-0.186</v>
      </c>
      <c r="H10" s="21" t="s">
        <v>1334</v>
      </c>
      <c r="I10" s="39" t="str">
        <f ca="1">IFERROR(__xludf.DUMMYFUNCTION("IF(SUM(COUNTIF(artists!A:A, SPLIT(D10, "",""))) &gt; 0, ""UA"", 0)"),"UA")</f>
        <v>UA</v>
      </c>
      <c r="J10" s="40">
        <f ca="1">IFERROR(__xludf.DUMMYFUNCTION("IF(SUM(COUNTIF(artists!C:C, SPLIT(D10, "",""))) &gt; 0, ""RU"", 0)"),0)</f>
        <v>0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B11" s="21">
        <v>10</v>
      </c>
      <c r="C11" s="21" t="s">
        <v>1383</v>
      </c>
      <c r="D11" s="21" t="s">
        <v>463</v>
      </c>
      <c r="E11" s="21">
        <v>6</v>
      </c>
      <c r="F11" s="21">
        <v>670988</v>
      </c>
      <c r="G11" s="42">
        <v>8.7999999999999995E-2</v>
      </c>
      <c r="H11" s="21" t="s">
        <v>1384</v>
      </c>
      <c r="I11" s="39" t="str">
        <f ca="1">IFERROR(__xludf.DUMMYFUNCTION("IF(SUM(COUNTIF(artists!A:A, SPLIT(D11, "",""))) &gt; 0, ""UA"", 0)"),"UA")</f>
        <v>UA</v>
      </c>
      <c r="J11" s="40">
        <f ca="1">IFERROR(__xludf.DUMMYFUNCTION("IF(SUM(COUNTIF(artists!C:C, SPLIT(D11, "",""))) &gt; 0, ""RU"", 0)"),0)</f>
        <v>0</v>
      </c>
      <c r="K11" s="39">
        <f ca="1">IFERROR(__xludf.DUMMYFUNCTION("IF(SUM(COUNTIF(artists!E:E, SPLIT(D11, "",""))) &gt; 0, ""OTHER"", 0)"),0)</f>
        <v>0</v>
      </c>
    </row>
    <row r="12" spans="1:11" ht="14.25" customHeight="1">
      <c r="A12" s="21">
        <v>11</v>
      </c>
      <c r="B12" s="21">
        <v>12</v>
      </c>
      <c r="C12" s="21" t="s">
        <v>799</v>
      </c>
      <c r="D12" s="21" t="s">
        <v>494</v>
      </c>
      <c r="E12" s="21">
        <v>10</v>
      </c>
      <c r="F12" s="21">
        <v>601018</v>
      </c>
      <c r="G12" s="42">
        <v>1.6E-2</v>
      </c>
      <c r="H12" s="21" t="s">
        <v>800</v>
      </c>
      <c r="I12" s="39" t="str">
        <f ca="1">IFERROR(__xludf.DUMMYFUNCTION("IF(SUM(COUNTIF(artists!A:A, SPLIT(D12, "",""))) &gt; 0, ""UA"", 0)"),"UA")</f>
        <v>UA</v>
      </c>
      <c r="J12" s="40">
        <f ca="1">IFERROR(__xludf.DUMMYFUNCTION("IF(SUM(COUNTIF(artists!C:C, SPLIT(D12, "",""))) &gt; 0, ""RU"", 0)"),0)</f>
        <v>0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B13" s="21">
        <v>11</v>
      </c>
      <c r="C13" s="21" t="s">
        <v>1182</v>
      </c>
      <c r="D13" s="21" t="s">
        <v>466</v>
      </c>
      <c r="E13" s="21">
        <v>3</v>
      </c>
      <c r="F13" s="21">
        <v>578704</v>
      </c>
      <c r="G13" s="42">
        <v>-5.5E-2</v>
      </c>
      <c r="H13" s="21" t="s">
        <v>1183</v>
      </c>
      <c r="I13" s="39" t="str">
        <f ca="1">IFERROR(__xludf.DUMMYFUNCTION("IF(SUM(COUNTIF(artists!A:A, SPLIT(D13, "",""))) &gt; 0, ""UA"", 0)"),"UA")</f>
        <v>UA</v>
      </c>
      <c r="J13" s="40">
        <f ca="1">IFERROR(__xludf.DUMMYFUNCTION("IF(SUM(COUNTIF(artists!C:C, SPLIT(D13, "",""))) &gt; 0, ""RU"", 0)"),0)</f>
        <v>0</v>
      </c>
      <c r="K13" s="39">
        <f ca="1">IFERROR(__xludf.DUMMYFUNCTION("IF(SUM(COUNTIF(artists!E:E, SPLIT(D13, "",""))) &gt; 0, ""OTHER"", 0)"),0)</f>
        <v>0</v>
      </c>
    </row>
    <row r="14" spans="1:11" ht="14.25" customHeight="1">
      <c r="A14" s="21">
        <v>13</v>
      </c>
      <c r="C14" s="21" t="s">
        <v>175</v>
      </c>
      <c r="D14" s="21" t="s">
        <v>89</v>
      </c>
      <c r="E14" s="21">
        <v>1</v>
      </c>
      <c r="F14" s="21">
        <v>572433</v>
      </c>
      <c r="H14" s="21" t="s">
        <v>177</v>
      </c>
      <c r="I14" s="39" t="str">
        <f ca="1">IFERROR(__xludf.DUMMYFUNCTION("IF(SUM(COUNTIF(artists!A:A, SPLIT(D14, "",""))) &gt; 0, ""UA"", 0)"),"UA")</f>
        <v>UA</v>
      </c>
      <c r="J14" s="40">
        <f ca="1">IFERROR(__xludf.DUMMYFUNCTION("IF(SUM(COUNTIF(artists!C:C, SPLIT(D14, "",""))) &gt; 0, ""RU"", 0)"),0)</f>
        <v>0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B15" s="21">
        <v>13</v>
      </c>
      <c r="C15" s="21" t="s">
        <v>1263</v>
      </c>
      <c r="D15" s="21" t="s">
        <v>1264</v>
      </c>
      <c r="E15" s="21">
        <v>27</v>
      </c>
      <c r="F15" s="21">
        <v>532744</v>
      </c>
      <c r="G15" s="43">
        <v>-0.04</v>
      </c>
      <c r="H15" s="21" t="s">
        <v>1265</v>
      </c>
      <c r="I15" s="39">
        <f ca="1">IFERROR(__xludf.DUMMYFUNCTION("IF(SUM(COUNTIF(artists!A:A, SPLIT(D15, "",""))) &gt; 0, ""UA"", 0)"),0)</f>
        <v>0</v>
      </c>
      <c r="J15" s="40" t="str">
        <f ca="1">IFERROR(__xludf.DUMMYFUNCTION("IF(SUM(COUNTIF(artists!C:C, SPLIT(D15, "",""))) &gt; 0, ""RU"", 0)"),"RU")</f>
        <v>RU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B16" s="21">
        <v>16</v>
      </c>
      <c r="C16" s="21" t="s">
        <v>1284</v>
      </c>
      <c r="D16" s="21" t="s">
        <v>1285</v>
      </c>
      <c r="E16" s="21">
        <v>2</v>
      </c>
      <c r="F16" s="21">
        <v>513908</v>
      </c>
      <c r="G16" s="42">
        <v>3.1E-2</v>
      </c>
      <c r="H16" s="21" t="s">
        <v>1286</v>
      </c>
      <c r="I16" s="39">
        <f ca="1">IFERROR(__xludf.DUMMYFUNCTION("IF(SUM(COUNTIF(artists!A:A, SPLIT(D16, "",""))) &gt; 0, ""UA"", 0)"),0)</f>
        <v>0</v>
      </c>
      <c r="J16" s="40" t="str">
        <f ca="1">IFERROR(__xludf.DUMMYFUNCTION("IF(SUM(COUNTIF(artists!C:C, SPLIT(D16, "",""))) &gt; 0, ""RU"", 0)"),"RU")</f>
        <v>RU</v>
      </c>
      <c r="K16" s="39">
        <f ca="1">IFERROR(__xludf.DUMMYFUNCTION("IF(SUM(COUNTIF(artists!E:E, SPLIT(D16, "",""))) &gt; 0, ""OTHER"", 0)"),0)</f>
        <v>0</v>
      </c>
    </row>
    <row r="17" spans="1:11" ht="14.25" customHeight="1">
      <c r="A17" s="21">
        <v>16</v>
      </c>
      <c r="B17" s="21">
        <v>14</v>
      </c>
      <c r="C17" s="21" t="s">
        <v>909</v>
      </c>
      <c r="D17" s="21" t="s">
        <v>910</v>
      </c>
      <c r="E17" s="21">
        <v>11</v>
      </c>
      <c r="F17" s="21">
        <v>498372</v>
      </c>
      <c r="G17" s="42">
        <v>-1.9E-2</v>
      </c>
      <c r="H17" s="21" t="s">
        <v>911</v>
      </c>
      <c r="I17" s="39" t="str">
        <f ca="1">IFERROR(__xludf.DUMMYFUNCTION("IF(SUM(COUNTIF(artists!A:A, SPLIT(D17, "",""))) &gt; 0, ""UA"", 0)"),"UA")</f>
        <v>UA</v>
      </c>
      <c r="J17" s="40">
        <f ca="1">IFERROR(__xludf.DUMMYFUNCTION("IF(SUM(COUNTIF(artists!C:C, SPLIT(D17, "",""))) &gt; 0, ""RU"", 0)"),0)</f>
        <v>0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B18" s="21">
        <v>15</v>
      </c>
      <c r="C18" s="21" t="s">
        <v>1471</v>
      </c>
      <c r="D18" s="21" t="s">
        <v>1472</v>
      </c>
      <c r="E18" s="21">
        <v>10</v>
      </c>
      <c r="F18" s="21">
        <v>476495</v>
      </c>
      <c r="G18" s="42">
        <v>-4.8000000000000001E-2</v>
      </c>
      <c r="H18" s="21" t="s">
        <v>1473</v>
      </c>
      <c r="I18" s="39" t="str">
        <f ca="1">IFERROR(__xludf.DUMMYFUNCTION("IF(SUM(COUNTIF(artists!A:A, SPLIT(D18, "",""))) &gt; 0, ""UA"", 0)"),"UA")</f>
        <v>UA</v>
      </c>
      <c r="J18" s="40">
        <f ca="1">IFERROR(__xludf.DUMMYFUNCTION("IF(SUM(COUNTIF(artists!C:C, SPLIT(D18, "",""))) &gt; 0, ""RU"", 0)"),0)</f>
        <v>0</v>
      </c>
      <c r="K18" s="39">
        <f ca="1">IFERROR(__xludf.DUMMYFUNCTION("IF(SUM(COUNTIF(artists!E:E, SPLIT(D18, "",""))) &gt; 0, ""OTHER"", 0)"),0)</f>
        <v>0</v>
      </c>
    </row>
    <row r="19" spans="1:11" ht="14.25" customHeight="1">
      <c r="A19" s="21">
        <v>18</v>
      </c>
      <c r="B19" s="21">
        <v>19</v>
      </c>
      <c r="C19" s="21" t="s">
        <v>1436</v>
      </c>
      <c r="D19" s="21" t="s">
        <v>896</v>
      </c>
      <c r="E19" s="21">
        <v>8</v>
      </c>
      <c r="F19" s="21">
        <v>424941</v>
      </c>
      <c r="G19" s="42">
        <v>-3.5999999999999997E-2</v>
      </c>
      <c r="H19" s="21" t="s">
        <v>1437</v>
      </c>
      <c r="I19" s="39" t="str">
        <f ca="1">IFERROR(__xludf.DUMMYFUNCTION("IF(SUM(COUNTIF(artists!A:A, SPLIT(D19, "",""))) &gt; 0, ""UA"", 0)"),"UA")</f>
        <v>UA</v>
      </c>
      <c r="J19" s="40">
        <f ca="1">IFERROR(__xludf.DUMMYFUNCTION("IF(SUM(COUNTIF(artists!C:C, SPLIT(D19, "",""))) &gt; 0, ""RU"", 0)"),0)</f>
        <v>0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B20" s="21">
        <v>29</v>
      </c>
      <c r="C20" s="21" t="s">
        <v>1431</v>
      </c>
      <c r="D20" s="21" t="s">
        <v>969</v>
      </c>
      <c r="E20" s="21">
        <v>29</v>
      </c>
      <c r="F20" s="21">
        <v>412928</v>
      </c>
      <c r="G20" s="42">
        <v>0.13500000000000001</v>
      </c>
      <c r="H20" s="21" t="s">
        <v>1432</v>
      </c>
      <c r="I20" s="39" t="str">
        <f ca="1">IFERROR(__xludf.DUMMYFUNCTION("IF(SUM(COUNTIF(artists!A:A, SPLIT(D20, "",""))) &gt; 0, ""UA"", 0)"),"UA")</f>
        <v>UA</v>
      </c>
      <c r="J20" s="40">
        <f ca="1">IFERROR(__xludf.DUMMYFUNCTION("IF(SUM(COUNTIF(artists!C:C, SPLIT(D20, "",""))) &gt; 0, ""RU"", 0)"),0)</f>
        <v>0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B21" s="21">
        <v>22</v>
      </c>
      <c r="C21" s="21" t="s">
        <v>1463</v>
      </c>
      <c r="D21" s="21" t="s">
        <v>1344</v>
      </c>
      <c r="E21" s="21">
        <v>9</v>
      </c>
      <c r="F21" s="21">
        <v>388237</v>
      </c>
      <c r="G21" s="42">
        <v>-3.5000000000000003E-2</v>
      </c>
      <c r="H21" s="21" t="s">
        <v>1464</v>
      </c>
      <c r="I21" s="39" t="str">
        <f ca="1">IFERROR(__xludf.DUMMYFUNCTION("IF(SUM(COUNTIF(artists!A:A, SPLIT(D21, "",""))) &gt; 0, ""UA"", 0)"),"UA")</f>
        <v>UA</v>
      </c>
      <c r="J21" s="40">
        <f ca="1">IFERROR(__xludf.DUMMYFUNCTION("IF(SUM(COUNTIF(artists!C:C, SPLIT(D21, "",""))) &gt; 0, ""RU"", 0)"),0)</f>
        <v>0</v>
      </c>
      <c r="K21" s="39">
        <f ca="1">IFERROR(__xludf.DUMMYFUNCTION("IF(SUM(COUNTIF(artists!E:E, SPLIT(D21, "",""))) &gt; 0, ""OTHER"", 0)"),0)</f>
        <v>0</v>
      </c>
    </row>
    <row r="22" spans="1:11" ht="14.25" customHeight="1">
      <c r="A22" s="21">
        <v>21</v>
      </c>
      <c r="B22" s="21">
        <v>26</v>
      </c>
      <c r="C22" s="21" t="s">
        <v>935</v>
      </c>
      <c r="D22" s="21" t="s">
        <v>936</v>
      </c>
      <c r="E22" s="21">
        <v>28</v>
      </c>
      <c r="F22" s="21">
        <v>381012</v>
      </c>
      <c r="G22" s="42">
        <v>8.9999999999999993E-3</v>
      </c>
      <c r="H22" s="21" t="s">
        <v>937</v>
      </c>
      <c r="I22" s="39">
        <f ca="1">IFERROR(__xludf.DUMMYFUNCTION("IF(SUM(COUNTIF(artists!A:A, SPLIT(D22, "",""))) &gt; 0, ""UA"", 0)"),0)</f>
        <v>0</v>
      </c>
      <c r="J22" s="40" t="str">
        <f ca="1">IFERROR(__xludf.DUMMYFUNCTION("IF(SUM(COUNTIF(artists!C:C, SPLIT(D22, "",""))) &gt; 0, ""RU"", 0)"),"RU")</f>
        <v>RU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C23" s="21" t="s">
        <v>1390</v>
      </c>
      <c r="D23" s="21" t="s">
        <v>259</v>
      </c>
      <c r="E23" s="21">
        <v>1</v>
      </c>
      <c r="F23" s="21">
        <v>376714</v>
      </c>
      <c r="H23" s="21" t="s">
        <v>1391</v>
      </c>
      <c r="I23" s="39" t="str">
        <f ca="1">IFERROR(__xludf.DUMMYFUNCTION("IF(SUM(COUNTIF(artists!A:A, SPLIT(D23, "",""))) &gt; 0, ""UA"", 0)"),"UA")</f>
        <v>UA</v>
      </c>
      <c r="J23" s="40">
        <f ca="1">IFERROR(__xludf.DUMMYFUNCTION("IF(SUM(COUNTIF(artists!C:C, SPLIT(D23, "",""))) &gt; 0, ""RU"", 0)"),0)</f>
        <v>0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B24" s="21">
        <v>31</v>
      </c>
      <c r="C24" s="21" t="s">
        <v>968</v>
      </c>
      <c r="D24" s="21" t="s">
        <v>969</v>
      </c>
      <c r="E24" s="21">
        <v>21</v>
      </c>
      <c r="F24" s="21">
        <v>367730</v>
      </c>
      <c r="G24" s="42">
        <v>4.7E-2</v>
      </c>
      <c r="H24" s="21" t="s">
        <v>970</v>
      </c>
      <c r="I24" s="39" t="str">
        <f ca="1">IFERROR(__xludf.DUMMYFUNCTION("IF(SUM(COUNTIF(artists!A:A, SPLIT(D24, "",""))) &gt; 0, ""UA"", 0)"),"UA")</f>
        <v>UA</v>
      </c>
      <c r="J24" s="40">
        <f ca="1">IFERROR(__xludf.DUMMYFUNCTION("IF(SUM(COUNTIF(artists!C:C, SPLIT(D24, "",""))) &gt; 0, ""RU"", 0)"),0)</f>
        <v>0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B25" s="21">
        <v>28</v>
      </c>
      <c r="C25" s="21" t="s">
        <v>1354</v>
      </c>
      <c r="D25" s="21" t="s">
        <v>1355</v>
      </c>
      <c r="E25" s="21">
        <v>31</v>
      </c>
      <c r="F25" s="21">
        <v>357073</v>
      </c>
      <c r="G25" s="42">
        <v>-2.5999999999999999E-2</v>
      </c>
      <c r="H25" s="21" t="s">
        <v>1356</v>
      </c>
      <c r="I25" s="39" t="str">
        <f ca="1">IFERROR(__xludf.DUMMYFUNCTION("IF(SUM(COUNTIF(artists!A:A, SPLIT(D25, "",""))) &gt; 0, ""UA"", 0)"),"UA")</f>
        <v>UA</v>
      </c>
      <c r="J25" s="40">
        <f ca="1">IFERROR(__xludf.DUMMYFUNCTION("IF(SUM(COUNTIF(artists!C:C, SPLIT(D25, "",""))) &gt; 0, ""RU"", 0)"),0)</f>
        <v>0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B26" s="21">
        <v>25</v>
      </c>
      <c r="C26" s="21" t="s">
        <v>1480</v>
      </c>
      <c r="D26" s="21" t="s">
        <v>1481</v>
      </c>
      <c r="E26" s="21">
        <v>6</v>
      </c>
      <c r="F26" s="21">
        <v>356160</v>
      </c>
      <c r="G26" s="42">
        <v>-6.0999999999999999E-2</v>
      </c>
      <c r="H26" s="21" t="s">
        <v>1482</v>
      </c>
      <c r="I26" s="39" t="str">
        <f ca="1">IFERROR(__xludf.DUMMYFUNCTION("IF(SUM(COUNTIF(artists!A:A, SPLIT(D26, "",""))) &gt; 0, ""UA"", 0)"),"UA")</f>
        <v>UA</v>
      </c>
      <c r="J26" s="40">
        <f ca="1">IFERROR(__xludf.DUMMYFUNCTION("IF(SUM(COUNTIF(artists!C:C, SPLIT(D26, "",""))) &gt; 0, ""RU"", 0)"),0)</f>
        <v>0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B27" s="21">
        <v>40</v>
      </c>
      <c r="C27" s="21" t="s">
        <v>253</v>
      </c>
      <c r="D27" s="21" t="s">
        <v>89</v>
      </c>
      <c r="E27" s="21">
        <v>10</v>
      </c>
      <c r="F27" s="21">
        <v>355221</v>
      </c>
      <c r="G27" s="42">
        <v>0.184</v>
      </c>
      <c r="H27" s="21" t="s">
        <v>254</v>
      </c>
      <c r="I27" s="39" t="str">
        <f ca="1">IFERROR(__xludf.DUMMYFUNCTION("IF(SUM(COUNTIF(artists!A:A, SPLIT(D27, "",""))) &gt; 0, ""UA"", 0)"),"UA")</f>
        <v>UA</v>
      </c>
      <c r="J27" s="40">
        <f ca="1">IFERROR(__xludf.DUMMYFUNCTION("IF(SUM(COUNTIF(artists!C:C, SPLIT(D27, "",""))) &gt; 0, ""RU"", 0)"),0)</f>
        <v>0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B28" s="21">
        <v>23</v>
      </c>
      <c r="C28" s="21" t="s">
        <v>1290</v>
      </c>
      <c r="D28" s="21" t="s">
        <v>942</v>
      </c>
      <c r="E28" s="21">
        <v>5</v>
      </c>
      <c r="F28" s="21">
        <v>352577</v>
      </c>
      <c r="G28" s="42">
        <v>-9.8000000000000004E-2</v>
      </c>
      <c r="H28" s="21" t="s">
        <v>1291</v>
      </c>
      <c r="I28" s="39" t="str">
        <f ca="1">IFERROR(__xludf.DUMMYFUNCTION("IF(SUM(COUNTIF(artists!A:A, SPLIT(D28, "",""))) &gt; 0, ""UA"", 0)"),"UA")</f>
        <v>UA</v>
      </c>
      <c r="J28" s="40">
        <f ca="1">IFERROR(__xludf.DUMMYFUNCTION("IF(SUM(COUNTIF(artists!C:C, SPLIT(D28, "",""))) &gt; 0, ""RU"", 0)"),0)</f>
        <v>0</v>
      </c>
      <c r="K28" s="39">
        <f ca="1">IFERROR(__xludf.DUMMYFUNCTION("IF(SUM(COUNTIF(artists!E:E, SPLIT(D28, "",""))) &gt; 0, ""OTHER"", 0)"),0)</f>
        <v>0</v>
      </c>
    </row>
    <row r="29" spans="1:11" ht="14.25" customHeight="1">
      <c r="A29" s="21">
        <v>28</v>
      </c>
      <c r="B29" s="21">
        <v>24</v>
      </c>
      <c r="C29" s="21" t="s">
        <v>1595</v>
      </c>
      <c r="D29" s="21" t="s">
        <v>1596</v>
      </c>
      <c r="E29" s="21">
        <v>2</v>
      </c>
      <c r="F29" s="21">
        <v>344786</v>
      </c>
      <c r="G29" s="42">
        <v>-0.109</v>
      </c>
      <c r="H29" s="21" t="s">
        <v>1597</v>
      </c>
      <c r="I29" s="39" t="str">
        <f ca="1">IFERROR(__xludf.DUMMYFUNCTION("IF(SUM(COUNTIF(artists!A:A, SPLIT(D29, "",""))) &gt; 0, ""UA"", 0)"),"UA")</f>
        <v>UA</v>
      </c>
      <c r="J29" s="40">
        <f ca="1">IFERROR(__xludf.DUMMYFUNCTION("IF(SUM(COUNTIF(artists!C:C, SPLIT(D29, "",""))) &gt; 0, ""RU"", 0)"),0)</f>
        <v>0</v>
      </c>
      <c r="K29" s="39">
        <f ca="1">IFERROR(__xludf.DUMMYFUNCTION("IF(SUM(COUNTIF(artists!E:E, SPLIT(D29, "",""))) &gt; 0, ""OTHER"", 0)"),0)</f>
        <v>0</v>
      </c>
    </row>
    <row r="30" spans="1:11" ht="14.25" customHeight="1">
      <c r="A30" s="21">
        <v>29</v>
      </c>
      <c r="C30" s="21" t="s">
        <v>132</v>
      </c>
      <c r="D30" s="21" t="s">
        <v>133</v>
      </c>
      <c r="E30" s="21">
        <v>1</v>
      </c>
      <c r="F30" s="21">
        <v>343840</v>
      </c>
      <c r="H30" s="21" t="s">
        <v>135</v>
      </c>
      <c r="I30" s="39" t="str">
        <f ca="1">IFERROR(__xludf.DUMMYFUNCTION("IF(SUM(COUNTIF(artists!A:A, SPLIT(D30, "",""))) &gt; 0, ""UA"", 0)"),"UA")</f>
        <v>UA</v>
      </c>
      <c r="J30" s="40">
        <f ca="1">IFERROR(__xludf.DUMMYFUNCTION("IF(SUM(COUNTIF(artists!C:C, SPLIT(D30, "",""))) &gt; 0, ""RU"", 0)"),0)</f>
        <v>0</v>
      </c>
      <c r="K30" s="39">
        <f ca="1">IFERROR(__xludf.DUMMYFUNCTION("IF(SUM(COUNTIF(artists!E:E, SPLIT(D30, "",""))) &gt; 0, ""OTHER"", 0)"),0)</f>
        <v>0</v>
      </c>
    </row>
    <row r="31" spans="1:11" ht="14.25" customHeight="1">
      <c r="A31" s="21">
        <v>30</v>
      </c>
      <c r="B31" s="21">
        <v>21</v>
      </c>
      <c r="C31" s="21" t="s">
        <v>1657</v>
      </c>
      <c r="D31" s="21" t="s">
        <v>837</v>
      </c>
      <c r="E31" s="21">
        <v>5</v>
      </c>
      <c r="F31" s="21">
        <v>336449</v>
      </c>
      <c r="G31" s="42">
        <v>-0.185</v>
      </c>
      <c r="H31" s="21" t="s">
        <v>1658</v>
      </c>
      <c r="I31" s="39" t="str">
        <f ca="1">IFERROR(__xludf.DUMMYFUNCTION("IF(SUM(COUNTIF(artists!A:A, SPLIT(D31, "",""))) &gt; 0, ""UA"", 0)"),"UA")</f>
        <v>UA</v>
      </c>
      <c r="J31" s="40">
        <f ca="1">IFERROR(__xludf.DUMMYFUNCTION("IF(SUM(COUNTIF(artists!C:C, SPLIT(D31, "",""))) &gt; 0, ""RU"", 0)"),0)</f>
        <v>0</v>
      </c>
      <c r="K31" s="39">
        <f ca="1">IFERROR(__xludf.DUMMYFUNCTION("IF(SUM(COUNTIF(artists!E:E, SPLIT(D31, "",""))) &gt; 0, ""OTHER"", 0)"),0)</f>
        <v>0</v>
      </c>
    </row>
    <row r="32" spans="1:11" ht="14.25" customHeight="1">
      <c r="A32" s="21">
        <v>31</v>
      </c>
      <c r="B32" s="21">
        <v>33</v>
      </c>
      <c r="C32" s="21" t="s">
        <v>1282</v>
      </c>
      <c r="D32" s="21" t="s">
        <v>108</v>
      </c>
      <c r="E32" s="21">
        <v>28</v>
      </c>
      <c r="F32" s="21">
        <v>335430</v>
      </c>
      <c r="G32" s="42">
        <v>2.3E-2</v>
      </c>
      <c r="H32" s="21" t="s">
        <v>1283</v>
      </c>
      <c r="I32" s="39" t="str">
        <f ca="1">IFERROR(__xludf.DUMMYFUNCTION("IF(SUM(COUNTIF(artists!A:A, SPLIT(D32, "",""))) &gt; 0, ""UA"", 0)"),"UA")</f>
        <v>UA</v>
      </c>
      <c r="J32" s="40">
        <f ca="1">IFERROR(__xludf.DUMMYFUNCTION("IF(SUM(COUNTIF(artists!C:C, SPLIT(D32, "",""))) &gt; 0, ""RU"", 0)"),0)</f>
        <v>0</v>
      </c>
      <c r="K32" s="39">
        <f ca="1">IFERROR(__xludf.DUMMYFUNCTION("IF(SUM(COUNTIF(artists!E:E, SPLIT(D32, "",""))) &gt; 0, ""OTHER"", 0)"),0)</f>
        <v>0</v>
      </c>
    </row>
    <row r="33" spans="1:11" ht="14.25" customHeight="1">
      <c r="A33" s="21">
        <v>32</v>
      </c>
      <c r="B33" s="21">
        <v>30</v>
      </c>
      <c r="C33" s="21" t="s">
        <v>918</v>
      </c>
      <c r="D33" s="21" t="s">
        <v>108</v>
      </c>
      <c r="E33" s="21">
        <v>37</v>
      </c>
      <c r="F33" s="21">
        <v>326605</v>
      </c>
      <c r="G33" s="42">
        <v>-7.4999999999999997E-2</v>
      </c>
      <c r="H33" s="21" t="s">
        <v>919</v>
      </c>
      <c r="I33" s="39" t="str">
        <f ca="1">IFERROR(__xludf.DUMMYFUNCTION("IF(SUM(COUNTIF(artists!A:A, SPLIT(D33, "",""))) &gt; 0, ""UA"", 0)"),"UA")</f>
        <v>UA</v>
      </c>
      <c r="J33" s="40">
        <f ca="1">IFERROR(__xludf.DUMMYFUNCTION("IF(SUM(COUNTIF(artists!C:C, SPLIT(D33, "",""))) &gt; 0, ""RU"", 0)"),0)</f>
        <v>0</v>
      </c>
      <c r="K33" s="39">
        <f ca="1">IFERROR(__xludf.DUMMYFUNCTION("IF(SUM(COUNTIF(artists!E:E, SPLIT(D33, "",""))) &gt; 0, ""OTHER"", 0)"),0)</f>
        <v>0</v>
      </c>
    </row>
    <row r="34" spans="1:11" ht="14.25" customHeight="1">
      <c r="A34" s="21">
        <v>33</v>
      </c>
      <c r="B34" s="21">
        <v>39</v>
      </c>
      <c r="C34" s="21" t="s">
        <v>887</v>
      </c>
      <c r="D34" s="21" t="s">
        <v>89</v>
      </c>
      <c r="E34" s="21">
        <v>8</v>
      </c>
      <c r="F34" s="21">
        <v>325480</v>
      </c>
      <c r="G34" s="42">
        <v>7.4999999999999997E-2</v>
      </c>
      <c r="H34" s="21" t="s">
        <v>888</v>
      </c>
      <c r="I34" s="39" t="str">
        <f ca="1">IFERROR(__xludf.DUMMYFUNCTION("IF(SUM(COUNTIF(artists!A:A, SPLIT(D34, "",""))) &gt; 0, ""UA"", 0)"),"UA")</f>
        <v>UA</v>
      </c>
      <c r="J34" s="40">
        <f ca="1">IFERROR(__xludf.DUMMYFUNCTION("IF(SUM(COUNTIF(artists!C:C, SPLIT(D34, "",""))) &gt; 0, ""RU"", 0)"),0)</f>
        <v>0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B35" s="21">
        <v>35</v>
      </c>
      <c r="C35" s="21" t="s">
        <v>493</v>
      </c>
      <c r="D35" s="21" t="s">
        <v>494</v>
      </c>
      <c r="E35" s="21">
        <v>16</v>
      </c>
      <c r="F35" s="21">
        <v>319929</v>
      </c>
      <c r="G35" s="42">
        <v>-1.7000000000000001E-2</v>
      </c>
      <c r="H35" s="21" t="s">
        <v>495</v>
      </c>
      <c r="I35" s="39" t="str">
        <f ca="1">IFERROR(__xludf.DUMMYFUNCTION("IF(SUM(COUNTIF(artists!A:A, SPLIT(D35, "",""))) &gt; 0, ""UA"", 0)"),"UA")</f>
        <v>UA</v>
      </c>
      <c r="J35" s="40">
        <f ca="1">IFERROR(__xludf.DUMMYFUNCTION("IF(SUM(COUNTIF(artists!C:C, SPLIT(D35, "",""))) &gt; 0, ""RU"", 0)"),0)</f>
        <v>0</v>
      </c>
      <c r="K35" s="39">
        <f ca="1">IFERROR(__xludf.DUMMYFUNCTION("IF(SUM(COUNTIF(artists!E:E, SPLIT(D35, "",""))) &gt; 0, ""OTHER"", 0)"),0)</f>
        <v>0</v>
      </c>
    </row>
    <row r="36" spans="1:11" ht="14.25" customHeight="1">
      <c r="A36" s="21">
        <v>35</v>
      </c>
      <c r="B36" s="21">
        <v>32</v>
      </c>
      <c r="C36" s="21" t="s">
        <v>1575</v>
      </c>
      <c r="D36" s="21" t="s">
        <v>945</v>
      </c>
      <c r="E36" s="21">
        <v>7</v>
      </c>
      <c r="F36" s="21">
        <v>319849</v>
      </c>
      <c r="G36" s="42">
        <v>-7.6999999999999999E-2</v>
      </c>
      <c r="H36" s="21" t="s">
        <v>1576</v>
      </c>
      <c r="I36" s="39" t="str">
        <f ca="1">IFERROR(__xludf.DUMMYFUNCTION("IF(SUM(COUNTIF(artists!A:A, SPLIT(D36, "",""))) &gt; 0, ""UA"", 0)"),"UA")</f>
        <v>UA</v>
      </c>
      <c r="J36" s="40">
        <f ca="1">IFERROR(__xludf.DUMMYFUNCTION("IF(SUM(COUNTIF(artists!C:C, SPLIT(D36, "",""))) &gt; 0, ""RU"", 0)"),0)</f>
        <v>0</v>
      </c>
      <c r="K36" s="39">
        <f ca="1">IFERROR(__xludf.DUMMYFUNCTION("IF(SUM(COUNTIF(artists!E:E, SPLIT(D36, "",""))) &gt; 0, ""OTHER"", 0)"),0)</f>
        <v>0</v>
      </c>
    </row>
    <row r="37" spans="1:11" ht="14.25" customHeight="1">
      <c r="A37" s="21">
        <v>36</v>
      </c>
      <c r="B37" s="21">
        <v>36</v>
      </c>
      <c r="C37" s="21" t="s">
        <v>1500</v>
      </c>
      <c r="D37" s="21" t="s">
        <v>907</v>
      </c>
      <c r="E37" s="21">
        <v>31</v>
      </c>
      <c r="F37" s="21">
        <v>316818</v>
      </c>
      <c r="G37" s="42">
        <v>2E-3</v>
      </c>
      <c r="H37" s="21" t="s">
        <v>1501</v>
      </c>
      <c r="I37" s="39">
        <f ca="1">IFERROR(__xludf.DUMMYFUNCTION("IF(SUM(COUNTIF(artists!A:A, SPLIT(D37, "",""))) &gt; 0, ""UA"", 0)"),0)</f>
        <v>0</v>
      </c>
      <c r="J37" s="40" t="str">
        <f ca="1">IFERROR(__xludf.DUMMYFUNCTION("IF(SUM(COUNTIF(artists!C:C, SPLIT(D37, "",""))) &gt; 0, ""RU"", 0)"),"RU")</f>
        <v>RU</v>
      </c>
      <c r="K37" s="39">
        <f ca="1">IFERROR(__xludf.DUMMYFUNCTION("IF(SUM(COUNTIF(artists!E:E, SPLIT(D37, "",""))) &gt; 0, ""OTHER"", 0)"),0)</f>
        <v>0</v>
      </c>
    </row>
    <row r="38" spans="1:11" ht="14.25" customHeight="1">
      <c r="A38" s="21">
        <v>37</v>
      </c>
      <c r="B38" s="21">
        <v>41</v>
      </c>
      <c r="C38" s="21" t="s">
        <v>1298</v>
      </c>
      <c r="D38" s="21" t="s">
        <v>226</v>
      </c>
      <c r="E38" s="21">
        <v>7</v>
      </c>
      <c r="F38" s="21">
        <v>308907</v>
      </c>
      <c r="G38" s="42">
        <v>3.2000000000000001E-2</v>
      </c>
      <c r="H38" s="21" t="s">
        <v>1299</v>
      </c>
      <c r="I38" s="39" t="str">
        <f ca="1">IFERROR(__xludf.DUMMYFUNCTION("IF(SUM(COUNTIF(artists!A:A, SPLIT(D38, "",""))) &gt; 0, ""UA"", 0)"),"UA")</f>
        <v>UA</v>
      </c>
      <c r="J38" s="40">
        <f ca="1">IFERROR(__xludf.DUMMYFUNCTION("IF(SUM(COUNTIF(artists!C:C, SPLIT(D38, "",""))) &gt; 0, ""RU"", 0)"),0)</f>
        <v>0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B39" s="21">
        <v>17</v>
      </c>
      <c r="C39" s="21" t="s">
        <v>1536</v>
      </c>
      <c r="D39" s="21" t="s">
        <v>1537</v>
      </c>
      <c r="E39" s="21">
        <v>2</v>
      </c>
      <c r="F39" s="21">
        <v>305060</v>
      </c>
      <c r="G39" s="42">
        <v>-0.35199999999999998</v>
      </c>
      <c r="H39" s="21" t="s">
        <v>1538</v>
      </c>
      <c r="I39" s="39" t="str">
        <f ca="1">IFERROR(__xludf.DUMMYFUNCTION("IF(SUM(COUNTIF(artists!A:A, SPLIT(D39, "",""))) &gt; 0, ""UA"", 0)"),"UA")</f>
        <v>UA</v>
      </c>
      <c r="J39" s="40">
        <f ca="1">IFERROR(__xludf.DUMMYFUNCTION("IF(SUM(COUNTIF(artists!C:C, SPLIT(D39, "",""))) &gt; 0, ""RU"", 0)"),0)</f>
        <v>0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B40" s="21">
        <v>42</v>
      </c>
      <c r="C40" s="21" t="s">
        <v>118</v>
      </c>
      <c r="D40" s="21" t="s">
        <v>586</v>
      </c>
      <c r="E40" s="21">
        <v>11</v>
      </c>
      <c r="F40" s="21">
        <v>299370</v>
      </c>
      <c r="G40" s="42">
        <v>4.0000000000000001E-3</v>
      </c>
      <c r="H40" s="21" t="s">
        <v>587</v>
      </c>
      <c r="I40" s="39" t="str">
        <f ca="1">IFERROR(__xludf.DUMMYFUNCTION("IF(SUM(COUNTIF(artists!A:A, SPLIT(D40, "",""))) &gt; 0, ""UA"", 0)"),"UA")</f>
        <v>UA</v>
      </c>
      <c r="J40" s="40">
        <f ca="1">IFERROR(__xludf.DUMMYFUNCTION("IF(SUM(COUNTIF(artists!C:C, SPLIT(D40, "",""))) &gt; 0, ""RU"", 0)"),0)</f>
        <v>0</v>
      </c>
      <c r="K40" s="39">
        <f ca="1">IFERROR(__xludf.DUMMYFUNCTION("IF(SUM(COUNTIF(artists!E:E, SPLIT(D40, "",""))) &gt; 0, ""OTHER"", 0)"),0)</f>
        <v>0</v>
      </c>
    </row>
    <row r="41" spans="1:11" ht="14.25" customHeight="1">
      <c r="A41" s="21">
        <v>40</v>
      </c>
      <c r="B41" s="21">
        <v>46</v>
      </c>
      <c r="C41" s="21" t="s">
        <v>1498</v>
      </c>
      <c r="D41" s="21" t="s">
        <v>969</v>
      </c>
      <c r="E41" s="21">
        <v>33</v>
      </c>
      <c r="F41" s="21">
        <v>295939</v>
      </c>
      <c r="G41" s="43">
        <v>0.04</v>
      </c>
      <c r="H41" s="21" t="s">
        <v>1499</v>
      </c>
      <c r="I41" s="39" t="str">
        <f ca="1">IFERROR(__xludf.DUMMYFUNCTION("IF(SUM(COUNTIF(artists!A:A, SPLIT(D41, "",""))) &gt; 0, ""UA"", 0)"),"UA")</f>
        <v>UA</v>
      </c>
      <c r="J41" s="40">
        <f ca="1">IFERROR(__xludf.DUMMYFUNCTION("IF(SUM(COUNTIF(artists!C:C, SPLIT(D41, "",""))) &gt; 0, ""RU"", 0)"),0)</f>
        <v>0</v>
      </c>
      <c r="K41" s="39">
        <f ca="1">IFERROR(__xludf.DUMMYFUNCTION("IF(SUM(COUNTIF(artists!E:E, SPLIT(D41, "",""))) &gt; 0, ""OTHER"", 0)"),0)</f>
        <v>0</v>
      </c>
    </row>
    <row r="42" spans="1:11" ht="14.25" customHeight="1">
      <c r="A42" s="21">
        <v>41</v>
      </c>
      <c r="B42" s="21">
        <v>54</v>
      </c>
      <c r="C42" s="21" t="s">
        <v>229</v>
      </c>
      <c r="D42" s="21" t="s">
        <v>230</v>
      </c>
      <c r="E42" s="21">
        <v>8</v>
      </c>
      <c r="F42" s="21">
        <v>294323</v>
      </c>
      <c r="G42" s="42">
        <v>0.156</v>
      </c>
      <c r="H42" s="21" t="s">
        <v>232</v>
      </c>
      <c r="I42" s="39" t="str">
        <f ca="1">IFERROR(__xludf.DUMMYFUNCTION("IF(SUM(COUNTIF(artists!A:A, SPLIT(D42, "",""))) &gt; 0, ""UA"", 0)"),"UA")</f>
        <v>UA</v>
      </c>
      <c r="J42" s="40">
        <f ca="1">IFERROR(__xludf.DUMMYFUNCTION("IF(SUM(COUNTIF(artists!C:C, SPLIT(D42, "",""))) &gt; 0, ""RU"", 0)"),0)</f>
        <v>0</v>
      </c>
      <c r="K42" s="39">
        <f ca="1">IFERROR(__xludf.DUMMYFUNCTION("IF(SUM(COUNTIF(artists!E:E, SPLIT(D42, "",""))) &gt; 0, ""OTHER"", 0)"),0)</f>
        <v>0</v>
      </c>
    </row>
    <row r="43" spans="1:11" ht="14.25" customHeight="1">
      <c r="A43" s="21">
        <v>42</v>
      </c>
      <c r="B43" s="21">
        <v>52</v>
      </c>
      <c r="C43" s="21" t="s">
        <v>632</v>
      </c>
      <c r="D43" s="21" t="s">
        <v>633</v>
      </c>
      <c r="E43" s="21">
        <v>5</v>
      </c>
      <c r="F43" s="21">
        <v>291499</v>
      </c>
      <c r="G43" s="42">
        <v>0.14299999999999999</v>
      </c>
      <c r="H43" s="21" t="s">
        <v>634</v>
      </c>
      <c r="I43" s="39" t="str">
        <f ca="1">IFERROR(__xludf.DUMMYFUNCTION("IF(SUM(COUNTIF(artists!A:A, SPLIT(D43, "",""))) &gt; 0, ""UA"", 0)"),"UA")</f>
        <v>UA</v>
      </c>
      <c r="J43" s="40">
        <f ca="1">IFERROR(__xludf.DUMMYFUNCTION("IF(SUM(COUNTIF(artists!C:C, SPLIT(D43, "",""))) &gt; 0, ""RU"", 0)"),0)</f>
        <v>0</v>
      </c>
      <c r="K43" s="39">
        <f ca="1">IFERROR(__xludf.DUMMYFUNCTION("IF(SUM(COUNTIF(artists!E:E, SPLIT(D43, "",""))) &gt; 0, ""OTHER"", 0)"),0)</f>
        <v>0</v>
      </c>
    </row>
    <row r="44" spans="1:11" ht="14.25" customHeight="1">
      <c r="A44" s="21">
        <v>43</v>
      </c>
      <c r="B44" s="21">
        <v>48</v>
      </c>
      <c r="C44" s="21" t="s">
        <v>1729</v>
      </c>
      <c r="D44" s="21" t="s">
        <v>1730</v>
      </c>
      <c r="E44" s="21">
        <v>52</v>
      </c>
      <c r="F44" s="21">
        <v>287916</v>
      </c>
      <c r="G44" s="42">
        <v>5.3999999999999999E-2</v>
      </c>
      <c r="H44" s="21" t="s">
        <v>1731</v>
      </c>
      <c r="I44" s="39">
        <f ca="1">IFERROR(__xludf.DUMMYFUNCTION("IF(SUM(COUNTIF(artists!A:A, SPLIT(D44, "",""))) &gt; 0, ""UA"", 0)"),0)</f>
        <v>0</v>
      </c>
      <c r="J44" s="40" t="str">
        <f ca="1">IFERROR(__xludf.DUMMYFUNCTION("IF(SUM(COUNTIF(artists!C:C, SPLIT(D44, "",""))) &gt; 0, ""RU"", 0)"),"RU")</f>
        <v>RU</v>
      </c>
      <c r="K44" s="39">
        <f ca="1">IFERROR(__xludf.DUMMYFUNCTION("IF(SUM(COUNTIF(artists!E:E, SPLIT(D44, "",""))) &gt; 0, ""OTHER"", 0)"),0)</f>
        <v>0</v>
      </c>
    </row>
    <row r="45" spans="1:11" ht="14.25" customHeight="1">
      <c r="A45" s="21">
        <v>44</v>
      </c>
      <c r="B45" s="21">
        <v>37</v>
      </c>
      <c r="C45" s="21" t="s">
        <v>1325</v>
      </c>
      <c r="D45" s="21" t="s">
        <v>1237</v>
      </c>
      <c r="E45" s="21">
        <v>51</v>
      </c>
      <c r="F45" s="21">
        <v>284830</v>
      </c>
      <c r="G45" s="42">
        <v>-7.1999999999999995E-2</v>
      </c>
      <c r="H45" s="21" t="s">
        <v>1326</v>
      </c>
      <c r="I45" s="39">
        <f ca="1">IFERROR(__xludf.DUMMYFUNCTION("IF(SUM(COUNTIF(artists!A:A, SPLIT(D45, "",""))) &gt; 0, ""UA"", 0)"),0)</f>
        <v>0</v>
      </c>
      <c r="J45" s="40" t="str">
        <f ca="1">IFERROR(__xludf.DUMMYFUNCTION("IF(SUM(COUNTIF(artists!C:C, SPLIT(D45, "",""))) &gt; 0, ""RU"", 0)"),"RU")</f>
        <v>RU</v>
      </c>
      <c r="K45" s="39">
        <f ca="1">IFERROR(__xludf.DUMMYFUNCTION("IF(SUM(COUNTIF(artists!E:E, SPLIT(D45, "",""))) &gt; 0, ""OTHER"", 0)"),0)</f>
        <v>0</v>
      </c>
    </row>
    <row r="46" spans="1:11" ht="14.25" customHeight="1">
      <c r="A46" s="21">
        <v>45</v>
      </c>
      <c r="B46" s="21">
        <v>45</v>
      </c>
      <c r="C46" s="21" t="s">
        <v>1116</v>
      </c>
      <c r="D46" s="21" t="s">
        <v>1117</v>
      </c>
      <c r="E46" s="21">
        <v>23</v>
      </c>
      <c r="F46" s="21">
        <v>284258</v>
      </c>
      <c r="G46" s="42">
        <v>-3.3000000000000002E-2</v>
      </c>
      <c r="H46" s="21" t="s">
        <v>1118</v>
      </c>
      <c r="I46" s="39">
        <f ca="1">IFERROR(__xludf.DUMMYFUNCTION("IF(SUM(COUNTIF(artists!A:A, SPLIT(D46, "",""))) &gt; 0, ""UA"", 0)"),0)</f>
        <v>0</v>
      </c>
      <c r="J46" s="40" t="str">
        <f ca="1">IFERROR(__xludf.DUMMYFUNCTION("IF(SUM(COUNTIF(artists!C:C, SPLIT(D46, "",""))) &gt; 0, ""RU"", 0)"),"RU")</f>
        <v>RU</v>
      </c>
      <c r="K46" s="39">
        <f ca="1">IFERROR(__xludf.DUMMYFUNCTION("IF(SUM(COUNTIF(artists!E:E, SPLIT(D46, "",""))) &gt; 0, ""OTHER"", 0)"),0)</f>
        <v>0</v>
      </c>
    </row>
    <row r="47" spans="1:11" ht="14.25" customHeight="1">
      <c r="A47" s="21">
        <v>46</v>
      </c>
      <c r="B47" s="21">
        <v>47</v>
      </c>
      <c r="C47" s="21" t="s">
        <v>1327</v>
      </c>
      <c r="D47" s="21" t="s">
        <v>89</v>
      </c>
      <c r="E47" s="21">
        <v>30</v>
      </c>
      <c r="F47" s="21">
        <v>277420</v>
      </c>
      <c r="G47" s="43">
        <v>0</v>
      </c>
      <c r="H47" s="21" t="s">
        <v>1328</v>
      </c>
      <c r="I47" s="39" t="str">
        <f ca="1">IFERROR(__xludf.DUMMYFUNCTION("IF(SUM(COUNTIF(artists!A:A, SPLIT(D47, "",""))) &gt; 0, ""UA"", 0)"),"UA")</f>
        <v>UA</v>
      </c>
      <c r="J47" s="40">
        <f ca="1">IFERROR(__xludf.DUMMYFUNCTION("IF(SUM(COUNTIF(artists!C:C, SPLIT(D47, "",""))) &gt; 0, ""RU"", 0)"),0)</f>
        <v>0</v>
      </c>
      <c r="K47" s="39">
        <f ca="1">IFERROR(__xludf.DUMMYFUNCTION("IF(SUM(COUNTIF(artists!E:E, SPLIT(D47, "",""))) &gt; 0, ""OTHER"", 0)"),0)</f>
        <v>0</v>
      </c>
    </row>
    <row r="48" spans="1:11" ht="14.25" customHeight="1">
      <c r="A48" s="21">
        <v>47</v>
      </c>
      <c r="C48" s="21" t="s">
        <v>1616</v>
      </c>
      <c r="D48" s="21" t="s">
        <v>1617</v>
      </c>
      <c r="E48" s="21">
        <v>43</v>
      </c>
      <c r="F48" s="21">
        <v>275301</v>
      </c>
      <c r="H48" s="21" t="s">
        <v>1618</v>
      </c>
      <c r="I48" s="39">
        <f ca="1">IFERROR(__xludf.DUMMYFUNCTION("IF(SUM(COUNTIF(artists!A:A, SPLIT(D48, "",""))) &gt; 0, ""UA"", 0)"),0)</f>
        <v>0</v>
      </c>
      <c r="J48" s="40" t="str">
        <f ca="1">IFERROR(__xludf.DUMMYFUNCTION("IF(SUM(COUNTIF(artists!C:C, SPLIT(D48, "",""))) &gt; 0, ""RU"", 0)"),"RU")</f>
        <v>RU</v>
      </c>
      <c r="K48" s="39">
        <f ca="1">IFERROR(__xludf.DUMMYFUNCTION("IF(SUM(COUNTIF(artists!E:E, SPLIT(D48, "",""))) &gt; 0, ""OTHER"", 0)"),0)</f>
        <v>0</v>
      </c>
    </row>
    <row r="49" spans="1:11" ht="14.25" customHeight="1">
      <c r="A49" s="21">
        <v>48</v>
      </c>
      <c r="B49" s="21">
        <v>51</v>
      </c>
      <c r="C49" s="21" t="s">
        <v>841</v>
      </c>
      <c r="D49" s="21" t="s">
        <v>842</v>
      </c>
      <c r="E49" s="21">
        <v>17</v>
      </c>
      <c r="F49" s="21">
        <v>273033</v>
      </c>
      <c r="G49" s="42">
        <v>6.9000000000000006E-2</v>
      </c>
      <c r="H49" s="21" t="s">
        <v>843</v>
      </c>
      <c r="I49" s="39">
        <f ca="1">IFERROR(__xludf.DUMMYFUNCTION("IF(SUM(COUNTIF(artists!A:A, SPLIT(D49, "",""))) &gt; 0, ""UA"", 0)"),0)</f>
        <v>0</v>
      </c>
      <c r="J49" s="40">
        <f ca="1">IFERROR(__xludf.DUMMYFUNCTION("IF(SUM(COUNTIF(artists!C:C, SPLIT(D49, "",""))) &gt; 0, ""RU"", 0)"),0)</f>
        <v>0</v>
      </c>
      <c r="K49" s="39" t="str">
        <f ca="1">IFERROR(__xludf.DUMMYFUNCTION("IF(SUM(COUNTIF(artists!E:E, SPLIT(D49, "",""))) &gt; 0, ""OTHER"", 0)"),"OTHER")</f>
        <v>OTHER</v>
      </c>
    </row>
    <row r="50" spans="1:11" ht="14.25" customHeight="1">
      <c r="A50" s="21">
        <v>49</v>
      </c>
      <c r="B50" s="21">
        <v>49</v>
      </c>
      <c r="C50" s="21" t="s">
        <v>1518</v>
      </c>
      <c r="D50" s="21" t="s">
        <v>108</v>
      </c>
      <c r="E50" s="21">
        <v>13</v>
      </c>
      <c r="F50" s="21">
        <v>270338</v>
      </c>
      <c r="G50" s="43">
        <v>0.01</v>
      </c>
      <c r="H50" s="21" t="s">
        <v>1519</v>
      </c>
      <c r="I50" s="39" t="str">
        <f ca="1">IFERROR(__xludf.DUMMYFUNCTION("IF(SUM(COUNTIF(artists!A:A, SPLIT(D50, "",""))) &gt; 0, ""UA"", 0)"),"UA")</f>
        <v>UA</v>
      </c>
      <c r="J50" s="40">
        <f ca="1">IFERROR(__xludf.DUMMYFUNCTION("IF(SUM(COUNTIF(artists!C:C, SPLIT(D50, "",""))) &gt; 0, ""RU"", 0)"),0)</f>
        <v>0</v>
      </c>
      <c r="K50" s="39">
        <f ca="1">IFERROR(__xludf.DUMMYFUNCTION("IF(SUM(COUNTIF(artists!E:E, SPLIT(D50, "",""))) &gt; 0, ""OTHER"", 0)"),0)</f>
        <v>0</v>
      </c>
    </row>
    <row r="51" spans="1:11" ht="14.25" customHeight="1">
      <c r="A51" s="21">
        <v>50</v>
      </c>
      <c r="C51" s="21" t="s">
        <v>1502</v>
      </c>
      <c r="D51" s="21" t="s">
        <v>1503</v>
      </c>
      <c r="E51" s="21">
        <v>27</v>
      </c>
      <c r="F51" s="21">
        <v>270208</v>
      </c>
      <c r="H51" s="21" t="s">
        <v>1504</v>
      </c>
      <c r="I51" s="39" t="str">
        <f ca="1">IFERROR(__xludf.DUMMYFUNCTION("IF(SUM(COUNTIF(artists!A:A, SPLIT(D51, "",""))) &gt; 0, ""UA"", 0)"),"UA")</f>
        <v>UA</v>
      </c>
      <c r="J51" s="40">
        <f ca="1">IFERROR(__xludf.DUMMYFUNCTION("IF(SUM(COUNTIF(artists!C:C, SPLIT(D51, "",""))) &gt; 0, ""RU"", 0)"),0)</f>
        <v>0</v>
      </c>
      <c r="K51" s="39">
        <f ca="1">IFERROR(__xludf.DUMMYFUNCTION("IF(SUM(COUNTIF(artists!E:E, SPLIT(D51, "",""))) &gt; 0, ""OTHER"", 0)"),0)</f>
        <v>0</v>
      </c>
    </row>
    <row r="52" spans="1:11" ht="14.25" customHeight="1">
      <c r="A52" s="21">
        <v>51</v>
      </c>
      <c r="B52" s="21">
        <v>44</v>
      </c>
      <c r="C52" s="21" t="s">
        <v>186</v>
      </c>
      <c r="D52" s="21" t="s">
        <v>187</v>
      </c>
      <c r="E52" s="21">
        <v>5</v>
      </c>
      <c r="F52" s="21">
        <v>268745</v>
      </c>
      <c r="G52" s="42">
        <v>-9.0999999999999998E-2</v>
      </c>
      <c r="H52" s="21" t="s">
        <v>189</v>
      </c>
      <c r="I52" s="39" t="str">
        <f ca="1">IFERROR(__xludf.DUMMYFUNCTION("IF(SUM(COUNTIF(artists!A:A, SPLIT(D52, "",""))) &gt; 0, ""UA"", 0)"),"UA")</f>
        <v>UA</v>
      </c>
      <c r="J52" s="40">
        <f ca="1">IFERROR(__xludf.DUMMYFUNCTION("IF(SUM(COUNTIF(artists!C:C, SPLIT(D52, "",""))) &gt; 0, ""RU"", 0)"),0)</f>
        <v>0</v>
      </c>
      <c r="K52" s="39">
        <f ca="1">IFERROR(__xludf.DUMMYFUNCTION("IF(SUM(COUNTIF(artists!E:E, SPLIT(D52, "",""))) &gt; 0, ""OTHER"", 0)"),0)</f>
        <v>0</v>
      </c>
    </row>
    <row r="53" spans="1:11" ht="14.25" customHeight="1">
      <c r="A53" s="21">
        <v>52</v>
      </c>
      <c r="B53" s="21">
        <v>43</v>
      </c>
      <c r="C53" s="21" t="s">
        <v>1487</v>
      </c>
      <c r="D53" s="21" t="s">
        <v>409</v>
      </c>
      <c r="E53" s="21">
        <v>11</v>
      </c>
      <c r="F53" s="21">
        <v>267046</v>
      </c>
      <c r="G53" s="42">
        <v>-0.10100000000000001</v>
      </c>
      <c r="H53" s="21" t="s">
        <v>1488</v>
      </c>
      <c r="I53" s="39" t="str">
        <f ca="1">IFERROR(__xludf.DUMMYFUNCTION("IF(SUM(COUNTIF(artists!A:A, SPLIT(D53, "",""))) &gt; 0, ""UA"", 0)"),"UA")</f>
        <v>UA</v>
      </c>
      <c r="J53" s="40">
        <f ca="1">IFERROR(__xludf.DUMMYFUNCTION("IF(SUM(COUNTIF(artists!C:C, SPLIT(D53, "",""))) &gt; 0, ""RU"", 0)"),0)</f>
        <v>0</v>
      </c>
      <c r="K53" s="39">
        <f ca="1">IFERROR(__xludf.DUMMYFUNCTION("IF(SUM(COUNTIF(artists!E:E, SPLIT(D53, "",""))) &gt; 0, ""OTHER"", 0)"),0)</f>
        <v>0</v>
      </c>
    </row>
    <row r="54" spans="1:11" ht="14.25" customHeight="1">
      <c r="A54" s="21">
        <v>53</v>
      </c>
      <c r="B54" s="21">
        <v>34</v>
      </c>
      <c r="C54" s="21" t="s">
        <v>1683</v>
      </c>
      <c r="D54" s="21" t="s">
        <v>1596</v>
      </c>
      <c r="E54" s="21">
        <v>4</v>
      </c>
      <c r="F54" s="21">
        <v>266158</v>
      </c>
      <c r="G54" s="42">
        <v>-0.182</v>
      </c>
      <c r="H54" s="21" t="s">
        <v>1684</v>
      </c>
      <c r="I54" s="39" t="str">
        <f ca="1">IFERROR(__xludf.DUMMYFUNCTION("IF(SUM(COUNTIF(artists!A:A, SPLIT(D54, "",""))) &gt; 0, ""UA"", 0)"),"UA")</f>
        <v>UA</v>
      </c>
      <c r="J54" s="40">
        <f ca="1">IFERROR(__xludf.DUMMYFUNCTION("IF(SUM(COUNTIF(artists!C:C, SPLIT(D54, "",""))) &gt; 0, ""RU"", 0)"),0)</f>
        <v>0</v>
      </c>
      <c r="K54" s="39">
        <f ca="1">IFERROR(__xludf.DUMMYFUNCTION("IF(SUM(COUNTIF(artists!E:E, SPLIT(D54, "",""))) &gt; 0, ""OTHER"", 0)"),0)</f>
        <v>0</v>
      </c>
    </row>
    <row r="55" spans="1:11" ht="14.25" customHeight="1">
      <c r="A55" s="21">
        <v>54</v>
      </c>
      <c r="B55" s="21">
        <v>64</v>
      </c>
      <c r="C55" s="21" t="s">
        <v>1586</v>
      </c>
      <c r="D55" s="21" t="s">
        <v>969</v>
      </c>
      <c r="E55" s="21">
        <v>14</v>
      </c>
      <c r="F55" s="21">
        <v>246927</v>
      </c>
      <c r="G55" s="42">
        <v>9.1999999999999998E-2</v>
      </c>
      <c r="H55" s="21" t="s">
        <v>1587</v>
      </c>
      <c r="I55" s="39" t="str">
        <f ca="1">IFERROR(__xludf.DUMMYFUNCTION("IF(SUM(COUNTIF(artists!A:A, SPLIT(D55, "",""))) &gt; 0, ""UA"", 0)"),"UA")</f>
        <v>UA</v>
      </c>
      <c r="J55" s="40">
        <f ca="1">IFERROR(__xludf.DUMMYFUNCTION("IF(SUM(COUNTIF(artists!C:C, SPLIT(D55, "",""))) &gt; 0, ""RU"", 0)"),0)</f>
        <v>0</v>
      </c>
      <c r="K55" s="39">
        <f ca="1">IFERROR(__xludf.DUMMYFUNCTION("IF(SUM(COUNTIF(artists!E:E, SPLIT(D55, "",""))) &gt; 0, ""OTHER"", 0)"),0)</f>
        <v>0</v>
      </c>
    </row>
    <row r="56" spans="1:11" ht="14.25" customHeight="1">
      <c r="A56" s="21">
        <v>55</v>
      </c>
      <c r="B56" s="21">
        <v>62</v>
      </c>
      <c r="C56" s="21" t="s">
        <v>470</v>
      </c>
      <c r="D56" s="21" t="s">
        <v>81</v>
      </c>
      <c r="E56" s="21">
        <v>10</v>
      </c>
      <c r="F56" s="21">
        <v>244885</v>
      </c>
      <c r="G56" s="42">
        <v>5.0999999999999997E-2</v>
      </c>
      <c r="H56" s="21" t="s">
        <v>472</v>
      </c>
      <c r="I56" s="39" t="str">
        <f ca="1">IFERROR(__xludf.DUMMYFUNCTION("IF(SUM(COUNTIF(artists!A:A, SPLIT(D56, "",""))) &gt; 0, ""UA"", 0)"),"UA")</f>
        <v>UA</v>
      </c>
      <c r="J56" s="40">
        <f ca="1">IFERROR(__xludf.DUMMYFUNCTION("IF(SUM(COUNTIF(artists!C:C, SPLIT(D56, "",""))) &gt; 0, ""RU"", 0)"),0)</f>
        <v>0</v>
      </c>
      <c r="K56" s="39">
        <f ca="1">IFERROR(__xludf.DUMMYFUNCTION("IF(SUM(COUNTIF(artists!E:E, SPLIT(D56, "",""))) &gt; 0, ""OTHER"", 0)"),0)</f>
        <v>0</v>
      </c>
    </row>
    <row r="57" spans="1:11" ht="14.25" customHeight="1">
      <c r="A57" s="21">
        <v>56</v>
      </c>
      <c r="B57" s="21">
        <v>57</v>
      </c>
      <c r="C57" s="21" t="s">
        <v>1387</v>
      </c>
      <c r="D57" s="21" t="s">
        <v>1388</v>
      </c>
      <c r="E57" s="21">
        <v>5</v>
      </c>
      <c r="F57" s="21">
        <v>244244</v>
      </c>
      <c r="G57" s="42">
        <v>5.0000000000000001E-3</v>
      </c>
      <c r="H57" s="21" t="s">
        <v>1389</v>
      </c>
      <c r="I57" s="39">
        <f ca="1">IFERROR(__xludf.DUMMYFUNCTION("IF(SUM(COUNTIF(artists!A:A, SPLIT(D57, "",""))) &gt; 0, ""UA"", 0)"),0)</f>
        <v>0</v>
      </c>
      <c r="J57" s="40">
        <f ca="1">IFERROR(__xludf.DUMMYFUNCTION("IF(SUM(COUNTIF(artists!C:C, SPLIT(D57, "",""))) &gt; 0, ""RU"", 0)"),0)</f>
        <v>0</v>
      </c>
      <c r="K57" s="39" t="str">
        <f ca="1">IFERROR(__xludf.DUMMYFUNCTION("IF(SUM(COUNTIF(artists!E:E, SPLIT(D57, "",""))) &gt; 0, ""OTHER"", 0)"),"OTHER")</f>
        <v>OTHER</v>
      </c>
    </row>
    <row r="58" spans="1:11" ht="14.25" customHeight="1">
      <c r="A58" s="21">
        <v>57</v>
      </c>
      <c r="B58" s="21">
        <v>27</v>
      </c>
      <c r="C58" s="21" t="s">
        <v>1551</v>
      </c>
      <c r="D58" s="21" t="s">
        <v>1344</v>
      </c>
      <c r="E58" s="21">
        <v>2</v>
      </c>
      <c r="F58" s="21">
        <v>239043</v>
      </c>
      <c r="G58" s="42">
        <v>-0.35699999999999998</v>
      </c>
      <c r="H58" s="21" t="s">
        <v>1552</v>
      </c>
      <c r="I58" s="39" t="str">
        <f ca="1">IFERROR(__xludf.DUMMYFUNCTION("IF(SUM(COUNTIF(artists!A:A, SPLIT(D58, "",""))) &gt; 0, ""UA"", 0)"),"UA")</f>
        <v>UA</v>
      </c>
      <c r="J58" s="40">
        <f ca="1">IFERROR(__xludf.DUMMYFUNCTION("IF(SUM(COUNTIF(artists!C:C, SPLIT(D58, "",""))) &gt; 0, ""RU"", 0)"),0)</f>
        <v>0</v>
      </c>
      <c r="K58" s="39">
        <f ca="1">IFERROR(__xludf.DUMMYFUNCTION("IF(SUM(COUNTIF(artists!E:E, SPLIT(D58, "",""))) &gt; 0, ""OTHER"", 0)"),0)</f>
        <v>0</v>
      </c>
    </row>
    <row r="59" spans="1:11" ht="14.25" customHeight="1">
      <c r="A59" s="21">
        <v>58</v>
      </c>
      <c r="B59" s="21">
        <v>56</v>
      </c>
      <c r="C59" s="21" t="s">
        <v>1636</v>
      </c>
      <c r="D59" s="21" t="s">
        <v>1637</v>
      </c>
      <c r="E59" s="21">
        <v>16</v>
      </c>
      <c r="F59" s="21">
        <v>233027</v>
      </c>
      <c r="G59" s="42">
        <v>-4.7E-2</v>
      </c>
      <c r="H59" s="21" t="s">
        <v>1638</v>
      </c>
      <c r="I59" s="39">
        <f ca="1">IFERROR(__xludf.DUMMYFUNCTION("IF(SUM(COUNTIF(artists!A:A, SPLIT(D59, "",""))) &gt; 0, ""UA"", 0)"),0)</f>
        <v>0</v>
      </c>
      <c r="J59" s="40" t="str">
        <f ca="1">IFERROR(__xludf.DUMMYFUNCTION("IF(SUM(COUNTIF(artists!C:C, SPLIT(D59, "",""))) &gt; 0, ""RU"", 0)"),"RU")</f>
        <v>RU</v>
      </c>
      <c r="K59" s="39">
        <f ca="1">IFERROR(__xludf.DUMMYFUNCTION("IF(SUM(COUNTIF(artists!E:E, SPLIT(D59, "",""))) &gt; 0, ""OTHER"", 0)"),0)</f>
        <v>0</v>
      </c>
    </row>
    <row r="60" spans="1:11" ht="14.25" customHeight="1">
      <c r="A60" s="21">
        <v>59</v>
      </c>
      <c r="B60" s="21">
        <v>65</v>
      </c>
      <c r="C60" s="21" t="s">
        <v>1381</v>
      </c>
      <c r="D60" s="21" t="s">
        <v>969</v>
      </c>
      <c r="E60" s="21">
        <v>12</v>
      </c>
      <c r="F60" s="21">
        <v>231240</v>
      </c>
      <c r="G60" s="42">
        <v>2.7E-2</v>
      </c>
      <c r="H60" s="21" t="s">
        <v>1382</v>
      </c>
      <c r="I60" s="39" t="str">
        <f ca="1">IFERROR(__xludf.DUMMYFUNCTION("IF(SUM(COUNTIF(artists!A:A, SPLIT(D60, "",""))) &gt; 0, ""UA"", 0)"),"UA")</f>
        <v>UA</v>
      </c>
      <c r="J60" s="40">
        <f ca="1">IFERROR(__xludf.DUMMYFUNCTION("IF(SUM(COUNTIF(artists!C:C, SPLIT(D60, "",""))) &gt; 0, ""RU"", 0)"),0)</f>
        <v>0</v>
      </c>
      <c r="K60" s="39">
        <f ca="1">IFERROR(__xludf.DUMMYFUNCTION("IF(SUM(COUNTIF(artists!E:E, SPLIT(D60, "",""))) &gt; 0, ""OTHER"", 0)"),0)</f>
        <v>0</v>
      </c>
    </row>
    <row r="61" spans="1:11" ht="14.25" customHeight="1">
      <c r="A61" s="21">
        <v>60</v>
      </c>
      <c r="B61" s="21">
        <v>66</v>
      </c>
      <c r="C61" s="21" t="s">
        <v>1530</v>
      </c>
      <c r="D61" s="21" t="s">
        <v>1531</v>
      </c>
      <c r="E61" s="21">
        <v>11</v>
      </c>
      <c r="F61" s="21">
        <v>229843</v>
      </c>
      <c r="G61" s="42">
        <v>2.3E-2</v>
      </c>
      <c r="H61" s="21" t="s">
        <v>1532</v>
      </c>
      <c r="I61" s="39">
        <f ca="1">IFERROR(__xludf.DUMMYFUNCTION("IF(SUM(COUNTIF(artists!A:A, SPLIT(D61, "",""))) &gt; 0, ""UA"", 0)"),0)</f>
        <v>0</v>
      </c>
      <c r="J61" s="40">
        <f ca="1">IFERROR(__xludf.DUMMYFUNCTION("IF(SUM(COUNTIF(artists!C:C, SPLIT(D61, "",""))) &gt; 0, ""RU"", 0)"),0)</f>
        <v>0</v>
      </c>
      <c r="K61" s="39" t="str">
        <f ca="1">IFERROR(__xludf.DUMMYFUNCTION("IF(SUM(COUNTIF(artists!E:E, SPLIT(D61, "",""))) &gt; 0, ""OTHER"", 0)"),"OTHER")</f>
        <v>OTHER</v>
      </c>
    </row>
    <row r="62" spans="1:11" ht="14.25" customHeight="1">
      <c r="A62" s="21">
        <v>61</v>
      </c>
      <c r="B62" s="21">
        <v>58</v>
      </c>
      <c r="C62" s="21" t="s">
        <v>1674</v>
      </c>
      <c r="D62" s="21" t="s">
        <v>172</v>
      </c>
      <c r="E62" s="21">
        <v>17</v>
      </c>
      <c r="F62" s="21">
        <v>226072</v>
      </c>
      <c r="G62" s="43">
        <v>-7.0000000000000007E-2</v>
      </c>
      <c r="H62" s="21" t="s">
        <v>1675</v>
      </c>
      <c r="I62" s="39">
        <f ca="1">IFERROR(__xludf.DUMMYFUNCTION("IF(SUM(COUNTIF(artists!A:A, SPLIT(D62, "",""))) &gt; 0, ""UA"", 0)"),0)</f>
        <v>0</v>
      </c>
      <c r="J62" s="40" t="str">
        <f ca="1">IFERROR(__xludf.DUMMYFUNCTION("IF(SUM(COUNTIF(artists!C:C, SPLIT(D62, "",""))) &gt; 0, ""RU"", 0)"),"RU")</f>
        <v>RU</v>
      </c>
      <c r="K62" s="39">
        <f ca="1">IFERROR(__xludf.DUMMYFUNCTION("IF(SUM(COUNTIF(artists!E:E, SPLIT(D62, "",""))) &gt; 0, ""OTHER"", 0)"),0)</f>
        <v>0</v>
      </c>
    </row>
    <row r="63" spans="1:11" ht="14.25" customHeight="1">
      <c r="A63" s="21">
        <v>62</v>
      </c>
      <c r="B63" s="21">
        <v>55</v>
      </c>
      <c r="C63" s="21" t="s">
        <v>31</v>
      </c>
      <c r="D63" s="21" t="s">
        <v>32</v>
      </c>
      <c r="E63" s="21">
        <v>6</v>
      </c>
      <c r="F63" s="21">
        <v>226024</v>
      </c>
      <c r="G63" s="42">
        <v>-0.10299999999999999</v>
      </c>
      <c r="H63" s="21" t="s">
        <v>1630</v>
      </c>
      <c r="I63" s="39" t="s">
        <v>77</v>
      </c>
      <c r="J63" s="40">
        <f ca="1">IFERROR(__xludf.DUMMYFUNCTION("IF(SUM(COUNTIF(artists!C:C, SPLIT(D63, "",""))) &gt; 0, ""RU"", 0)"),0)</f>
        <v>0</v>
      </c>
      <c r="K63" s="39">
        <f ca="1">IFERROR(__xludf.DUMMYFUNCTION("IF(SUM(COUNTIF(artists!E:E, SPLIT(D63, "",""))) &gt; 0, ""OTHER"", 0)"),0)</f>
        <v>0</v>
      </c>
    </row>
    <row r="64" spans="1:11" ht="14.25" customHeight="1">
      <c r="A64" s="21">
        <v>63</v>
      </c>
      <c r="B64" s="21">
        <v>50</v>
      </c>
      <c r="C64" s="21" t="s">
        <v>597</v>
      </c>
      <c r="D64" s="21" t="s">
        <v>598</v>
      </c>
      <c r="E64" s="21">
        <v>6</v>
      </c>
      <c r="F64" s="21">
        <v>224567</v>
      </c>
      <c r="G64" s="42">
        <v>-0.13800000000000001</v>
      </c>
      <c r="H64" s="21" t="s">
        <v>600</v>
      </c>
      <c r="I64" s="39" t="str">
        <f ca="1">IFERROR(__xludf.DUMMYFUNCTION("IF(SUM(COUNTIF(artists!A:A, SPLIT(D64, "",""))) &gt; 0, ""UA"", 0)"),"UA")</f>
        <v>UA</v>
      </c>
      <c r="J64" s="40">
        <f ca="1">IFERROR(__xludf.DUMMYFUNCTION("IF(SUM(COUNTIF(artists!C:C, SPLIT(D64, "",""))) &gt; 0, ""RU"", 0)"),0)</f>
        <v>0</v>
      </c>
      <c r="K64" s="39">
        <f ca="1">IFERROR(__xludf.DUMMYFUNCTION("IF(SUM(COUNTIF(artists!E:E, SPLIT(D64, "",""))) &gt; 0, ""OTHER"", 0)"),0)</f>
        <v>0</v>
      </c>
    </row>
    <row r="65" spans="1:11" ht="14.25" customHeight="1">
      <c r="A65" s="21">
        <v>64</v>
      </c>
      <c r="B65" s="21">
        <v>61</v>
      </c>
      <c r="C65" s="21" t="s">
        <v>1477</v>
      </c>
      <c r="D65" s="21" t="s">
        <v>1478</v>
      </c>
      <c r="E65" s="21">
        <v>10</v>
      </c>
      <c r="F65" s="21">
        <v>221945</v>
      </c>
      <c r="G65" s="42">
        <v>-7.9000000000000001E-2</v>
      </c>
      <c r="H65" s="21" t="s">
        <v>1479</v>
      </c>
      <c r="I65" s="39" t="str">
        <f ca="1">IFERROR(__xludf.DUMMYFUNCTION("IF(SUM(COUNTIF(artists!A:A, SPLIT(D65, "",""))) &gt; 0, ""UA"", 0)"),"UA")</f>
        <v>UA</v>
      </c>
      <c r="J65" s="40">
        <f ca="1">IFERROR(__xludf.DUMMYFUNCTION("IF(SUM(COUNTIF(artists!C:C, SPLIT(D65, "",""))) &gt; 0, ""RU"", 0)"),0)</f>
        <v>0</v>
      </c>
      <c r="K65" s="39">
        <f ca="1">IFERROR(__xludf.DUMMYFUNCTION("IF(SUM(COUNTIF(artists!E:E, SPLIT(D65, "",""))) &gt; 0, ""OTHER"", 0)"),0)</f>
        <v>0</v>
      </c>
    </row>
    <row r="66" spans="1:11" ht="14.25" customHeight="1">
      <c r="A66" s="21">
        <v>65</v>
      </c>
      <c r="B66" s="21">
        <v>68</v>
      </c>
      <c r="C66" s="21" t="s">
        <v>1614</v>
      </c>
      <c r="D66" s="21" t="s">
        <v>1027</v>
      </c>
      <c r="E66" s="21">
        <v>8</v>
      </c>
      <c r="F66" s="21">
        <v>217444</v>
      </c>
      <c r="G66" s="42">
        <v>-1.2E-2</v>
      </c>
      <c r="H66" s="21" t="s">
        <v>1615</v>
      </c>
      <c r="I66" s="39" t="str">
        <f ca="1">IFERROR(__xludf.DUMMYFUNCTION("IF(SUM(COUNTIF(artists!A:A, SPLIT(D66, "",""))) &gt; 0, ""UA"", 0)"),"UA")</f>
        <v>UA</v>
      </c>
      <c r="J66" s="40">
        <f ca="1">IFERROR(__xludf.DUMMYFUNCTION("IF(SUM(COUNTIF(artists!C:C, SPLIT(D66, "",""))) &gt; 0, ""RU"", 0)"),0)</f>
        <v>0</v>
      </c>
      <c r="K66" s="39">
        <f ca="1">IFERROR(__xludf.DUMMYFUNCTION("IF(SUM(COUNTIF(artists!E:E, SPLIT(D66, "",""))) &gt; 0, ""OTHER"", 0)"),0)</f>
        <v>0</v>
      </c>
    </row>
    <row r="67" spans="1:11" ht="14.25" customHeight="1">
      <c r="A67" s="21">
        <v>66</v>
      </c>
      <c r="C67" s="21" t="s">
        <v>1732</v>
      </c>
      <c r="D67" s="21" t="s">
        <v>1733</v>
      </c>
      <c r="E67" s="21">
        <v>1</v>
      </c>
      <c r="F67" s="21">
        <v>206451</v>
      </c>
      <c r="H67" s="21" t="s">
        <v>1734</v>
      </c>
      <c r="I67" s="39" t="str">
        <f ca="1">IFERROR(__xludf.DUMMYFUNCTION("IF(SUM(COUNTIF(artists!A:A, SPLIT(D67, "",""))) &gt; 0, ""UA"", 0)"),"UA")</f>
        <v>UA</v>
      </c>
      <c r="J67" s="40">
        <f ca="1">IFERROR(__xludf.DUMMYFUNCTION("IF(SUM(COUNTIF(artists!C:C, SPLIT(D67, "",""))) &gt; 0, ""RU"", 0)"),0)</f>
        <v>0</v>
      </c>
      <c r="K67" s="39">
        <f ca="1">IFERROR(__xludf.DUMMYFUNCTION("IF(SUM(COUNTIF(artists!E:E, SPLIT(D67, "",""))) &gt; 0, ""OTHER"", 0)"),0)</f>
        <v>0</v>
      </c>
    </row>
    <row r="68" spans="1:11" ht="14.25" customHeight="1">
      <c r="A68" s="21">
        <v>67</v>
      </c>
      <c r="C68" s="21" t="s">
        <v>1735</v>
      </c>
      <c r="D68" s="21" t="s">
        <v>1042</v>
      </c>
      <c r="E68" s="21">
        <v>1</v>
      </c>
      <c r="F68" s="21">
        <v>202114</v>
      </c>
      <c r="H68" s="21" t="s">
        <v>1736</v>
      </c>
      <c r="I68" s="39">
        <f ca="1">IFERROR(__xludf.DUMMYFUNCTION("IF(SUM(COUNTIF(artists!A:A, SPLIT(D68, "",""))) &gt; 0, ""UA"", 0)"),0)</f>
        <v>0</v>
      </c>
      <c r="J68" s="40" t="str">
        <f ca="1">IFERROR(__xludf.DUMMYFUNCTION("IF(SUM(COUNTIF(artists!C:C, SPLIT(D68, "",""))) &gt; 0, ""RU"", 0)"),"RU")</f>
        <v>RU</v>
      </c>
      <c r="K68" s="39">
        <f ca="1">IFERROR(__xludf.DUMMYFUNCTION("IF(SUM(COUNTIF(artists!E:E, SPLIT(D68, "",""))) &gt; 0, ""OTHER"", 0)"),0)</f>
        <v>0</v>
      </c>
    </row>
    <row r="69" spans="1:11" ht="14.25" customHeight="1">
      <c r="A69" s="21">
        <v>68</v>
      </c>
      <c r="B69" s="21">
        <v>74</v>
      </c>
      <c r="C69" s="21" t="s">
        <v>1690</v>
      </c>
      <c r="D69" s="21" t="s">
        <v>259</v>
      </c>
      <c r="E69" s="21">
        <v>6</v>
      </c>
      <c r="F69" s="21">
        <v>198379</v>
      </c>
      <c r="G69" s="42">
        <v>8.0000000000000002E-3</v>
      </c>
      <c r="H69" s="21" t="s">
        <v>1691</v>
      </c>
      <c r="I69" s="39" t="str">
        <f ca="1">IFERROR(__xludf.DUMMYFUNCTION("IF(SUM(COUNTIF(artists!A:A, SPLIT(D69, "",""))) &gt; 0, ""UA"", 0)"),"UA")</f>
        <v>UA</v>
      </c>
      <c r="J69" s="40">
        <f ca="1">IFERROR(__xludf.DUMMYFUNCTION("IF(SUM(COUNTIF(artists!C:C, SPLIT(D69, "",""))) &gt; 0, ""RU"", 0)"),0)</f>
        <v>0</v>
      </c>
      <c r="K69" s="39">
        <f ca="1">IFERROR(__xludf.DUMMYFUNCTION("IF(SUM(COUNTIF(artists!E:E, SPLIT(D69, "",""))) &gt; 0, ""OTHER"", 0)"),0)</f>
        <v>0</v>
      </c>
    </row>
    <row r="70" spans="1:11" ht="14.25" customHeight="1">
      <c r="A70" s="21">
        <v>69</v>
      </c>
      <c r="B70" s="21">
        <v>70</v>
      </c>
      <c r="C70" s="21" t="s">
        <v>748</v>
      </c>
      <c r="D70" s="21" t="s">
        <v>586</v>
      </c>
      <c r="E70" s="21">
        <v>10</v>
      </c>
      <c r="F70" s="21">
        <v>195203</v>
      </c>
      <c r="G70" s="43">
        <v>-0.06</v>
      </c>
      <c r="H70" s="21" t="s">
        <v>749</v>
      </c>
      <c r="I70" s="39" t="str">
        <f ca="1">IFERROR(__xludf.DUMMYFUNCTION("IF(SUM(COUNTIF(artists!A:A, SPLIT(D70, "",""))) &gt; 0, ""UA"", 0)"),"UA")</f>
        <v>UA</v>
      </c>
      <c r="J70" s="40">
        <f ca="1">IFERROR(__xludf.DUMMYFUNCTION("IF(SUM(COUNTIF(artists!C:C, SPLIT(D70, "",""))) &gt; 0, ""RU"", 0)"),0)</f>
        <v>0</v>
      </c>
      <c r="K70" s="39">
        <f ca="1">IFERROR(__xludf.DUMMYFUNCTION("IF(SUM(COUNTIF(artists!E:E, SPLIT(D70, "",""))) &gt; 0, ""OTHER"", 0)"),0)</f>
        <v>0</v>
      </c>
    </row>
    <row r="71" spans="1:11" ht="14.25" customHeight="1">
      <c r="A71" s="21">
        <v>70</v>
      </c>
      <c r="B71" s="21">
        <v>69</v>
      </c>
      <c r="C71" s="21" t="s">
        <v>1369</v>
      </c>
      <c r="D71" s="21" t="s">
        <v>1370</v>
      </c>
      <c r="E71" s="21">
        <v>11</v>
      </c>
      <c r="F71" s="21">
        <v>190936</v>
      </c>
      <c r="G71" s="42">
        <v>-8.3000000000000004E-2</v>
      </c>
      <c r="H71" s="21" t="s">
        <v>1371</v>
      </c>
      <c r="I71" s="39" t="str">
        <f ca="1">IFERROR(__xludf.DUMMYFUNCTION("IF(SUM(COUNTIF(artists!A:A, SPLIT(D71, "",""))) &gt; 0, ""UA"", 0)"),"UA")</f>
        <v>UA</v>
      </c>
      <c r="J71" s="40">
        <f ca="1">IFERROR(__xludf.DUMMYFUNCTION("IF(SUM(COUNTIF(artists!C:C, SPLIT(D71, "",""))) &gt; 0, ""RU"", 0)"),0)</f>
        <v>0</v>
      </c>
      <c r="K71" s="39">
        <f ca="1">IFERROR(__xludf.DUMMYFUNCTION("IF(SUM(COUNTIF(artists!E:E, SPLIT(D71, "",""))) &gt; 0, ""OTHER"", 0)"),0)</f>
        <v>0</v>
      </c>
    </row>
    <row r="72" spans="1:11" ht="14.25" customHeight="1">
      <c r="A72" s="21">
        <v>71</v>
      </c>
      <c r="B72" s="21">
        <v>59</v>
      </c>
      <c r="C72" s="21" t="s">
        <v>1737</v>
      </c>
      <c r="D72" s="21" t="s">
        <v>1042</v>
      </c>
      <c r="E72" s="21">
        <v>4</v>
      </c>
      <c r="F72" s="21">
        <v>187936</v>
      </c>
      <c r="G72" s="42">
        <v>-0.22500000000000001</v>
      </c>
      <c r="H72" s="21" t="s">
        <v>1738</v>
      </c>
      <c r="I72" s="39">
        <f ca="1">IFERROR(__xludf.DUMMYFUNCTION("IF(SUM(COUNTIF(artists!A:A, SPLIT(D72, "",""))) &gt; 0, ""UA"", 0)"),0)</f>
        <v>0</v>
      </c>
      <c r="J72" s="40" t="str">
        <f ca="1">IFERROR(__xludf.DUMMYFUNCTION("IF(SUM(COUNTIF(artists!C:C, SPLIT(D72, "",""))) &gt; 0, ""RU"", 0)"),"RU")</f>
        <v>RU</v>
      </c>
      <c r="K72" s="39">
        <f ca="1">IFERROR(__xludf.DUMMYFUNCTION("IF(SUM(COUNTIF(artists!E:E, SPLIT(D72, "",""))) &gt; 0, ""OTHER"", 0)"),0)</f>
        <v>0</v>
      </c>
    </row>
    <row r="73" spans="1:11" ht="14.25" customHeight="1">
      <c r="A73" s="21">
        <v>72</v>
      </c>
      <c r="C73" s="21" t="s">
        <v>355</v>
      </c>
      <c r="D73" s="21" t="s">
        <v>356</v>
      </c>
      <c r="E73" s="21">
        <v>7</v>
      </c>
      <c r="F73" s="21">
        <v>186346</v>
      </c>
      <c r="H73" s="21" t="s">
        <v>357</v>
      </c>
      <c r="I73" s="39">
        <f ca="1">IFERROR(__xludf.DUMMYFUNCTION("IF(SUM(COUNTIF(artists!A:A, SPLIT(D73, "",""))) &gt; 0, ""UA"", 0)"),0)</f>
        <v>0</v>
      </c>
      <c r="J73" s="40">
        <f ca="1">IFERROR(__xludf.DUMMYFUNCTION("IF(SUM(COUNTIF(artists!C:C, SPLIT(D73, "",""))) &gt; 0, ""RU"", 0)"),0)</f>
        <v>0</v>
      </c>
      <c r="K73" s="39" t="str">
        <f ca="1">IFERROR(__xludf.DUMMYFUNCTION("IF(SUM(COUNTIF(artists!E:E, SPLIT(D73, "",""))) &gt; 0, ""OTHER"", 0)"),"OTHER")</f>
        <v>OTHER</v>
      </c>
    </row>
    <row r="74" spans="1:11" ht="14.25" customHeight="1">
      <c r="A74" s="21">
        <v>73</v>
      </c>
      <c r="B74" s="21">
        <v>77</v>
      </c>
      <c r="C74" s="21" t="s">
        <v>1588</v>
      </c>
      <c r="D74" s="21" t="s">
        <v>776</v>
      </c>
      <c r="E74" s="21">
        <v>14</v>
      </c>
      <c r="F74" s="21">
        <v>186164</v>
      </c>
      <c r="G74" s="42">
        <v>-1.7999999999999999E-2</v>
      </c>
      <c r="H74" s="21" t="s">
        <v>1589</v>
      </c>
      <c r="I74" s="39" t="str">
        <f ca="1">IFERROR(__xludf.DUMMYFUNCTION("IF(SUM(COUNTIF(artists!A:A, SPLIT(D74, "",""))) &gt; 0, ""UA"", 0)"),"UA")</f>
        <v>UA</v>
      </c>
      <c r="J74" s="40">
        <f ca="1">IFERROR(__xludf.DUMMYFUNCTION("IF(SUM(COUNTIF(artists!C:C, SPLIT(D74, "",""))) &gt; 0, ""RU"", 0)"),0)</f>
        <v>0</v>
      </c>
      <c r="K74" s="39">
        <f ca="1">IFERROR(__xludf.DUMMYFUNCTION("IF(SUM(COUNTIF(artists!E:E, SPLIT(D74, "",""))) &gt; 0, ""OTHER"", 0)"),0)</f>
        <v>0</v>
      </c>
    </row>
    <row r="75" spans="1:11" ht="14.25" customHeight="1">
      <c r="A75" s="21">
        <v>74</v>
      </c>
      <c r="B75" s="21">
        <v>92</v>
      </c>
      <c r="C75" s="21" t="s">
        <v>178</v>
      </c>
      <c r="D75" s="21" t="s">
        <v>179</v>
      </c>
      <c r="E75" s="21">
        <v>5</v>
      </c>
      <c r="F75" s="21">
        <v>179211</v>
      </c>
      <c r="G75" s="42">
        <v>0.126</v>
      </c>
      <c r="H75" s="21" t="s">
        <v>181</v>
      </c>
      <c r="I75" s="39" t="str">
        <f ca="1">IFERROR(__xludf.DUMMYFUNCTION("IF(SUM(COUNTIF(artists!A:A, SPLIT(D75, "",""))) &gt; 0, ""UA"", 0)"),"UA")</f>
        <v>UA</v>
      </c>
      <c r="J75" s="40">
        <f ca="1">IFERROR(__xludf.DUMMYFUNCTION("IF(SUM(COUNTIF(artists!C:C, SPLIT(D75, "",""))) &gt; 0, ""RU"", 0)"),0)</f>
        <v>0</v>
      </c>
      <c r="K75" s="39">
        <f ca="1">IFERROR(__xludf.DUMMYFUNCTION("IF(SUM(COUNTIF(artists!E:E, SPLIT(D75, "",""))) &gt; 0, ""OTHER"", 0)"),0)</f>
        <v>0</v>
      </c>
    </row>
    <row r="76" spans="1:11" ht="14.25" customHeight="1">
      <c r="A76" s="21">
        <v>75</v>
      </c>
      <c r="B76" s="21">
        <v>89</v>
      </c>
      <c r="C76" s="21" t="s">
        <v>489</v>
      </c>
      <c r="D76" s="21" t="s">
        <v>490</v>
      </c>
      <c r="E76" s="21">
        <v>9</v>
      </c>
      <c r="F76" s="21">
        <v>177255</v>
      </c>
      <c r="G76" s="42">
        <v>8.2000000000000003E-2</v>
      </c>
      <c r="H76" s="21" t="s">
        <v>491</v>
      </c>
      <c r="I76" s="39" t="str">
        <f ca="1">IFERROR(__xludf.DUMMYFUNCTION("IF(SUM(COUNTIF(artists!A:A, SPLIT(D76, "",""))) &gt; 0, ""UA"", 0)"),"UA")</f>
        <v>UA</v>
      </c>
      <c r="J76" s="40">
        <f ca="1">IFERROR(__xludf.DUMMYFUNCTION("IF(SUM(COUNTIF(artists!C:C, SPLIT(D76, "",""))) &gt; 0, ""RU"", 0)"),0)</f>
        <v>0</v>
      </c>
      <c r="K76" s="39">
        <f ca="1">IFERROR(__xludf.DUMMYFUNCTION("IF(SUM(COUNTIF(artists!E:E, SPLIT(D76, "",""))) &gt; 0, ""OTHER"", 0)"),0)</f>
        <v>0</v>
      </c>
    </row>
    <row r="77" spans="1:11" ht="14.25" customHeight="1">
      <c r="A77" s="21">
        <v>76</v>
      </c>
      <c r="B77" s="21">
        <v>75</v>
      </c>
      <c r="C77" s="21" t="s">
        <v>1546</v>
      </c>
      <c r="D77" s="21" t="s">
        <v>1429</v>
      </c>
      <c r="E77" s="21">
        <v>7</v>
      </c>
      <c r="F77" s="21">
        <v>175992</v>
      </c>
      <c r="G77" s="42">
        <v>-9.2999999999999999E-2</v>
      </c>
      <c r="H77" s="21" t="s">
        <v>1547</v>
      </c>
      <c r="I77" s="39" t="str">
        <f ca="1">IFERROR(__xludf.DUMMYFUNCTION("IF(SUM(COUNTIF(artists!A:A, SPLIT(D77, "",""))) &gt; 0, ""UA"", 0)"),"UA")</f>
        <v>UA</v>
      </c>
      <c r="J77" s="40">
        <f ca="1">IFERROR(__xludf.DUMMYFUNCTION("IF(SUM(COUNTIF(artists!C:C, SPLIT(D77, "",""))) &gt; 0, ""RU"", 0)"),0)</f>
        <v>0</v>
      </c>
      <c r="K77" s="39">
        <f ca="1">IFERROR(__xludf.DUMMYFUNCTION("IF(SUM(COUNTIF(artists!E:E, SPLIT(D77, "",""))) &gt; 0, ""OTHER"", 0)"),0)</f>
        <v>0</v>
      </c>
    </row>
    <row r="78" spans="1:11" ht="14.25" customHeight="1">
      <c r="A78" s="21">
        <v>77</v>
      </c>
      <c r="C78" s="21" t="s">
        <v>1648</v>
      </c>
      <c r="D78" s="21" t="s">
        <v>1649</v>
      </c>
      <c r="E78" s="21">
        <v>1</v>
      </c>
      <c r="F78" s="21">
        <v>175591</v>
      </c>
      <c r="H78" s="21" t="s">
        <v>1650</v>
      </c>
      <c r="I78" s="39">
        <f ca="1">IFERROR(__xludf.DUMMYFUNCTION("IF(SUM(COUNTIF(artists!A:A, SPLIT(D78, "",""))) &gt; 0, ""UA"", 0)"),0)</f>
        <v>0</v>
      </c>
      <c r="J78" s="40" t="str">
        <f ca="1">IFERROR(__xludf.DUMMYFUNCTION("IF(SUM(COUNTIF(artists!C:C, SPLIT(D78, "",""))) &gt; 0, ""RU"", 0)"),"RU")</f>
        <v>RU</v>
      </c>
      <c r="K78" s="39">
        <f ca="1">IFERROR(__xludf.DUMMYFUNCTION("IF(SUM(COUNTIF(artists!E:E, SPLIT(D78, "",""))) &gt; 0, ""OTHER"", 0)"),0)</f>
        <v>0</v>
      </c>
    </row>
    <row r="79" spans="1:11" ht="14.25" customHeight="1">
      <c r="A79" s="21">
        <v>78</v>
      </c>
      <c r="C79" s="21" t="s">
        <v>1739</v>
      </c>
      <c r="D79" s="21" t="s">
        <v>1740</v>
      </c>
      <c r="E79" s="21">
        <v>1</v>
      </c>
      <c r="F79" s="21">
        <v>174398</v>
      </c>
      <c r="H79" s="21" t="s">
        <v>1741</v>
      </c>
      <c r="I79" s="39" t="str">
        <f ca="1">IFERROR(__xludf.DUMMYFUNCTION("IF(SUM(COUNTIF(artists!A:A, SPLIT(D79, "",""))) &gt; 0, ""UA"", 0)"),"UA")</f>
        <v>UA</v>
      </c>
      <c r="J79" s="40">
        <f ca="1">IFERROR(__xludf.DUMMYFUNCTION("IF(SUM(COUNTIF(artists!C:C, SPLIT(D79, "",""))) &gt; 0, ""RU"", 0)"),0)</f>
        <v>0</v>
      </c>
      <c r="K79" s="39">
        <f ca="1">IFERROR(__xludf.DUMMYFUNCTION("IF(SUM(COUNTIF(artists!E:E, SPLIT(D79, "",""))) &gt; 0, ""OTHER"", 0)"),0)</f>
        <v>0</v>
      </c>
    </row>
    <row r="80" spans="1:11" ht="14.25" customHeight="1">
      <c r="A80" s="21">
        <v>79</v>
      </c>
      <c r="C80" s="21" t="s">
        <v>1222</v>
      </c>
      <c r="D80" s="21" t="s">
        <v>1223</v>
      </c>
      <c r="E80" s="21">
        <v>21</v>
      </c>
      <c r="F80" s="21">
        <v>172957</v>
      </c>
      <c r="H80" s="21" t="s">
        <v>1224</v>
      </c>
      <c r="I80" s="39">
        <f ca="1">IFERROR(__xludf.DUMMYFUNCTION("IF(SUM(COUNTIF(artists!A:A, SPLIT(D80, "",""))) &gt; 0, ""UA"", 0)"),0)</f>
        <v>0</v>
      </c>
      <c r="J80" s="40" t="str">
        <f ca="1">IFERROR(__xludf.DUMMYFUNCTION("IF(SUM(COUNTIF(artists!C:C, SPLIT(D80, "",""))) &gt; 0, ""RU"", 0)"),"RU")</f>
        <v>RU</v>
      </c>
      <c r="K80" s="39">
        <f ca="1">IFERROR(__xludf.DUMMYFUNCTION("IF(SUM(COUNTIF(artists!E:E, SPLIT(D80, "",""))) &gt; 0, ""OTHER"", 0)"),0)</f>
        <v>0</v>
      </c>
    </row>
    <row r="81" spans="1:11" ht="14.25" customHeight="1">
      <c r="A81" s="21">
        <v>80</v>
      </c>
      <c r="B81" s="21">
        <v>83</v>
      </c>
      <c r="C81" s="21" t="s">
        <v>1726</v>
      </c>
      <c r="D81" s="21" t="s">
        <v>1727</v>
      </c>
      <c r="E81" s="21">
        <v>11</v>
      </c>
      <c r="F81" s="21">
        <v>172145</v>
      </c>
      <c r="G81" s="42">
        <v>-2.9000000000000001E-2</v>
      </c>
      <c r="H81" s="21" t="s">
        <v>1728</v>
      </c>
      <c r="I81" s="39" t="str">
        <f ca="1">IFERROR(__xludf.DUMMYFUNCTION("IF(SUM(COUNTIF(artists!A:A, SPLIT(D81, "",""))) &gt; 0, ""UA"", 0)"),"UA")</f>
        <v>UA</v>
      </c>
      <c r="J81" s="40">
        <f ca="1">IFERROR(__xludf.DUMMYFUNCTION("IF(SUM(COUNTIF(artists!C:C, SPLIT(D81, "",""))) &gt; 0, ""RU"", 0)"),0)</f>
        <v>0</v>
      </c>
      <c r="K81" s="39">
        <f ca="1">IFERROR(__xludf.DUMMYFUNCTION("IF(SUM(COUNTIF(artists!E:E, SPLIT(D81, "",""))) &gt; 0, ""OTHER"", 0)"),0)</f>
        <v>0</v>
      </c>
    </row>
    <row r="82" spans="1:11" ht="14.25" customHeight="1">
      <c r="A82" s="21">
        <v>81</v>
      </c>
      <c r="C82" s="21" t="s">
        <v>1491</v>
      </c>
      <c r="D82" s="21" t="s">
        <v>1492</v>
      </c>
      <c r="E82" s="21">
        <v>1</v>
      </c>
      <c r="F82" s="21">
        <v>169908</v>
      </c>
      <c r="H82" s="21" t="s">
        <v>1493</v>
      </c>
      <c r="I82" s="39" t="str">
        <f ca="1">IFERROR(__xludf.DUMMYFUNCTION("IF(SUM(COUNTIF(artists!A:A, SPLIT(D82, "",""))) &gt; 0, ""UA"", 0)"),"UA")</f>
        <v>UA</v>
      </c>
      <c r="J82" s="40">
        <f ca="1">IFERROR(__xludf.DUMMYFUNCTION("IF(SUM(COUNTIF(artists!C:C, SPLIT(D82, "",""))) &gt; 0, ""RU"", 0)"),0)</f>
        <v>0</v>
      </c>
      <c r="K82" s="39">
        <f ca="1">IFERROR(__xludf.DUMMYFUNCTION("IF(SUM(COUNTIF(artists!E:E, SPLIT(D82, "",""))) &gt; 0, ""OTHER"", 0)"),0)</f>
        <v>0</v>
      </c>
    </row>
    <row r="83" spans="1:11" ht="14.25" customHeight="1">
      <c r="A83" s="21">
        <v>82</v>
      </c>
      <c r="C83" s="21" t="s">
        <v>678</v>
      </c>
      <c r="D83" s="21" t="s">
        <v>89</v>
      </c>
      <c r="E83" s="21">
        <v>2</v>
      </c>
      <c r="F83" s="21">
        <v>169160</v>
      </c>
      <c r="H83" s="21" t="s">
        <v>679</v>
      </c>
      <c r="I83" s="39" t="str">
        <f ca="1">IFERROR(__xludf.DUMMYFUNCTION("IF(SUM(COUNTIF(artists!A:A, SPLIT(D83, "",""))) &gt; 0, ""UA"", 0)"),"UA")</f>
        <v>UA</v>
      </c>
      <c r="J83" s="40">
        <f ca="1">IFERROR(__xludf.DUMMYFUNCTION("IF(SUM(COUNTIF(artists!C:C, SPLIT(D83, "",""))) &gt; 0, ""RU"", 0)"),0)</f>
        <v>0</v>
      </c>
      <c r="K83" s="39">
        <f ca="1">IFERROR(__xludf.DUMMYFUNCTION("IF(SUM(COUNTIF(artists!E:E, SPLIT(D83, "",""))) &gt; 0, ""OTHER"", 0)"),0)</f>
        <v>0</v>
      </c>
    </row>
    <row r="84" spans="1:11" ht="14.25" customHeight="1">
      <c r="A84" s="21">
        <v>83</v>
      </c>
      <c r="B84" s="21">
        <v>76</v>
      </c>
      <c r="C84" s="21" t="s">
        <v>1659</v>
      </c>
      <c r="D84" s="21" t="s">
        <v>1660</v>
      </c>
      <c r="E84" s="21">
        <v>10</v>
      </c>
      <c r="F84" s="21">
        <v>168864</v>
      </c>
      <c r="G84" s="42">
        <v>-0.115</v>
      </c>
      <c r="H84" s="21" t="s">
        <v>1661</v>
      </c>
      <c r="I84" s="39">
        <f ca="1">IFERROR(__xludf.DUMMYFUNCTION("IF(SUM(COUNTIF(artists!A:A, SPLIT(D84, "",""))) &gt; 0, ""UA"", 0)"),0)</f>
        <v>0</v>
      </c>
      <c r="J84" s="40" t="str">
        <f ca="1">IFERROR(__xludf.DUMMYFUNCTION("IF(SUM(COUNTIF(artists!C:C, SPLIT(D84, "",""))) &gt; 0, ""RU"", 0)"),"RU")</f>
        <v>RU</v>
      </c>
      <c r="K84" s="39">
        <f ca="1">IFERROR(__xludf.DUMMYFUNCTION("IF(SUM(COUNTIF(artists!E:E, SPLIT(D84, "",""))) &gt; 0, ""OTHER"", 0)"),0)</f>
        <v>0</v>
      </c>
    </row>
    <row r="85" spans="1:11" ht="14.25" customHeight="1">
      <c r="A85" s="21">
        <v>84</v>
      </c>
      <c r="C85" s="21" t="s">
        <v>1742</v>
      </c>
      <c r="D85" s="21" t="s">
        <v>1743</v>
      </c>
      <c r="E85" s="21">
        <v>1</v>
      </c>
      <c r="F85" s="21">
        <v>167836</v>
      </c>
      <c r="H85" s="21" t="s">
        <v>1744</v>
      </c>
      <c r="I85" s="39" t="str">
        <f ca="1">IFERROR(__xludf.DUMMYFUNCTION("IF(SUM(COUNTIF(artists!A:A, SPLIT(D85, "",""))) &gt; 0, ""UA"", 0)"),"UA")</f>
        <v>UA</v>
      </c>
      <c r="J85" s="40">
        <f ca="1">IFERROR(__xludf.DUMMYFUNCTION("IF(SUM(COUNTIF(artists!C:C, SPLIT(D85, "",""))) &gt; 0, ""RU"", 0)"),0)</f>
        <v>0</v>
      </c>
      <c r="K85" s="39">
        <f ca="1">IFERROR(__xludf.DUMMYFUNCTION("IF(SUM(COUNTIF(artists!E:E, SPLIT(D85, "",""))) &gt; 0, ""OTHER"", 0)"),0)</f>
        <v>0</v>
      </c>
    </row>
    <row r="86" spans="1:11" ht="14.25" customHeight="1">
      <c r="A86" s="21">
        <v>85</v>
      </c>
      <c r="B86" s="21">
        <v>84</v>
      </c>
      <c r="C86" s="21" t="s">
        <v>1745</v>
      </c>
      <c r="D86" s="21" t="s">
        <v>1746</v>
      </c>
      <c r="E86" s="21">
        <v>3</v>
      </c>
      <c r="F86" s="21">
        <v>167048</v>
      </c>
      <c r="G86" s="42">
        <v>-2.8000000000000001E-2</v>
      </c>
      <c r="H86" s="21" t="s">
        <v>1747</v>
      </c>
      <c r="I86" s="39" t="str">
        <f ca="1">IFERROR(__xludf.DUMMYFUNCTION("IF(SUM(COUNTIF(artists!A:A, SPLIT(D86, "",""))) &gt; 0, ""UA"", 0)"),"UA")</f>
        <v>UA</v>
      </c>
      <c r="J86" s="40">
        <f ca="1">IFERROR(__xludf.DUMMYFUNCTION("IF(SUM(COUNTIF(artists!C:C, SPLIT(D86, "",""))) &gt; 0, ""RU"", 0)"),0)</f>
        <v>0</v>
      </c>
      <c r="K86" s="39">
        <f ca="1">IFERROR(__xludf.DUMMYFUNCTION("IF(SUM(COUNTIF(artists!E:E, SPLIT(D86, "",""))) &gt; 0, ""OTHER"", 0)"),0)</f>
        <v>0</v>
      </c>
    </row>
    <row r="87" spans="1:11" ht="14.25" customHeight="1">
      <c r="A87" s="21">
        <v>86</v>
      </c>
      <c r="C87" s="21" t="s">
        <v>1720</v>
      </c>
      <c r="D87" s="21" t="s">
        <v>1721</v>
      </c>
      <c r="E87" s="21">
        <v>1</v>
      </c>
      <c r="F87" s="21">
        <v>166684</v>
      </c>
      <c r="H87" s="21" t="s">
        <v>1722</v>
      </c>
      <c r="I87" s="39" t="str">
        <f ca="1">IFERROR(__xludf.DUMMYFUNCTION("IF(SUM(COUNTIF(artists!A:A, SPLIT(D87, "",""))) &gt; 0, ""UA"", 0)"),"UA")</f>
        <v>UA</v>
      </c>
      <c r="J87" s="40">
        <f ca="1">IFERROR(__xludf.DUMMYFUNCTION("IF(SUM(COUNTIF(artists!C:C, SPLIT(D87, "",""))) &gt; 0, ""RU"", 0)"),0)</f>
        <v>0</v>
      </c>
      <c r="K87" s="39">
        <f ca="1">IFERROR(__xludf.DUMMYFUNCTION("IF(SUM(COUNTIF(artists!E:E, SPLIT(D87, "",""))) &gt; 0, ""OTHER"", 0)"),0)</f>
        <v>0</v>
      </c>
    </row>
    <row r="88" spans="1:11" ht="14.25" customHeight="1">
      <c r="A88" s="21">
        <v>87</v>
      </c>
      <c r="C88" s="21" t="s">
        <v>493</v>
      </c>
      <c r="D88" s="21" t="s">
        <v>179</v>
      </c>
      <c r="E88" s="21">
        <v>1</v>
      </c>
      <c r="F88" s="21">
        <v>165419</v>
      </c>
      <c r="H88" s="21" t="s">
        <v>1748</v>
      </c>
      <c r="I88" s="39" t="str">
        <f ca="1">IFERROR(__xludf.DUMMYFUNCTION("IF(SUM(COUNTIF(artists!A:A, SPLIT(D88, "",""))) &gt; 0, ""UA"", 0)"),"UA")</f>
        <v>UA</v>
      </c>
      <c r="J88" s="40">
        <f ca="1">IFERROR(__xludf.DUMMYFUNCTION("IF(SUM(COUNTIF(artists!C:C, SPLIT(D88, "",""))) &gt; 0, ""RU"", 0)"),0)</f>
        <v>0</v>
      </c>
      <c r="K88" s="39">
        <f ca="1">IFERROR(__xludf.DUMMYFUNCTION("IF(SUM(COUNTIF(artists!E:E, SPLIT(D88, "",""))) &gt; 0, ""OTHER"", 0)"),0)</f>
        <v>0</v>
      </c>
    </row>
    <row r="89" spans="1:11" ht="14.25" customHeight="1">
      <c r="A89" s="21">
        <v>88</v>
      </c>
      <c r="B89" s="21">
        <v>79</v>
      </c>
      <c r="C89" s="21" t="s">
        <v>1698</v>
      </c>
      <c r="D89" s="21" t="s">
        <v>1699</v>
      </c>
      <c r="E89" s="21">
        <v>3</v>
      </c>
      <c r="F89" s="21">
        <v>163332</v>
      </c>
      <c r="G89" s="43">
        <v>-0.11</v>
      </c>
      <c r="H89" s="21" t="s">
        <v>1700</v>
      </c>
      <c r="I89" s="39">
        <f ca="1">IFERROR(__xludf.DUMMYFUNCTION("IF(SUM(COUNTIF(artists!A:A, SPLIT(D89, "",""))) &gt; 0, ""UA"", 0)"),0)</f>
        <v>0</v>
      </c>
      <c r="J89" s="40" t="str">
        <f ca="1">IFERROR(__xludf.DUMMYFUNCTION("IF(SUM(COUNTIF(artists!C:C, SPLIT(D89, "",""))) &gt; 0, ""RU"", 0)"),"RU")</f>
        <v>RU</v>
      </c>
      <c r="K89" s="39">
        <f ca="1">IFERROR(__xludf.DUMMYFUNCTION("IF(SUM(COUNTIF(artists!E:E, SPLIT(D89, "",""))) &gt; 0, ""OTHER"", 0)"),0)</f>
        <v>0</v>
      </c>
    </row>
    <row r="90" spans="1:11" ht="14.25" customHeight="1">
      <c r="A90" s="21">
        <v>89</v>
      </c>
      <c r="B90" s="21">
        <v>100</v>
      </c>
      <c r="C90" s="21" t="s">
        <v>1611</v>
      </c>
      <c r="D90" s="21" t="s">
        <v>1612</v>
      </c>
      <c r="E90" s="21">
        <v>5</v>
      </c>
      <c r="F90" s="21">
        <v>163075</v>
      </c>
      <c r="G90" s="42">
        <v>5.5E-2</v>
      </c>
      <c r="H90" s="21" t="s">
        <v>1613</v>
      </c>
      <c r="I90" s="39" t="str">
        <f ca="1">IFERROR(__xludf.DUMMYFUNCTION("IF(SUM(COUNTIF(artists!A:A, SPLIT(D90, "",""))) &gt; 0, ""UA"", 0)"),"UA")</f>
        <v>UA</v>
      </c>
      <c r="J90" s="40">
        <f ca="1">IFERROR(__xludf.DUMMYFUNCTION("IF(SUM(COUNTIF(artists!C:C, SPLIT(D90, "",""))) &gt; 0, ""RU"", 0)"),0)</f>
        <v>0</v>
      </c>
      <c r="K90" s="39">
        <f ca="1">IFERROR(__xludf.DUMMYFUNCTION("IF(SUM(COUNTIF(artists!E:E, SPLIT(D90, "",""))) &gt; 0, ""OTHER"", 0)"),0)</f>
        <v>0</v>
      </c>
    </row>
    <row r="91" spans="1:11" ht="14.25" customHeight="1">
      <c r="A91" s="21">
        <v>90</v>
      </c>
      <c r="B91" s="21">
        <v>38</v>
      </c>
      <c r="C91" s="21" t="s">
        <v>1749</v>
      </c>
      <c r="D91" s="21" t="s">
        <v>1750</v>
      </c>
      <c r="E91" s="21">
        <v>2</v>
      </c>
      <c r="F91" s="21">
        <v>162998</v>
      </c>
      <c r="G91" s="42">
        <v>-0.46800000000000003</v>
      </c>
      <c r="H91" s="21" t="s">
        <v>1751</v>
      </c>
      <c r="I91" s="39">
        <f ca="1">IFERROR(__xludf.DUMMYFUNCTION("IF(SUM(COUNTIF(artists!A:A, SPLIT(D91, "",""))) &gt; 0, ""UA"", 0)"),0)</f>
        <v>0</v>
      </c>
      <c r="J91" s="40">
        <f ca="1">IFERROR(__xludf.DUMMYFUNCTION("IF(SUM(COUNTIF(artists!C:C, SPLIT(D91, "",""))) &gt; 0, ""RU"", 0)"),0)</f>
        <v>0</v>
      </c>
      <c r="K91" s="39" t="str">
        <f ca="1">IFERROR(__xludf.DUMMYFUNCTION("IF(SUM(COUNTIF(artists!E:E, SPLIT(D91, "",""))) &gt; 0, ""OTHER"", 0)"),"OTHER")</f>
        <v>OTHER</v>
      </c>
    </row>
    <row r="92" spans="1:11" ht="14.25" customHeight="1">
      <c r="A92" s="21">
        <v>91</v>
      </c>
      <c r="B92" s="21">
        <v>18</v>
      </c>
      <c r="C92" s="21" t="s">
        <v>1631</v>
      </c>
      <c r="D92" s="21" t="s">
        <v>1752</v>
      </c>
      <c r="E92" s="21">
        <v>2</v>
      </c>
      <c r="F92" s="21">
        <v>162971</v>
      </c>
      <c r="G92" s="42">
        <v>-0.63300000000000001</v>
      </c>
      <c r="H92" s="21" t="s">
        <v>1753</v>
      </c>
      <c r="I92" s="39" t="str">
        <f ca="1">IFERROR(__xludf.DUMMYFUNCTION("IF(SUM(COUNTIF(artists!A:A, SPLIT(D92, "",""))) &gt; 0, ""UA"", 0)"),"UA")</f>
        <v>UA</v>
      </c>
      <c r="J92" s="40">
        <f ca="1">IFERROR(__xludf.DUMMYFUNCTION("IF(SUM(COUNTIF(artists!C:C, SPLIT(D92, "",""))) &gt; 0, ""RU"", 0)"),0)</f>
        <v>0</v>
      </c>
      <c r="K92" s="39">
        <f ca="1">IFERROR(__xludf.DUMMYFUNCTION("IF(SUM(COUNTIF(artists!E:E, SPLIT(D92, "",""))) &gt; 0, ""OTHER"", 0)"),0)</f>
        <v>0</v>
      </c>
    </row>
    <row r="93" spans="1:11" ht="14.25" customHeight="1">
      <c r="A93" s="21">
        <v>92</v>
      </c>
      <c r="B93" s="21">
        <v>20</v>
      </c>
      <c r="C93" s="21" t="s">
        <v>1754</v>
      </c>
      <c r="D93" s="21" t="s">
        <v>310</v>
      </c>
      <c r="E93" s="21">
        <v>2</v>
      </c>
      <c r="F93" s="21">
        <v>160362</v>
      </c>
      <c r="G93" s="42">
        <v>-0.61599999999999999</v>
      </c>
      <c r="H93" s="21" t="s">
        <v>1755</v>
      </c>
      <c r="I93" s="39">
        <f ca="1">IFERROR(__xludf.DUMMYFUNCTION("IF(SUM(COUNTIF(artists!A:A, SPLIT(D93, "",""))) &gt; 0, ""UA"", 0)"),0)</f>
        <v>0</v>
      </c>
      <c r="J93" s="40">
        <f ca="1">IFERROR(__xludf.DUMMYFUNCTION("IF(SUM(COUNTIF(artists!C:C, SPLIT(D93, "",""))) &gt; 0, ""RU"", 0)"),0)</f>
        <v>0</v>
      </c>
      <c r="K93" s="39" t="str">
        <f ca="1">IFERROR(__xludf.DUMMYFUNCTION("IF(SUM(COUNTIF(artists!E:E, SPLIT(D93, "",""))) &gt; 0, ""OTHER"", 0)"),"OTHER")</f>
        <v>OTHER</v>
      </c>
    </row>
    <row r="94" spans="1:11" ht="14.25" customHeight="1">
      <c r="A94" s="21">
        <v>93</v>
      </c>
      <c r="B94" s="21">
        <v>86</v>
      </c>
      <c r="C94" s="21" t="s">
        <v>1631</v>
      </c>
      <c r="D94" s="21" t="s">
        <v>409</v>
      </c>
      <c r="E94" s="21">
        <v>11</v>
      </c>
      <c r="F94" s="21">
        <v>160277</v>
      </c>
      <c r="G94" s="42">
        <v>-3.2000000000000001E-2</v>
      </c>
      <c r="H94" s="21" t="s">
        <v>1632</v>
      </c>
      <c r="I94" s="39" t="str">
        <f ca="1">IFERROR(__xludf.DUMMYFUNCTION("IF(SUM(COUNTIF(artists!A:A, SPLIT(D94, "",""))) &gt; 0, ""UA"", 0)"),"UA")</f>
        <v>UA</v>
      </c>
      <c r="J94" s="40">
        <f ca="1">IFERROR(__xludf.DUMMYFUNCTION("IF(SUM(COUNTIF(artists!C:C, SPLIT(D94, "",""))) &gt; 0, ""RU"", 0)"),0)</f>
        <v>0</v>
      </c>
      <c r="K94" s="39">
        <f ca="1">IFERROR(__xludf.DUMMYFUNCTION("IF(SUM(COUNTIF(artists!E:E, SPLIT(D94, "",""))) &gt; 0, ""OTHER"", 0)"),0)</f>
        <v>0</v>
      </c>
    </row>
    <row r="95" spans="1:11" ht="14.25" customHeight="1">
      <c r="A95" s="21">
        <v>94</v>
      </c>
      <c r="B95" s="21">
        <v>85</v>
      </c>
      <c r="C95" s="21" t="s">
        <v>636</v>
      </c>
      <c r="D95" s="21" t="s">
        <v>637</v>
      </c>
      <c r="E95" s="21">
        <v>2</v>
      </c>
      <c r="F95" s="21">
        <v>159662</v>
      </c>
      <c r="G95" s="42">
        <v>-5.6000000000000001E-2</v>
      </c>
      <c r="H95" s="21" t="s">
        <v>638</v>
      </c>
      <c r="I95" s="39">
        <f ca="1">IFERROR(__xludf.DUMMYFUNCTION("IF(SUM(COUNTIF(artists!A:A, SPLIT(D95, "",""))) &gt; 0, ""UA"", 0)"),0)</f>
        <v>0</v>
      </c>
      <c r="J95" s="40">
        <f ca="1">IFERROR(__xludf.DUMMYFUNCTION("IF(SUM(COUNTIF(artists!C:C, SPLIT(D95, "",""))) &gt; 0, ""RU"", 0)"),0)</f>
        <v>0</v>
      </c>
      <c r="K95" s="39" t="str">
        <f ca="1">IFERROR(__xludf.DUMMYFUNCTION("IF(SUM(COUNTIF(artists!E:E, SPLIT(D95, "",""))) &gt; 0, ""OTHER"", 0)"),"OTHER")</f>
        <v>OTHER</v>
      </c>
    </row>
    <row r="96" spans="1:11" ht="14.25" customHeight="1">
      <c r="A96" s="21">
        <v>95</v>
      </c>
      <c r="B96" s="21">
        <v>99</v>
      </c>
      <c r="C96" s="21" t="s">
        <v>1601</v>
      </c>
      <c r="D96" s="21" t="s">
        <v>1602</v>
      </c>
      <c r="E96" s="21">
        <v>14</v>
      </c>
      <c r="F96" s="21">
        <v>159646</v>
      </c>
      <c r="G96" s="42">
        <v>2.8000000000000001E-2</v>
      </c>
      <c r="H96" s="21" t="s">
        <v>1603</v>
      </c>
      <c r="I96" s="39">
        <f ca="1">IFERROR(__xludf.DUMMYFUNCTION("IF(SUM(COUNTIF(artists!A:A, SPLIT(D96, "",""))) &gt; 0, ""UA"", 0)"),0)</f>
        <v>0</v>
      </c>
      <c r="J96" s="40" t="str">
        <f ca="1">IFERROR(__xludf.DUMMYFUNCTION("IF(SUM(COUNTIF(artists!C:C, SPLIT(D96, "",""))) &gt; 0, ""RU"", 0)"),"RU")</f>
        <v>RU</v>
      </c>
      <c r="K96" s="39">
        <f ca="1">IFERROR(__xludf.DUMMYFUNCTION("IF(SUM(COUNTIF(artists!E:E, SPLIT(D96, "",""))) &gt; 0, ""OTHER"", 0)"),0)</f>
        <v>0</v>
      </c>
    </row>
    <row r="97" spans="1:11" ht="14.25" customHeight="1">
      <c r="A97" s="21">
        <v>96</v>
      </c>
      <c r="B97" s="21">
        <v>93</v>
      </c>
      <c r="C97" s="21" t="s">
        <v>1622</v>
      </c>
      <c r="D97" s="21" t="s">
        <v>137</v>
      </c>
      <c r="E97" s="21">
        <v>15</v>
      </c>
      <c r="F97" s="21">
        <v>158231</v>
      </c>
      <c r="G97" s="42">
        <v>-6.0000000000000001E-3</v>
      </c>
      <c r="H97" s="21" t="s">
        <v>1623</v>
      </c>
      <c r="I97" s="39" t="str">
        <f ca="1">IFERROR(__xludf.DUMMYFUNCTION("IF(SUM(COUNTIF(artists!A:A, SPLIT(D97, "",""))) &gt; 0, ""UA"", 0)"),"UA")</f>
        <v>UA</v>
      </c>
      <c r="J97" s="40">
        <f ca="1">IFERROR(__xludf.DUMMYFUNCTION("IF(SUM(COUNTIF(artists!C:C, SPLIT(D97, "",""))) &gt; 0, ""RU"", 0)"),0)</f>
        <v>0</v>
      </c>
      <c r="K97" s="39">
        <f ca="1">IFERROR(__xludf.DUMMYFUNCTION("IF(SUM(COUNTIF(artists!E:E, SPLIT(D97, "",""))) &gt; 0, ""OTHER"", 0)"),0)</f>
        <v>0</v>
      </c>
    </row>
    <row r="98" spans="1:11" ht="14.25" customHeight="1">
      <c r="A98" s="21">
        <v>97</v>
      </c>
      <c r="B98" s="21">
        <v>87</v>
      </c>
      <c r="C98" s="21">
        <v>12</v>
      </c>
      <c r="D98" s="21" t="s">
        <v>1050</v>
      </c>
      <c r="E98" s="21">
        <v>9</v>
      </c>
      <c r="F98" s="21">
        <v>156512</v>
      </c>
      <c r="G98" s="43">
        <v>-0.05</v>
      </c>
      <c r="H98" s="21" t="s">
        <v>1756</v>
      </c>
      <c r="I98" s="39">
        <f ca="1">IFERROR(__xludf.DUMMYFUNCTION("IF(SUM(COUNTIF(artists!A:A, SPLIT(D98, "",""))) &gt; 0, ""UA"", 0)"),0)</f>
        <v>0</v>
      </c>
      <c r="J98" s="40" t="str">
        <f ca="1">IFERROR(__xludf.DUMMYFUNCTION("IF(SUM(COUNTIF(artists!C:C, SPLIT(D98, "",""))) &gt; 0, ""RU"", 0)"),"RU")</f>
        <v>RU</v>
      </c>
      <c r="K98" s="39">
        <f ca="1">IFERROR(__xludf.DUMMYFUNCTION("IF(SUM(COUNTIF(artists!E:E, SPLIT(D98, "",""))) &gt; 0, ""OTHER"", 0)"),0)</f>
        <v>0</v>
      </c>
    </row>
    <row r="99" spans="1:11" ht="14.25" customHeight="1">
      <c r="A99" s="21">
        <v>98</v>
      </c>
      <c r="B99" s="21">
        <v>97</v>
      </c>
      <c r="C99" s="21" t="s">
        <v>1379</v>
      </c>
      <c r="D99" s="21" t="s">
        <v>598</v>
      </c>
      <c r="E99" s="21">
        <v>3</v>
      </c>
      <c r="F99" s="21">
        <v>156208</v>
      </c>
      <c r="G99" s="42">
        <v>-8.9999999999999993E-3</v>
      </c>
      <c r="H99" s="21" t="s">
        <v>1380</v>
      </c>
      <c r="I99" s="39" t="str">
        <f ca="1">IFERROR(__xludf.DUMMYFUNCTION("IF(SUM(COUNTIF(artists!A:A, SPLIT(D99, "",""))) &gt; 0, ""UA"", 0)"),"UA")</f>
        <v>UA</v>
      </c>
      <c r="J99" s="40">
        <f ca="1">IFERROR(__xludf.DUMMYFUNCTION("IF(SUM(COUNTIF(artists!C:C, SPLIT(D99, "",""))) &gt; 0, ""RU"", 0)"),0)</f>
        <v>0</v>
      </c>
      <c r="K99" s="39">
        <f ca="1">IFERROR(__xludf.DUMMYFUNCTION("IF(SUM(COUNTIF(artists!E:E, SPLIT(D99, "",""))) &gt; 0, ""OTHER"", 0)"),0)</f>
        <v>0</v>
      </c>
    </row>
    <row r="100" spans="1:11" ht="14.25" customHeight="1">
      <c r="A100" s="21">
        <v>99</v>
      </c>
      <c r="B100" s="21">
        <v>80</v>
      </c>
      <c r="C100" s="21" t="s">
        <v>1683</v>
      </c>
      <c r="D100" s="21" t="s">
        <v>1757</v>
      </c>
      <c r="E100" s="21">
        <v>4</v>
      </c>
      <c r="F100" s="21">
        <v>155579</v>
      </c>
      <c r="G100" s="42">
        <v>-0.13800000000000001</v>
      </c>
      <c r="H100" s="21" t="s">
        <v>1758</v>
      </c>
      <c r="I100" s="39" t="str">
        <f ca="1">IFERROR(__xludf.DUMMYFUNCTION("IF(SUM(COUNTIF(artists!A:A, SPLIT(D100, "",""))) &gt; 0, ""UA"", 0)"),"UA")</f>
        <v>UA</v>
      </c>
      <c r="J100" s="40">
        <f ca="1">IFERROR(__xludf.DUMMYFUNCTION("IF(SUM(COUNTIF(artists!C:C, SPLIT(D100, "",""))) &gt; 0, ""RU"", 0)"),0)</f>
        <v>0</v>
      </c>
      <c r="K100" s="39">
        <f ca="1">IFERROR(__xludf.DUMMYFUNCTION("IF(SUM(COUNTIF(artists!E:E, SPLIT(D100, "",""))) &gt; 0, ""OTHER"", 0)"),0)</f>
        <v>0</v>
      </c>
    </row>
    <row r="101" spans="1:11" ht="14.25" customHeight="1">
      <c r="A101" s="21">
        <v>100</v>
      </c>
      <c r="B101" s="21">
        <v>81</v>
      </c>
      <c r="C101" s="21" t="s">
        <v>1416</v>
      </c>
      <c r="D101" s="21" t="s">
        <v>137</v>
      </c>
      <c r="E101" s="21">
        <v>6</v>
      </c>
      <c r="F101" s="21">
        <v>155306</v>
      </c>
      <c r="G101" s="42">
        <v>-0.13300000000000001</v>
      </c>
      <c r="H101" s="21" t="s">
        <v>1417</v>
      </c>
      <c r="I101" s="39" t="str">
        <f ca="1">IFERROR(__xludf.DUMMYFUNCTION("IF(SUM(COUNTIF(artists!A:A, SPLIT(D101, "",""))) &gt; 0, ""UA"", 0)"),"UA")</f>
        <v>UA</v>
      </c>
      <c r="J101" s="40">
        <f ca="1">IFERROR(__xludf.DUMMYFUNCTION("IF(SUM(COUNTIF(artists!C:C, SPLIT(D101, "",""))) &gt; 0, ""RU"", 0)"),0)</f>
        <v>0</v>
      </c>
      <c r="K101" s="39">
        <f ca="1">IFERROR(__xludf.DUMMYFUNCTION("IF(SUM(COUNTIF(artists!E:E, SPLIT(D101, "",""))) &gt; 0, ""OTHER"", 0)"),0)</f>
        <v>0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37" priority="1">
      <formula>AND($I2=0, $J2=0, $K2=0)</formula>
    </cfRule>
    <cfRule type="expression" dxfId="36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Аркуш45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4" width="8.6640625" customWidth="1"/>
    <col min="5" max="5" width="8.6640625" hidden="1" customWidth="1"/>
    <col min="6" max="6" width="8.6640625" customWidth="1"/>
    <col min="7" max="7" width="13.10937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B2" s="21">
        <v>1</v>
      </c>
      <c r="C2" s="21" t="s">
        <v>194</v>
      </c>
      <c r="D2" s="21" t="s">
        <v>195</v>
      </c>
      <c r="E2" s="21">
        <v>3</v>
      </c>
      <c r="F2" s="21">
        <v>1693488</v>
      </c>
      <c r="G2" s="42">
        <v>-0.153</v>
      </c>
      <c r="H2" s="21" t="s">
        <v>197</v>
      </c>
      <c r="I2" s="39" t="str">
        <f ca="1">IFERROR(__xludf.DUMMYFUNCTION("IF(SUM(COUNTIF(artists!A:A, SPLIT(D2, "",""))) &gt; 0, ""UA"", 0)"),"UA")</f>
        <v>UA</v>
      </c>
      <c r="J2" s="40">
        <f ca="1">IFERROR(__xludf.DUMMYFUNCTION("IF(SUM(COUNTIF(artists!C:C, SPLIT(D2, "",""))) &gt; 0, ""RU"", 0)"),0)</f>
        <v>0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B3" s="21">
        <v>2</v>
      </c>
      <c r="C3" s="21" t="s">
        <v>1496</v>
      </c>
      <c r="D3" s="21" t="s">
        <v>969</v>
      </c>
      <c r="E3" s="21">
        <v>50</v>
      </c>
      <c r="F3" s="21">
        <v>1591633</v>
      </c>
      <c r="G3" s="42">
        <v>-4.5999999999999999E-2</v>
      </c>
      <c r="H3" s="21" t="s">
        <v>1497</v>
      </c>
      <c r="I3" s="39" t="str">
        <f ca="1">IFERROR(__xludf.DUMMYFUNCTION("IF(SUM(COUNTIF(artists!A:A, SPLIT(D3, "",""))) &gt; 0, ""UA"", 0)"),"UA")</f>
        <v>UA</v>
      </c>
      <c r="J3" s="40">
        <f ca="1">IFERROR(__xludf.DUMMYFUNCTION("IF(SUM(COUNTIF(artists!C:C, SPLIT(D3, "",""))) &gt; 0, ""RU"", 0)"),0)</f>
        <v>0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B4" s="21">
        <v>3</v>
      </c>
      <c r="C4" s="21" t="s">
        <v>1508</v>
      </c>
      <c r="D4" s="21" t="s">
        <v>776</v>
      </c>
      <c r="E4" s="21">
        <v>4</v>
      </c>
      <c r="F4" s="21">
        <v>1306341</v>
      </c>
      <c r="G4" s="42">
        <v>-0.19500000000000001</v>
      </c>
      <c r="H4" s="21" t="s">
        <v>1509</v>
      </c>
      <c r="I4" s="39" t="str">
        <f ca="1">IFERROR(__xludf.DUMMYFUNCTION("IF(SUM(COUNTIF(artists!A:A, SPLIT(D4, "",""))) &gt; 0, ""UA"", 0)"),"UA")</f>
        <v>UA</v>
      </c>
      <c r="J4" s="40">
        <f ca="1">IFERROR(__xludf.DUMMYFUNCTION("IF(SUM(COUNTIF(artists!C:C, SPLIT(D4, "",""))) &gt; 0, ""RU"", 0)"),0)</f>
        <v>0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C5" s="21" t="s">
        <v>1287</v>
      </c>
      <c r="D5" s="21" t="s">
        <v>1288</v>
      </c>
      <c r="E5" s="21">
        <v>1</v>
      </c>
      <c r="F5" s="21">
        <v>1291667</v>
      </c>
      <c r="H5" s="21" t="s">
        <v>1289</v>
      </c>
      <c r="I5" s="39">
        <f ca="1">IFERROR(__xludf.DUMMYFUNCTION("IF(SUM(COUNTIF(artists!A:A, SPLIT(D5, "",""))) &gt; 0, ""UA"", 0)"),0)</f>
        <v>0</v>
      </c>
      <c r="J5" s="40">
        <f ca="1">IFERROR(__xludf.DUMMYFUNCTION("IF(SUM(COUNTIF(artists!C:C, SPLIT(D5, "",""))) &gt; 0, ""RU"", 0)"),0)</f>
        <v>0</v>
      </c>
      <c r="K5" s="39" t="str">
        <f ca="1">IFERROR(__xludf.DUMMYFUNCTION("IF(SUM(COUNTIF(artists!E:E, SPLIT(D5, "",""))) &gt; 0, ""OTHER"", 0)"),"OTHER")</f>
        <v>OTHER</v>
      </c>
    </row>
    <row r="6" spans="1:11" ht="14.25" customHeight="1">
      <c r="A6" s="21">
        <v>5</v>
      </c>
      <c r="B6" s="21">
        <v>5</v>
      </c>
      <c r="C6" s="21" t="s">
        <v>645</v>
      </c>
      <c r="D6" s="21" t="s">
        <v>352</v>
      </c>
      <c r="E6" s="21">
        <v>13</v>
      </c>
      <c r="F6" s="21">
        <v>1064559</v>
      </c>
      <c r="G6" s="42">
        <v>-6.0000000000000001E-3</v>
      </c>
      <c r="H6" s="21" t="s">
        <v>647</v>
      </c>
      <c r="I6" s="39" t="str">
        <f ca="1">IFERROR(__xludf.DUMMYFUNCTION("IF(SUM(COUNTIF(artists!A:A, SPLIT(D6, "",""))) &gt; 0, ""UA"", 0)"),"UA")</f>
        <v>UA</v>
      </c>
      <c r="J6" s="40">
        <f ca="1">IFERROR(__xludf.DUMMYFUNCTION("IF(SUM(COUNTIF(artists!C:C, SPLIT(D6, "",""))) &gt; 0, ""RU"", 0)"),0)</f>
        <v>0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B7" s="21">
        <v>6</v>
      </c>
      <c r="C7" s="21" t="s">
        <v>895</v>
      </c>
      <c r="D7" s="21" t="s">
        <v>896</v>
      </c>
      <c r="E7" s="21">
        <v>12</v>
      </c>
      <c r="F7" s="21">
        <v>974534</v>
      </c>
      <c r="G7" s="42">
        <v>-8.5999999999999993E-2</v>
      </c>
      <c r="H7" s="21" t="s">
        <v>897</v>
      </c>
      <c r="I7" s="39" t="str">
        <f ca="1">IFERROR(__xludf.DUMMYFUNCTION("IF(SUM(COUNTIF(artists!A:A, SPLIT(D7, "",""))) &gt; 0, ""UA"", 0)"),"UA")</f>
        <v>UA</v>
      </c>
      <c r="J7" s="40">
        <f ca="1">IFERROR(__xludf.DUMMYFUNCTION("IF(SUM(COUNTIF(artists!C:C, SPLIT(D7, "",""))) &gt; 0, ""RU"", 0)"),0)</f>
        <v>0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B8" s="21">
        <v>4</v>
      </c>
      <c r="C8" s="21" t="s">
        <v>1668</v>
      </c>
      <c r="D8" s="21" t="s">
        <v>1358</v>
      </c>
      <c r="E8" s="21">
        <v>5</v>
      </c>
      <c r="F8" s="21">
        <v>918007</v>
      </c>
      <c r="G8" s="42">
        <v>-0.28299999999999997</v>
      </c>
      <c r="H8" s="21" t="s">
        <v>1669</v>
      </c>
      <c r="I8" s="39" t="str">
        <f ca="1">IFERROR(__xludf.DUMMYFUNCTION("IF(SUM(COUNTIF(artists!A:A, SPLIT(D8, "",""))) &gt; 0, ""UA"", 0)"),"UA")</f>
        <v>UA</v>
      </c>
      <c r="J8" s="40">
        <f ca="1">IFERROR(__xludf.DUMMYFUNCTION("IF(SUM(COUNTIF(artists!C:C, SPLIT(D8, "",""))) &gt; 0, ""RU"", 0)"),0)</f>
        <v>0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B9" s="21">
        <v>8</v>
      </c>
      <c r="C9" s="21" t="s">
        <v>1332</v>
      </c>
      <c r="D9" s="21" t="s">
        <v>1333</v>
      </c>
      <c r="E9" s="21">
        <v>2</v>
      </c>
      <c r="F9" s="21">
        <v>864176</v>
      </c>
      <c r="G9" s="42">
        <v>9.8000000000000004E-2</v>
      </c>
      <c r="H9" s="21" t="s">
        <v>1334</v>
      </c>
      <c r="I9" s="39" t="str">
        <f ca="1">IFERROR(__xludf.DUMMYFUNCTION("IF(SUM(COUNTIF(artists!A:A, SPLIT(D9, "",""))) &gt; 0, ""UA"", 0)"),"UA")</f>
        <v>UA</v>
      </c>
      <c r="J9" s="40">
        <f ca="1">IFERROR(__xludf.DUMMYFUNCTION("IF(SUM(COUNTIF(artists!C:C, SPLIT(D9, "",""))) &gt; 0, ""RU"", 0)"),0)</f>
        <v>0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C10" s="21" t="s">
        <v>1010</v>
      </c>
      <c r="D10" s="21" t="s">
        <v>1011</v>
      </c>
      <c r="E10" s="21">
        <v>1</v>
      </c>
      <c r="F10" s="21">
        <v>698216</v>
      </c>
      <c r="H10" s="21" t="s">
        <v>1012</v>
      </c>
      <c r="I10" s="39" t="str">
        <f ca="1">IFERROR(__xludf.DUMMYFUNCTION("IF(SUM(COUNTIF(artists!A:A, SPLIT(D10, "",""))) &gt; 0, ""UA"", 0)"),"UA")</f>
        <v>UA</v>
      </c>
      <c r="J10" s="40">
        <f ca="1">IFERROR(__xludf.DUMMYFUNCTION("IF(SUM(COUNTIF(artists!C:C, SPLIT(D10, "",""))) &gt; 0, ""RU"", 0)"),0)</f>
        <v>0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B11" s="21">
        <v>9</v>
      </c>
      <c r="C11" s="21" t="s">
        <v>1383</v>
      </c>
      <c r="D11" s="21" t="s">
        <v>463</v>
      </c>
      <c r="E11" s="21">
        <v>5</v>
      </c>
      <c r="F11" s="21">
        <v>616466</v>
      </c>
      <c r="G11" s="42">
        <v>-9.8000000000000004E-2</v>
      </c>
      <c r="H11" s="21" t="s">
        <v>1384</v>
      </c>
      <c r="I11" s="39" t="str">
        <f ca="1">IFERROR(__xludf.DUMMYFUNCTION("IF(SUM(COUNTIF(artists!A:A, SPLIT(D11, "",""))) &gt; 0, ""UA"", 0)"),"UA")</f>
        <v>UA</v>
      </c>
      <c r="J11" s="40">
        <f ca="1">IFERROR(__xludf.DUMMYFUNCTION("IF(SUM(COUNTIF(artists!C:C, SPLIT(D11, "",""))) &gt; 0, ""RU"", 0)"),0)</f>
        <v>0</v>
      </c>
      <c r="K11" s="39">
        <f ca="1">IFERROR(__xludf.DUMMYFUNCTION("IF(SUM(COUNTIF(artists!E:E, SPLIT(D11, "",""))) &gt; 0, ""OTHER"", 0)"),0)</f>
        <v>0</v>
      </c>
    </row>
    <row r="12" spans="1:11" ht="14.25" customHeight="1">
      <c r="A12" s="21">
        <v>11</v>
      </c>
      <c r="B12" s="21">
        <v>19</v>
      </c>
      <c r="C12" s="21" t="s">
        <v>1182</v>
      </c>
      <c r="D12" s="21" t="s">
        <v>466</v>
      </c>
      <c r="E12" s="21">
        <v>2</v>
      </c>
      <c r="F12" s="21">
        <v>612175</v>
      </c>
      <c r="G12" s="42">
        <v>0.438</v>
      </c>
      <c r="H12" s="21" t="s">
        <v>1183</v>
      </c>
      <c r="I12" s="39" t="str">
        <f ca="1">IFERROR(__xludf.DUMMYFUNCTION("IF(SUM(COUNTIF(artists!A:A, SPLIT(D12, "",""))) &gt; 0, ""UA"", 0)"),"UA")</f>
        <v>UA</v>
      </c>
      <c r="J12" s="40">
        <f ca="1">IFERROR(__xludf.DUMMYFUNCTION("IF(SUM(COUNTIF(artists!C:C, SPLIT(D12, "",""))) &gt; 0, ""RU"", 0)"),0)</f>
        <v>0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B13" s="21">
        <v>12</v>
      </c>
      <c r="C13" s="21" t="s">
        <v>799</v>
      </c>
      <c r="D13" s="21" t="s">
        <v>494</v>
      </c>
      <c r="E13" s="21">
        <v>9</v>
      </c>
      <c r="F13" s="21">
        <v>591419</v>
      </c>
      <c r="G13" s="43">
        <v>-0.03</v>
      </c>
      <c r="H13" s="21" t="s">
        <v>800</v>
      </c>
      <c r="I13" s="39" t="str">
        <f ca="1">IFERROR(__xludf.DUMMYFUNCTION("IF(SUM(COUNTIF(artists!A:A, SPLIT(D13, "",""))) &gt; 0, ""UA"", 0)"),"UA")</f>
        <v>UA</v>
      </c>
      <c r="J13" s="40">
        <f ca="1">IFERROR(__xludf.DUMMYFUNCTION("IF(SUM(COUNTIF(artists!C:C, SPLIT(D13, "",""))) &gt; 0, ""RU"", 0)"),0)</f>
        <v>0</v>
      </c>
      <c r="K13" s="39">
        <f ca="1">IFERROR(__xludf.DUMMYFUNCTION("IF(SUM(COUNTIF(artists!E:E, SPLIT(D13, "",""))) &gt; 0, ""OTHER"", 0)"),0)</f>
        <v>0</v>
      </c>
    </row>
    <row r="14" spans="1:11" ht="14.25" customHeight="1">
      <c r="A14" s="21">
        <v>13</v>
      </c>
      <c r="B14" s="21">
        <v>14</v>
      </c>
      <c r="C14" s="21" t="s">
        <v>1263</v>
      </c>
      <c r="D14" s="21" t="s">
        <v>1264</v>
      </c>
      <c r="E14" s="21">
        <v>26</v>
      </c>
      <c r="F14" s="21">
        <v>554712</v>
      </c>
      <c r="G14" s="42">
        <v>-4.3999999999999997E-2</v>
      </c>
      <c r="H14" s="21" t="s">
        <v>1265</v>
      </c>
      <c r="I14" s="39">
        <f ca="1">IFERROR(__xludf.DUMMYFUNCTION("IF(SUM(COUNTIF(artists!A:A, SPLIT(D14, "",""))) &gt; 0, ""UA"", 0)"),0)</f>
        <v>0</v>
      </c>
      <c r="J14" s="40" t="str">
        <f ca="1">IFERROR(__xludf.DUMMYFUNCTION("IF(SUM(COUNTIF(artists!C:C, SPLIT(D14, "",""))) &gt; 0, ""RU"", 0)"),"RU")</f>
        <v>RU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B15" s="21">
        <v>13</v>
      </c>
      <c r="C15" s="21" t="s">
        <v>909</v>
      </c>
      <c r="D15" s="21" t="s">
        <v>910</v>
      </c>
      <c r="E15" s="21">
        <v>10</v>
      </c>
      <c r="F15" s="21">
        <v>507945</v>
      </c>
      <c r="G15" s="42">
        <v>-0.14599999999999999</v>
      </c>
      <c r="H15" s="21" t="s">
        <v>911</v>
      </c>
      <c r="I15" s="39" t="str">
        <f ca="1">IFERROR(__xludf.DUMMYFUNCTION("IF(SUM(COUNTIF(artists!A:A, SPLIT(D15, "",""))) &gt; 0, ""UA"", 0)"),"UA")</f>
        <v>UA</v>
      </c>
      <c r="J15" s="40">
        <f ca="1">IFERROR(__xludf.DUMMYFUNCTION("IF(SUM(COUNTIF(artists!C:C, SPLIT(D15, "",""))) &gt; 0, ""RU"", 0)"),0)</f>
        <v>0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B16" s="21">
        <v>11</v>
      </c>
      <c r="C16" s="21" t="s">
        <v>1471</v>
      </c>
      <c r="D16" s="21" t="s">
        <v>1472</v>
      </c>
      <c r="E16" s="21">
        <v>9</v>
      </c>
      <c r="F16" s="21">
        <v>500332</v>
      </c>
      <c r="G16" s="42">
        <v>-0.214</v>
      </c>
      <c r="H16" s="21" t="s">
        <v>1473</v>
      </c>
      <c r="I16" s="39" t="str">
        <f ca="1">IFERROR(__xludf.DUMMYFUNCTION("IF(SUM(COUNTIF(artists!A:A, SPLIT(D16, "",""))) &gt; 0, ""UA"", 0)"),"UA")</f>
        <v>UA</v>
      </c>
      <c r="J16" s="40">
        <f ca="1">IFERROR(__xludf.DUMMYFUNCTION("IF(SUM(COUNTIF(artists!C:C, SPLIT(D16, "",""))) &gt; 0, ""RU"", 0)"),0)</f>
        <v>0</v>
      </c>
      <c r="K16" s="39">
        <f ca="1">IFERROR(__xludf.DUMMYFUNCTION("IF(SUM(COUNTIF(artists!E:E, SPLIT(D16, "",""))) &gt; 0, ""OTHER"", 0)"),0)</f>
        <v>0</v>
      </c>
    </row>
    <row r="17" spans="1:11" ht="14.25" customHeight="1">
      <c r="A17" s="21">
        <v>16</v>
      </c>
      <c r="C17" s="21" t="s">
        <v>1284</v>
      </c>
      <c r="D17" s="21" t="s">
        <v>1285</v>
      </c>
      <c r="E17" s="21">
        <v>1</v>
      </c>
      <c r="F17" s="21">
        <v>498391</v>
      </c>
      <c r="H17" s="21" t="s">
        <v>1286</v>
      </c>
      <c r="I17" s="39">
        <f ca="1">IFERROR(__xludf.DUMMYFUNCTION("IF(SUM(COUNTIF(artists!A:A, SPLIT(D17, "",""))) &gt; 0, ""UA"", 0)"),0)</f>
        <v>0</v>
      </c>
      <c r="J17" s="40" t="str">
        <f ca="1">IFERROR(__xludf.DUMMYFUNCTION("IF(SUM(COUNTIF(artists!C:C, SPLIT(D17, "",""))) &gt; 0, ""RU"", 0)"),"RU")</f>
        <v>RU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C18" s="21" t="s">
        <v>1536</v>
      </c>
      <c r="D18" s="21" t="s">
        <v>1537</v>
      </c>
      <c r="E18" s="21">
        <v>1</v>
      </c>
      <c r="F18" s="21">
        <v>470514</v>
      </c>
      <c r="H18" s="21" t="s">
        <v>1538</v>
      </c>
      <c r="I18" s="39" t="str">
        <f ca="1">IFERROR(__xludf.DUMMYFUNCTION("IF(SUM(COUNTIF(artists!A:A, SPLIT(D18, "",""))) &gt; 0, ""UA"", 0)"),"UA")</f>
        <v>UA</v>
      </c>
      <c r="J18" s="40">
        <f ca="1">IFERROR(__xludf.DUMMYFUNCTION("IF(SUM(COUNTIF(artists!C:C, SPLIT(D18, "",""))) &gt; 0, ""RU"", 0)"),0)</f>
        <v>0</v>
      </c>
      <c r="K18" s="39">
        <f ca="1">IFERROR(__xludf.DUMMYFUNCTION("IF(SUM(COUNTIF(artists!E:E, SPLIT(D18, "",""))) &gt; 0, ""OTHER"", 0)"),0)</f>
        <v>0</v>
      </c>
    </row>
    <row r="19" spans="1:11" ht="14.25" customHeight="1">
      <c r="A19" s="21">
        <v>18</v>
      </c>
      <c r="C19" s="21" t="s">
        <v>1631</v>
      </c>
      <c r="D19" s="21" t="s">
        <v>1752</v>
      </c>
      <c r="E19" s="21">
        <v>1</v>
      </c>
      <c r="F19" s="21">
        <v>443922</v>
      </c>
      <c r="H19" s="21" t="s">
        <v>1753</v>
      </c>
      <c r="I19" s="39" t="str">
        <f ca="1">IFERROR(__xludf.DUMMYFUNCTION("IF(SUM(COUNTIF(artists!A:A, SPLIT(D19, "",""))) &gt; 0, ""UA"", 0)"),"UA")</f>
        <v>UA</v>
      </c>
      <c r="J19" s="40">
        <f ca="1">IFERROR(__xludf.DUMMYFUNCTION("IF(SUM(COUNTIF(artists!C:C, SPLIT(D19, "",""))) &gt; 0, ""RU"", 0)"),0)</f>
        <v>0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B20" s="21">
        <v>16</v>
      </c>
      <c r="C20" s="21" t="s">
        <v>1436</v>
      </c>
      <c r="D20" s="21" t="s">
        <v>896</v>
      </c>
      <c r="E20" s="21">
        <v>7</v>
      </c>
      <c r="F20" s="21">
        <v>440911</v>
      </c>
      <c r="G20" s="42">
        <v>-0.14899999999999999</v>
      </c>
      <c r="H20" s="21" t="s">
        <v>1437</v>
      </c>
      <c r="I20" s="39" t="str">
        <f ca="1">IFERROR(__xludf.DUMMYFUNCTION("IF(SUM(COUNTIF(artists!A:A, SPLIT(D20, "",""))) &gt; 0, ""UA"", 0)"),"UA")</f>
        <v>UA</v>
      </c>
      <c r="J20" s="40">
        <f ca="1">IFERROR(__xludf.DUMMYFUNCTION("IF(SUM(COUNTIF(artists!C:C, SPLIT(D20, "",""))) &gt; 0, ""RU"", 0)"),0)</f>
        <v>0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C21" s="21" t="s">
        <v>1754</v>
      </c>
      <c r="D21" s="21" t="s">
        <v>310</v>
      </c>
      <c r="E21" s="21">
        <v>1</v>
      </c>
      <c r="F21" s="21">
        <v>417271</v>
      </c>
      <c r="H21" s="21" t="s">
        <v>1755</v>
      </c>
      <c r="I21" s="39">
        <f ca="1">IFERROR(__xludf.DUMMYFUNCTION("IF(SUM(COUNTIF(artists!A:A, SPLIT(D21, "",""))) &gt; 0, ""UA"", 0)"),0)</f>
        <v>0</v>
      </c>
      <c r="J21" s="40">
        <f ca="1">IFERROR(__xludf.DUMMYFUNCTION("IF(SUM(COUNTIF(artists!C:C, SPLIT(D21, "",""))) &gt; 0, ""RU"", 0)"),0)</f>
        <v>0</v>
      </c>
      <c r="K21" s="39" t="str">
        <f ca="1">IFERROR(__xludf.DUMMYFUNCTION("IF(SUM(COUNTIF(artists!E:E, SPLIT(D21, "",""))) &gt; 0, ""OTHER"", 0)"),"OTHER")</f>
        <v>OTHER</v>
      </c>
    </row>
    <row r="22" spans="1:11" ht="14.25" customHeight="1">
      <c r="A22" s="21">
        <v>21</v>
      </c>
      <c r="B22" s="21">
        <v>15</v>
      </c>
      <c r="C22" s="21" t="s">
        <v>1657</v>
      </c>
      <c r="D22" s="21" t="s">
        <v>837</v>
      </c>
      <c r="E22" s="21">
        <v>4</v>
      </c>
      <c r="F22" s="21">
        <v>412790</v>
      </c>
      <c r="G22" s="42">
        <v>-0.248</v>
      </c>
      <c r="H22" s="21" t="s">
        <v>1658</v>
      </c>
      <c r="I22" s="39" t="str">
        <f ca="1">IFERROR(__xludf.DUMMYFUNCTION("IF(SUM(COUNTIF(artists!A:A, SPLIT(D22, "",""))) &gt; 0, ""UA"", 0)"),"UA")</f>
        <v>UA</v>
      </c>
      <c r="J22" s="40">
        <f ca="1">IFERROR(__xludf.DUMMYFUNCTION("IF(SUM(COUNTIF(artists!C:C, SPLIT(D22, "",""))) &gt; 0, ""RU"", 0)"),0)</f>
        <v>0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B23" s="21">
        <v>18</v>
      </c>
      <c r="C23" s="21" t="s">
        <v>1463</v>
      </c>
      <c r="D23" s="21" t="s">
        <v>1344</v>
      </c>
      <c r="E23" s="21">
        <v>8</v>
      </c>
      <c r="F23" s="21">
        <v>402490</v>
      </c>
      <c r="G23" s="42">
        <v>-0.105</v>
      </c>
      <c r="H23" s="21" t="s">
        <v>1464</v>
      </c>
      <c r="I23" s="39" t="str">
        <f ca="1">IFERROR(__xludf.DUMMYFUNCTION("IF(SUM(COUNTIF(artists!A:A, SPLIT(D23, "",""))) &gt; 0, ""UA"", 0)"),"UA")</f>
        <v>UA</v>
      </c>
      <c r="J23" s="40">
        <f ca="1">IFERROR(__xludf.DUMMYFUNCTION("IF(SUM(COUNTIF(artists!C:C, SPLIT(D23, "",""))) &gt; 0, ""RU"", 0)"),0)</f>
        <v>0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B24" s="21">
        <v>28</v>
      </c>
      <c r="C24" s="21" t="s">
        <v>1290</v>
      </c>
      <c r="D24" s="21" t="s">
        <v>942</v>
      </c>
      <c r="E24" s="21">
        <v>4</v>
      </c>
      <c r="F24" s="21">
        <v>391031</v>
      </c>
      <c r="G24" s="42">
        <v>0.11600000000000001</v>
      </c>
      <c r="H24" s="21" t="s">
        <v>1291</v>
      </c>
      <c r="I24" s="39" t="str">
        <f ca="1">IFERROR(__xludf.DUMMYFUNCTION("IF(SUM(COUNTIF(artists!A:A, SPLIT(D24, "",""))) &gt; 0, ""UA"", 0)"),"UA")</f>
        <v>UA</v>
      </c>
      <c r="J24" s="40">
        <f ca="1">IFERROR(__xludf.DUMMYFUNCTION("IF(SUM(COUNTIF(artists!C:C, SPLIT(D24, "",""))) &gt; 0, ""RU"", 0)"),0)</f>
        <v>0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C25" s="21" t="s">
        <v>1595</v>
      </c>
      <c r="D25" s="21" t="s">
        <v>1596</v>
      </c>
      <c r="E25" s="21">
        <v>1</v>
      </c>
      <c r="F25" s="21">
        <v>386822</v>
      </c>
      <c r="H25" s="21" t="s">
        <v>1597</v>
      </c>
      <c r="I25" s="39" t="str">
        <f ca="1">IFERROR(__xludf.DUMMYFUNCTION("IF(SUM(COUNTIF(artists!A:A, SPLIT(D25, "",""))) &gt; 0, ""UA"", 0)"),"UA")</f>
        <v>UA</v>
      </c>
      <c r="J25" s="40">
        <f ca="1">IFERROR(__xludf.DUMMYFUNCTION("IF(SUM(COUNTIF(artists!C:C, SPLIT(D25, "",""))) &gt; 0, ""RU"", 0)"),0)</f>
        <v>0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B26" s="21">
        <v>21</v>
      </c>
      <c r="C26" s="21" t="s">
        <v>1480</v>
      </c>
      <c r="D26" s="21" t="s">
        <v>1481</v>
      </c>
      <c r="E26" s="21">
        <v>5</v>
      </c>
      <c r="F26" s="21">
        <v>379208</v>
      </c>
      <c r="G26" s="42">
        <v>-1.4999999999999999E-2</v>
      </c>
      <c r="H26" s="21" t="s">
        <v>1482</v>
      </c>
      <c r="I26" s="39" t="str">
        <f ca="1">IFERROR(__xludf.DUMMYFUNCTION("IF(SUM(COUNTIF(artists!A:A, SPLIT(D26, "",""))) &gt; 0, ""UA"", 0)"),"UA")</f>
        <v>UA</v>
      </c>
      <c r="J26" s="40">
        <f ca="1">IFERROR(__xludf.DUMMYFUNCTION("IF(SUM(COUNTIF(artists!C:C, SPLIT(D26, "",""))) &gt; 0, ""RU"", 0)"),0)</f>
        <v>0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B27" s="21">
        <v>22</v>
      </c>
      <c r="C27" s="21" t="s">
        <v>935</v>
      </c>
      <c r="D27" s="21" t="s">
        <v>936</v>
      </c>
      <c r="E27" s="21">
        <v>27</v>
      </c>
      <c r="F27" s="21">
        <v>377792</v>
      </c>
      <c r="G27" s="42">
        <v>-1.0999999999999999E-2</v>
      </c>
      <c r="H27" s="21" t="s">
        <v>937</v>
      </c>
      <c r="I27" s="39">
        <f ca="1">IFERROR(__xludf.DUMMYFUNCTION("IF(SUM(COUNTIF(artists!A:A, SPLIT(D27, "",""))) &gt; 0, ""UA"", 0)"),0)</f>
        <v>0</v>
      </c>
      <c r="J27" s="40" t="str">
        <f ca="1">IFERROR(__xludf.DUMMYFUNCTION("IF(SUM(COUNTIF(artists!C:C, SPLIT(D27, "",""))) &gt; 0, ""RU"", 0)"),"RU")</f>
        <v>RU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C28" s="21" t="s">
        <v>1551</v>
      </c>
      <c r="D28" s="21" t="s">
        <v>1344</v>
      </c>
      <c r="E28" s="21">
        <v>1</v>
      </c>
      <c r="F28" s="21">
        <v>371841</v>
      </c>
      <c r="H28" s="21" t="s">
        <v>1552</v>
      </c>
      <c r="I28" s="39" t="str">
        <f ca="1">IFERROR(__xludf.DUMMYFUNCTION("IF(SUM(COUNTIF(artists!A:A, SPLIT(D28, "",""))) &gt; 0, ""UA"", 0)"),"UA")</f>
        <v>UA</v>
      </c>
      <c r="J28" s="40">
        <f ca="1">IFERROR(__xludf.DUMMYFUNCTION("IF(SUM(COUNTIF(artists!C:C, SPLIT(D28, "",""))) &gt; 0, ""RU"", 0)"),0)</f>
        <v>0</v>
      </c>
      <c r="K28" s="39">
        <f ca="1">IFERROR(__xludf.DUMMYFUNCTION("IF(SUM(COUNTIF(artists!E:E, SPLIT(D28, "",""))) &gt; 0, ""OTHER"", 0)"),0)</f>
        <v>0</v>
      </c>
    </row>
    <row r="29" spans="1:11" ht="14.25" customHeight="1">
      <c r="A29" s="21">
        <v>28</v>
      </c>
      <c r="B29" s="21">
        <v>24</v>
      </c>
      <c r="C29" s="21" t="s">
        <v>1354</v>
      </c>
      <c r="D29" s="21" t="s">
        <v>1355</v>
      </c>
      <c r="E29" s="21">
        <v>30</v>
      </c>
      <c r="F29" s="21">
        <v>366438</v>
      </c>
      <c r="G29" s="43">
        <v>0</v>
      </c>
      <c r="H29" s="21" t="s">
        <v>1356</v>
      </c>
      <c r="I29" s="39" t="str">
        <f ca="1">IFERROR(__xludf.DUMMYFUNCTION("IF(SUM(COUNTIF(artists!A:A, SPLIT(D29, "",""))) &gt; 0, ""UA"", 0)"),"UA")</f>
        <v>UA</v>
      </c>
      <c r="J29" s="40">
        <f ca="1">IFERROR(__xludf.DUMMYFUNCTION("IF(SUM(COUNTIF(artists!C:C, SPLIT(D29, "",""))) &gt; 0, ""RU"", 0)"),0)</f>
        <v>0</v>
      </c>
      <c r="K29" s="39">
        <f ca="1">IFERROR(__xludf.DUMMYFUNCTION("IF(SUM(COUNTIF(artists!E:E, SPLIT(D29, "",""))) &gt; 0, ""OTHER"", 0)"),0)</f>
        <v>0</v>
      </c>
    </row>
    <row r="30" spans="1:11" ht="14.25" customHeight="1">
      <c r="A30" s="21">
        <v>29</v>
      </c>
      <c r="B30" s="21">
        <v>38</v>
      </c>
      <c r="C30" s="21" t="s">
        <v>1431</v>
      </c>
      <c r="D30" s="21" t="s">
        <v>969</v>
      </c>
      <c r="E30" s="21">
        <v>28</v>
      </c>
      <c r="F30" s="21">
        <v>363924</v>
      </c>
      <c r="G30" s="42">
        <v>0.188</v>
      </c>
      <c r="H30" s="21" t="s">
        <v>1432</v>
      </c>
      <c r="I30" s="39" t="str">
        <f ca="1">IFERROR(__xludf.DUMMYFUNCTION("IF(SUM(COUNTIF(artists!A:A, SPLIT(D30, "",""))) &gt; 0, ""UA"", 0)"),"UA")</f>
        <v>UA</v>
      </c>
      <c r="J30" s="40">
        <f ca="1">IFERROR(__xludf.DUMMYFUNCTION("IF(SUM(COUNTIF(artists!C:C, SPLIT(D30, "",""))) &gt; 0, ""RU"", 0)"),0)</f>
        <v>0</v>
      </c>
      <c r="K30" s="39">
        <f ca="1">IFERROR(__xludf.DUMMYFUNCTION("IF(SUM(COUNTIF(artists!E:E, SPLIT(D30, "",""))) &gt; 0, ""OTHER"", 0)"),0)</f>
        <v>0</v>
      </c>
    </row>
    <row r="31" spans="1:11" ht="14.25" customHeight="1">
      <c r="A31" s="21">
        <v>30</v>
      </c>
      <c r="B31" s="21">
        <v>26</v>
      </c>
      <c r="C31" s="21" t="s">
        <v>918</v>
      </c>
      <c r="D31" s="21" t="s">
        <v>108</v>
      </c>
      <c r="E31" s="21">
        <v>36</v>
      </c>
      <c r="F31" s="21">
        <v>353237</v>
      </c>
      <c r="G31" s="42">
        <v>-1.7999999999999999E-2</v>
      </c>
      <c r="H31" s="21" t="s">
        <v>919</v>
      </c>
      <c r="I31" s="39" t="str">
        <f ca="1">IFERROR(__xludf.DUMMYFUNCTION("IF(SUM(COUNTIF(artists!A:A, SPLIT(D31, "",""))) &gt; 0, ""UA"", 0)"),"UA")</f>
        <v>UA</v>
      </c>
      <c r="J31" s="40">
        <f ca="1">IFERROR(__xludf.DUMMYFUNCTION("IF(SUM(COUNTIF(artists!C:C, SPLIT(D31, "",""))) &gt; 0, ""RU"", 0)"),0)</f>
        <v>0</v>
      </c>
      <c r="K31" s="39">
        <f ca="1">IFERROR(__xludf.DUMMYFUNCTION("IF(SUM(COUNTIF(artists!E:E, SPLIT(D31, "",""))) &gt; 0, ""OTHER"", 0)"),0)</f>
        <v>0</v>
      </c>
    </row>
    <row r="32" spans="1:11" ht="14.25" customHeight="1">
      <c r="A32" s="21">
        <v>31</v>
      </c>
      <c r="B32" s="21">
        <v>32</v>
      </c>
      <c r="C32" s="21" t="s">
        <v>968</v>
      </c>
      <c r="D32" s="21" t="s">
        <v>969</v>
      </c>
      <c r="E32" s="21">
        <v>20</v>
      </c>
      <c r="F32" s="21">
        <v>351337</v>
      </c>
      <c r="G32" s="42">
        <v>9.5000000000000001E-2</v>
      </c>
      <c r="H32" s="21" t="s">
        <v>970</v>
      </c>
      <c r="I32" s="39" t="str">
        <f ca="1">IFERROR(__xludf.DUMMYFUNCTION("IF(SUM(COUNTIF(artists!A:A, SPLIT(D32, "",""))) &gt; 0, ""UA"", 0)"),"UA")</f>
        <v>UA</v>
      </c>
      <c r="J32" s="40">
        <f ca="1">IFERROR(__xludf.DUMMYFUNCTION("IF(SUM(COUNTIF(artists!C:C, SPLIT(D32, "",""))) &gt; 0, ""RU"", 0)"),0)</f>
        <v>0</v>
      </c>
      <c r="K32" s="39">
        <f ca="1">IFERROR(__xludf.DUMMYFUNCTION("IF(SUM(COUNTIF(artists!E:E, SPLIT(D32, "",""))) &gt; 0, ""OTHER"", 0)"),0)</f>
        <v>0</v>
      </c>
    </row>
    <row r="33" spans="1:11" ht="14.25" customHeight="1">
      <c r="A33" s="21">
        <v>32</v>
      </c>
      <c r="B33" s="21">
        <v>20</v>
      </c>
      <c r="C33" s="21" t="s">
        <v>1575</v>
      </c>
      <c r="D33" s="21" t="s">
        <v>945</v>
      </c>
      <c r="E33" s="21">
        <v>6</v>
      </c>
      <c r="F33" s="21">
        <v>346439</v>
      </c>
      <c r="G33" s="42">
        <v>-0.14599999999999999</v>
      </c>
      <c r="H33" s="21" t="s">
        <v>1576</v>
      </c>
      <c r="I33" s="39" t="str">
        <f ca="1">IFERROR(__xludf.DUMMYFUNCTION("IF(SUM(COUNTIF(artists!A:A, SPLIT(D33, "",""))) &gt; 0, ""UA"", 0)"),"UA")</f>
        <v>UA</v>
      </c>
      <c r="J33" s="40">
        <f ca="1">IFERROR(__xludf.DUMMYFUNCTION("IF(SUM(COUNTIF(artists!C:C, SPLIT(D33, "",""))) &gt; 0, ""RU"", 0)"),0)</f>
        <v>0</v>
      </c>
      <c r="K33" s="39">
        <f ca="1">IFERROR(__xludf.DUMMYFUNCTION("IF(SUM(COUNTIF(artists!E:E, SPLIT(D33, "",""))) &gt; 0, ""OTHER"", 0)"),0)</f>
        <v>0</v>
      </c>
    </row>
    <row r="34" spans="1:11" ht="14.25" customHeight="1">
      <c r="A34" s="21">
        <v>33</v>
      </c>
      <c r="B34" s="21">
        <v>31</v>
      </c>
      <c r="C34" s="21" t="s">
        <v>1282</v>
      </c>
      <c r="D34" s="21" t="s">
        <v>108</v>
      </c>
      <c r="E34" s="21">
        <v>27</v>
      </c>
      <c r="F34" s="21">
        <v>327866</v>
      </c>
      <c r="G34" s="42">
        <v>6.0000000000000001E-3</v>
      </c>
      <c r="H34" s="21" t="s">
        <v>1283</v>
      </c>
      <c r="I34" s="39" t="str">
        <f ca="1">IFERROR(__xludf.DUMMYFUNCTION("IF(SUM(COUNTIF(artists!A:A, SPLIT(D34, "",""))) &gt; 0, ""UA"", 0)"),"UA")</f>
        <v>UA</v>
      </c>
      <c r="J34" s="40">
        <f ca="1">IFERROR(__xludf.DUMMYFUNCTION("IF(SUM(COUNTIF(artists!C:C, SPLIT(D34, "",""))) &gt; 0, ""RU"", 0)"),0)</f>
        <v>0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B35" s="21">
        <v>17</v>
      </c>
      <c r="C35" s="21" t="s">
        <v>1683</v>
      </c>
      <c r="D35" s="21" t="s">
        <v>1596</v>
      </c>
      <c r="E35" s="21">
        <v>3</v>
      </c>
      <c r="F35" s="21">
        <v>325404</v>
      </c>
      <c r="G35" s="42">
        <v>-0.34300000000000003</v>
      </c>
      <c r="H35" s="21" t="s">
        <v>1684</v>
      </c>
      <c r="I35" s="39" t="str">
        <f ca="1">IFERROR(__xludf.DUMMYFUNCTION("IF(SUM(COUNTIF(artists!A:A, SPLIT(D35, "",""))) &gt; 0, ""UA"", 0)"),"UA")</f>
        <v>UA</v>
      </c>
      <c r="J35" s="40">
        <f ca="1">IFERROR(__xludf.DUMMYFUNCTION("IF(SUM(COUNTIF(artists!C:C, SPLIT(D35, "",""))) &gt; 0, ""RU"", 0)"),0)</f>
        <v>0</v>
      </c>
      <c r="K35" s="39">
        <f ca="1">IFERROR(__xludf.DUMMYFUNCTION("IF(SUM(COUNTIF(artists!E:E, SPLIT(D35, "",""))) &gt; 0, ""OTHER"", 0)"),0)</f>
        <v>0</v>
      </c>
    </row>
    <row r="36" spans="1:11" ht="14.25" customHeight="1">
      <c r="A36" s="21">
        <v>35</v>
      </c>
      <c r="B36" s="21">
        <v>36</v>
      </c>
      <c r="C36" s="21" t="s">
        <v>493</v>
      </c>
      <c r="D36" s="21" t="s">
        <v>494</v>
      </c>
      <c r="E36" s="21">
        <v>15</v>
      </c>
      <c r="F36" s="21">
        <v>325344</v>
      </c>
      <c r="G36" s="42">
        <v>4.5999999999999999E-2</v>
      </c>
      <c r="H36" s="21" t="s">
        <v>495</v>
      </c>
      <c r="I36" s="39" t="str">
        <f ca="1">IFERROR(__xludf.DUMMYFUNCTION("IF(SUM(COUNTIF(artists!A:A, SPLIT(D36, "",""))) &gt; 0, ""UA"", 0)"),"UA")</f>
        <v>UA</v>
      </c>
      <c r="J36" s="40">
        <f ca="1">IFERROR(__xludf.DUMMYFUNCTION("IF(SUM(COUNTIF(artists!C:C, SPLIT(D36, "",""))) &gt; 0, ""RU"", 0)"),0)</f>
        <v>0</v>
      </c>
      <c r="K36" s="39">
        <f ca="1">IFERROR(__xludf.DUMMYFUNCTION("IF(SUM(COUNTIF(artists!E:E, SPLIT(D36, "",""))) &gt; 0, ""OTHER"", 0)"),0)</f>
        <v>0</v>
      </c>
    </row>
    <row r="37" spans="1:11" ht="14.25" customHeight="1">
      <c r="A37" s="21">
        <v>36</v>
      </c>
      <c r="B37" s="21">
        <v>30</v>
      </c>
      <c r="C37" s="21" t="s">
        <v>1500</v>
      </c>
      <c r="D37" s="21" t="s">
        <v>907</v>
      </c>
      <c r="E37" s="21">
        <v>30</v>
      </c>
      <c r="F37" s="21">
        <v>316184</v>
      </c>
      <c r="G37" s="42">
        <v>-8.5000000000000006E-2</v>
      </c>
      <c r="H37" s="21" t="s">
        <v>1501</v>
      </c>
      <c r="I37" s="39">
        <f ca="1">IFERROR(__xludf.DUMMYFUNCTION("IF(SUM(COUNTIF(artists!A:A, SPLIT(D37, "",""))) &gt; 0, ""UA"", 0)"),0)</f>
        <v>0</v>
      </c>
      <c r="J37" s="40" t="str">
        <f ca="1">IFERROR(__xludf.DUMMYFUNCTION("IF(SUM(COUNTIF(artists!C:C, SPLIT(D37, "",""))) &gt; 0, ""RU"", 0)"),"RU")</f>
        <v>RU</v>
      </c>
      <c r="K37" s="39">
        <f ca="1">IFERROR(__xludf.DUMMYFUNCTION("IF(SUM(COUNTIF(artists!E:E, SPLIT(D37, "",""))) &gt; 0, ""OTHER"", 0)"),0)</f>
        <v>0</v>
      </c>
    </row>
    <row r="38" spans="1:11" ht="14.25" customHeight="1">
      <c r="A38" s="21">
        <v>37</v>
      </c>
      <c r="B38" s="21">
        <v>27</v>
      </c>
      <c r="C38" s="21" t="s">
        <v>1325</v>
      </c>
      <c r="D38" s="21" t="s">
        <v>1237</v>
      </c>
      <c r="E38" s="21">
        <v>50</v>
      </c>
      <c r="F38" s="21">
        <v>306902</v>
      </c>
      <c r="G38" s="43">
        <v>-0.13</v>
      </c>
      <c r="H38" s="21" t="s">
        <v>1326</v>
      </c>
      <c r="I38" s="39">
        <f ca="1">IFERROR(__xludf.DUMMYFUNCTION("IF(SUM(COUNTIF(artists!A:A, SPLIT(D38, "",""))) &gt; 0, ""UA"", 0)"),0)</f>
        <v>0</v>
      </c>
      <c r="J38" s="40" t="str">
        <f ca="1">IFERROR(__xludf.DUMMYFUNCTION("IF(SUM(COUNTIF(artists!C:C, SPLIT(D38, "",""))) &gt; 0, ""RU"", 0)"),"RU")</f>
        <v>RU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C39" s="21" t="s">
        <v>1749</v>
      </c>
      <c r="D39" s="21" t="s">
        <v>1750</v>
      </c>
      <c r="E39" s="21">
        <v>1</v>
      </c>
      <c r="F39" s="21">
        <v>306556</v>
      </c>
      <c r="H39" s="21" t="s">
        <v>1751</v>
      </c>
      <c r="I39" s="39">
        <f ca="1">IFERROR(__xludf.DUMMYFUNCTION("IF(SUM(COUNTIF(artists!A:A, SPLIT(D39, "",""))) &gt; 0, ""UA"", 0)"),0)</f>
        <v>0</v>
      </c>
      <c r="J39" s="40">
        <f ca="1">IFERROR(__xludf.DUMMYFUNCTION("IF(SUM(COUNTIF(artists!C:C, SPLIT(D39, "",""))) &gt; 0, ""RU"", 0)"),0)</f>
        <v>0</v>
      </c>
      <c r="K39" s="39" t="str">
        <f ca="1">IFERROR(__xludf.DUMMYFUNCTION("IF(SUM(COUNTIF(artists!E:E, SPLIT(D39, "",""))) &gt; 0, ""OTHER"", 0)"),"OTHER")</f>
        <v>OTHER</v>
      </c>
    </row>
    <row r="40" spans="1:11" ht="14.25" customHeight="1">
      <c r="A40" s="21">
        <v>39</v>
      </c>
      <c r="B40" s="21">
        <v>25</v>
      </c>
      <c r="C40" s="21" t="s">
        <v>887</v>
      </c>
      <c r="D40" s="21" t="s">
        <v>89</v>
      </c>
      <c r="E40" s="21">
        <v>7</v>
      </c>
      <c r="F40" s="21">
        <v>302739</v>
      </c>
      <c r="G40" s="42">
        <v>-0.16900000000000001</v>
      </c>
      <c r="H40" s="21" t="s">
        <v>888</v>
      </c>
      <c r="I40" s="39" t="str">
        <f ca="1">IFERROR(__xludf.DUMMYFUNCTION("IF(SUM(COUNTIF(artists!A:A, SPLIT(D40, "",""))) &gt; 0, ""UA"", 0)"),"UA")</f>
        <v>UA</v>
      </c>
      <c r="J40" s="40">
        <f ca="1">IFERROR(__xludf.DUMMYFUNCTION("IF(SUM(COUNTIF(artists!C:C, SPLIT(D40, "",""))) &gt; 0, ""RU"", 0)"),0)</f>
        <v>0</v>
      </c>
      <c r="K40" s="39">
        <f ca="1">IFERROR(__xludf.DUMMYFUNCTION("IF(SUM(COUNTIF(artists!E:E, SPLIT(D40, "",""))) &gt; 0, ""OTHER"", 0)"),0)</f>
        <v>0</v>
      </c>
    </row>
    <row r="41" spans="1:11" ht="14.25" customHeight="1">
      <c r="A41" s="21">
        <v>40</v>
      </c>
      <c r="B41" s="21">
        <v>39</v>
      </c>
      <c r="C41" s="21" t="s">
        <v>253</v>
      </c>
      <c r="D41" s="21" t="s">
        <v>89</v>
      </c>
      <c r="E41" s="21">
        <v>9</v>
      </c>
      <c r="F41" s="21">
        <v>299969</v>
      </c>
      <c r="G41" s="42">
        <v>1.4999999999999999E-2</v>
      </c>
      <c r="H41" s="21" t="s">
        <v>254</v>
      </c>
      <c r="I41" s="39" t="str">
        <f ca="1">IFERROR(__xludf.DUMMYFUNCTION("IF(SUM(COUNTIF(artists!A:A, SPLIT(D41, "",""))) &gt; 0, ""UA"", 0)"),"UA")</f>
        <v>UA</v>
      </c>
      <c r="J41" s="40">
        <f ca="1">IFERROR(__xludf.DUMMYFUNCTION("IF(SUM(COUNTIF(artists!C:C, SPLIT(D41, "",""))) &gt; 0, ""RU"", 0)"),0)</f>
        <v>0</v>
      </c>
      <c r="K41" s="39">
        <f ca="1">IFERROR(__xludf.DUMMYFUNCTION("IF(SUM(COUNTIF(artists!E:E, SPLIT(D41, "",""))) &gt; 0, ""OTHER"", 0)"),0)</f>
        <v>0</v>
      </c>
    </row>
    <row r="42" spans="1:11" ht="14.25" customHeight="1">
      <c r="A42" s="21">
        <v>41</v>
      </c>
      <c r="B42" s="21">
        <v>40</v>
      </c>
      <c r="C42" s="21" t="s">
        <v>1298</v>
      </c>
      <c r="D42" s="21" t="s">
        <v>226</v>
      </c>
      <c r="E42" s="21">
        <v>6</v>
      </c>
      <c r="F42" s="21">
        <v>299324</v>
      </c>
      <c r="G42" s="42">
        <v>3.5000000000000003E-2</v>
      </c>
      <c r="H42" s="21" t="s">
        <v>1299</v>
      </c>
      <c r="I42" s="39" t="str">
        <f ca="1">IFERROR(__xludf.DUMMYFUNCTION("IF(SUM(COUNTIF(artists!A:A, SPLIT(D42, "",""))) &gt; 0, ""UA"", 0)"),"UA")</f>
        <v>UA</v>
      </c>
      <c r="J42" s="40">
        <f ca="1">IFERROR(__xludf.DUMMYFUNCTION("IF(SUM(COUNTIF(artists!C:C, SPLIT(D42, "",""))) &gt; 0, ""RU"", 0)"),0)</f>
        <v>0</v>
      </c>
      <c r="K42" s="39">
        <f ca="1">IFERROR(__xludf.DUMMYFUNCTION("IF(SUM(COUNTIF(artists!E:E, SPLIT(D42, "",""))) &gt; 0, ""OTHER"", 0)"),0)</f>
        <v>0</v>
      </c>
    </row>
    <row r="43" spans="1:11" ht="14.25" customHeight="1">
      <c r="A43" s="21">
        <v>42</v>
      </c>
      <c r="B43" s="21">
        <v>33</v>
      </c>
      <c r="C43" s="21" t="s">
        <v>118</v>
      </c>
      <c r="D43" s="21" t="s">
        <v>586</v>
      </c>
      <c r="E43" s="21">
        <v>10</v>
      </c>
      <c r="F43" s="21">
        <v>298227</v>
      </c>
      <c r="G43" s="42">
        <v>-6.6000000000000003E-2</v>
      </c>
      <c r="H43" s="21" t="s">
        <v>587</v>
      </c>
      <c r="I43" s="39" t="str">
        <f ca="1">IFERROR(__xludf.DUMMYFUNCTION("IF(SUM(COUNTIF(artists!A:A, SPLIT(D43, "",""))) &gt; 0, ""UA"", 0)"),"UA")</f>
        <v>UA</v>
      </c>
      <c r="J43" s="40">
        <f ca="1">IFERROR(__xludf.DUMMYFUNCTION("IF(SUM(COUNTIF(artists!C:C, SPLIT(D43, "",""))) &gt; 0, ""RU"", 0)"),0)</f>
        <v>0</v>
      </c>
      <c r="K43" s="39">
        <f ca="1">IFERROR(__xludf.DUMMYFUNCTION("IF(SUM(COUNTIF(artists!E:E, SPLIT(D43, "",""))) &gt; 0, ""OTHER"", 0)"),0)</f>
        <v>0</v>
      </c>
    </row>
    <row r="44" spans="1:11" ht="14.25" customHeight="1">
      <c r="A44" s="21">
        <v>43</v>
      </c>
      <c r="B44" s="21">
        <v>29</v>
      </c>
      <c r="C44" s="21" t="s">
        <v>1487</v>
      </c>
      <c r="D44" s="21" t="s">
        <v>409</v>
      </c>
      <c r="E44" s="21">
        <v>10</v>
      </c>
      <c r="F44" s="21">
        <v>297153</v>
      </c>
      <c r="G44" s="42">
        <v>-0.14199999999999999</v>
      </c>
      <c r="H44" s="21" t="s">
        <v>1488</v>
      </c>
      <c r="I44" s="39" t="str">
        <f ca="1">IFERROR(__xludf.DUMMYFUNCTION("IF(SUM(COUNTIF(artists!A:A, SPLIT(D44, "",""))) &gt; 0, ""UA"", 0)"),"UA")</f>
        <v>UA</v>
      </c>
      <c r="J44" s="40">
        <f ca="1">IFERROR(__xludf.DUMMYFUNCTION("IF(SUM(COUNTIF(artists!C:C, SPLIT(D44, "",""))) &gt; 0, ""RU"", 0)"),0)</f>
        <v>0</v>
      </c>
      <c r="K44" s="39">
        <f ca="1">IFERROR(__xludf.DUMMYFUNCTION("IF(SUM(COUNTIF(artists!E:E, SPLIT(D44, "",""))) &gt; 0, ""OTHER"", 0)"),0)</f>
        <v>0</v>
      </c>
    </row>
    <row r="45" spans="1:11" ht="14.25" customHeight="1">
      <c r="A45" s="21">
        <v>44</v>
      </c>
      <c r="B45" s="21">
        <v>35</v>
      </c>
      <c r="C45" s="21" t="s">
        <v>186</v>
      </c>
      <c r="D45" s="21" t="s">
        <v>187</v>
      </c>
      <c r="E45" s="21">
        <v>4</v>
      </c>
      <c r="F45" s="21">
        <v>295611</v>
      </c>
      <c r="G45" s="42">
        <v>-5.3999999999999999E-2</v>
      </c>
      <c r="H45" s="21" t="s">
        <v>189</v>
      </c>
      <c r="I45" s="39" t="str">
        <f ca="1">IFERROR(__xludf.DUMMYFUNCTION("IF(SUM(COUNTIF(artists!A:A, SPLIT(D45, "",""))) &gt; 0, ""UA"", 0)"),"UA")</f>
        <v>UA</v>
      </c>
      <c r="J45" s="40">
        <f ca="1">IFERROR(__xludf.DUMMYFUNCTION("IF(SUM(COUNTIF(artists!C:C, SPLIT(D45, "",""))) &gt; 0, ""RU"", 0)"),0)</f>
        <v>0</v>
      </c>
      <c r="K45" s="39">
        <f ca="1">IFERROR(__xludf.DUMMYFUNCTION("IF(SUM(COUNTIF(artists!E:E, SPLIT(D45, "",""))) &gt; 0, ""OTHER"", 0)"),0)</f>
        <v>0</v>
      </c>
    </row>
    <row r="46" spans="1:11" ht="14.25" customHeight="1">
      <c r="A46" s="21">
        <v>45</v>
      </c>
      <c r="B46" s="21">
        <v>34</v>
      </c>
      <c r="C46" s="21" t="s">
        <v>1116</v>
      </c>
      <c r="D46" s="21" t="s">
        <v>1117</v>
      </c>
      <c r="E46" s="21">
        <v>22</v>
      </c>
      <c r="F46" s="21">
        <v>293900</v>
      </c>
      <c r="G46" s="43">
        <v>-7.0000000000000007E-2</v>
      </c>
      <c r="H46" s="21" t="s">
        <v>1118</v>
      </c>
      <c r="I46" s="39">
        <f ca="1">IFERROR(__xludf.DUMMYFUNCTION("IF(SUM(COUNTIF(artists!A:A, SPLIT(D46, "",""))) &gt; 0, ""UA"", 0)"),0)</f>
        <v>0</v>
      </c>
      <c r="J46" s="40" t="str">
        <f ca="1">IFERROR(__xludf.DUMMYFUNCTION("IF(SUM(COUNTIF(artists!C:C, SPLIT(D46, "",""))) &gt; 0, ""RU"", 0)"),"RU")</f>
        <v>RU</v>
      </c>
      <c r="K46" s="39">
        <f ca="1">IFERROR(__xludf.DUMMYFUNCTION("IF(SUM(COUNTIF(artists!E:E, SPLIT(D46, "",""))) &gt; 0, ""OTHER"", 0)"),0)</f>
        <v>0</v>
      </c>
    </row>
    <row r="47" spans="1:11" ht="14.25" customHeight="1">
      <c r="A47" s="21">
        <v>46</v>
      </c>
      <c r="B47" s="21">
        <v>41</v>
      </c>
      <c r="C47" s="21" t="s">
        <v>1498</v>
      </c>
      <c r="D47" s="21" t="s">
        <v>969</v>
      </c>
      <c r="E47" s="21">
        <v>32</v>
      </c>
      <c r="F47" s="21">
        <v>284653</v>
      </c>
      <c r="G47" s="42">
        <v>2.4E-2</v>
      </c>
      <c r="H47" s="21" t="s">
        <v>1499</v>
      </c>
      <c r="I47" s="39" t="str">
        <f ca="1">IFERROR(__xludf.DUMMYFUNCTION("IF(SUM(COUNTIF(artists!A:A, SPLIT(D47, "",""))) &gt; 0, ""UA"", 0)"),"UA")</f>
        <v>UA</v>
      </c>
      <c r="J47" s="40">
        <f ca="1">IFERROR(__xludf.DUMMYFUNCTION("IF(SUM(COUNTIF(artists!C:C, SPLIT(D47, "",""))) &gt; 0, ""RU"", 0)"),0)</f>
        <v>0</v>
      </c>
      <c r="K47" s="39">
        <f ca="1">IFERROR(__xludf.DUMMYFUNCTION("IF(SUM(COUNTIF(artists!E:E, SPLIT(D47, "",""))) &gt; 0, ""OTHER"", 0)"),0)</f>
        <v>0</v>
      </c>
    </row>
    <row r="48" spans="1:11" ht="14.25" customHeight="1">
      <c r="A48" s="21">
        <v>47</v>
      </c>
      <c r="B48" s="21">
        <v>45</v>
      </c>
      <c r="C48" s="21" t="s">
        <v>1327</v>
      </c>
      <c r="D48" s="21" t="s">
        <v>89</v>
      </c>
      <c r="E48" s="21">
        <v>29</v>
      </c>
      <c r="F48" s="21">
        <v>277348</v>
      </c>
      <c r="G48" s="42">
        <v>4.2000000000000003E-2</v>
      </c>
      <c r="H48" s="21" t="s">
        <v>1328</v>
      </c>
      <c r="I48" s="39" t="str">
        <f ca="1">IFERROR(__xludf.DUMMYFUNCTION("IF(SUM(COUNTIF(artists!A:A, SPLIT(D48, "",""))) &gt; 0, ""UA"", 0)"),"UA")</f>
        <v>UA</v>
      </c>
      <c r="J48" s="40">
        <f ca="1">IFERROR(__xludf.DUMMYFUNCTION("IF(SUM(COUNTIF(artists!C:C, SPLIT(D48, "",""))) &gt; 0, ""RU"", 0)"),0)</f>
        <v>0</v>
      </c>
      <c r="K48" s="39">
        <f ca="1">IFERROR(__xludf.DUMMYFUNCTION("IF(SUM(COUNTIF(artists!E:E, SPLIT(D48, "",""))) &gt; 0, ""OTHER"", 0)"),0)</f>
        <v>0</v>
      </c>
    </row>
    <row r="49" spans="1:11" ht="14.25" customHeight="1">
      <c r="A49" s="21">
        <v>48</v>
      </c>
      <c r="B49" s="21">
        <v>43</v>
      </c>
      <c r="C49" s="21" t="s">
        <v>1729</v>
      </c>
      <c r="D49" s="21" t="s">
        <v>1730</v>
      </c>
      <c r="E49" s="21">
        <v>51</v>
      </c>
      <c r="F49" s="21">
        <v>273038</v>
      </c>
      <c r="G49" s="42">
        <v>2.1000000000000001E-2</v>
      </c>
      <c r="H49" s="21" t="s">
        <v>1731</v>
      </c>
      <c r="I49" s="39">
        <f ca="1">IFERROR(__xludf.DUMMYFUNCTION("IF(SUM(COUNTIF(artists!A:A, SPLIT(D49, "",""))) &gt; 0, ""UA"", 0)"),0)</f>
        <v>0</v>
      </c>
      <c r="J49" s="40" t="str">
        <f ca="1">IFERROR(__xludf.DUMMYFUNCTION("IF(SUM(COUNTIF(artists!C:C, SPLIT(D49, "",""))) &gt; 0, ""RU"", 0)"),"RU")</f>
        <v>RU</v>
      </c>
      <c r="K49" s="39">
        <f ca="1">IFERROR(__xludf.DUMMYFUNCTION("IF(SUM(COUNTIF(artists!E:E, SPLIT(D49, "",""))) &gt; 0, ""OTHER"", 0)"),0)</f>
        <v>0</v>
      </c>
    </row>
    <row r="50" spans="1:11" ht="14.25" customHeight="1">
      <c r="A50" s="21">
        <v>49</v>
      </c>
      <c r="B50" s="21">
        <v>69</v>
      </c>
      <c r="C50" s="21" t="s">
        <v>1518</v>
      </c>
      <c r="D50" s="21" t="s">
        <v>108</v>
      </c>
      <c r="E50" s="21">
        <v>12</v>
      </c>
      <c r="F50" s="21">
        <v>267680</v>
      </c>
      <c r="G50" s="42">
        <v>0.28799999999999998</v>
      </c>
      <c r="H50" s="21" t="s">
        <v>1519</v>
      </c>
      <c r="I50" s="39" t="str">
        <f ca="1">IFERROR(__xludf.DUMMYFUNCTION("IF(SUM(COUNTIF(artists!A:A, SPLIT(D50, "",""))) &gt; 0, ""UA"", 0)"),"UA")</f>
        <v>UA</v>
      </c>
      <c r="J50" s="40">
        <f ca="1">IFERROR(__xludf.DUMMYFUNCTION("IF(SUM(COUNTIF(artists!C:C, SPLIT(D50, "",""))) &gt; 0, ""RU"", 0)"),0)</f>
        <v>0</v>
      </c>
      <c r="K50" s="39">
        <f ca="1">IFERROR(__xludf.DUMMYFUNCTION("IF(SUM(COUNTIF(artists!E:E, SPLIT(D50, "",""))) &gt; 0, ""OTHER"", 0)"),0)</f>
        <v>0</v>
      </c>
    </row>
    <row r="51" spans="1:11" ht="14.25" customHeight="1">
      <c r="A51" s="21">
        <v>50</v>
      </c>
      <c r="B51" s="21">
        <v>48</v>
      </c>
      <c r="C51" s="21" t="s">
        <v>597</v>
      </c>
      <c r="D51" s="21" t="s">
        <v>598</v>
      </c>
      <c r="E51" s="21">
        <v>5</v>
      </c>
      <c r="F51" s="21">
        <v>260375</v>
      </c>
      <c r="G51" s="42">
        <v>8.9999999999999993E-3</v>
      </c>
      <c r="H51" s="21" t="s">
        <v>600</v>
      </c>
      <c r="I51" s="39" t="str">
        <f ca="1">IFERROR(__xludf.DUMMYFUNCTION("IF(SUM(COUNTIF(artists!A:A, SPLIT(D51, "",""))) &gt; 0, ""UA"", 0)"),"UA")</f>
        <v>UA</v>
      </c>
      <c r="J51" s="40">
        <f ca="1">IFERROR(__xludf.DUMMYFUNCTION("IF(SUM(COUNTIF(artists!C:C, SPLIT(D51, "",""))) &gt; 0, ""RU"", 0)"),0)</f>
        <v>0</v>
      </c>
      <c r="K51" s="39">
        <f ca="1">IFERROR(__xludf.DUMMYFUNCTION("IF(SUM(COUNTIF(artists!E:E, SPLIT(D51, "",""))) &gt; 0, ""OTHER"", 0)"),0)</f>
        <v>0</v>
      </c>
    </row>
    <row r="52" spans="1:11" ht="14.25" customHeight="1">
      <c r="A52" s="21">
        <v>51</v>
      </c>
      <c r="B52" s="21">
        <v>57</v>
      </c>
      <c r="C52" s="21" t="s">
        <v>841</v>
      </c>
      <c r="D52" s="21" t="s">
        <v>842</v>
      </c>
      <c r="E52" s="21">
        <v>16</v>
      </c>
      <c r="F52" s="21">
        <v>255480</v>
      </c>
      <c r="G52" s="43">
        <v>7.0000000000000007E-2</v>
      </c>
      <c r="H52" s="21" t="s">
        <v>843</v>
      </c>
      <c r="I52" s="39">
        <f ca="1">IFERROR(__xludf.DUMMYFUNCTION("IF(SUM(COUNTIF(artists!A:A, SPLIT(D52, "",""))) &gt; 0, ""UA"", 0)"),0)</f>
        <v>0</v>
      </c>
      <c r="J52" s="40">
        <f ca="1">IFERROR(__xludf.DUMMYFUNCTION("IF(SUM(COUNTIF(artists!C:C, SPLIT(D52, "",""))) &gt; 0, ""RU"", 0)"),0)</f>
        <v>0</v>
      </c>
      <c r="K52" s="39" t="str">
        <f ca="1">IFERROR(__xludf.DUMMYFUNCTION("IF(SUM(COUNTIF(artists!E:E, SPLIT(D52, "",""))) &gt; 0, ""OTHER"", 0)"),"OTHER")</f>
        <v>OTHER</v>
      </c>
    </row>
    <row r="53" spans="1:11" ht="14.25" customHeight="1">
      <c r="A53" s="21">
        <v>52</v>
      </c>
      <c r="B53" s="21">
        <v>66</v>
      </c>
      <c r="C53" s="21" t="s">
        <v>632</v>
      </c>
      <c r="D53" s="21" t="s">
        <v>633</v>
      </c>
      <c r="E53" s="21">
        <v>4</v>
      </c>
      <c r="F53" s="21">
        <v>255043</v>
      </c>
      <c r="G53" s="42">
        <v>0.14499999999999999</v>
      </c>
      <c r="H53" s="21" t="s">
        <v>634</v>
      </c>
      <c r="I53" s="39" t="str">
        <f ca="1">IFERROR(__xludf.DUMMYFUNCTION("IF(SUM(COUNTIF(artists!A:A, SPLIT(D53, "",""))) &gt; 0, ""UA"", 0)"),"UA")</f>
        <v>UA</v>
      </c>
      <c r="J53" s="40">
        <f ca="1">IFERROR(__xludf.DUMMYFUNCTION("IF(SUM(COUNTIF(artists!C:C, SPLIT(D53, "",""))) &gt; 0, ""RU"", 0)"),0)</f>
        <v>0</v>
      </c>
      <c r="K53" s="39">
        <f ca="1">IFERROR(__xludf.DUMMYFUNCTION("IF(SUM(COUNTIF(artists!E:E, SPLIT(D53, "",""))) &gt; 0, ""OTHER"", 0)"),0)</f>
        <v>0</v>
      </c>
    </row>
    <row r="54" spans="1:11" ht="14.25" customHeight="1">
      <c r="A54" s="21">
        <v>53</v>
      </c>
      <c r="B54" s="21">
        <v>61</v>
      </c>
      <c r="C54" s="21" t="s">
        <v>1447</v>
      </c>
      <c r="D54" s="21" t="s">
        <v>969</v>
      </c>
      <c r="E54" s="21">
        <v>20</v>
      </c>
      <c r="F54" s="21">
        <v>254900</v>
      </c>
      <c r="G54" s="42">
        <v>8.5000000000000006E-2</v>
      </c>
      <c r="H54" s="21" t="s">
        <v>1448</v>
      </c>
      <c r="I54" s="39" t="str">
        <f ca="1">IFERROR(__xludf.DUMMYFUNCTION("IF(SUM(COUNTIF(artists!A:A, SPLIT(D54, "",""))) &gt; 0, ""UA"", 0)"),"UA")</f>
        <v>UA</v>
      </c>
      <c r="J54" s="40">
        <f ca="1">IFERROR(__xludf.DUMMYFUNCTION("IF(SUM(COUNTIF(artists!C:C, SPLIT(D54, "",""))) &gt; 0, ""RU"", 0)"),0)</f>
        <v>0</v>
      </c>
      <c r="K54" s="39">
        <f ca="1">IFERROR(__xludf.DUMMYFUNCTION("IF(SUM(COUNTIF(artists!E:E, SPLIT(D54, "",""))) &gt; 0, ""OTHER"", 0)"),0)</f>
        <v>0</v>
      </c>
    </row>
    <row r="55" spans="1:11" ht="14.25" customHeight="1">
      <c r="A55" s="21">
        <v>54</v>
      </c>
      <c r="B55" s="21">
        <v>60</v>
      </c>
      <c r="C55" s="21" t="s">
        <v>229</v>
      </c>
      <c r="D55" s="21" t="s">
        <v>230</v>
      </c>
      <c r="E55" s="21">
        <v>7</v>
      </c>
      <c r="F55" s="21">
        <v>254555</v>
      </c>
      <c r="G55" s="42">
        <v>7.9000000000000001E-2</v>
      </c>
      <c r="H55" s="21" t="s">
        <v>232</v>
      </c>
      <c r="I55" s="39" t="str">
        <f ca="1">IFERROR(__xludf.DUMMYFUNCTION("IF(SUM(COUNTIF(artists!A:A, SPLIT(D55, "",""))) &gt; 0, ""UA"", 0)"),"UA")</f>
        <v>UA</v>
      </c>
      <c r="J55" s="40">
        <f ca="1">IFERROR(__xludf.DUMMYFUNCTION("IF(SUM(COUNTIF(artists!C:C, SPLIT(D55, "",""))) &gt; 0, ""RU"", 0)"),0)</f>
        <v>0</v>
      </c>
      <c r="K55" s="39">
        <f ca="1">IFERROR(__xludf.DUMMYFUNCTION("IF(SUM(COUNTIF(artists!E:E, SPLIT(D55, "",""))) &gt; 0, ""OTHER"", 0)"),0)</f>
        <v>0</v>
      </c>
    </row>
    <row r="56" spans="1:11" ht="14.25" customHeight="1">
      <c r="A56" s="21">
        <v>55</v>
      </c>
      <c r="B56" s="21">
        <v>23</v>
      </c>
      <c r="C56" s="21" t="s">
        <v>31</v>
      </c>
      <c r="D56" s="21" t="s">
        <v>32</v>
      </c>
      <c r="E56" s="21">
        <v>5</v>
      </c>
      <c r="F56" s="21">
        <v>251943</v>
      </c>
      <c r="G56" s="42">
        <v>-0.32600000000000001</v>
      </c>
      <c r="H56" s="21" t="s">
        <v>1630</v>
      </c>
      <c r="I56" s="39" t="s">
        <v>77</v>
      </c>
      <c r="J56" s="40">
        <f ca="1">IFERROR(__xludf.DUMMYFUNCTION("IF(SUM(COUNTIF(artists!C:C, SPLIT(D56, "",""))) &gt; 0, ""RU"", 0)"),0)</f>
        <v>0</v>
      </c>
      <c r="K56" s="39">
        <f ca="1">IFERROR(__xludf.DUMMYFUNCTION("IF(SUM(COUNTIF(artists!E:E, SPLIT(D56, "",""))) &gt; 0, ""OTHER"", 0)"),0)</f>
        <v>0</v>
      </c>
    </row>
    <row r="57" spans="1:11" ht="14.25" customHeight="1">
      <c r="A57" s="21">
        <v>56</v>
      </c>
      <c r="B57" s="21">
        <v>54</v>
      </c>
      <c r="C57" s="21" t="s">
        <v>1636</v>
      </c>
      <c r="D57" s="21" t="s">
        <v>1637</v>
      </c>
      <c r="E57" s="21">
        <v>15</v>
      </c>
      <c r="F57" s="21">
        <v>244629</v>
      </c>
      <c r="G57" s="42">
        <v>2E-3</v>
      </c>
      <c r="H57" s="21" t="s">
        <v>1638</v>
      </c>
      <c r="I57" s="39">
        <f ca="1">IFERROR(__xludf.DUMMYFUNCTION("IF(SUM(COUNTIF(artists!A:A, SPLIT(D57, "",""))) &gt; 0, ""UA"", 0)"),0)</f>
        <v>0</v>
      </c>
      <c r="J57" s="40" t="str">
        <f ca="1">IFERROR(__xludf.DUMMYFUNCTION("IF(SUM(COUNTIF(artists!C:C, SPLIT(D57, "",""))) &gt; 0, ""RU"", 0)"),"RU")</f>
        <v>RU</v>
      </c>
      <c r="K57" s="39">
        <f ca="1">IFERROR(__xludf.DUMMYFUNCTION("IF(SUM(COUNTIF(artists!E:E, SPLIT(D57, "",""))) &gt; 0, ""OTHER"", 0)"),0)</f>
        <v>0</v>
      </c>
    </row>
    <row r="58" spans="1:11" ht="14.25" customHeight="1">
      <c r="A58" s="21">
        <v>57</v>
      </c>
      <c r="B58" s="21">
        <v>51</v>
      </c>
      <c r="C58" s="21" t="s">
        <v>1387</v>
      </c>
      <c r="D58" s="21" t="s">
        <v>1388</v>
      </c>
      <c r="E58" s="21">
        <v>4</v>
      </c>
      <c r="F58" s="21">
        <v>243029</v>
      </c>
      <c r="G58" s="42">
        <v>-2.3E-2</v>
      </c>
      <c r="H58" s="21" t="s">
        <v>1389</v>
      </c>
      <c r="I58" s="39">
        <f ca="1">IFERROR(__xludf.DUMMYFUNCTION("IF(SUM(COUNTIF(artists!A:A, SPLIT(D58, "",""))) &gt; 0, ""UA"", 0)"),0)</f>
        <v>0</v>
      </c>
      <c r="J58" s="40">
        <f ca="1">IFERROR(__xludf.DUMMYFUNCTION("IF(SUM(COUNTIF(artists!C:C, SPLIT(D58, "",""))) &gt; 0, ""RU"", 0)"),0)</f>
        <v>0</v>
      </c>
      <c r="K58" s="39" t="str">
        <f ca="1">IFERROR(__xludf.DUMMYFUNCTION("IF(SUM(COUNTIF(artists!E:E, SPLIT(D58, "",""))) &gt; 0, ""OTHER"", 0)"),"OTHER")</f>
        <v>OTHER</v>
      </c>
    </row>
    <row r="59" spans="1:11" ht="14.25" customHeight="1">
      <c r="A59" s="21">
        <v>58</v>
      </c>
      <c r="B59" s="21">
        <v>56</v>
      </c>
      <c r="C59" s="21" t="s">
        <v>1674</v>
      </c>
      <c r="D59" s="21" t="s">
        <v>172</v>
      </c>
      <c r="E59" s="21">
        <v>16</v>
      </c>
      <c r="F59" s="21">
        <v>243004</v>
      </c>
      <c r="G59" s="42">
        <v>1.4E-2</v>
      </c>
      <c r="H59" s="21" t="s">
        <v>1675</v>
      </c>
      <c r="I59" s="39">
        <f ca="1">IFERROR(__xludf.DUMMYFUNCTION("IF(SUM(COUNTIF(artists!A:A, SPLIT(D59, "",""))) &gt; 0, ""UA"", 0)"),0)</f>
        <v>0</v>
      </c>
      <c r="J59" s="40" t="str">
        <f ca="1">IFERROR(__xludf.DUMMYFUNCTION("IF(SUM(COUNTIF(artists!C:C, SPLIT(D59, "",""))) &gt; 0, ""RU"", 0)"),"RU")</f>
        <v>RU</v>
      </c>
      <c r="K59" s="39">
        <f ca="1">IFERROR(__xludf.DUMMYFUNCTION("IF(SUM(COUNTIF(artists!E:E, SPLIT(D59, "",""))) &gt; 0, ""OTHER"", 0)"),0)</f>
        <v>0</v>
      </c>
    </row>
    <row r="60" spans="1:11" ht="14.25" customHeight="1">
      <c r="A60" s="21">
        <v>59</v>
      </c>
      <c r="B60" s="21">
        <v>10</v>
      </c>
      <c r="C60" s="21" t="s">
        <v>1737</v>
      </c>
      <c r="D60" s="21" t="s">
        <v>1042</v>
      </c>
      <c r="E60" s="21">
        <v>3</v>
      </c>
      <c r="F60" s="21">
        <v>242349</v>
      </c>
      <c r="G60" s="42">
        <v>-0.63400000000000001</v>
      </c>
      <c r="H60" s="21" t="s">
        <v>1738</v>
      </c>
      <c r="I60" s="39">
        <f ca="1">IFERROR(__xludf.DUMMYFUNCTION("IF(SUM(COUNTIF(artists!A:A, SPLIT(D60, "",""))) &gt; 0, ""UA"", 0)"),0)</f>
        <v>0</v>
      </c>
      <c r="J60" s="40" t="str">
        <f ca="1">IFERROR(__xludf.DUMMYFUNCTION("IF(SUM(COUNTIF(artists!C:C, SPLIT(D60, "",""))) &gt; 0, ""RU"", 0)"),"RU")</f>
        <v>RU</v>
      </c>
      <c r="K60" s="39">
        <f ca="1">IFERROR(__xludf.DUMMYFUNCTION("IF(SUM(COUNTIF(artists!E:E, SPLIT(D60, "",""))) &gt; 0, ""OTHER"", 0)"),0)</f>
        <v>0</v>
      </c>
    </row>
    <row r="61" spans="1:11" ht="14.25" customHeight="1">
      <c r="A61" s="21">
        <v>60</v>
      </c>
      <c r="B61" s="21">
        <v>7</v>
      </c>
      <c r="C61" s="21" t="s">
        <v>1759</v>
      </c>
      <c r="D61" s="21" t="s">
        <v>409</v>
      </c>
      <c r="E61" s="21">
        <v>2</v>
      </c>
      <c r="F61" s="21">
        <v>241374</v>
      </c>
      <c r="G61" s="42">
        <v>-0.70699999999999996</v>
      </c>
      <c r="H61" s="21" t="s">
        <v>1760</v>
      </c>
      <c r="I61" s="39" t="str">
        <f ca="1">IFERROR(__xludf.DUMMYFUNCTION("IF(SUM(COUNTIF(artists!A:A, SPLIT(D61, "",""))) &gt; 0, ""UA"", 0)"),"UA")</f>
        <v>UA</v>
      </c>
      <c r="J61" s="40">
        <f ca="1">IFERROR(__xludf.DUMMYFUNCTION("IF(SUM(COUNTIF(artists!C:C, SPLIT(D61, "",""))) &gt; 0, ""RU"", 0)"),0)</f>
        <v>0</v>
      </c>
      <c r="K61" s="39">
        <f ca="1">IFERROR(__xludf.DUMMYFUNCTION("IF(SUM(COUNTIF(artists!E:E, SPLIT(D61, "",""))) &gt; 0, ""OTHER"", 0)"),0)</f>
        <v>0</v>
      </c>
    </row>
    <row r="62" spans="1:11" ht="14.25" customHeight="1">
      <c r="A62" s="21">
        <v>61</v>
      </c>
      <c r="B62" s="21">
        <v>44</v>
      </c>
      <c r="C62" s="21" t="s">
        <v>1477</v>
      </c>
      <c r="D62" s="21" t="s">
        <v>1478</v>
      </c>
      <c r="E62" s="21">
        <v>9</v>
      </c>
      <c r="F62" s="21">
        <v>240990</v>
      </c>
      <c r="G62" s="42">
        <v>-9.8000000000000004E-2</v>
      </c>
      <c r="H62" s="21" t="s">
        <v>1479</v>
      </c>
      <c r="I62" s="39" t="str">
        <f ca="1">IFERROR(__xludf.DUMMYFUNCTION("IF(SUM(COUNTIF(artists!A:A, SPLIT(D62, "",""))) &gt; 0, ""UA"", 0)"),"UA")</f>
        <v>UA</v>
      </c>
      <c r="J62" s="40">
        <f ca="1">IFERROR(__xludf.DUMMYFUNCTION("IF(SUM(COUNTIF(artists!C:C, SPLIT(D62, "",""))) &gt; 0, ""RU"", 0)"),0)</f>
        <v>0</v>
      </c>
      <c r="K62" s="39">
        <f ca="1">IFERROR(__xludf.DUMMYFUNCTION("IF(SUM(COUNTIF(artists!E:E, SPLIT(D62, "",""))) &gt; 0, ""OTHER"", 0)"),0)</f>
        <v>0</v>
      </c>
    </row>
    <row r="63" spans="1:11" ht="14.25" customHeight="1">
      <c r="A63" s="21">
        <v>62</v>
      </c>
      <c r="B63" s="21">
        <v>67</v>
      </c>
      <c r="C63" s="21" t="s">
        <v>470</v>
      </c>
      <c r="D63" s="21" t="s">
        <v>81</v>
      </c>
      <c r="E63" s="21">
        <v>9</v>
      </c>
      <c r="F63" s="21">
        <v>232983</v>
      </c>
      <c r="G63" s="42">
        <v>0.106</v>
      </c>
      <c r="H63" s="21" t="s">
        <v>472</v>
      </c>
      <c r="I63" s="39" t="str">
        <f ca="1">IFERROR(__xludf.DUMMYFUNCTION("IF(SUM(COUNTIF(artists!A:A, SPLIT(D63, "",""))) &gt; 0, ""UA"", 0)"),"UA")</f>
        <v>UA</v>
      </c>
      <c r="J63" s="40">
        <f ca="1">IFERROR(__xludf.DUMMYFUNCTION("IF(SUM(COUNTIF(artists!C:C, SPLIT(D63, "",""))) &gt; 0, ""RU"", 0)"),0)</f>
        <v>0</v>
      </c>
      <c r="K63" s="39">
        <f ca="1">IFERROR(__xludf.DUMMYFUNCTION("IF(SUM(COUNTIF(artists!E:E, SPLIT(D63, "",""))) &gt; 0, ""OTHER"", 0)"),0)</f>
        <v>0</v>
      </c>
    </row>
    <row r="64" spans="1:11" ht="14.25" customHeight="1">
      <c r="A64" s="21">
        <v>63</v>
      </c>
      <c r="C64" s="21" t="s">
        <v>1761</v>
      </c>
      <c r="D64" s="21" t="s">
        <v>218</v>
      </c>
      <c r="E64" s="21">
        <v>1</v>
      </c>
      <c r="F64" s="21">
        <v>229933</v>
      </c>
      <c r="H64" s="21" t="s">
        <v>1762</v>
      </c>
      <c r="I64" s="39" t="str">
        <f ca="1">IFERROR(__xludf.DUMMYFUNCTION("IF(SUM(COUNTIF(artists!A:A, SPLIT(D64, "",""))) &gt; 0, ""UA"", 0)"),"UA")</f>
        <v>UA</v>
      </c>
      <c r="J64" s="40">
        <f ca="1">IFERROR(__xludf.DUMMYFUNCTION("IF(SUM(COUNTIF(artists!C:C, SPLIT(D64, "",""))) &gt; 0, ""RU"", 0)"),0)</f>
        <v>0</v>
      </c>
      <c r="K64" s="39">
        <f ca="1">IFERROR(__xludf.DUMMYFUNCTION("IF(SUM(COUNTIF(artists!E:E, SPLIT(D64, "",""))) &gt; 0, ""OTHER"", 0)"),0)</f>
        <v>0</v>
      </c>
    </row>
    <row r="65" spans="1:11" ht="14.25" customHeight="1">
      <c r="A65" s="21">
        <v>64</v>
      </c>
      <c r="B65" s="21">
        <v>70</v>
      </c>
      <c r="C65" s="21" t="s">
        <v>1586</v>
      </c>
      <c r="D65" s="21" t="s">
        <v>969</v>
      </c>
      <c r="E65" s="21">
        <v>13</v>
      </c>
      <c r="F65" s="21">
        <v>226076</v>
      </c>
      <c r="G65" s="43">
        <v>0.09</v>
      </c>
      <c r="H65" s="21" t="s">
        <v>1587</v>
      </c>
      <c r="I65" s="39" t="str">
        <f ca="1">IFERROR(__xludf.DUMMYFUNCTION("IF(SUM(COUNTIF(artists!A:A, SPLIT(D65, "",""))) &gt; 0, ""UA"", 0)"),"UA")</f>
        <v>UA</v>
      </c>
      <c r="J65" s="40">
        <f ca="1">IFERROR(__xludf.DUMMYFUNCTION("IF(SUM(COUNTIF(artists!C:C, SPLIT(D65, "",""))) &gt; 0, ""RU"", 0)"),0)</f>
        <v>0</v>
      </c>
      <c r="K65" s="39">
        <f ca="1">IFERROR(__xludf.DUMMYFUNCTION("IF(SUM(COUNTIF(artists!E:E, SPLIT(D65, "",""))) &gt; 0, ""OTHER"", 0)"),0)</f>
        <v>0</v>
      </c>
    </row>
    <row r="66" spans="1:11" ht="14.25" customHeight="1">
      <c r="A66" s="21">
        <v>65</v>
      </c>
      <c r="B66" s="21">
        <v>58</v>
      </c>
      <c r="C66" s="21" t="s">
        <v>1381</v>
      </c>
      <c r="D66" s="21" t="s">
        <v>969</v>
      </c>
      <c r="E66" s="21">
        <v>11</v>
      </c>
      <c r="F66" s="21">
        <v>225121</v>
      </c>
      <c r="G66" s="42">
        <v>-5.1999999999999998E-2</v>
      </c>
      <c r="H66" s="21" t="s">
        <v>1382</v>
      </c>
      <c r="I66" s="39" t="str">
        <f ca="1">IFERROR(__xludf.DUMMYFUNCTION("IF(SUM(COUNTIF(artists!A:A, SPLIT(D66, "",""))) &gt; 0, ""UA"", 0)"),"UA")</f>
        <v>UA</v>
      </c>
      <c r="J66" s="40">
        <f ca="1">IFERROR(__xludf.DUMMYFUNCTION("IF(SUM(COUNTIF(artists!C:C, SPLIT(D66, "",""))) &gt; 0, ""RU"", 0)"),0)</f>
        <v>0</v>
      </c>
      <c r="K66" s="39">
        <f ca="1">IFERROR(__xludf.DUMMYFUNCTION("IF(SUM(COUNTIF(artists!E:E, SPLIT(D66, "",""))) &gt; 0, ""OTHER"", 0)"),0)</f>
        <v>0</v>
      </c>
    </row>
    <row r="67" spans="1:11" ht="14.25" customHeight="1">
      <c r="A67" s="21">
        <v>66</v>
      </c>
      <c r="B67" s="21">
        <v>52</v>
      </c>
      <c r="C67" s="21" t="s">
        <v>1530</v>
      </c>
      <c r="D67" s="21" t="s">
        <v>1531</v>
      </c>
      <c r="E67" s="21">
        <v>10</v>
      </c>
      <c r="F67" s="21">
        <v>224567</v>
      </c>
      <c r="G67" s="42">
        <v>-9.4E-2</v>
      </c>
      <c r="H67" s="21" t="s">
        <v>1532</v>
      </c>
      <c r="I67" s="39">
        <f ca="1">IFERROR(__xludf.DUMMYFUNCTION("IF(SUM(COUNTIF(artists!A:A, SPLIT(D67, "",""))) &gt; 0, ""UA"", 0)"),0)</f>
        <v>0</v>
      </c>
      <c r="J67" s="40">
        <f ca="1">IFERROR(__xludf.DUMMYFUNCTION("IF(SUM(COUNTIF(artists!C:C, SPLIT(D67, "",""))) &gt; 0, ""RU"", 0)"),0)</f>
        <v>0</v>
      </c>
      <c r="K67" s="39" t="str">
        <f ca="1">IFERROR(__xludf.DUMMYFUNCTION("IF(SUM(COUNTIF(artists!E:E, SPLIT(D67, "",""))) &gt; 0, ""OTHER"", 0)"),"OTHER")</f>
        <v>OTHER</v>
      </c>
    </row>
    <row r="68" spans="1:11" ht="14.25" customHeight="1">
      <c r="A68" s="21">
        <v>67</v>
      </c>
      <c r="C68" s="21" t="s">
        <v>1763</v>
      </c>
      <c r="D68" s="21" t="s">
        <v>81</v>
      </c>
      <c r="E68" s="21">
        <v>26</v>
      </c>
      <c r="F68" s="21">
        <v>223431</v>
      </c>
      <c r="H68" s="21" t="s">
        <v>1764</v>
      </c>
      <c r="I68" s="39" t="str">
        <f ca="1">IFERROR(__xludf.DUMMYFUNCTION("IF(SUM(COUNTIF(artists!A:A, SPLIT(D68, "",""))) &gt; 0, ""UA"", 0)"),"UA")</f>
        <v>UA</v>
      </c>
      <c r="J68" s="40">
        <f ca="1">IFERROR(__xludf.DUMMYFUNCTION("IF(SUM(COUNTIF(artists!C:C, SPLIT(D68, "",""))) &gt; 0, ""RU"", 0)"),0)</f>
        <v>0</v>
      </c>
      <c r="K68" s="39">
        <f ca="1">IFERROR(__xludf.DUMMYFUNCTION("IF(SUM(COUNTIF(artists!E:E, SPLIT(D68, "",""))) &gt; 0, ""OTHER"", 0)"),0)</f>
        <v>0</v>
      </c>
    </row>
    <row r="69" spans="1:11" ht="14.25" customHeight="1">
      <c r="A69" s="21">
        <v>68</v>
      </c>
      <c r="B69" s="21">
        <v>63</v>
      </c>
      <c r="C69" s="21" t="s">
        <v>1614</v>
      </c>
      <c r="D69" s="21" t="s">
        <v>1027</v>
      </c>
      <c r="E69" s="21">
        <v>7</v>
      </c>
      <c r="F69" s="21">
        <v>220157</v>
      </c>
      <c r="G69" s="42">
        <v>-3.1E-2</v>
      </c>
      <c r="H69" s="21" t="s">
        <v>1615</v>
      </c>
      <c r="I69" s="39" t="str">
        <f ca="1">IFERROR(__xludf.DUMMYFUNCTION("IF(SUM(COUNTIF(artists!A:A, SPLIT(D69, "",""))) &gt; 0, ""UA"", 0)"),"UA")</f>
        <v>UA</v>
      </c>
      <c r="J69" s="40">
        <f ca="1">IFERROR(__xludf.DUMMYFUNCTION("IF(SUM(COUNTIF(artists!C:C, SPLIT(D69, "",""))) &gt; 0, ""RU"", 0)"),0)</f>
        <v>0</v>
      </c>
      <c r="K69" s="39">
        <f ca="1">IFERROR(__xludf.DUMMYFUNCTION("IF(SUM(COUNTIF(artists!E:E, SPLIT(D69, "",""))) &gt; 0, ""OTHER"", 0)"),0)</f>
        <v>0</v>
      </c>
    </row>
    <row r="70" spans="1:11" ht="14.25" customHeight="1">
      <c r="A70" s="21">
        <v>69</v>
      </c>
      <c r="B70" s="21">
        <v>55</v>
      </c>
      <c r="C70" s="21" t="s">
        <v>1369</v>
      </c>
      <c r="D70" s="21" t="s">
        <v>1370</v>
      </c>
      <c r="E70" s="21">
        <v>10</v>
      </c>
      <c r="F70" s="21">
        <v>208197</v>
      </c>
      <c r="G70" s="42">
        <v>-0.14499999999999999</v>
      </c>
      <c r="H70" s="21" t="s">
        <v>1371</v>
      </c>
      <c r="I70" s="39" t="str">
        <f ca="1">IFERROR(__xludf.DUMMYFUNCTION("IF(SUM(COUNTIF(artists!A:A, SPLIT(D70, "",""))) &gt; 0, ""UA"", 0)"),"UA")</f>
        <v>UA</v>
      </c>
      <c r="J70" s="40">
        <f ca="1">IFERROR(__xludf.DUMMYFUNCTION("IF(SUM(COUNTIF(artists!C:C, SPLIT(D70, "",""))) &gt; 0, ""RU"", 0)"),0)</f>
        <v>0</v>
      </c>
      <c r="K70" s="39">
        <f ca="1">IFERROR(__xludf.DUMMYFUNCTION("IF(SUM(COUNTIF(artists!E:E, SPLIT(D70, "",""))) &gt; 0, ""OTHER"", 0)"),0)</f>
        <v>0</v>
      </c>
    </row>
    <row r="71" spans="1:11" ht="14.25" customHeight="1">
      <c r="A71" s="21">
        <v>70</v>
      </c>
      <c r="B71" s="21">
        <v>65</v>
      </c>
      <c r="C71" s="21" t="s">
        <v>748</v>
      </c>
      <c r="D71" s="21" t="s">
        <v>586</v>
      </c>
      <c r="E71" s="21">
        <v>9</v>
      </c>
      <c r="F71" s="21">
        <v>207754</v>
      </c>
      <c r="G71" s="43">
        <v>-7.0000000000000007E-2</v>
      </c>
      <c r="H71" s="21" t="s">
        <v>749</v>
      </c>
      <c r="I71" s="39" t="str">
        <f ca="1">IFERROR(__xludf.DUMMYFUNCTION("IF(SUM(COUNTIF(artists!A:A, SPLIT(D71, "",""))) &gt; 0, ""UA"", 0)"),"UA")</f>
        <v>UA</v>
      </c>
      <c r="J71" s="40">
        <f ca="1">IFERROR(__xludf.DUMMYFUNCTION("IF(SUM(COUNTIF(artists!C:C, SPLIT(D71, "",""))) &gt; 0, ""RU"", 0)"),0)</f>
        <v>0</v>
      </c>
      <c r="K71" s="39">
        <f ca="1">IFERROR(__xludf.DUMMYFUNCTION("IF(SUM(COUNTIF(artists!E:E, SPLIT(D71, "",""))) &gt; 0, ""OTHER"", 0)"),0)</f>
        <v>0</v>
      </c>
    </row>
    <row r="72" spans="1:11" ht="14.25" customHeight="1">
      <c r="A72" s="21">
        <v>71</v>
      </c>
      <c r="C72" s="21" t="s">
        <v>1692</v>
      </c>
      <c r="D72" s="21" t="s">
        <v>1693</v>
      </c>
      <c r="E72" s="21">
        <v>3</v>
      </c>
      <c r="F72" s="21">
        <v>204903</v>
      </c>
      <c r="H72" s="21" t="s">
        <v>1694</v>
      </c>
      <c r="I72" s="39" t="str">
        <f ca="1">IFERROR(__xludf.DUMMYFUNCTION("IF(SUM(COUNTIF(artists!A:A, SPLIT(D72, "",""))) &gt; 0, ""UA"", 0)"),"UA")</f>
        <v>UA</v>
      </c>
      <c r="J72" s="40">
        <f ca="1">IFERROR(__xludf.DUMMYFUNCTION("IF(SUM(COUNTIF(artists!C:C, SPLIT(D72, "",""))) &gt; 0, ""RU"", 0)"),0)</f>
        <v>0</v>
      </c>
      <c r="K72" s="39">
        <f ca="1">IFERROR(__xludf.DUMMYFUNCTION("IF(SUM(COUNTIF(artists!E:E, SPLIT(D72, "",""))) &gt; 0, ""OTHER"", 0)"),0)</f>
        <v>0</v>
      </c>
    </row>
    <row r="73" spans="1:11" ht="14.25" customHeight="1">
      <c r="A73" s="21">
        <v>72</v>
      </c>
      <c r="B73" s="21">
        <v>47</v>
      </c>
      <c r="C73" s="21" t="s">
        <v>1765</v>
      </c>
      <c r="D73" s="21" t="s">
        <v>671</v>
      </c>
      <c r="E73" s="21">
        <v>4</v>
      </c>
      <c r="F73" s="21">
        <v>201764</v>
      </c>
      <c r="G73" s="42">
        <v>-0.22900000000000001</v>
      </c>
      <c r="H73" s="21" t="s">
        <v>1766</v>
      </c>
      <c r="I73" s="39" t="str">
        <f ca="1">IFERROR(__xludf.DUMMYFUNCTION("IF(SUM(COUNTIF(artists!A:A, SPLIT(D73, "",""))) &gt; 0, ""UA"", 0)"),"UA")</f>
        <v>UA</v>
      </c>
      <c r="J73" s="40">
        <f ca="1">IFERROR(__xludf.DUMMYFUNCTION("IF(SUM(COUNTIF(artists!C:C, SPLIT(D73, "",""))) &gt; 0, ""RU"", 0)"),0)</f>
        <v>0</v>
      </c>
      <c r="K73" s="39">
        <f ca="1">IFERROR(__xludf.DUMMYFUNCTION("IF(SUM(COUNTIF(artists!E:E, SPLIT(D73, "",""))) &gt; 0, ""OTHER"", 0)"),0)</f>
        <v>0</v>
      </c>
    </row>
    <row r="74" spans="1:11" ht="14.25" customHeight="1">
      <c r="A74" s="21">
        <v>73</v>
      </c>
      <c r="C74" s="21" t="s">
        <v>1767</v>
      </c>
      <c r="D74" s="21" t="s">
        <v>1768</v>
      </c>
      <c r="E74" s="21">
        <v>1</v>
      </c>
      <c r="F74" s="21">
        <v>197611</v>
      </c>
      <c r="H74" s="21" t="s">
        <v>1769</v>
      </c>
      <c r="I74" s="39" t="str">
        <f ca="1">IFERROR(__xludf.DUMMYFUNCTION("IF(SUM(COUNTIF(artists!A:A, SPLIT(D74, "",""))) &gt; 0, ""UA"", 0)"),"UA")</f>
        <v>UA</v>
      </c>
      <c r="J74" s="40">
        <f ca="1">IFERROR(__xludf.DUMMYFUNCTION("IF(SUM(COUNTIF(artists!C:C, SPLIT(D74, "",""))) &gt; 0, ""RU"", 0)"),0)</f>
        <v>0</v>
      </c>
      <c r="K74" s="39">
        <f ca="1">IFERROR(__xludf.DUMMYFUNCTION("IF(SUM(COUNTIF(artists!E:E, SPLIT(D74, "",""))) &gt; 0, ""OTHER"", 0)"),0)</f>
        <v>0</v>
      </c>
    </row>
    <row r="75" spans="1:11" ht="14.25" customHeight="1">
      <c r="A75" s="21">
        <v>74</v>
      </c>
      <c r="B75" s="21">
        <v>79</v>
      </c>
      <c r="C75" s="21" t="s">
        <v>1690</v>
      </c>
      <c r="D75" s="21" t="s">
        <v>259</v>
      </c>
      <c r="E75" s="21">
        <v>5</v>
      </c>
      <c r="F75" s="21">
        <v>196806</v>
      </c>
      <c r="G75" s="42">
        <v>4.9000000000000002E-2</v>
      </c>
      <c r="H75" s="21" t="s">
        <v>1691</v>
      </c>
      <c r="I75" s="39" t="str">
        <f ca="1">IFERROR(__xludf.DUMMYFUNCTION("IF(SUM(COUNTIF(artists!A:A, SPLIT(D75, "",""))) &gt; 0, ""UA"", 0)"),"UA")</f>
        <v>UA</v>
      </c>
      <c r="J75" s="40">
        <f ca="1">IFERROR(__xludf.DUMMYFUNCTION("IF(SUM(COUNTIF(artists!C:C, SPLIT(D75, "",""))) &gt; 0, ""RU"", 0)"),0)</f>
        <v>0</v>
      </c>
      <c r="K75" s="39">
        <f ca="1">IFERROR(__xludf.DUMMYFUNCTION("IF(SUM(COUNTIF(artists!E:E, SPLIT(D75, "",""))) &gt; 0, ""OTHER"", 0)"),0)</f>
        <v>0</v>
      </c>
    </row>
    <row r="76" spans="1:11" ht="14.25" customHeight="1">
      <c r="A76" s="21">
        <v>75</v>
      </c>
      <c r="B76" s="21">
        <v>75</v>
      </c>
      <c r="C76" s="21" t="s">
        <v>1546</v>
      </c>
      <c r="D76" s="21" t="s">
        <v>1429</v>
      </c>
      <c r="E76" s="21">
        <v>6</v>
      </c>
      <c r="F76" s="21">
        <v>193976</v>
      </c>
      <c r="G76" s="42">
        <v>-2.5999999999999999E-2</v>
      </c>
      <c r="H76" s="21" t="s">
        <v>1547</v>
      </c>
      <c r="I76" s="39" t="str">
        <f ca="1">IFERROR(__xludf.DUMMYFUNCTION("IF(SUM(COUNTIF(artists!A:A, SPLIT(D76, "",""))) &gt; 0, ""UA"", 0)"),"UA")</f>
        <v>UA</v>
      </c>
      <c r="J76" s="40">
        <f ca="1">IFERROR(__xludf.DUMMYFUNCTION("IF(SUM(COUNTIF(artists!C:C, SPLIT(D76, "",""))) &gt; 0, ""RU"", 0)"),0)</f>
        <v>0</v>
      </c>
      <c r="K76" s="39">
        <f ca="1">IFERROR(__xludf.DUMMYFUNCTION("IF(SUM(COUNTIF(artists!E:E, SPLIT(D76, "",""))) &gt; 0, ""OTHER"", 0)"),0)</f>
        <v>0</v>
      </c>
    </row>
    <row r="77" spans="1:11" ht="14.25" customHeight="1">
      <c r="A77" s="21">
        <v>76</v>
      </c>
      <c r="B77" s="21">
        <v>68</v>
      </c>
      <c r="C77" s="21" t="s">
        <v>1659</v>
      </c>
      <c r="D77" s="21" t="s">
        <v>1660</v>
      </c>
      <c r="E77" s="21">
        <v>9</v>
      </c>
      <c r="F77" s="21">
        <v>190908</v>
      </c>
      <c r="G77" s="43">
        <v>-0.09</v>
      </c>
      <c r="H77" s="21" t="s">
        <v>1661</v>
      </c>
      <c r="I77" s="39">
        <f ca="1">IFERROR(__xludf.DUMMYFUNCTION("IF(SUM(COUNTIF(artists!A:A, SPLIT(D77, "",""))) &gt; 0, ""UA"", 0)"),0)</f>
        <v>0</v>
      </c>
      <c r="J77" s="40" t="str">
        <f ca="1">IFERROR(__xludf.DUMMYFUNCTION("IF(SUM(COUNTIF(artists!C:C, SPLIT(D77, "",""))) &gt; 0, ""RU"", 0)"),"RU")</f>
        <v>RU</v>
      </c>
      <c r="K77" s="39">
        <f ca="1">IFERROR(__xludf.DUMMYFUNCTION("IF(SUM(COUNTIF(artists!E:E, SPLIT(D77, "",""))) &gt; 0, ""OTHER"", 0)"),0)</f>
        <v>0</v>
      </c>
    </row>
    <row r="78" spans="1:11" ht="14.25" customHeight="1">
      <c r="A78" s="21">
        <v>77</v>
      </c>
      <c r="B78" s="21">
        <v>74</v>
      </c>
      <c r="C78" s="21" t="s">
        <v>1588</v>
      </c>
      <c r="D78" s="21" t="s">
        <v>776</v>
      </c>
      <c r="E78" s="21">
        <v>13</v>
      </c>
      <c r="F78" s="21">
        <v>189632</v>
      </c>
      <c r="G78" s="42">
        <v>-5.5E-2</v>
      </c>
      <c r="H78" s="21" t="s">
        <v>1589</v>
      </c>
      <c r="I78" s="39" t="str">
        <f ca="1">IFERROR(__xludf.DUMMYFUNCTION("IF(SUM(COUNTIF(artists!A:A, SPLIT(D78, "",""))) &gt; 0, ""UA"", 0)"),"UA")</f>
        <v>UA</v>
      </c>
      <c r="J78" s="40">
        <f ca="1">IFERROR(__xludf.DUMMYFUNCTION("IF(SUM(COUNTIF(artists!C:C, SPLIT(D78, "",""))) &gt; 0, ""RU"", 0)"),0)</f>
        <v>0</v>
      </c>
      <c r="K78" s="39">
        <f ca="1">IFERROR(__xludf.DUMMYFUNCTION("IF(SUM(COUNTIF(artists!E:E, SPLIT(D78, "",""))) &gt; 0, ""OTHER"", 0)"),0)</f>
        <v>0</v>
      </c>
    </row>
    <row r="79" spans="1:11" ht="14.25" customHeight="1">
      <c r="A79" s="21">
        <v>78</v>
      </c>
      <c r="B79" s="21">
        <v>37</v>
      </c>
      <c r="C79" s="21" t="s">
        <v>1770</v>
      </c>
      <c r="D79" s="21" t="s">
        <v>1050</v>
      </c>
      <c r="E79" s="21">
        <v>4</v>
      </c>
      <c r="F79" s="21">
        <v>188067</v>
      </c>
      <c r="G79" s="42">
        <v>-0.38900000000000001</v>
      </c>
      <c r="H79" s="21" t="s">
        <v>1771</v>
      </c>
      <c r="I79" s="39">
        <f ca="1">IFERROR(__xludf.DUMMYFUNCTION("IF(SUM(COUNTIF(artists!A:A, SPLIT(D79, "",""))) &gt; 0, ""UA"", 0)"),0)</f>
        <v>0</v>
      </c>
      <c r="J79" s="40" t="str">
        <f ca="1">IFERROR(__xludf.DUMMYFUNCTION("IF(SUM(COUNTIF(artists!C:C, SPLIT(D79, "",""))) &gt; 0, ""RU"", 0)"),"RU")</f>
        <v>RU</v>
      </c>
      <c r="K79" s="39">
        <f ca="1">IFERROR(__xludf.DUMMYFUNCTION("IF(SUM(COUNTIF(artists!E:E, SPLIT(D79, "",""))) &gt; 0, ""OTHER"", 0)"),0)</f>
        <v>0</v>
      </c>
    </row>
    <row r="80" spans="1:11" ht="14.25" customHeight="1">
      <c r="A80" s="21">
        <v>79</v>
      </c>
      <c r="B80" s="21">
        <v>62</v>
      </c>
      <c r="C80" s="21" t="s">
        <v>1698</v>
      </c>
      <c r="D80" s="21" t="s">
        <v>1699</v>
      </c>
      <c r="E80" s="21">
        <v>2</v>
      </c>
      <c r="F80" s="21">
        <v>183510</v>
      </c>
      <c r="G80" s="43">
        <v>-0.2</v>
      </c>
      <c r="H80" s="21" t="s">
        <v>1700</v>
      </c>
      <c r="I80" s="39">
        <f ca="1">IFERROR(__xludf.DUMMYFUNCTION("IF(SUM(COUNTIF(artists!A:A, SPLIT(D80, "",""))) &gt; 0, ""UA"", 0)"),0)</f>
        <v>0</v>
      </c>
      <c r="J80" s="40" t="str">
        <f ca="1">IFERROR(__xludf.DUMMYFUNCTION("IF(SUM(COUNTIF(artists!C:C, SPLIT(D80, "",""))) &gt; 0, ""RU"", 0)"),"RU")</f>
        <v>RU</v>
      </c>
      <c r="K80" s="39">
        <f ca="1">IFERROR(__xludf.DUMMYFUNCTION("IF(SUM(COUNTIF(artists!E:E, SPLIT(D80, "",""))) &gt; 0, ""OTHER"", 0)"),0)</f>
        <v>0</v>
      </c>
    </row>
    <row r="81" spans="1:11" ht="14.25" customHeight="1">
      <c r="A81" s="21">
        <v>80</v>
      </c>
      <c r="B81" s="21">
        <v>87</v>
      </c>
      <c r="C81" s="21" t="s">
        <v>1683</v>
      </c>
      <c r="D81" s="21" t="s">
        <v>1757</v>
      </c>
      <c r="E81" s="21">
        <v>3</v>
      </c>
      <c r="F81" s="21">
        <v>180522</v>
      </c>
      <c r="G81" s="42">
        <v>4.2999999999999997E-2</v>
      </c>
      <c r="H81" s="21" t="s">
        <v>1758</v>
      </c>
      <c r="I81" s="39" t="str">
        <f ca="1">IFERROR(__xludf.DUMMYFUNCTION("IF(SUM(COUNTIF(artists!A:A, SPLIT(D81, "",""))) &gt; 0, ""UA"", 0)"),"UA")</f>
        <v>UA</v>
      </c>
      <c r="J81" s="40">
        <f ca="1">IFERROR(__xludf.DUMMYFUNCTION("IF(SUM(COUNTIF(artists!C:C, SPLIT(D81, "",""))) &gt; 0, ""RU"", 0)"),0)</f>
        <v>0</v>
      </c>
      <c r="K81" s="39">
        <f ca="1">IFERROR(__xludf.DUMMYFUNCTION("IF(SUM(COUNTIF(artists!E:E, SPLIT(D81, "",""))) &gt; 0, ""OTHER"", 0)"),0)</f>
        <v>0</v>
      </c>
    </row>
    <row r="82" spans="1:11" ht="14.25" customHeight="1">
      <c r="A82" s="21">
        <v>81</v>
      </c>
      <c r="B82" s="21">
        <v>86</v>
      </c>
      <c r="C82" s="21" t="s">
        <v>1416</v>
      </c>
      <c r="D82" s="21" t="s">
        <v>137</v>
      </c>
      <c r="E82" s="21">
        <v>5</v>
      </c>
      <c r="F82" s="21">
        <v>179135</v>
      </c>
      <c r="G82" s="43">
        <v>0.03</v>
      </c>
      <c r="H82" s="21" t="s">
        <v>1417</v>
      </c>
      <c r="I82" s="39" t="str">
        <f ca="1">IFERROR(__xludf.DUMMYFUNCTION("IF(SUM(COUNTIF(artists!A:A, SPLIT(D82, "",""))) &gt; 0, ""UA"", 0)"),"UA")</f>
        <v>UA</v>
      </c>
      <c r="J82" s="40">
        <f ca="1">IFERROR(__xludf.DUMMYFUNCTION("IF(SUM(COUNTIF(artists!C:C, SPLIT(D82, "",""))) &gt; 0, ""RU"", 0)"),0)</f>
        <v>0</v>
      </c>
      <c r="K82" s="39">
        <f ca="1">IFERROR(__xludf.DUMMYFUNCTION("IF(SUM(COUNTIF(artists!E:E, SPLIT(D82, "",""))) &gt; 0, ""OTHER"", 0)"),0)</f>
        <v>0</v>
      </c>
    </row>
    <row r="83" spans="1:11" ht="14.25" customHeight="1">
      <c r="A83" s="21">
        <v>82</v>
      </c>
      <c r="B83" s="21">
        <v>89</v>
      </c>
      <c r="C83" s="21" t="s">
        <v>1670</v>
      </c>
      <c r="D83" s="21" t="s">
        <v>969</v>
      </c>
      <c r="E83" s="21">
        <v>20</v>
      </c>
      <c r="F83" s="21">
        <v>178555</v>
      </c>
      <c r="G83" s="42">
        <v>5.0999999999999997E-2</v>
      </c>
      <c r="H83" s="21" t="s">
        <v>1671</v>
      </c>
      <c r="I83" s="39" t="str">
        <f ca="1">IFERROR(__xludf.DUMMYFUNCTION("IF(SUM(COUNTIF(artists!A:A, SPLIT(D83, "",""))) &gt; 0, ""UA"", 0)"),"UA")</f>
        <v>UA</v>
      </c>
      <c r="J83" s="40">
        <f ca="1">IFERROR(__xludf.DUMMYFUNCTION("IF(SUM(COUNTIF(artists!C:C, SPLIT(D83, "",""))) &gt; 0, ""RU"", 0)"),0)</f>
        <v>0</v>
      </c>
      <c r="K83" s="39">
        <f ca="1">IFERROR(__xludf.DUMMYFUNCTION("IF(SUM(COUNTIF(artists!E:E, SPLIT(D83, "",""))) &gt; 0, ""OTHER"", 0)"),0)</f>
        <v>0</v>
      </c>
    </row>
    <row r="84" spans="1:11" ht="14.25" customHeight="1">
      <c r="A84" s="21">
        <v>83</v>
      </c>
      <c r="B84" s="21">
        <v>76</v>
      </c>
      <c r="C84" s="21" t="s">
        <v>1726</v>
      </c>
      <c r="D84" s="21" t="s">
        <v>1727</v>
      </c>
      <c r="E84" s="21">
        <v>10</v>
      </c>
      <c r="F84" s="21">
        <v>177226</v>
      </c>
      <c r="G84" s="42">
        <v>-8.5999999999999993E-2</v>
      </c>
      <c r="H84" s="21" t="s">
        <v>1728</v>
      </c>
      <c r="I84" s="39" t="str">
        <f ca="1">IFERROR(__xludf.DUMMYFUNCTION("IF(SUM(COUNTIF(artists!A:A, SPLIT(D84, "",""))) &gt; 0, ""UA"", 0)"),"UA")</f>
        <v>UA</v>
      </c>
      <c r="J84" s="40">
        <f ca="1">IFERROR(__xludf.DUMMYFUNCTION("IF(SUM(COUNTIF(artists!C:C, SPLIT(D84, "",""))) &gt; 0, ""RU"", 0)"),0)</f>
        <v>0</v>
      </c>
      <c r="K84" s="39">
        <f ca="1">IFERROR(__xludf.DUMMYFUNCTION("IF(SUM(COUNTIF(artists!E:E, SPLIT(D84, "",""))) &gt; 0, ""OTHER"", 0)"),0)</f>
        <v>0</v>
      </c>
    </row>
    <row r="85" spans="1:11" ht="14.25" customHeight="1">
      <c r="A85" s="21">
        <v>84</v>
      </c>
      <c r="B85" s="21">
        <v>80</v>
      </c>
      <c r="C85" s="21" t="s">
        <v>1745</v>
      </c>
      <c r="D85" s="21" t="s">
        <v>1746</v>
      </c>
      <c r="E85" s="21">
        <v>2</v>
      </c>
      <c r="F85" s="21">
        <v>171777</v>
      </c>
      <c r="G85" s="42">
        <v>-6.6000000000000003E-2</v>
      </c>
      <c r="H85" s="21" t="s">
        <v>1747</v>
      </c>
      <c r="I85" s="39" t="str">
        <f ca="1">IFERROR(__xludf.DUMMYFUNCTION("IF(SUM(COUNTIF(artists!A:A, SPLIT(D85, "",""))) &gt; 0, ""UA"", 0)"),"UA")</f>
        <v>UA</v>
      </c>
      <c r="J85" s="40">
        <f ca="1">IFERROR(__xludf.DUMMYFUNCTION("IF(SUM(COUNTIF(artists!C:C, SPLIT(D85, "",""))) &gt; 0, ""RU"", 0)"),0)</f>
        <v>0</v>
      </c>
      <c r="K85" s="39">
        <f ca="1">IFERROR(__xludf.DUMMYFUNCTION("IF(SUM(COUNTIF(artists!E:E, SPLIT(D85, "",""))) &gt; 0, ""OTHER"", 0)"),0)</f>
        <v>0</v>
      </c>
    </row>
    <row r="86" spans="1:11" ht="14.25" customHeight="1">
      <c r="A86" s="21">
        <v>85</v>
      </c>
      <c r="C86" s="21" t="s">
        <v>636</v>
      </c>
      <c r="D86" s="21" t="s">
        <v>637</v>
      </c>
      <c r="E86" s="21">
        <v>1</v>
      </c>
      <c r="F86" s="21">
        <v>169136</v>
      </c>
      <c r="H86" s="21" t="s">
        <v>638</v>
      </c>
      <c r="I86" s="39">
        <f ca="1">IFERROR(__xludf.DUMMYFUNCTION("IF(SUM(COUNTIF(artists!A:A, SPLIT(D86, "",""))) &gt; 0, ""UA"", 0)"),0)</f>
        <v>0</v>
      </c>
      <c r="J86" s="40">
        <f ca="1">IFERROR(__xludf.DUMMYFUNCTION("IF(SUM(COUNTIF(artists!C:C, SPLIT(D86, "",""))) &gt; 0, ""RU"", 0)"),0)</f>
        <v>0</v>
      </c>
      <c r="K86" s="39" t="str">
        <f ca="1">IFERROR(__xludf.DUMMYFUNCTION("IF(SUM(COUNTIF(artists!E:E, SPLIT(D86, "",""))) &gt; 0, ""OTHER"", 0)"),"OTHER")</f>
        <v>OTHER</v>
      </c>
    </row>
    <row r="87" spans="1:11" ht="14.25" customHeight="1">
      <c r="A87" s="21">
        <v>86</v>
      </c>
      <c r="B87" s="21">
        <v>78</v>
      </c>
      <c r="C87" s="21" t="s">
        <v>1631</v>
      </c>
      <c r="D87" s="21" t="s">
        <v>409</v>
      </c>
      <c r="E87" s="21">
        <v>10</v>
      </c>
      <c r="F87" s="21">
        <v>165635</v>
      </c>
      <c r="G87" s="42">
        <v>-0.127</v>
      </c>
      <c r="H87" s="21" t="s">
        <v>1632</v>
      </c>
      <c r="I87" s="39" t="str">
        <f ca="1">IFERROR(__xludf.DUMMYFUNCTION("IF(SUM(COUNTIF(artists!A:A, SPLIT(D87, "",""))) &gt; 0, ""UA"", 0)"),"UA")</f>
        <v>UA</v>
      </c>
      <c r="J87" s="40">
        <f ca="1">IFERROR(__xludf.DUMMYFUNCTION("IF(SUM(COUNTIF(artists!C:C, SPLIT(D87, "",""))) &gt; 0, ""RU"", 0)"),0)</f>
        <v>0</v>
      </c>
      <c r="K87" s="39">
        <f ca="1">IFERROR(__xludf.DUMMYFUNCTION("IF(SUM(COUNTIF(artists!E:E, SPLIT(D87, "",""))) &gt; 0, ""OTHER"", 0)"),0)</f>
        <v>0</v>
      </c>
    </row>
    <row r="88" spans="1:11" ht="14.25" customHeight="1">
      <c r="A88" s="21">
        <v>87</v>
      </c>
      <c r="B88" s="21">
        <v>71</v>
      </c>
      <c r="C88" s="21">
        <v>12</v>
      </c>
      <c r="D88" s="21" t="s">
        <v>1050</v>
      </c>
      <c r="E88" s="21">
        <v>8</v>
      </c>
      <c r="F88" s="21">
        <v>164777</v>
      </c>
      <c r="G88" s="42">
        <v>-0.20300000000000001</v>
      </c>
      <c r="H88" s="21" t="s">
        <v>1756</v>
      </c>
      <c r="I88" s="39">
        <f ca="1">IFERROR(__xludf.DUMMYFUNCTION("IF(SUM(COUNTIF(artists!A:A, SPLIT(D88, "",""))) &gt; 0, ""UA"", 0)"),0)</f>
        <v>0</v>
      </c>
      <c r="J88" s="40" t="str">
        <f ca="1">IFERROR(__xludf.DUMMYFUNCTION("IF(SUM(COUNTIF(artists!C:C, SPLIT(D88, "",""))) &gt; 0, ""RU"", 0)"),"RU")</f>
        <v>RU</v>
      </c>
      <c r="K88" s="39">
        <f ca="1">IFERROR(__xludf.DUMMYFUNCTION("IF(SUM(COUNTIF(artists!E:E, SPLIT(D88, "",""))) &gt; 0, ""OTHER"", 0)"),0)</f>
        <v>0</v>
      </c>
    </row>
    <row r="89" spans="1:11" ht="14.25" customHeight="1">
      <c r="A89" s="21">
        <v>88</v>
      </c>
      <c r="B89" s="21">
        <v>42</v>
      </c>
      <c r="C89" s="21" t="s">
        <v>1772</v>
      </c>
      <c r="D89" s="21" t="s">
        <v>125</v>
      </c>
      <c r="E89" s="21">
        <v>2</v>
      </c>
      <c r="F89" s="21">
        <v>164641</v>
      </c>
      <c r="G89" s="42">
        <v>-0.40500000000000003</v>
      </c>
      <c r="H89" s="21" t="s">
        <v>1773</v>
      </c>
      <c r="I89" s="39">
        <f ca="1">IFERROR(__xludf.DUMMYFUNCTION("IF(SUM(COUNTIF(artists!A:A, SPLIT(D89, "",""))) &gt; 0, ""UA"", 0)"),0)</f>
        <v>0</v>
      </c>
      <c r="J89" s="40" t="str">
        <f ca="1">IFERROR(__xludf.DUMMYFUNCTION("IF(SUM(COUNTIF(artists!C:C, SPLIT(D89, "",""))) &gt; 0, ""RU"", 0)"),"RU")</f>
        <v>RU</v>
      </c>
      <c r="K89" s="39">
        <f ca="1">IFERROR(__xludf.DUMMYFUNCTION("IF(SUM(COUNTIF(artists!E:E, SPLIT(D89, "",""))) &gt; 0, ""OTHER"", 0)"),0)</f>
        <v>0</v>
      </c>
    </row>
    <row r="90" spans="1:11" ht="14.25" customHeight="1">
      <c r="A90" s="21">
        <v>89</v>
      </c>
      <c r="B90" s="21">
        <v>85</v>
      </c>
      <c r="C90" s="21" t="s">
        <v>489</v>
      </c>
      <c r="D90" s="21" t="s">
        <v>490</v>
      </c>
      <c r="E90" s="21">
        <v>8</v>
      </c>
      <c r="F90" s="21">
        <v>163809</v>
      </c>
      <c r="G90" s="42">
        <v>-6.3E-2</v>
      </c>
      <c r="H90" s="21" t="s">
        <v>491</v>
      </c>
      <c r="I90" s="39" t="str">
        <f ca="1">IFERROR(__xludf.DUMMYFUNCTION("IF(SUM(COUNTIF(artists!A:A, SPLIT(D90, "",""))) &gt; 0, ""UA"", 0)"),"UA")</f>
        <v>UA</v>
      </c>
      <c r="J90" s="40">
        <f ca="1">IFERROR(__xludf.DUMMYFUNCTION("IF(SUM(COUNTIF(artists!C:C, SPLIT(D90, "",""))) &gt; 0, ""RU"", 0)"),0)</f>
        <v>0</v>
      </c>
      <c r="K90" s="39">
        <f ca="1">IFERROR(__xludf.DUMMYFUNCTION("IF(SUM(COUNTIF(artists!E:E, SPLIT(D90, "",""))) &gt; 0, ""OTHER"", 0)"),0)</f>
        <v>0</v>
      </c>
    </row>
    <row r="91" spans="1:11" ht="14.25" customHeight="1">
      <c r="A91" s="21">
        <v>90</v>
      </c>
      <c r="C91" s="21" t="s">
        <v>1774</v>
      </c>
      <c r="D91" s="21" t="s">
        <v>1775</v>
      </c>
      <c r="E91" s="21">
        <v>22</v>
      </c>
      <c r="F91" s="21">
        <v>162883</v>
      </c>
      <c r="H91" s="21" t="s">
        <v>1776</v>
      </c>
      <c r="I91" s="39">
        <f ca="1">IFERROR(__xludf.DUMMYFUNCTION("IF(SUM(COUNTIF(artists!A:A, SPLIT(D91, "",""))) &gt; 0, ""UA"", 0)"),0)</f>
        <v>0</v>
      </c>
      <c r="J91" s="40" t="str">
        <f ca="1">IFERROR(__xludf.DUMMYFUNCTION("IF(SUM(COUNTIF(artists!C:C, SPLIT(D91, "",""))) &gt; 0, ""RU"", 0)"),"RU")</f>
        <v>RU</v>
      </c>
      <c r="K91" s="39">
        <f ca="1">IFERROR(__xludf.DUMMYFUNCTION("IF(SUM(COUNTIF(artists!E:E, SPLIT(D91, "",""))) &gt; 0, ""OTHER"", 0)"),0)</f>
        <v>0</v>
      </c>
    </row>
    <row r="92" spans="1:11" ht="14.25" customHeight="1">
      <c r="A92" s="21">
        <v>91</v>
      </c>
      <c r="B92" s="21">
        <v>72</v>
      </c>
      <c r="C92" s="21" t="s">
        <v>1777</v>
      </c>
      <c r="D92" s="21" t="s">
        <v>1778</v>
      </c>
      <c r="E92" s="21">
        <v>10</v>
      </c>
      <c r="F92" s="21">
        <v>159304</v>
      </c>
      <c r="G92" s="42">
        <v>-0.22700000000000001</v>
      </c>
      <c r="H92" s="21" t="s">
        <v>1779</v>
      </c>
      <c r="I92" s="39" t="str">
        <f ca="1">IFERROR(__xludf.DUMMYFUNCTION("IF(SUM(COUNTIF(artists!A:A, SPLIT(D92, "",""))) &gt; 0, ""UA"", 0)"),"UA")</f>
        <v>UA</v>
      </c>
      <c r="J92" s="40">
        <f ca="1">IFERROR(__xludf.DUMMYFUNCTION("IF(SUM(COUNTIF(artists!C:C, SPLIT(D92, "",""))) &gt; 0, ""RU"", 0)"),0)</f>
        <v>0</v>
      </c>
      <c r="K92" s="39">
        <f ca="1">IFERROR(__xludf.DUMMYFUNCTION("IF(SUM(COUNTIF(artists!E:E, SPLIT(D92, "",""))) &gt; 0, ""OTHER"", 0)"),0)</f>
        <v>0</v>
      </c>
    </row>
    <row r="93" spans="1:11" ht="14.25" customHeight="1">
      <c r="A93" s="21">
        <v>92</v>
      </c>
      <c r="B93" s="21">
        <v>90</v>
      </c>
      <c r="C93" s="21" t="s">
        <v>178</v>
      </c>
      <c r="D93" s="21" t="s">
        <v>179</v>
      </c>
      <c r="E93" s="21">
        <v>4</v>
      </c>
      <c r="F93" s="21">
        <v>159210</v>
      </c>
      <c r="G93" s="42">
        <v>-5.6000000000000001E-2</v>
      </c>
      <c r="H93" s="21" t="s">
        <v>181</v>
      </c>
      <c r="I93" s="39" t="str">
        <f ca="1">IFERROR(__xludf.DUMMYFUNCTION("IF(SUM(COUNTIF(artists!A:A, SPLIT(D93, "",""))) &gt; 0, ""UA"", 0)"),"UA")</f>
        <v>UA</v>
      </c>
      <c r="J93" s="40">
        <f ca="1">IFERROR(__xludf.DUMMYFUNCTION("IF(SUM(COUNTIF(artists!C:C, SPLIT(D93, "",""))) &gt; 0, ""RU"", 0)"),0)</f>
        <v>0</v>
      </c>
      <c r="K93" s="39">
        <f ca="1">IFERROR(__xludf.DUMMYFUNCTION("IF(SUM(COUNTIF(artists!E:E, SPLIT(D93, "",""))) &gt; 0, ""OTHER"", 0)"),0)</f>
        <v>0</v>
      </c>
    </row>
    <row r="94" spans="1:11" ht="14.25" customHeight="1">
      <c r="A94" s="21">
        <v>93</v>
      </c>
      <c r="B94" s="21">
        <v>84</v>
      </c>
      <c r="C94" s="21" t="s">
        <v>1622</v>
      </c>
      <c r="D94" s="21" t="s">
        <v>137</v>
      </c>
      <c r="E94" s="21">
        <v>14</v>
      </c>
      <c r="F94" s="21">
        <v>159155</v>
      </c>
      <c r="G94" s="42">
        <v>-9.1999999999999998E-2</v>
      </c>
      <c r="H94" s="21" t="s">
        <v>1623</v>
      </c>
      <c r="I94" s="39" t="str">
        <f ca="1">IFERROR(__xludf.DUMMYFUNCTION("IF(SUM(COUNTIF(artists!A:A, SPLIT(D94, "",""))) &gt; 0, ""UA"", 0)"),"UA")</f>
        <v>UA</v>
      </c>
      <c r="J94" s="40">
        <f ca="1">IFERROR(__xludf.DUMMYFUNCTION("IF(SUM(COUNTIF(artists!C:C, SPLIT(D94, "",""))) &gt; 0, ""RU"", 0)"),0)</f>
        <v>0</v>
      </c>
      <c r="K94" s="39">
        <f ca="1">IFERROR(__xludf.DUMMYFUNCTION("IF(SUM(COUNTIF(artists!E:E, SPLIT(D94, "",""))) &gt; 0, ""OTHER"", 0)"),0)</f>
        <v>0</v>
      </c>
    </row>
    <row r="95" spans="1:11" ht="14.25" customHeight="1">
      <c r="A95" s="21">
        <v>94</v>
      </c>
      <c r="C95" s="21" t="s">
        <v>1780</v>
      </c>
      <c r="D95" s="21" t="s">
        <v>310</v>
      </c>
      <c r="E95" s="21">
        <v>2</v>
      </c>
      <c r="F95" s="21">
        <v>159106</v>
      </c>
      <c r="H95" s="21" t="s">
        <v>1781</v>
      </c>
      <c r="I95" s="39">
        <f ca="1">IFERROR(__xludf.DUMMYFUNCTION("IF(SUM(COUNTIF(artists!A:A, SPLIT(D95, "",""))) &gt; 0, ""UA"", 0)"),0)</f>
        <v>0</v>
      </c>
      <c r="J95" s="40">
        <f ca="1">IFERROR(__xludf.DUMMYFUNCTION("IF(SUM(COUNTIF(artists!C:C, SPLIT(D95, "",""))) &gt; 0, ""RU"", 0)"),0)</f>
        <v>0</v>
      </c>
      <c r="K95" s="39" t="str">
        <f ca="1">IFERROR(__xludf.DUMMYFUNCTION("IF(SUM(COUNTIF(artists!E:E, SPLIT(D95, "",""))) &gt; 0, ""OTHER"", 0)"),"OTHER")</f>
        <v>OTHER</v>
      </c>
    </row>
    <row r="96" spans="1:11" ht="14.25" customHeight="1">
      <c r="A96" s="21">
        <v>95</v>
      </c>
      <c r="C96" s="21" t="s">
        <v>1782</v>
      </c>
      <c r="D96" s="21" t="s">
        <v>1783</v>
      </c>
      <c r="E96" s="21">
        <v>1</v>
      </c>
      <c r="F96" s="21">
        <v>157871</v>
      </c>
      <c r="H96" s="21" t="s">
        <v>1784</v>
      </c>
      <c r="I96" s="39">
        <f ca="1">IFERROR(__xludf.DUMMYFUNCTION("IF(SUM(COUNTIF(artists!A:A, SPLIT(D96, "",""))) &gt; 0, ""UA"", 0)"),0)</f>
        <v>0</v>
      </c>
      <c r="J96" s="40" t="str">
        <f ca="1">IFERROR(__xludf.DUMMYFUNCTION("IF(SUM(COUNTIF(artists!C:C, SPLIT(D96, "",""))) &gt; 0, ""RU"", 0)"),"RU")</f>
        <v>RU</v>
      </c>
      <c r="K96" s="39">
        <f ca="1">IFERROR(__xludf.DUMMYFUNCTION("IF(SUM(COUNTIF(artists!E:E, SPLIT(D96, "",""))) &gt; 0, ""OTHER"", 0)"),0)</f>
        <v>0</v>
      </c>
    </row>
    <row r="97" spans="1:11" ht="14.25" customHeight="1">
      <c r="A97" s="21">
        <v>96</v>
      </c>
      <c r="B97" s="21">
        <v>92</v>
      </c>
      <c r="C97" s="21" t="s">
        <v>1785</v>
      </c>
      <c r="D97" s="21" t="s">
        <v>1786</v>
      </c>
      <c r="E97" s="21">
        <v>2</v>
      </c>
      <c r="F97" s="21">
        <v>157836</v>
      </c>
      <c r="G97" s="42">
        <v>-4.5999999999999999E-2</v>
      </c>
      <c r="H97" s="21" t="s">
        <v>1787</v>
      </c>
      <c r="I97" s="39" t="str">
        <f ca="1">IFERROR(__xludf.DUMMYFUNCTION("IF(SUM(COUNTIF(artists!A:A, SPLIT(D97, "",""))) &gt; 0, ""UA"", 0)"),"UA")</f>
        <v>UA</v>
      </c>
      <c r="J97" s="40">
        <f ca="1">IFERROR(__xludf.DUMMYFUNCTION("IF(SUM(COUNTIF(artists!C:C, SPLIT(D97, "",""))) &gt; 0, ""RU"", 0)"),0)</f>
        <v>0</v>
      </c>
      <c r="K97" s="39">
        <f ca="1">IFERROR(__xludf.DUMMYFUNCTION("IF(SUM(COUNTIF(artists!E:E, SPLIT(D97, "",""))) &gt; 0, ""OTHER"", 0)"),0)</f>
        <v>0</v>
      </c>
    </row>
    <row r="98" spans="1:11" ht="14.25" customHeight="1">
      <c r="A98" s="21">
        <v>97</v>
      </c>
      <c r="B98" s="21">
        <v>100</v>
      </c>
      <c r="C98" s="21" t="s">
        <v>1379</v>
      </c>
      <c r="D98" s="21" t="s">
        <v>598</v>
      </c>
      <c r="E98" s="21">
        <v>2</v>
      </c>
      <c r="F98" s="21">
        <v>157549</v>
      </c>
      <c r="G98" s="42">
        <v>4.0000000000000001E-3</v>
      </c>
      <c r="H98" s="21" t="s">
        <v>1380</v>
      </c>
      <c r="I98" s="39" t="str">
        <f ca="1">IFERROR(__xludf.DUMMYFUNCTION("IF(SUM(COUNTIF(artists!A:A, SPLIT(D98, "",""))) &gt; 0, ""UA"", 0)"),"UA")</f>
        <v>UA</v>
      </c>
      <c r="J98" s="40">
        <f ca="1">IFERROR(__xludf.DUMMYFUNCTION("IF(SUM(COUNTIF(artists!C:C, SPLIT(D98, "",""))) &gt; 0, ""RU"", 0)"),0)</f>
        <v>0</v>
      </c>
      <c r="K98" s="39">
        <f ca="1">IFERROR(__xludf.DUMMYFUNCTION("IF(SUM(COUNTIF(artists!E:E, SPLIT(D98, "",""))) &gt; 0, ""OTHER"", 0)"),0)</f>
        <v>0</v>
      </c>
    </row>
    <row r="99" spans="1:11" ht="14.25" customHeight="1">
      <c r="A99" s="21">
        <v>98</v>
      </c>
      <c r="C99" s="21" t="s">
        <v>1788</v>
      </c>
      <c r="D99" s="21" t="s">
        <v>1789</v>
      </c>
      <c r="E99" s="21">
        <v>5</v>
      </c>
      <c r="F99" s="21">
        <v>155780</v>
      </c>
      <c r="H99" s="21" t="s">
        <v>1790</v>
      </c>
      <c r="I99" s="39" t="str">
        <f ca="1">IFERROR(__xludf.DUMMYFUNCTION("IF(SUM(COUNTIF(artists!A:A, SPLIT(D99, "",""))) &gt; 0, ""UA"", 0)"),"UA")</f>
        <v>UA</v>
      </c>
      <c r="J99" s="40">
        <f ca="1">IFERROR(__xludf.DUMMYFUNCTION("IF(SUM(COUNTIF(artists!C:C, SPLIT(D99, "",""))) &gt; 0, ""RU"", 0)"),0)</f>
        <v>0</v>
      </c>
      <c r="K99" s="39">
        <f ca="1">IFERROR(__xludf.DUMMYFUNCTION("IF(SUM(COUNTIF(artists!E:E, SPLIT(D99, "",""))) &gt; 0, ""OTHER"", 0)"),0)</f>
        <v>0</v>
      </c>
    </row>
    <row r="100" spans="1:11" ht="14.25" customHeight="1">
      <c r="A100" s="21">
        <v>99</v>
      </c>
      <c r="B100" s="21">
        <v>98</v>
      </c>
      <c r="C100" s="21" t="s">
        <v>1601</v>
      </c>
      <c r="D100" s="21" t="s">
        <v>1602</v>
      </c>
      <c r="E100" s="21">
        <v>13</v>
      </c>
      <c r="F100" s="21">
        <v>155297</v>
      </c>
      <c r="G100" s="42">
        <v>-2.4E-2</v>
      </c>
      <c r="H100" s="21" t="s">
        <v>1603</v>
      </c>
      <c r="I100" s="39">
        <f ca="1">IFERROR(__xludf.DUMMYFUNCTION("IF(SUM(COUNTIF(artists!A:A, SPLIT(D100, "",""))) &gt; 0, ""UA"", 0)"),0)</f>
        <v>0</v>
      </c>
      <c r="J100" s="40" t="str">
        <f ca="1">IFERROR(__xludf.DUMMYFUNCTION("IF(SUM(COUNTIF(artists!C:C, SPLIT(D100, "",""))) &gt; 0, ""RU"", 0)"),"RU")</f>
        <v>RU</v>
      </c>
      <c r="K100" s="39">
        <f ca="1">IFERROR(__xludf.DUMMYFUNCTION("IF(SUM(COUNTIF(artists!E:E, SPLIT(D100, "",""))) &gt; 0, ""OTHER"", 0)"),0)</f>
        <v>0</v>
      </c>
    </row>
    <row r="101" spans="1:11" ht="14.25" customHeight="1">
      <c r="A101" s="21">
        <v>100</v>
      </c>
      <c r="B101" s="21">
        <v>96</v>
      </c>
      <c r="C101" s="21" t="s">
        <v>1611</v>
      </c>
      <c r="D101" s="21" t="s">
        <v>1612</v>
      </c>
      <c r="E101" s="21">
        <v>4</v>
      </c>
      <c r="F101" s="21">
        <v>154607</v>
      </c>
      <c r="G101" s="42">
        <v>-4.2999999999999997E-2</v>
      </c>
      <c r="H101" s="21" t="s">
        <v>1613</v>
      </c>
      <c r="I101" s="39" t="str">
        <f ca="1">IFERROR(__xludf.DUMMYFUNCTION("IF(SUM(COUNTIF(artists!A:A, SPLIT(D101, "",""))) &gt; 0, ""UA"", 0)"),"UA")</f>
        <v>UA</v>
      </c>
      <c r="J101" s="40">
        <f ca="1">IFERROR(__xludf.DUMMYFUNCTION("IF(SUM(COUNTIF(artists!C:C, SPLIT(D101, "",""))) &gt; 0, ""RU"", 0)"),0)</f>
        <v>0</v>
      </c>
      <c r="K101" s="39">
        <f ca="1">IFERROR(__xludf.DUMMYFUNCTION("IF(SUM(COUNTIF(artists!E:E, SPLIT(D101, "",""))) &gt; 0, ""OTHER"", 0)"),0)</f>
        <v>0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35" priority="1">
      <formula>AND($I2=0, $J2=0, $K2=0)</formula>
    </cfRule>
    <cfRule type="expression" dxfId="34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Аркуш46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4" width="8.6640625" customWidth="1"/>
    <col min="5" max="5" width="8.6640625" hidden="1" customWidth="1"/>
    <col min="6" max="6" width="8.6640625" customWidth="1"/>
    <col min="7" max="7" width="13.10937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B2" s="21">
        <v>1</v>
      </c>
      <c r="C2" s="21" t="s">
        <v>194</v>
      </c>
      <c r="D2" s="21" t="s">
        <v>195</v>
      </c>
      <c r="E2" s="21">
        <v>2</v>
      </c>
      <c r="F2" s="21">
        <v>1999189</v>
      </c>
      <c r="G2" s="42">
        <v>-0.13500000000000001</v>
      </c>
      <c r="H2" s="21" t="s">
        <v>197</v>
      </c>
      <c r="I2" s="39" t="str">
        <f ca="1">IFERROR(__xludf.DUMMYFUNCTION("IF(SUM(COUNTIF(artists!A:A, SPLIT(D2, "",""))) &gt; 0, ""UA"", 0)"),"UA")</f>
        <v>UA</v>
      </c>
      <c r="J2" s="40">
        <f ca="1">IFERROR(__xludf.DUMMYFUNCTION("IF(SUM(COUNTIF(artists!C:C, SPLIT(D2, "",""))) &gt; 0, ""RU"", 0)"),0)</f>
        <v>0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B3" s="21">
        <v>3</v>
      </c>
      <c r="C3" s="21" t="s">
        <v>1496</v>
      </c>
      <c r="D3" s="21" t="s">
        <v>969</v>
      </c>
      <c r="E3" s="21">
        <v>49</v>
      </c>
      <c r="F3" s="21">
        <v>1669089</v>
      </c>
      <c r="G3" s="42">
        <v>0.13900000000000001</v>
      </c>
      <c r="H3" s="21" t="s">
        <v>1497</v>
      </c>
      <c r="I3" s="39" t="str">
        <f ca="1">IFERROR(__xludf.DUMMYFUNCTION("IF(SUM(COUNTIF(artists!A:A, SPLIT(D3, "",""))) &gt; 0, ""UA"", 0)"),"UA")</f>
        <v>UA</v>
      </c>
      <c r="J3" s="40">
        <f ca="1">IFERROR(__xludf.DUMMYFUNCTION("IF(SUM(COUNTIF(artists!C:C, SPLIT(D3, "",""))) &gt; 0, ""RU"", 0)"),0)</f>
        <v>0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B4" s="21">
        <v>2</v>
      </c>
      <c r="C4" s="21" t="s">
        <v>1508</v>
      </c>
      <c r="D4" s="21" t="s">
        <v>776</v>
      </c>
      <c r="E4" s="21">
        <v>3</v>
      </c>
      <c r="F4" s="21">
        <v>1621874</v>
      </c>
      <c r="G4" s="42">
        <v>-2E-3</v>
      </c>
      <c r="H4" s="21" t="s">
        <v>1509</v>
      </c>
      <c r="I4" s="39" t="str">
        <f ca="1">IFERROR(__xludf.DUMMYFUNCTION("IF(SUM(COUNTIF(artists!A:A, SPLIT(D4, "",""))) &gt; 0, ""UA"", 0)"),"UA")</f>
        <v>UA</v>
      </c>
      <c r="J4" s="40">
        <f ca="1">IFERROR(__xludf.DUMMYFUNCTION("IF(SUM(COUNTIF(artists!C:C, SPLIT(D4, "",""))) &gt; 0, ""RU"", 0)"),0)</f>
        <v>0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B5" s="21">
        <v>4</v>
      </c>
      <c r="C5" s="21" t="s">
        <v>1668</v>
      </c>
      <c r="D5" s="21" t="s">
        <v>1358</v>
      </c>
      <c r="E5" s="21">
        <v>4</v>
      </c>
      <c r="F5" s="21">
        <v>1279931</v>
      </c>
      <c r="G5" s="42">
        <v>-3.3000000000000002E-2</v>
      </c>
      <c r="H5" s="21" t="s">
        <v>1669</v>
      </c>
      <c r="I5" s="39" t="str">
        <f ca="1">IFERROR(__xludf.DUMMYFUNCTION("IF(SUM(COUNTIF(artists!A:A, SPLIT(D5, "",""))) &gt; 0, ""UA"", 0)"),"UA")</f>
        <v>UA</v>
      </c>
      <c r="J5" s="40">
        <f ca="1">IFERROR(__xludf.DUMMYFUNCTION("IF(SUM(COUNTIF(artists!C:C, SPLIT(D5, "",""))) &gt; 0, ""RU"", 0)"),0)</f>
        <v>0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B6" s="21">
        <v>5</v>
      </c>
      <c r="C6" s="21" t="s">
        <v>645</v>
      </c>
      <c r="D6" s="21" t="s">
        <v>352</v>
      </c>
      <c r="E6" s="21">
        <v>12</v>
      </c>
      <c r="F6" s="21">
        <v>1070860</v>
      </c>
      <c r="G6" s="42">
        <v>2.4E-2</v>
      </c>
      <c r="H6" s="21" t="s">
        <v>647</v>
      </c>
      <c r="I6" s="39" t="str">
        <f ca="1">IFERROR(__xludf.DUMMYFUNCTION("IF(SUM(COUNTIF(artists!A:A, SPLIT(D6, "",""))) &gt; 0, ""UA"", 0)"),"UA")</f>
        <v>UA</v>
      </c>
      <c r="J6" s="40">
        <f ca="1">IFERROR(__xludf.DUMMYFUNCTION("IF(SUM(COUNTIF(artists!C:C, SPLIT(D6, "",""))) &gt; 0, ""RU"", 0)"),0)</f>
        <v>0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B7" s="21">
        <v>6</v>
      </c>
      <c r="C7" s="21" t="s">
        <v>895</v>
      </c>
      <c r="D7" s="21" t="s">
        <v>896</v>
      </c>
      <c r="E7" s="21">
        <v>11</v>
      </c>
      <c r="F7" s="21">
        <v>1065876</v>
      </c>
      <c r="G7" s="42">
        <v>3.7999999999999999E-2</v>
      </c>
      <c r="H7" s="21" t="s">
        <v>897</v>
      </c>
      <c r="I7" s="39" t="str">
        <f ca="1">IFERROR(__xludf.DUMMYFUNCTION("IF(SUM(COUNTIF(artists!A:A, SPLIT(D7, "",""))) &gt; 0, ""UA"", 0)"),"UA")</f>
        <v>UA</v>
      </c>
      <c r="J7" s="40">
        <f ca="1">IFERROR(__xludf.DUMMYFUNCTION("IF(SUM(COUNTIF(artists!C:C, SPLIT(D7, "",""))) &gt; 0, ""RU"", 0)"),0)</f>
        <v>0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C8" s="21" t="s">
        <v>1759</v>
      </c>
      <c r="D8" s="21" t="s">
        <v>409</v>
      </c>
      <c r="E8" s="21">
        <v>1</v>
      </c>
      <c r="F8" s="21">
        <v>823628</v>
      </c>
      <c r="H8" s="21" t="s">
        <v>1760</v>
      </c>
      <c r="I8" s="39" t="str">
        <f ca="1">IFERROR(__xludf.DUMMYFUNCTION("IF(SUM(COUNTIF(artists!A:A, SPLIT(D8, "",""))) &gt; 0, ""UA"", 0)"),"UA")</f>
        <v>UA</v>
      </c>
      <c r="J8" s="40">
        <f ca="1">IFERROR(__xludf.DUMMYFUNCTION("IF(SUM(COUNTIF(artists!C:C, SPLIT(D8, "",""))) &gt; 0, ""RU"", 0)"),0)</f>
        <v>0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C9" s="21" t="s">
        <v>1332</v>
      </c>
      <c r="D9" s="21" t="s">
        <v>1333</v>
      </c>
      <c r="E9" s="21">
        <v>1</v>
      </c>
      <c r="F9" s="21">
        <v>787183</v>
      </c>
      <c r="H9" s="21" t="s">
        <v>1334</v>
      </c>
      <c r="I9" s="39" t="str">
        <f ca="1">IFERROR(__xludf.DUMMYFUNCTION("IF(SUM(COUNTIF(artists!A:A, SPLIT(D9, "",""))) &gt; 0, ""UA"", 0)"),"UA")</f>
        <v>UA</v>
      </c>
      <c r="J9" s="40">
        <f ca="1">IFERROR(__xludf.DUMMYFUNCTION("IF(SUM(COUNTIF(artists!C:C, SPLIT(D9, "",""))) &gt; 0, ""RU"", 0)"),0)</f>
        <v>0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B10" s="21">
        <v>9</v>
      </c>
      <c r="C10" s="21" t="s">
        <v>1383</v>
      </c>
      <c r="D10" s="21" t="s">
        <v>463</v>
      </c>
      <c r="E10" s="21">
        <v>4</v>
      </c>
      <c r="F10" s="21">
        <v>683276</v>
      </c>
      <c r="G10" s="42">
        <v>0.10299999999999999</v>
      </c>
      <c r="H10" s="21" t="s">
        <v>1384</v>
      </c>
      <c r="I10" s="39" t="str">
        <f ca="1">IFERROR(__xludf.DUMMYFUNCTION("IF(SUM(COUNTIF(artists!A:A, SPLIT(D10, "",""))) &gt; 0, ""UA"", 0)"),"UA")</f>
        <v>UA</v>
      </c>
      <c r="J10" s="40">
        <f ca="1">IFERROR(__xludf.DUMMYFUNCTION("IF(SUM(COUNTIF(artists!C:C, SPLIT(D10, "",""))) &gt; 0, ""RU"", 0)"),0)</f>
        <v>0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B11" s="21">
        <v>28</v>
      </c>
      <c r="C11" s="21" t="s">
        <v>1737</v>
      </c>
      <c r="D11" s="21" t="s">
        <v>1042</v>
      </c>
      <c r="E11" s="21">
        <v>2</v>
      </c>
      <c r="F11" s="21">
        <v>662185</v>
      </c>
      <c r="G11" s="42">
        <v>0.99099999999999999</v>
      </c>
      <c r="H11" s="21" t="s">
        <v>1738</v>
      </c>
      <c r="I11" s="39">
        <f ca="1">IFERROR(__xludf.DUMMYFUNCTION("IF(SUM(COUNTIF(artists!A:A, SPLIT(D11, "",""))) &gt; 0, ""UA"", 0)"),0)</f>
        <v>0</v>
      </c>
      <c r="J11" s="40" t="str">
        <f ca="1">IFERROR(__xludf.DUMMYFUNCTION("IF(SUM(COUNTIF(artists!C:C, SPLIT(D11, "",""))) &gt; 0, ""RU"", 0)"),"RU")</f>
        <v>RU</v>
      </c>
      <c r="K11" s="39">
        <f ca="1">IFERROR(__xludf.DUMMYFUNCTION("IF(SUM(COUNTIF(artists!E:E, SPLIT(D11, "",""))) &gt; 0, ""OTHER"", 0)"),0)</f>
        <v>0</v>
      </c>
    </row>
    <row r="12" spans="1:11" ht="14.25" customHeight="1">
      <c r="A12" s="21">
        <v>11</v>
      </c>
      <c r="B12" s="21">
        <v>21</v>
      </c>
      <c r="C12" s="21" t="s">
        <v>1471</v>
      </c>
      <c r="D12" s="21" t="s">
        <v>1472</v>
      </c>
      <c r="E12" s="21">
        <v>8</v>
      </c>
      <c r="F12" s="21">
        <v>636686</v>
      </c>
      <c r="G12" s="42">
        <v>0.68400000000000005</v>
      </c>
      <c r="H12" s="21" t="s">
        <v>1473</v>
      </c>
      <c r="I12" s="39" t="str">
        <f ca="1">IFERROR(__xludf.DUMMYFUNCTION("IF(SUM(COUNTIF(artists!A:A, SPLIT(D12, "",""))) &gt; 0, ""UA"", 0)"),"UA")</f>
        <v>UA</v>
      </c>
      <c r="J12" s="40">
        <f ca="1">IFERROR(__xludf.DUMMYFUNCTION("IF(SUM(COUNTIF(artists!C:C, SPLIT(D12, "",""))) &gt; 0, ""RU"", 0)"),0)</f>
        <v>0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B13" s="21">
        <v>8</v>
      </c>
      <c r="C13" s="21" t="s">
        <v>799</v>
      </c>
      <c r="D13" s="21" t="s">
        <v>494</v>
      </c>
      <c r="E13" s="21">
        <v>8</v>
      </c>
      <c r="F13" s="21">
        <v>609451</v>
      </c>
      <c r="G13" s="42">
        <v>-4.3999999999999997E-2</v>
      </c>
      <c r="H13" s="21" t="s">
        <v>800</v>
      </c>
      <c r="I13" s="39" t="str">
        <f ca="1">IFERROR(__xludf.DUMMYFUNCTION("IF(SUM(COUNTIF(artists!A:A, SPLIT(D13, "",""))) &gt; 0, ""UA"", 0)"),"UA")</f>
        <v>UA</v>
      </c>
      <c r="J13" s="40">
        <f ca="1">IFERROR(__xludf.DUMMYFUNCTION("IF(SUM(COUNTIF(artists!C:C, SPLIT(D13, "",""))) &gt; 0, ""RU"", 0)"),0)</f>
        <v>0</v>
      </c>
      <c r="K13" s="39">
        <f ca="1">IFERROR(__xludf.DUMMYFUNCTION("IF(SUM(COUNTIF(artists!E:E, SPLIT(D13, "",""))) &gt; 0, ""OTHER"", 0)"),0)</f>
        <v>0</v>
      </c>
    </row>
    <row r="14" spans="1:11" ht="14.25" customHeight="1">
      <c r="A14" s="21">
        <v>13</v>
      </c>
      <c r="B14" s="21">
        <v>11</v>
      </c>
      <c r="C14" s="21" t="s">
        <v>909</v>
      </c>
      <c r="D14" s="21" t="s">
        <v>910</v>
      </c>
      <c r="E14" s="21">
        <v>9</v>
      </c>
      <c r="F14" s="21">
        <v>595048</v>
      </c>
      <c r="G14" s="42">
        <v>5.3999999999999999E-2</v>
      </c>
      <c r="H14" s="21" t="s">
        <v>911</v>
      </c>
      <c r="I14" s="39" t="str">
        <f ca="1">IFERROR(__xludf.DUMMYFUNCTION("IF(SUM(COUNTIF(artists!A:A, SPLIT(D14, "",""))) &gt; 0, ""UA"", 0)"),"UA")</f>
        <v>UA</v>
      </c>
      <c r="J14" s="40">
        <f ca="1">IFERROR(__xludf.DUMMYFUNCTION("IF(SUM(COUNTIF(artists!C:C, SPLIT(D14, "",""))) &gt; 0, ""RU"", 0)"),0)</f>
        <v>0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B15" s="21">
        <v>10</v>
      </c>
      <c r="C15" s="21" t="s">
        <v>1263</v>
      </c>
      <c r="D15" s="21" t="s">
        <v>1264</v>
      </c>
      <c r="E15" s="21">
        <v>25</v>
      </c>
      <c r="F15" s="21">
        <v>580032</v>
      </c>
      <c r="G15" s="43">
        <v>0.02</v>
      </c>
      <c r="H15" s="21" t="s">
        <v>1265</v>
      </c>
      <c r="I15" s="39">
        <f ca="1">IFERROR(__xludf.DUMMYFUNCTION("IF(SUM(COUNTIF(artists!A:A, SPLIT(D15, "",""))) &gt; 0, ""UA"", 0)"),0)</f>
        <v>0</v>
      </c>
      <c r="J15" s="40" t="str">
        <f ca="1">IFERROR(__xludf.DUMMYFUNCTION("IF(SUM(COUNTIF(artists!C:C, SPLIT(D15, "",""))) &gt; 0, ""RU"", 0)"),"RU")</f>
        <v>RU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B16" s="21">
        <v>7</v>
      </c>
      <c r="C16" s="21" t="s">
        <v>1657</v>
      </c>
      <c r="D16" s="21" t="s">
        <v>837</v>
      </c>
      <c r="E16" s="21">
        <v>3</v>
      </c>
      <c r="F16" s="21">
        <v>549081</v>
      </c>
      <c r="G16" s="42">
        <v>-0.24299999999999999</v>
      </c>
      <c r="H16" s="21" t="s">
        <v>1658</v>
      </c>
      <c r="I16" s="39" t="str">
        <f ca="1">IFERROR(__xludf.DUMMYFUNCTION("IF(SUM(COUNTIF(artists!A:A, SPLIT(D16, "",""))) &gt; 0, ""UA"", 0)"),"UA")</f>
        <v>UA</v>
      </c>
      <c r="J16" s="40">
        <f ca="1">IFERROR(__xludf.DUMMYFUNCTION("IF(SUM(COUNTIF(artists!C:C, SPLIT(D16, "",""))) &gt; 0, ""RU"", 0)"),0)</f>
        <v>0</v>
      </c>
      <c r="K16" s="39">
        <f ca="1">IFERROR(__xludf.DUMMYFUNCTION("IF(SUM(COUNTIF(artists!E:E, SPLIT(D16, "",""))) &gt; 0, ""OTHER"", 0)"),0)</f>
        <v>0</v>
      </c>
    </row>
    <row r="17" spans="1:11" ht="14.25" customHeight="1">
      <c r="A17" s="21">
        <v>16</v>
      </c>
      <c r="B17" s="21">
        <v>12</v>
      </c>
      <c r="C17" s="21" t="s">
        <v>1436</v>
      </c>
      <c r="D17" s="21" t="s">
        <v>896</v>
      </c>
      <c r="E17" s="21">
        <v>6</v>
      </c>
      <c r="F17" s="21">
        <v>518334</v>
      </c>
      <c r="G17" s="42">
        <v>4.5999999999999999E-2</v>
      </c>
      <c r="H17" s="21" t="s">
        <v>1437</v>
      </c>
      <c r="I17" s="39" t="str">
        <f ca="1">IFERROR(__xludf.DUMMYFUNCTION("IF(SUM(COUNTIF(artists!A:A, SPLIT(D17, "",""))) &gt; 0, ""UA"", 0)"),"UA")</f>
        <v>UA</v>
      </c>
      <c r="J17" s="40">
        <f ca="1">IFERROR(__xludf.DUMMYFUNCTION("IF(SUM(COUNTIF(artists!C:C, SPLIT(D17, "",""))) &gt; 0, ""RU"", 0)"),0)</f>
        <v>0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B18" s="21">
        <v>30</v>
      </c>
      <c r="C18" s="21" t="s">
        <v>1683</v>
      </c>
      <c r="D18" s="21" t="s">
        <v>1596</v>
      </c>
      <c r="E18" s="21">
        <v>2</v>
      </c>
      <c r="F18" s="21">
        <v>494988</v>
      </c>
      <c r="G18" s="42">
        <v>0.52500000000000002</v>
      </c>
      <c r="H18" s="21" t="s">
        <v>1684</v>
      </c>
      <c r="I18" s="39" t="str">
        <f ca="1">IFERROR(__xludf.DUMMYFUNCTION("IF(SUM(COUNTIF(artists!A:A, SPLIT(D18, "",""))) &gt; 0, ""UA"", 0)"),"UA")</f>
        <v>UA</v>
      </c>
      <c r="J18" s="40">
        <f ca="1">IFERROR(__xludf.DUMMYFUNCTION("IF(SUM(COUNTIF(artists!C:C, SPLIT(D18, "",""))) &gt; 0, ""RU"", 0)"),0)</f>
        <v>0</v>
      </c>
      <c r="K18" s="39">
        <f ca="1">IFERROR(__xludf.DUMMYFUNCTION("IF(SUM(COUNTIF(artists!E:E, SPLIT(D18, "",""))) &gt; 0, ""OTHER"", 0)"),0)</f>
        <v>0</v>
      </c>
    </row>
    <row r="19" spans="1:11" ht="14.25" customHeight="1">
      <c r="A19" s="21">
        <v>18</v>
      </c>
      <c r="B19" s="21">
        <v>13</v>
      </c>
      <c r="C19" s="21" t="s">
        <v>1463</v>
      </c>
      <c r="D19" s="21" t="s">
        <v>1344</v>
      </c>
      <c r="E19" s="21">
        <v>7</v>
      </c>
      <c r="F19" s="21">
        <v>449517</v>
      </c>
      <c r="G19" s="42">
        <v>-8.7999999999999995E-2</v>
      </c>
      <c r="H19" s="21" t="s">
        <v>1464</v>
      </c>
      <c r="I19" s="39" t="str">
        <f ca="1">IFERROR(__xludf.DUMMYFUNCTION("IF(SUM(COUNTIF(artists!A:A, SPLIT(D19, "",""))) &gt; 0, ""UA"", 0)"),"UA")</f>
        <v>UA</v>
      </c>
      <c r="J19" s="40">
        <f ca="1">IFERROR(__xludf.DUMMYFUNCTION("IF(SUM(COUNTIF(artists!C:C, SPLIT(D19, "",""))) &gt; 0, ""RU"", 0)"),0)</f>
        <v>0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C20" s="21" t="s">
        <v>1182</v>
      </c>
      <c r="D20" s="21" t="s">
        <v>466</v>
      </c>
      <c r="E20" s="21">
        <v>1</v>
      </c>
      <c r="F20" s="21">
        <v>425608</v>
      </c>
      <c r="H20" s="21" t="s">
        <v>1183</v>
      </c>
      <c r="I20" s="39" t="str">
        <f ca="1">IFERROR(__xludf.DUMMYFUNCTION("IF(SUM(COUNTIF(artists!A:A, SPLIT(D20, "",""))) &gt; 0, ""UA"", 0)"),"UA")</f>
        <v>UA</v>
      </c>
      <c r="J20" s="40">
        <f ca="1">IFERROR(__xludf.DUMMYFUNCTION("IF(SUM(COUNTIF(artists!C:C, SPLIT(D20, "",""))) &gt; 0, ""RU"", 0)"),0)</f>
        <v>0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B21" s="21">
        <v>16</v>
      </c>
      <c r="C21" s="21" t="s">
        <v>1575</v>
      </c>
      <c r="D21" s="21" t="s">
        <v>945</v>
      </c>
      <c r="E21" s="21">
        <v>5</v>
      </c>
      <c r="F21" s="21">
        <v>405591</v>
      </c>
      <c r="G21" s="42">
        <v>-8.3000000000000004E-2</v>
      </c>
      <c r="H21" s="21" t="s">
        <v>1576</v>
      </c>
      <c r="I21" s="39" t="str">
        <f ca="1">IFERROR(__xludf.DUMMYFUNCTION("IF(SUM(COUNTIF(artists!A:A, SPLIT(D21, "",""))) &gt; 0, ""UA"", 0)"),"UA")</f>
        <v>UA</v>
      </c>
      <c r="J21" s="40">
        <f ca="1">IFERROR(__xludf.DUMMYFUNCTION("IF(SUM(COUNTIF(artists!C:C, SPLIT(D21, "",""))) &gt; 0, ""RU"", 0)"),0)</f>
        <v>0</v>
      </c>
      <c r="K21" s="39">
        <f ca="1">IFERROR(__xludf.DUMMYFUNCTION("IF(SUM(COUNTIF(artists!E:E, SPLIT(D21, "",""))) &gt; 0, ""OTHER"", 0)"),0)</f>
        <v>0</v>
      </c>
    </row>
    <row r="22" spans="1:11" ht="14.25" customHeight="1">
      <c r="A22" s="21">
        <v>21</v>
      </c>
      <c r="B22" s="21">
        <v>26</v>
      </c>
      <c r="C22" s="21" t="s">
        <v>1480</v>
      </c>
      <c r="D22" s="21" t="s">
        <v>1481</v>
      </c>
      <c r="E22" s="21">
        <v>4</v>
      </c>
      <c r="F22" s="21">
        <v>385036</v>
      </c>
      <c r="G22" s="42">
        <v>0.114</v>
      </c>
      <c r="H22" s="21" t="s">
        <v>1482</v>
      </c>
      <c r="I22" s="39" t="str">
        <f ca="1">IFERROR(__xludf.DUMMYFUNCTION("IF(SUM(COUNTIF(artists!A:A, SPLIT(D22, "",""))) &gt; 0, ""UA"", 0)"),"UA")</f>
        <v>UA</v>
      </c>
      <c r="J22" s="40">
        <f ca="1">IFERROR(__xludf.DUMMYFUNCTION("IF(SUM(COUNTIF(artists!C:C, SPLIT(D22, "",""))) &gt; 0, ""RU"", 0)"),0)</f>
        <v>0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B23" s="21">
        <v>23</v>
      </c>
      <c r="C23" s="21" t="s">
        <v>935</v>
      </c>
      <c r="D23" s="21" t="s">
        <v>936</v>
      </c>
      <c r="E23" s="21">
        <v>26</v>
      </c>
      <c r="F23" s="21">
        <v>381985</v>
      </c>
      <c r="G23" s="42">
        <v>1.6E-2</v>
      </c>
      <c r="H23" s="21" t="s">
        <v>937</v>
      </c>
      <c r="I23" s="39">
        <f ca="1">IFERROR(__xludf.DUMMYFUNCTION("IF(SUM(COUNTIF(artists!A:A, SPLIT(D23, "",""))) &gt; 0, ""UA"", 0)"),0)</f>
        <v>0</v>
      </c>
      <c r="J23" s="40" t="str">
        <f ca="1">IFERROR(__xludf.DUMMYFUNCTION("IF(SUM(COUNTIF(artists!C:C, SPLIT(D23, "",""))) &gt; 0, ""RU"", 0)"),"RU")</f>
        <v>RU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B24" s="21">
        <v>15</v>
      </c>
      <c r="C24" s="21" t="s">
        <v>31</v>
      </c>
      <c r="D24" s="21" t="s">
        <v>32</v>
      </c>
      <c r="E24" s="21">
        <v>4</v>
      </c>
      <c r="F24" s="21">
        <v>373763</v>
      </c>
      <c r="G24" s="42">
        <v>-0.217</v>
      </c>
      <c r="H24" s="21" t="s">
        <v>1630</v>
      </c>
      <c r="I24" s="39" t="s">
        <v>77</v>
      </c>
      <c r="J24" s="40">
        <f ca="1">IFERROR(__xludf.DUMMYFUNCTION("IF(SUM(COUNTIF(artists!C:C, SPLIT(D24, "",""))) &gt; 0, ""RU"", 0)"),0)</f>
        <v>0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B25" s="21">
        <v>24</v>
      </c>
      <c r="C25" s="21" t="s">
        <v>1354</v>
      </c>
      <c r="D25" s="21" t="s">
        <v>1355</v>
      </c>
      <c r="E25" s="21">
        <v>29</v>
      </c>
      <c r="F25" s="21">
        <v>366378</v>
      </c>
      <c r="G25" s="43">
        <v>0.01</v>
      </c>
      <c r="H25" s="21" t="s">
        <v>1356</v>
      </c>
      <c r="I25" s="39" t="str">
        <f ca="1">IFERROR(__xludf.DUMMYFUNCTION("IF(SUM(COUNTIF(artists!A:A, SPLIT(D25, "",""))) &gt; 0, ""UA"", 0)"),"UA")</f>
        <v>UA</v>
      </c>
      <c r="J25" s="40">
        <f ca="1">IFERROR(__xludf.DUMMYFUNCTION("IF(SUM(COUNTIF(artists!C:C, SPLIT(D25, "",""))) &gt; 0, ""RU"", 0)"),0)</f>
        <v>0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B26" s="21">
        <v>25</v>
      </c>
      <c r="C26" s="21" t="s">
        <v>887</v>
      </c>
      <c r="D26" s="21" t="s">
        <v>89</v>
      </c>
      <c r="E26" s="21">
        <v>6</v>
      </c>
      <c r="F26" s="21">
        <v>364318</v>
      </c>
      <c r="G26" s="42">
        <v>2.1000000000000001E-2</v>
      </c>
      <c r="H26" s="21" t="s">
        <v>888</v>
      </c>
      <c r="I26" s="39" t="str">
        <f ca="1">IFERROR(__xludf.DUMMYFUNCTION("IF(SUM(COUNTIF(artists!A:A, SPLIT(D26, "",""))) &gt; 0, ""UA"", 0)"),"UA")</f>
        <v>UA</v>
      </c>
      <c r="J26" s="40">
        <f ca="1">IFERROR(__xludf.DUMMYFUNCTION("IF(SUM(COUNTIF(artists!C:C, SPLIT(D26, "",""))) &gt; 0, ""RU"", 0)"),0)</f>
        <v>0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B27" s="21">
        <v>18</v>
      </c>
      <c r="C27" s="21" t="s">
        <v>918</v>
      </c>
      <c r="D27" s="21" t="s">
        <v>108</v>
      </c>
      <c r="E27" s="21">
        <v>35</v>
      </c>
      <c r="F27" s="21">
        <v>359536</v>
      </c>
      <c r="G27" s="42">
        <v>-0.106</v>
      </c>
      <c r="H27" s="21" t="s">
        <v>919</v>
      </c>
      <c r="I27" s="39" t="str">
        <f ca="1">IFERROR(__xludf.DUMMYFUNCTION("IF(SUM(COUNTIF(artists!A:A, SPLIT(D27, "",""))) &gt; 0, ""UA"", 0)"),"UA")</f>
        <v>UA</v>
      </c>
      <c r="J27" s="40">
        <f ca="1">IFERROR(__xludf.DUMMYFUNCTION("IF(SUM(COUNTIF(artists!C:C, SPLIT(D27, "",""))) &gt; 0, ""RU"", 0)"),0)</f>
        <v>0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B28" s="21">
        <v>31</v>
      </c>
      <c r="C28" s="21" t="s">
        <v>1325</v>
      </c>
      <c r="D28" s="21" t="s">
        <v>1237</v>
      </c>
      <c r="E28" s="21">
        <v>49</v>
      </c>
      <c r="F28" s="21">
        <v>352814</v>
      </c>
      <c r="G28" s="42">
        <v>9.1999999999999998E-2</v>
      </c>
      <c r="H28" s="21" t="s">
        <v>1326</v>
      </c>
      <c r="I28" s="39">
        <f ca="1">IFERROR(__xludf.DUMMYFUNCTION("IF(SUM(COUNTIF(artists!A:A, SPLIT(D28, "",""))) &gt; 0, ""UA"", 0)"),0)</f>
        <v>0</v>
      </c>
      <c r="J28" s="40" t="str">
        <f ca="1">IFERROR(__xludf.DUMMYFUNCTION("IF(SUM(COUNTIF(artists!C:C, SPLIT(D28, "",""))) &gt; 0, ""RU"", 0)"),"RU")</f>
        <v>RU</v>
      </c>
      <c r="K28" s="39">
        <f ca="1">IFERROR(__xludf.DUMMYFUNCTION("IF(SUM(COUNTIF(artists!E:E, SPLIT(D28, "",""))) &gt; 0, ""OTHER"", 0)"),0)</f>
        <v>0</v>
      </c>
    </row>
    <row r="29" spans="1:11" ht="14.25" customHeight="1">
      <c r="A29" s="21">
        <v>28</v>
      </c>
      <c r="B29" s="21">
        <v>35</v>
      </c>
      <c r="C29" s="21" t="s">
        <v>1290</v>
      </c>
      <c r="D29" s="21" t="s">
        <v>942</v>
      </c>
      <c r="E29" s="21">
        <v>3</v>
      </c>
      <c r="F29" s="21">
        <v>350253</v>
      </c>
      <c r="G29" s="42">
        <v>0.22500000000000001</v>
      </c>
      <c r="H29" s="21" t="s">
        <v>1291</v>
      </c>
      <c r="I29" s="39" t="str">
        <f ca="1">IFERROR(__xludf.DUMMYFUNCTION("IF(SUM(COUNTIF(artists!A:A, SPLIT(D29, "",""))) &gt; 0, ""UA"", 0)"),"UA")</f>
        <v>UA</v>
      </c>
      <c r="J29" s="40">
        <f ca="1">IFERROR(__xludf.DUMMYFUNCTION("IF(SUM(COUNTIF(artists!C:C, SPLIT(D29, "",""))) &gt; 0, ""RU"", 0)"),0)</f>
        <v>0</v>
      </c>
      <c r="K29" s="39">
        <f ca="1">IFERROR(__xludf.DUMMYFUNCTION("IF(SUM(COUNTIF(artists!E:E, SPLIT(D29, "",""))) &gt; 0, ""OTHER"", 0)"),0)</f>
        <v>0</v>
      </c>
    </row>
    <row r="30" spans="1:11" ht="14.25" customHeight="1">
      <c r="A30" s="21">
        <v>29</v>
      </c>
      <c r="B30" s="21">
        <v>22</v>
      </c>
      <c r="C30" s="21" t="s">
        <v>1487</v>
      </c>
      <c r="D30" s="21" t="s">
        <v>409</v>
      </c>
      <c r="E30" s="21">
        <v>9</v>
      </c>
      <c r="F30" s="21">
        <v>346470</v>
      </c>
      <c r="G30" s="42">
        <v>-7.9000000000000001E-2</v>
      </c>
      <c r="H30" s="21" t="s">
        <v>1488</v>
      </c>
      <c r="I30" s="39" t="str">
        <f ca="1">IFERROR(__xludf.DUMMYFUNCTION("IF(SUM(COUNTIF(artists!A:A, SPLIT(D30, "",""))) &gt; 0, ""UA"", 0)"),"UA")</f>
        <v>UA</v>
      </c>
      <c r="J30" s="40">
        <f ca="1">IFERROR(__xludf.DUMMYFUNCTION("IF(SUM(COUNTIF(artists!C:C, SPLIT(D30, "",""))) &gt; 0, ""RU"", 0)"),0)</f>
        <v>0</v>
      </c>
      <c r="K30" s="39">
        <f ca="1">IFERROR(__xludf.DUMMYFUNCTION("IF(SUM(COUNTIF(artists!E:E, SPLIT(D30, "",""))) &gt; 0, ""OTHER"", 0)"),0)</f>
        <v>0</v>
      </c>
    </row>
    <row r="31" spans="1:11" ht="14.25" customHeight="1">
      <c r="A31" s="21">
        <v>30</v>
      </c>
      <c r="B31" s="21">
        <v>20</v>
      </c>
      <c r="C31" s="21" t="s">
        <v>1500</v>
      </c>
      <c r="D31" s="21" t="s">
        <v>907</v>
      </c>
      <c r="E31" s="21">
        <v>29</v>
      </c>
      <c r="F31" s="21">
        <v>345741</v>
      </c>
      <c r="G31" s="42">
        <v>-9.4E-2</v>
      </c>
      <c r="H31" s="21" t="s">
        <v>1501</v>
      </c>
      <c r="I31" s="39">
        <f ca="1">IFERROR(__xludf.DUMMYFUNCTION("IF(SUM(COUNTIF(artists!A:A, SPLIT(D31, "",""))) &gt; 0, ""UA"", 0)"),0)</f>
        <v>0</v>
      </c>
      <c r="J31" s="40" t="str">
        <f ca="1">IFERROR(__xludf.DUMMYFUNCTION("IF(SUM(COUNTIF(artists!C:C, SPLIT(D31, "",""))) &gt; 0, ""RU"", 0)"),"RU")</f>
        <v>RU</v>
      </c>
      <c r="K31" s="39">
        <f ca="1">IFERROR(__xludf.DUMMYFUNCTION("IF(SUM(COUNTIF(artists!E:E, SPLIT(D31, "",""))) &gt; 0, ""OTHER"", 0)"),0)</f>
        <v>0</v>
      </c>
    </row>
    <row r="32" spans="1:11" ht="14.25" customHeight="1">
      <c r="A32" s="21">
        <v>31</v>
      </c>
      <c r="B32" s="21">
        <v>34</v>
      </c>
      <c r="C32" s="21" t="s">
        <v>1282</v>
      </c>
      <c r="D32" s="21" t="s">
        <v>108</v>
      </c>
      <c r="E32" s="21">
        <v>26</v>
      </c>
      <c r="F32" s="21">
        <v>325968</v>
      </c>
      <c r="G32" s="42">
        <v>0.126</v>
      </c>
      <c r="H32" s="21" t="s">
        <v>1283</v>
      </c>
      <c r="I32" s="39" t="str">
        <f ca="1">IFERROR(__xludf.DUMMYFUNCTION("IF(SUM(COUNTIF(artists!A:A, SPLIT(D32, "",""))) &gt; 0, ""UA"", 0)"),"UA")</f>
        <v>UA</v>
      </c>
      <c r="J32" s="40">
        <f ca="1">IFERROR(__xludf.DUMMYFUNCTION("IF(SUM(COUNTIF(artists!C:C, SPLIT(D32, "",""))) &gt; 0, ""RU"", 0)"),0)</f>
        <v>0</v>
      </c>
      <c r="K32" s="39">
        <f ca="1">IFERROR(__xludf.DUMMYFUNCTION("IF(SUM(COUNTIF(artists!E:E, SPLIT(D32, "",""))) &gt; 0, ""OTHER"", 0)"),0)</f>
        <v>0</v>
      </c>
    </row>
    <row r="33" spans="1:11" ht="14.25" customHeight="1">
      <c r="A33" s="21">
        <v>32</v>
      </c>
      <c r="B33" s="21">
        <v>33</v>
      </c>
      <c r="C33" s="21" t="s">
        <v>968</v>
      </c>
      <c r="D33" s="21" t="s">
        <v>969</v>
      </c>
      <c r="E33" s="21">
        <v>19</v>
      </c>
      <c r="F33" s="21">
        <v>320940</v>
      </c>
      <c r="G33" s="42">
        <v>7.9000000000000001E-2</v>
      </c>
      <c r="H33" s="21" t="s">
        <v>970</v>
      </c>
      <c r="I33" s="39" t="str">
        <f ca="1">IFERROR(__xludf.DUMMYFUNCTION("IF(SUM(COUNTIF(artists!A:A, SPLIT(D33, "",""))) &gt; 0, ""UA"", 0)"),"UA")</f>
        <v>UA</v>
      </c>
      <c r="J33" s="40">
        <f ca="1">IFERROR(__xludf.DUMMYFUNCTION("IF(SUM(COUNTIF(artists!C:C, SPLIT(D33, "",""))) &gt; 0, ""RU"", 0)"),0)</f>
        <v>0</v>
      </c>
      <c r="K33" s="39">
        <f ca="1">IFERROR(__xludf.DUMMYFUNCTION("IF(SUM(COUNTIF(artists!E:E, SPLIT(D33, "",""))) &gt; 0, ""OTHER"", 0)"),0)</f>
        <v>0</v>
      </c>
    </row>
    <row r="34" spans="1:11" ht="14.25" customHeight="1">
      <c r="A34" s="21">
        <v>33</v>
      </c>
      <c r="B34" s="21">
        <v>29</v>
      </c>
      <c r="C34" s="21" t="s">
        <v>118</v>
      </c>
      <c r="D34" s="21" t="s">
        <v>586</v>
      </c>
      <c r="E34" s="21">
        <v>9</v>
      </c>
      <c r="F34" s="21">
        <v>319279</v>
      </c>
      <c r="G34" s="42">
        <v>-1.7000000000000001E-2</v>
      </c>
      <c r="H34" s="21" t="s">
        <v>587</v>
      </c>
      <c r="I34" s="39" t="str">
        <f ca="1">IFERROR(__xludf.DUMMYFUNCTION("IF(SUM(COUNTIF(artists!A:A, SPLIT(D34, "",""))) &gt; 0, ""UA"", 0)"),"UA")</f>
        <v>UA</v>
      </c>
      <c r="J34" s="40">
        <f ca="1">IFERROR(__xludf.DUMMYFUNCTION("IF(SUM(COUNTIF(artists!C:C, SPLIT(D34, "",""))) &gt; 0, ""RU"", 0)"),0)</f>
        <v>0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B35" s="21">
        <v>36</v>
      </c>
      <c r="C35" s="21" t="s">
        <v>1116</v>
      </c>
      <c r="D35" s="21" t="s">
        <v>1117</v>
      </c>
      <c r="E35" s="21">
        <v>21</v>
      </c>
      <c r="F35" s="21">
        <v>316159</v>
      </c>
      <c r="G35" s="42">
        <v>0.121</v>
      </c>
      <c r="H35" s="21" t="s">
        <v>1118</v>
      </c>
      <c r="I35" s="39">
        <f ca="1">IFERROR(__xludf.DUMMYFUNCTION("IF(SUM(COUNTIF(artists!A:A, SPLIT(D35, "",""))) &gt; 0, ""UA"", 0)"),0)</f>
        <v>0</v>
      </c>
      <c r="J35" s="40" t="str">
        <f ca="1">IFERROR(__xludf.DUMMYFUNCTION("IF(SUM(COUNTIF(artists!C:C, SPLIT(D35, "",""))) &gt; 0, ""RU"", 0)"),"RU")</f>
        <v>RU</v>
      </c>
      <c r="K35" s="39">
        <f ca="1">IFERROR(__xludf.DUMMYFUNCTION("IF(SUM(COUNTIF(artists!E:E, SPLIT(D35, "",""))) &gt; 0, ""OTHER"", 0)"),0)</f>
        <v>0</v>
      </c>
    </row>
    <row r="36" spans="1:11" ht="14.25" customHeight="1">
      <c r="A36" s="21">
        <v>35</v>
      </c>
      <c r="B36" s="21">
        <v>27</v>
      </c>
      <c r="C36" s="21" t="s">
        <v>186</v>
      </c>
      <c r="D36" s="21" t="s">
        <v>187</v>
      </c>
      <c r="E36" s="21">
        <v>3</v>
      </c>
      <c r="F36" s="21">
        <v>312602</v>
      </c>
      <c r="G36" s="42">
        <v>-6.2E-2</v>
      </c>
      <c r="H36" s="21" t="s">
        <v>189</v>
      </c>
      <c r="I36" s="39" t="str">
        <f ca="1">IFERROR(__xludf.DUMMYFUNCTION("IF(SUM(COUNTIF(artists!A:A, SPLIT(D36, "",""))) &gt; 0, ""UA"", 0)"),"UA")</f>
        <v>UA</v>
      </c>
      <c r="J36" s="40">
        <f ca="1">IFERROR(__xludf.DUMMYFUNCTION("IF(SUM(COUNTIF(artists!C:C, SPLIT(D36, "",""))) &gt; 0, ""RU"", 0)"),0)</f>
        <v>0</v>
      </c>
      <c r="K36" s="39">
        <f ca="1">IFERROR(__xludf.DUMMYFUNCTION("IF(SUM(COUNTIF(artists!E:E, SPLIT(D36, "",""))) &gt; 0, ""OTHER"", 0)"),0)</f>
        <v>0</v>
      </c>
    </row>
    <row r="37" spans="1:11" ht="14.25" customHeight="1">
      <c r="A37" s="21">
        <v>36</v>
      </c>
      <c r="B37" s="21">
        <v>32</v>
      </c>
      <c r="C37" s="21" t="s">
        <v>493</v>
      </c>
      <c r="D37" s="21" t="s">
        <v>494</v>
      </c>
      <c r="E37" s="21">
        <v>14</v>
      </c>
      <c r="F37" s="21">
        <v>311120</v>
      </c>
      <c r="G37" s="42">
        <v>3.2000000000000001E-2</v>
      </c>
      <c r="H37" s="21" t="s">
        <v>495</v>
      </c>
      <c r="I37" s="39" t="str">
        <f ca="1">IFERROR(__xludf.DUMMYFUNCTION("IF(SUM(COUNTIF(artists!A:A, SPLIT(D37, "",""))) &gt; 0, ""UA"", 0)"),"UA")</f>
        <v>UA</v>
      </c>
      <c r="J37" s="40">
        <f ca="1">IFERROR(__xludf.DUMMYFUNCTION("IF(SUM(COUNTIF(artists!C:C, SPLIT(D37, "",""))) &gt; 0, ""RU"", 0)"),0)</f>
        <v>0</v>
      </c>
      <c r="K37" s="39">
        <f ca="1">IFERROR(__xludf.DUMMYFUNCTION("IF(SUM(COUNTIF(artists!E:E, SPLIT(D37, "",""))) &gt; 0, ""OTHER"", 0)"),0)</f>
        <v>0</v>
      </c>
    </row>
    <row r="38" spans="1:11" ht="14.25" customHeight="1">
      <c r="A38" s="21">
        <v>37</v>
      </c>
      <c r="B38" s="21">
        <v>17</v>
      </c>
      <c r="C38" s="21" t="s">
        <v>1770</v>
      </c>
      <c r="D38" s="21" t="s">
        <v>1050</v>
      </c>
      <c r="E38" s="21">
        <v>3</v>
      </c>
      <c r="F38" s="21">
        <v>307692</v>
      </c>
      <c r="G38" s="42">
        <v>-0.25700000000000001</v>
      </c>
      <c r="H38" s="21" t="s">
        <v>1771</v>
      </c>
      <c r="I38" s="39">
        <f ca="1">IFERROR(__xludf.DUMMYFUNCTION("IF(SUM(COUNTIF(artists!A:A, SPLIT(D38, "",""))) &gt; 0, ""UA"", 0)"),0)</f>
        <v>0</v>
      </c>
      <c r="J38" s="40" t="str">
        <f ca="1">IFERROR(__xludf.DUMMYFUNCTION("IF(SUM(COUNTIF(artists!C:C, SPLIT(D38, "",""))) &gt; 0, ""RU"", 0)"),"RU")</f>
        <v>RU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B39" s="21">
        <v>40</v>
      </c>
      <c r="C39" s="21" t="s">
        <v>1431</v>
      </c>
      <c r="D39" s="21" t="s">
        <v>969</v>
      </c>
      <c r="E39" s="21">
        <v>27</v>
      </c>
      <c r="F39" s="21">
        <v>306400</v>
      </c>
      <c r="G39" s="42">
        <v>0.153</v>
      </c>
      <c r="H39" s="21" t="s">
        <v>1432</v>
      </c>
      <c r="I39" s="39" t="str">
        <f ca="1">IFERROR(__xludf.DUMMYFUNCTION("IF(SUM(COUNTIF(artists!A:A, SPLIT(D39, "",""))) &gt; 0, ""UA"", 0)"),"UA")</f>
        <v>UA</v>
      </c>
      <c r="J39" s="40">
        <f ca="1">IFERROR(__xludf.DUMMYFUNCTION("IF(SUM(COUNTIF(artists!C:C, SPLIT(D39, "",""))) &gt; 0, ""RU"", 0)"),0)</f>
        <v>0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B40" s="21">
        <v>41</v>
      </c>
      <c r="C40" s="21" t="s">
        <v>253</v>
      </c>
      <c r="D40" s="21" t="s">
        <v>89</v>
      </c>
      <c r="E40" s="21">
        <v>8</v>
      </c>
      <c r="F40" s="21">
        <v>295462</v>
      </c>
      <c r="G40" s="42">
        <v>0.124</v>
      </c>
      <c r="H40" s="21" t="s">
        <v>254</v>
      </c>
      <c r="I40" s="39" t="str">
        <f ca="1">IFERROR(__xludf.DUMMYFUNCTION("IF(SUM(COUNTIF(artists!A:A, SPLIT(D40, "",""))) &gt; 0, ""UA"", 0)"),"UA")</f>
        <v>UA</v>
      </c>
      <c r="J40" s="40">
        <f ca="1">IFERROR(__xludf.DUMMYFUNCTION("IF(SUM(COUNTIF(artists!C:C, SPLIT(D40, "",""))) &gt; 0, ""RU"", 0)"),0)</f>
        <v>0</v>
      </c>
      <c r="K40" s="39">
        <f ca="1">IFERROR(__xludf.DUMMYFUNCTION("IF(SUM(COUNTIF(artists!E:E, SPLIT(D40, "",""))) &gt; 0, ""OTHER"", 0)"),0)</f>
        <v>0</v>
      </c>
    </row>
    <row r="41" spans="1:11" ht="14.25" customHeight="1">
      <c r="A41" s="21">
        <v>40</v>
      </c>
      <c r="B41" s="21">
        <v>67</v>
      </c>
      <c r="C41" s="21" t="s">
        <v>1298</v>
      </c>
      <c r="D41" s="21" t="s">
        <v>226</v>
      </c>
      <c r="E41" s="21">
        <v>5</v>
      </c>
      <c r="F41" s="21">
        <v>289288</v>
      </c>
      <c r="G41" s="42">
        <v>0.43099999999999999</v>
      </c>
      <c r="H41" s="21" t="s">
        <v>1299</v>
      </c>
      <c r="I41" s="39" t="str">
        <f ca="1">IFERROR(__xludf.DUMMYFUNCTION("IF(SUM(COUNTIF(artists!A:A, SPLIT(D41, "",""))) &gt; 0, ""UA"", 0)"),"UA")</f>
        <v>UA</v>
      </c>
      <c r="J41" s="40">
        <f ca="1">IFERROR(__xludf.DUMMYFUNCTION("IF(SUM(COUNTIF(artists!C:C, SPLIT(D41, "",""))) &gt; 0, ""RU"", 0)"),0)</f>
        <v>0</v>
      </c>
      <c r="K41" s="39">
        <f ca="1">IFERROR(__xludf.DUMMYFUNCTION("IF(SUM(COUNTIF(artists!E:E, SPLIT(D41, "",""))) &gt; 0, ""OTHER"", 0)"),0)</f>
        <v>0</v>
      </c>
    </row>
    <row r="42" spans="1:11" ht="14.25" customHeight="1">
      <c r="A42" s="21">
        <v>41</v>
      </c>
      <c r="B42" s="21">
        <v>47</v>
      </c>
      <c r="C42" s="21" t="s">
        <v>1498</v>
      </c>
      <c r="D42" s="21" t="s">
        <v>969</v>
      </c>
      <c r="E42" s="21">
        <v>31</v>
      </c>
      <c r="F42" s="21">
        <v>277893</v>
      </c>
      <c r="G42" s="42">
        <v>0.113</v>
      </c>
      <c r="H42" s="21" t="s">
        <v>1499</v>
      </c>
      <c r="I42" s="39" t="str">
        <f ca="1">IFERROR(__xludf.DUMMYFUNCTION("IF(SUM(COUNTIF(artists!A:A, SPLIT(D42, "",""))) &gt; 0, ""UA"", 0)"),"UA")</f>
        <v>UA</v>
      </c>
      <c r="J42" s="40">
        <f ca="1">IFERROR(__xludf.DUMMYFUNCTION("IF(SUM(COUNTIF(artists!C:C, SPLIT(D42, "",""))) &gt; 0, ""RU"", 0)"),0)</f>
        <v>0</v>
      </c>
      <c r="K42" s="39">
        <f ca="1">IFERROR(__xludf.DUMMYFUNCTION("IF(SUM(COUNTIF(artists!E:E, SPLIT(D42, "",""))) &gt; 0, ""OTHER"", 0)"),0)</f>
        <v>0</v>
      </c>
    </row>
    <row r="43" spans="1:11" ht="14.25" customHeight="1">
      <c r="A43" s="21">
        <v>42</v>
      </c>
      <c r="C43" s="21" t="s">
        <v>1772</v>
      </c>
      <c r="D43" s="21" t="s">
        <v>125</v>
      </c>
      <c r="E43" s="21">
        <v>1</v>
      </c>
      <c r="F43" s="21">
        <v>276774</v>
      </c>
      <c r="H43" s="21" t="s">
        <v>1773</v>
      </c>
      <c r="I43" s="39">
        <f ca="1">IFERROR(__xludf.DUMMYFUNCTION("IF(SUM(COUNTIF(artists!A:A, SPLIT(D43, "",""))) &gt; 0, ""UA"", 0)"),0)</f>
        <v>0</v>
      </c>
      <c r="J43" s="40" t="str">
        <f ca="1">IFERROR(__xludf.DUMMYFUNCTION("IF(SUM(COUNTIF(artists!C:C, SPLIT(D43, "",""))) &gt; 0, ""RU"", 0)"),"RU")</f>
        <v>RU</v>
      </c>
      <c r="K43" s="39">
        <f ca="1">IFERROR(__xludf.DUMMYFUNCTION("IF(SUM(COUNTIF(artists!E:E, SPLIT(D43, "",""))) &gt; 0, ""OTHER"", 0)"),0)</f>
        <v>0</v>
      </c>
    </row>
    <row r="44" spans="1:11" ht="14.25" customHeight="1">
      <c r="A44" s="21">
        <v>43</v>
      </c>
      <c r="B44" s="21">
        <v>39</v>
      </c>
      <c r="C44" s="21" t="s">
        <v>1729</v>
      </c>
      <c r="D44" s="21" t="s">
        <v>1730</v>
      </c>
      <c r="E44" s="21">
        <v>50</v>
      </c>
      <c r="F44" s="21">
        <v>267424</v>
      </c>
      <c r="G44" s="42">
        <v>-2E-3</v>
      </c>
      <c r="H44" s="21" t="s">
        <v>1731</v>
      </c>
      <c r="I44" s="39">
        <f ca="1">IFERROR(__xludf.DUMMYFUNCTION("IF(SUM(COUNTIF(artists!A:A, SPLIT(D44, "",""))) &gt; 0, ""UA"", 0)"),0)</f>
        <v>0</v>
      </c>
      <c r="J44" s="40" t="str">
        <f ca="1">IFERROR(__xludf.DUMMYFUNCTION("IF(SUM(COUNTIF(artists!C:C, SPLIT(D44, "",""))) &gt; 0, ""RU"", 0)"),"RU")</f>
        <v>RU</v>
      </c>
      <c r="K44" s="39">
        <f ca="1">IFERROR(__xludf.DUMMYFUNCTION("IF(SUM(COUNTIF(artists!E:E, SPLIT(D44, "",""))) &gt; 0, ""OTHER"", 0)"),0)</f>
        <v>0</v>
      </c>
    </row>
    <row r="45" spans="1:11" ht="14.25" customHeight="1">
      <c r="A45" s="21">
        <v>44</v>
      </c>
      <c r="B45" s="21">
        <v>53</v>
      </c>
      <c r="C45" s="21" t="s">
        <v>1477</v>
      </c>
      <c r="D45" s="21" t="s">
        <v>1478</v>
      </c>
      <c r="E45" s="21">
        <v>8</v>
      </c>
      <c r="F45" s="21">
        <v>267183</v>
      </c>
      <c r="G45" s="42">
        <v>0.129</v>
      </c>
      <c r="H45" s="21" t="s">
        <v>1479</v>
      </c>
      <c r="I45" s="39" t="str">
        <f ca="1">IFERROR(__xludf.DUMMYFUNCTION("IF(SUM(COUNTIF(artists!A:A, SPLIT(D45, "",""))) &gt; 0, ""UA"", 0)"),"UA")</f>
        <v>UA</v>
      </c>
      <c r="J45" s="40">
        <f ca="1">IFERROR(__xludf.DUMMYFUNCTION("IF(SUM(COUNTIF(artists!C:C, SPLIT(D45, "",""))) &gt; 0, ""RU"", 0)"),0)</f>
        <v>0</v>
      </c>
      <c r="K45" s="39">
        <f ca="1">IFERROR(__xludf.DUMMYFUNCTION("IF(SUM(COUNTIF(artists!E:E, SPLIT(D45, "",""))) &gt; 0, ""OTHER"", 0)"),0)</f>
        <v>0</v>
      </c>
    </row>
    <row r="46" spans="1:11" ht="14.25" customHeight="1">
      <c r="A46" s="21">
        <v>45</v>
      </c>
      <c r="B46" s="21">
        <v>52</v>
      </c>
      <c r="C46" s="21" t="s">
        <v>1327</v>
      </c>
      <c r="D46" s="21" t="s">
        <v>89</v>
      </c>
      <c r="E46" s="21">
        <v>28</v>
      </c>
      <c r="F46" s="21">
        <v>266161</v>
      </c>
      <c r="G46" s="42">
        <v>0.113</v>
      </c>
      <c r="H46" s="21" t="s">
        <v>1328</v>
      </c>
      <c r="I46" s="39" t="str">
        <f ca="1">IFERROR(__xludf.DUMMYFUNCTION("IF(SUM(COUNTIF(artists!A:A, SPLIT(D46, "",""))) &gt; 0, ""UA"", 0)"),"UA")</f>
        <v>UA</v>
      </c>
      <c r="J46" s="40">
        <f ca="1">IFERROR(__xludf.DUMMYFUNCTION("IF(SUM(COUNTIF(artists!C:C, SPLIT(D46, "",""))) &gt; 0, ""RU"", 0)"),0)</f>
        <v>0</v>
      </c>
      <c r="K46" s="39">
        <f ca="1">IFERROR(__xludf.DUMMYFUNCTION("IF(SUM(COUNTIF(artists!E:E, SPLIT(D46, "",""))) &gt; 0, ""OTHER"", 0)"),0)</f>
        <v>0</v>
      </c>
    </row>
    <row r="47" spans="1:11" ht="14.25" customHeight="1">
      <c r="A47" s="21">
        <v>46</v>
      </c>
      <c r="B47" s="21">
        <v>57</v>
      </c>
      <c r="C47" s="21" t="s">
        <v>1791</v>
      </c>
      <c r="D47" s="21" t="s">
        <v>1792</v>
      </c>
      <c r="E47" s="21">
        <v>5</v>
      </c>
      <c r="F47" s="21">
        <v>263723</v>
      </c>
      <c r="G47" s="42">
        <v>0.17899999999999999</v>
      </c>
      <c r="H47" s="21" t="s">
        <v>1793</v>
      </c>
      <c r="I47" s="39" t="str">
        <f ca="1">IFERROR(__xludf.DUMMYFUNCTION("IF(SUM(COUNTIF(artists!A:A, SPLIT(D47, "",""))) &gt; 0, ""UA"", 0)"),"UA")</f>
        <v>UA</v>
      </c>
      <c r="J47" s="40">
        <f ca="1">IFERROR(__xludf.DUMMYFUNCTION("IF(SUM(COUNTIF(artists!C:C, SPLIT(D47, "",""))) &gt; 0, ""RU"", 0)"),0)</f>
        <v>0</v>
      </c>
      <c r="K47" s="39">
        <f ca="1">IFERROR(__xludf.DUMMYFUNCTION("IF(SUM(COUNTIF(artists!E:E, SPLIT(D47, "",""))) &gt; 0, ""OTHER"", 0)"),0)</f>
        <v>0</v>
      </c>
    </row>
    <row r="48" spans="1:11" ht="14.25" customHeight="1">
      <c r="A48" s="21">
        <v>47</v>
      </c>
      <c r="B48" s="21">
        <v>14</v>
      </c>
      <c r="C48" s="21" t="s">
        <v>1765</v>
      </c>
      <c r="D48" s="21" t="s">
        <v>671</v>
      </c>
      <c r="E48" s="21">
        <v>3</v>
      </c>
      <c r="F48" s="21">
        <v>261685</v>
      </c>
      <c r="G48" s="42">
        <v>-0.46100000000000002</v>
      </c>
      <c r="H48" s="21" t="s">
        <v>1766</v>
      </c>
      <c r="I48" s="39" t="str">
        <f ca="1">IFERROR(__xludf.DUMMYFUNCTION("IF(SUM(COUNTIF(artists!A:A, SPLIT(D48, "",""))) &gt; 0, ""UA"", 0)"),"UA")</f>
        <v>UA</v>
      </c>
      <c r="J48" s="40">
        <f ca="1">IFERROR(__xludf.DUMMYFUNCTION("IF(SUM(COUNTIF(artists!C:C, SPLIT(D48, "",""))) &gt; 0, ""RU"", 0)"),0)</f>
        <v>0</v>
      </c>
      <c r="K48" s="39">
        <f ca="1">IFERROR(__xludf.DUMMYFUNCTION("IF(SUM(COUNTIF(artists!E:E, SPLIT(D48, "",""))) &gt; 0, ""OTHER"", 0)"),0)</f>
        <v>0</v>
      </c>
    </row>
    <row r="49" spans="1:11" ht="14.25" customHeight="1">
      <c r="A49" s="21">
        <v>48</v>
      </c>
      <c r="B49" s="21">
        <v>61</v>
      </c>
      <c r="C49" s="21" t="s">
        <v>597</v>
      </c>
      <c r="D49" s="21" t="s">
        <v>598</v>
      </c>
      <c r="E49" s="21">
        <v>4</v>
      </c>
      <c r="F49" s="21">
        <v>257978</v>
      </c>
      <c r="G49" s="43">
        <v>0.21</v>
      </c>
      <c r="H49" s="21" t="s">
        <v>600</v>
      </c>
      <c r="I49" s="39" t="str">
        <f ca="1">IFERROR(__xludf.DUMMYFUNCTION("IF(SUM(COUNTIF(artists!A:A, SPLIT(D49, "",""))) &gt; 0, ""UA"", 0)"),"UA")</f>
        <v>UA</v>
      </c>
      <c r="J49" s="40">
        <f ca="1">IFERROR(__xludf.DUMMYFUNCTION("IF(SUM(COUNTIF(artists!C:C, SPLIT(D49, "",""))) &gt; 0, ""RU"", 0)"),0)</f>
        <v>0</v>
      </c>
      <c r="K49" s="39">
        <f ca="1">IFERROR(__xludf.DUMMYFUNCTION("IF(SUM(COUNTIF(artists!E:E, SPLIT(D49, "",""))) &gt; 0, ""OTHER"", 0)"),0)</f>
        <v>0</v>
      </c>
    </row>
    <row r="50" spans="1:11" ht="14.25" customHeight="1">
      <c r="A50" s="21">
        <v>49</v>
      </c>
      <c r="C50" s="21" t="s">
        <v>1794</v>
      </c>
      <c r="D50" s="21" t="s">
        <v>1795</v>
      </c>
      <c r="E50" s="21">
        <v>36</v>
      </c>
      <c r="F50" s="21">
        <v>255134</v>
      </c>
      <c r="H50" s="21" t="s">
        <v>1796</v>
      </c>
      <c r="I50" s="39" t="str">
        <f ca="1">IFERROR(__xludf.DUMMYFUNCTION("IF(SUM(COUNTIF(artists!A:A, SPLIT(D50, "",""))) &gt; 0, ""UA"", 0)"),"UA")</f>
        <v>UA</v>
      </c>
      <c r="J50" s="40">
        <f ca="1">IFERROR(__xludf.DUMMYFUNCTION("IF(SUM(COUNTIF(artists!C:C, SPLIT(D50, "",""))) &gt; 0, ""RU"", 0)"),0)</f>
        <v>0</v>
      </c>
      <c r="K50" s="39">
        <f ca="1">IFERROR(__xludf.DUMMYFUNCTION("IF(SUM(COUNTIF(artists!E:E, SPLIT(D50, "",""))) &gt; 0, ""OTHER"", 0)"),0)</f>
        <v>0</v>
      </c>
    </row>
    <row r="51" spans="1:11" ht="14.25" customHeight="1">
      <c r="A51" s="21">
        <v>50</v>
      </c>
      <c r="B51" s="21">
        <v>43</v>
      </c>
      <c r="C51" s="21" t="s">
        <v>1797</v>
      </c>
      <c r="D51" s="21" t="s">
        <v>945</v>
      </c>
      <c r="E51" s="21">
        <v>31</v>
      </c>
      <c r="F51" s="21">
        <v>249483</v>
      </c>
      <c r="G51" s="42">
        <v>-3.5999999999999997E-2</v>
      </c>
      <c r="H51" s="21" t="s">
        <v>1798</v>
      </c>
      <c r="I51" s="39" t="str">
        <f ca="1">IFERROR(__xludf.DUMMYFUNCTION("IF(SUM(COUNTIF(artists!A:A, SPLIT(D51, "",""))) &gt; 0, ""UA"", 0)"),"UA")</f>
        <v>UA</v>
      </c>
      <c r="J51" s="40">
        <f ca="1">IFERROR(__xludf.DUMMYFUNCTION("IF(SUM(COUNTIF(artists!C:C, SPLIT(D51, "",""))) &gt; 0, ""RU"", 0)"),0)</f>
        <v>0</v>
      </c>
      <c r="K51" s="39">
        <f ca="1">IFERROR(__xludf.DUMMYFUNCTION("IF(SUM(COUNTIF(artists!E:E, SPLIT(D51, "",""))) &gt; 0, ""OTHER"", 0)"),0)</f>
        <v>0</v>
      </c>
    </row>
    <row r="52" spans="1:11" ht="14.25" customHeight="1">
      <c r="A52" s="21">
        <v>51</v>
      </c>
      <c r="B52" s="21">
        <v>44</v>
      </c>
      <c r="C52" s="21" t="s">
        <v>1387</v>
      </c>
      <c r="D52" s="21" t="s">
        <v>1388</v>
      </c>
      <c r="E52" s="21">
        <v>3</v>
      </c>
      <c r="F52" s="21">
        <v>248858</v>
      </c>
      <c r="G52" s="42">
        <v>-3.6999999999999998E-2</v>
      </c>
      <c r="H52" s="21" t="s">
        <v>1389</v>
      </c>
      <c r="I52" s="39">
        <f ca="1">IFERROR(__xludf.DUMMYFUNCTION("IF(SUM(COUNTIF(artists!A:A, SPLIT(D52, "",""))) &gt; 0, ""UA"", 0)"),0)</f>
        <v>0</v>
      </c>
      <c r="J52" s="40">
        <f ca="1">IFERROR(__xludf.DUMMYFUNCTION("IF(SUM(COUNTIF(artists!C:C, SPLIT(D52, "",""))) &gt; 0, ""RU"", 0)"),0)</f>
        <v>0</v>
      </c>
      <c r="K52" s="39" t="str">
        <f ca="1">IFERROR(__xludf.DUMMYFUNCTION("IF(SUM(COUNTIF(artists!E:E, SPLIT(D52, "",""))) &gt; 0, ""OTHER"", 0)"),"OTHER")</f>
        <v>OTHER</v>
      </c>
    </row>
    <row r="53" spans="1:11" ht="14.25" customHeight="1">
      <c r="A53" s="21">
        <v>52</v>
      </c>
      <c r="B53" s="21">
        <v>42</v>
      </c>
      <c r="C53" s="21" t="s">
        <v>1530</v>
      </c>
      <c r="D53" s="21" t="s">
        <v>1531</v>
      </c>
      <c r="E53" s="21">
        <v>9</v>
      </c>
      <c r="F53" s="21">
        <v>247924</v>
      </c>
      <c r="G53" s="42">
        <v>-4.8000000000000001E-2</v>
      </c>
      <c r="H53" s="21" t="s">
        <v>1532</v>
      </c>
      <c r="I53" s="39">
        <f ca="1">IFERROR(__xludf.DUMMYFUNCTION("IF(SUM(COUNTIF(artists!A:A, SPLIT(D53, "",""))) &gt; 0, ""UA"", 0)"),0)</f>
        <v>0</v>
      </c>
      <c r="J53" s="40">
        <f ca="1">IFERROR(__xludf.DUMMYFUNCTION("IF(SUM(COUNTIF(artists!C:C, SPLIT(D53, "",""))) &gt; 0, ""RU"", 0)"),0)</f>
        <v>0</v>
      </c>
      <c r="K53" s="39" t="str">
        <f ca="1">IFERROR(__xludf.DUMMYFUNCTION("IF(SUM(COUNTIF(artists!E:E, SPLIT(D53, "",""))) &gt; 0, ""OTHER"", 0)"),"OTHER")</f>
        <v>OTHER</v>
      </c>
    </row>
    <row r="54" spans="1:11" ht="14.25" customHeight="1">
      <c r="A54" s="21">
        <v>53</v>
      </c>
      <c r="C54" s="21" t="s">
        <v>1799</v>
      </c>
      <c r="D54" s="21" t="s">
        <v>1050</v>
      </c>
      <c r="E54" s="21">
        <v>1</v>
      </c>
      <c r="F54" s="21">
        <v>247900</v>
      </c>
      <c r="H54" s="21" t="s">
        <v>1800</v>
      </c>
      <c r="I54" s="39">
        <f ca="1">IFERROR(__xludf.DUMMYFUNCTION("IF(SUM(COUNTIF(artists!A:A, SPLIT(D54, "",""))) &gt; 0, ""UA"", 0)"),0)</f>
        <v>0</v>
      </c>
      <c r="J54" s="40" t="str">
        <f ca="1">IFERROR(__xludf.DUMMYFUNCTION("IF(SUM(COUNTIF(artists!C:C, SPLIT(D54, "",""))) &gt; 0, ""RU"", 0)"),"RU")</f>
        <v>RU</v>
      </c>
      <c r="K54" s="39">
        <f ca="1">IFERROR(__xludf.DUMMYFUNCTION("IF(SUM(COUNTIF(artists!E:E, SPLIT(D54, "",""))) &gt; 0, ""OTHER"", 0)"),0)</f>
        <v>0</v>
      </c>
    </row>
    <row r="55" spans="1:11" ht="14.25" customHeight="1">
      <c r="A55" s="21">
        <v>54</v>
      </c>
      <c r="B55" s="21">
        <v>50</v>
      </c>
      <c r="C55" s="21" t="s">
        <v>1636</v>
      </c>
      <c r="D55" s="21" t="s">
        <v>1637</v>
      </c>
      <c r="E55" s="21">
        <v>14</v>
      </c>
      <c r="F55" s="21">
        <v>244150</v>
      </c>
      <c r="G55" s="42">
        <v>8.9999999999999993E-3</v>
      </c>
      <c r="H55" s="21" t="s">
        <v>1638</v>
      </c>
      <c r="I55" s="39">
        <f ca="1">IFERROR(__xludf.DUMMYFUNCTION("IF(SUM(COUNTIF(artists!A:A, SPLIT(D55, "",""))) &gt; 0, ""UA"", 0)"),0)</f>
        <v>0</v>
      </c>
      <c r="J55" s="40" t="str">
        <f ca="1">IFERROR(__xludf.DUMMYFUNCTION("IF(SUM(COUNTIF(artists!C:C, SPLIT(D55, "",""))) &gt; 0, ""RU"", 0)"),"RU")</f>
        <v>RU</v>
      </c>
      <c r="K55" s="39">
        <f ca="1">IFERROR(__xludf.DUMMYFUNCTION("IF(SUM(COUNTIF(artists!E:E, SPLIT(D55, "",""))) &gt; 0, ""OTHER"", 0)"),0)</f>
        <v>0</v>
      </c>
    </row>
    <row r="56" spans="1:11" ht="14.25" customHeight="1">
      <c r="A56" s="21">
        <v>55</v>
      </c>
      <c r="B56" s="21">
        <v>63</v>
      </c>
      <c r="C56" s="21" t="s">
        <v>1369</v>
      </c>
      <c r="D56" s="21" t="s">
        <v>1370</v>
      </c>
      <c r="E56" s="21">
        <v>9</v>
      </c>
      <c r="F56" s="21">
        <v>243544</v>
      </c>
      <c r="G56" s="42">
        <v>0.156</v>
      </c>
      <c r="H56" s="21" t="s">
        <v>1371</v>
      </c>
      <c r="I56" s="39" t="str">
        <f ca="1">IFERROR(__xludf.DUMMYFUNCTION("IF(SUM(COUNTIF(artists!A:A, SPLIT(D56, "",""))) &gt; 0, ""UA"", 0)"),"UA")</f>
        <v>UA</v>
      </c>
      <c r="J56" s="40">
        <f ca="1">IFERROR(__xludf.DUMMYFUNCTION("IF(SUM(COUNTIF(artists!C:C, SPLIT(D56, "",""))) &gt; 0, ""RU"", 0)"),0)</f>
        <v>0</v>
      </c>
      <c r="K56" s="39">
        <f ca="1">IFERROR(__xludf.DUMMYFUNCTION("IF(SUM(COUNTIF(artists!E:E, SPLIT(D56, "",""))) &gt; 0, ""OTHER"", 0)"),0)</f>
        <v>0</v>
      </c>
    </row>
    <row r="57" spans="1:11" ht="14.25" customHeight="1">
      <c r="A57" s="21">
        <v>56</v>
      </c>
      <c r="B57" s="21">
        <v>55</v>
      </c>
      <c r="C57" s="21" t="s">
        <v>1674</v>
      </c>
      <c r="D57" s="21" t="s">
        <v>172</v>
      </c>
      <c r="E57" s="21">
        <v>15</v>
      </c>
      <c r="F57" s="21">
        <v>239580</v>
      </c>
      <c r="G57" s="42">
        <v>3.1E-2</v>
      </c>
      <c r="H57" s="21" t="s">
        <v>1675</v>
      </c>
      <c r="I57" s="39">
        <f ca="1">IFERROR(__xludf.DUMMYFUNCTION("IF(SUM(COUNTIF(artists!A:A, SPLIT(D57, "",""))) &gt; 0, ""UA"", 0)"),0)</f>
        <v>0</v>
      </c>
      <c r="J57" s="40" t="str">
        <f ca="1">IFERROR(__xludf.DUMMYFUNCTION("IF(SUM(COUNTIF(artists!C:C, SPLIT(D57, "",""))) &gt; 0, ""RU"", 0)"),"RU")</f>
        <v>RU</v>
      </c>
      <c r="K57" s="39">
        <f ca="1">IFERROR(__xludf.DUMMYFUNCTION("IF(SUM(COUNTIF(artists!E:E, SPLIT(D57, "",""))) &gt; 0, ""OTHER"", 0)"),0)</f>
        <v>0</v>
      </c>
    </row>
    <row r="58" spans="1:11" ht="14.25" customHeight="1">
      <c r="A58" s="21">
        <v>57</v>
      </c>
      <c r="B58" s="21">
        <v>48</v>
      </c>
      <c r="C58" s="21" t="s">
        <v>841</v>
      </c>
      <c r="D58" s="21" t="s">
        <v>842</v>
      </c>
      <c r="E58" s="21">
        <v>15</v>
      </c>
      <c r="F58" s="21">
        <v>238846</v>
      </c>
      <c r="G58" s="42">
        <v>-2.1999999999999999E-2</v>
      </c>
      <c r="H58" s="21" t="s">
        <v>843</v>
      </c>
      <c r="I58" s="39">
        <f ca="1">IFERROR(__xludf.DUMMYFUNCTION("IF(SUM(COUNTIF(artists!A:A, SPLIT(D58, "",""))) &gt; 0, ""UA"", 0)"),0)</f>
        <v>0</v>
      </c>
      <c r="J58" s="40">
        <f ca="1">IFERROR(__xludf.DUMMYFUNCTION("IF(SUM(COUNTIF(artists!C:C, SPLIT(D58, "",""))) &gt; 0, ""RU"", 0)"),0)</f>
        <v>0</v>
      </c>
      <c r="K58" s="39" t="str">
        <f ca="1">IFERROR(__xludf.DUMMYFUNCTION("IF(SUM(COUNTIF(artists!E:E, SPLIT(D58, "",""))) &gt; 0, ""OTHER"", 0)"),"OTHER")</f>
        <v>OTHER</v>
      </c>
    </row>
    <row r="59" spans="1:11" ht="14.25" customHeight="1">
      <c r="A59" s="21">
        <v>58</v>
      </c>
      <c r="B59" s="21">
        <v>65</v>
      </c>
      <c r="C59" s="21" t="s">
        <v>1381</v>
      </c>
      <c r="D59" s="21" t="s">
        <v>969</v>
      </c>
      <c r="E59" s="21">
        <v>10</v>
      </c>
      <c r="F59" s="21">
        <v>237353</v>
      </c>
      <c r="G59" s="43">
        <v>0.17</v>
      </c>
      <c r="H59" s="21" t="s">
        <v>1382</v>
      </c>
      <c r="I59" s="39" t="str">
        <f ca="1">IFERROR(__xludf.DUMMYFUNCTION("IF(SUM(COUNTIF(artists!A:A, SPLIT(D59, "",""))) &gt; 0, ""UA"", 0)"),"UA")</f>
        <v>UA</v>
      </c>
      <c r="J59" s="40">
        <f ca="1">IFERROR(__xludf.DUMMYFUNCTION("IF(SUM(COUNTIF(artists!C:C, SPLIT(D59, "",""))) &gt; 0, ""RU"", 0)"),0)</f>
        <v>0</v>
      </c>
      <c r="K59" s="39">
        <f ca="1">IFERROR(__xludf.DUMMYFUNCTION("IF(SUM(COUNTIF(artists!E:E, SPLIT(D59, "",""))) &gt; 0, ""OTHER"", 0)"),0)</f>
        <v>0</v>
      </c>
    </row>
    <row r="60" spans="1:11" ht="14.25" customHeight="1">
      <c r="A60" s="21">
        <v>59</v>
      </c>
      <c r="C60" s="21" t="s">
        <v>1611</v>
      </c>
      <c r="D60" s="21" t="s">
        <v>831</v>
      </c>
      <c r="E60" s="21">
        <v>1</v>
      </c>
      <c r="F60" s="21">
        <v>236288</v>
      </c>
      <c r="H60" s="21" t="s">
        <v>1801</v>
      </c>
      <c r="I60" s="39" t="str">
        <f ca="1">IFERROR(__xludf.DUMMYFUNCTION("IF(SUM(COUNTIF(artists!A:A, SPLIT(D60, "",""))) &gt; 0, ""UA"", 0)"),"UA")</f>
        <v>UA</v>
      </c>
      <c r="J60" s="40">
        <f ca="1">IFERROR(__xludf.DUMMYFUNCTION("IF(SUM(COUNTIF(artists!C:C, SPLIT(D60, "",""))) &gt; 0, ""RU"", 0)"),0)</f>
        <v>0</v>
      </c>
      <c r="K60" s="39">
        <f ca="1">IFERROR(__xludf.DUMMYFUNCTION("IF(SUM(COUNTIF(artists!E:E, SPLIT(D60, "",""))) &gt; 0, ""OTHER"", 0)"),0)</f>
        <v>0</v>
      </c>
    </row>
    <row r="61" spans="1:11" ht="14.25" customHeight="1">
      <c r="A61" s="21">
        <v>60</v>
      </c>
      <c r="B61" s="21">
        <v>72</v>
      </c>
      <c r="C61" s="21" t="s">
        <v>229</v>
      </c>
      <c r="D61" s="21" t="s">
        <v>230</v>
      </c>
      <c r="E61" s="21">
        <v>6</v>
      </c>
      <c r="F61" s="21">
        <v>235883</v>
      </c>
      <c r="G61" s="42">
        <v>0.218</v>
      </c>
      <c r="H61" s="21" t="s">
        <v>232</v>
      </c>
      <c r="I61" s="39" t="str">
        <f ca="1">IFERROR(__xludf.DUMMYFUNCTION("IF(SUM(COUNTIF(artists!A:A, SPLIT(D61, "",""))) &gt; 0, ""UA"", 0)"),"UA")</f>
        <v>UA</v>
      </c>
      <c r="J61" s="40">
        <f ca="1">IFERROR(__xludf.DUMMYFUNCTION("IF(SUM(COUNTIF(artists!C:C, SPLIT(D61, "",""))) &gt; 0, ""RU"", 0)"),0)</f>
        <v>0</v>
      </c>
      <c r="K61" s="39">
        <f ca="1">IFERROR(__xludf.DUMMYFUNCTION("IF(SUM(COUNTIF(artists!E:E, SPLIT(D61, "",""))) &gt; 0, ""OTHER"", 0)"),0)</f>
        <v>0</v>
      </c>
    </row>
    <row r="62" spans="1:11" ht="14.25" customHeight="1">
      <c r="A62" s="21">
        <v>61</v>
      </c>
      <c r="B62" s="21">
        <v>64</v>
      </c>
      <c r="C62" s="21" t="s">
        <v>1447</v>
      </c>
      <c r="D62" s="21" t="s">
        <v>969</v>
      </c>
      <c r="E62" s="21">
        <v>19</v>
      </c>
      <c r="F62" s="21">
        <v>234972</v>
      </c>
      <c r="G62" s="42">
        <v>0.13600000000000001</v>
      </c>
      <c r="H62" s="21" t="s">
        <v>1448</v>
      </c>
      <c r="I62" s="39" t="str">
        <f ca="1">IFERROR(__xludf.DUMMYFUNCTION("IF(SUM(COUNTIF(artists!A:A, SPLIT(D62, "",""))) &gt; 0, ""UA"", 0)"),"UA")</f>
        <v>UA</v>
      </c>
      <c r="J62" s="40">
        <f ca="1">IFERROR(__xludf.DUMMYFUNCTION("IF(SUM(COUNTIF(artists!C:C, SPLIT(D62, "",""))) &gt; 0, ""RU"", 0)"),0)</f>
        <v>0</v>
      </c>
      <c r="K62" s="39">
        <f ca="1">IFERROR(__xludf.DUMMYFUNCTION("IF(SUM(COUNTIF(artists!E:E, SPLIT(D62, "",""))) &gt; 0, ""OTHER"", 0)"),0)</f>
        <v>0</v>
      </c>
    </row>
    <row r="63" spans="1:11" ht="14.25" customHeight="1">
      <c r="A63" s="21">
        <v>62</v>
      </c>
      <c r="C63" s="21" t="s">
        <v>1698</v>
      </c>
      <c r="D63" s="21" t="s">
        <v>1699</v>
      </c>
      <c r="E63" s="21">
        <v>1</v>
      </c>
      <c r="F63" s="21">
        <v>229457</v>
      </c>
      <c r="H63" s="21" t="s">
        <v>1700</v>
      </c>
      <c r="I63" s="39">
        <f ca="1">IFERROR(__xludf.DUMMYFUNCTION("IF(SUM(COUNTIF(artists!A:A, SPLIT(D63, "",""))) &gt; 0, ""UA"", 0)"),0)</f>
        <v>0</v>
      </c>
      <c r="J63" s="40" t="str">
        <f ca="1">IFERROR(__xludf.DUMMYFUNCTION("IF(SUM(COUNTIF(artists!C:C, SPLIT(D63, "",""))) &gt; 0, ""RU"", 0)"),"RU")</f>
        <v>RU</v>
      </c>
      <c r="K63" s="39">
        <f ca="1">IFERROR(__xludf.DUMMYFUNCTION("IF(SUM(COUNTIF(artists!E:E, SPLIT(D63, "",""))) &gt; 0, ""OTHER"", 0)"),0)</f>
        <v>0</v>
      </c>
    </row>
    <row r="64" spans="1:11" ht="14.25" customHeight="1">
      <c r="A64" s="21">
        <v>63</v>
      </c>
      <c r="B64" s="21">
        <v>54</v>
      </c>
      <c r="C64" s="21" t="s">
        <v>1614</v>
      </c>
      <c r="D64" s="21" t="s">
        <v>1027</v>
      </c>
      <c r="E64" s="21">
        <v>6</v>
      </c>
      <c r="F64" s="21">
        <v>227225</v>
      </c>
      <c r="G64" s="42">
        <v>-3.1E-2</v>
      </c>
      <c r="H64" s="21" t="s">
        <v>1615</v>
      </c>
      <c r="I64" s="39" t="str">
        <f ca="1">IFERROR(__xludf.DUMMYFUNCTION("IF(SUM(COUNTIF(artists!A:A, SPLIT(D64, "",""))) &gt; 0, ""UA"", 0)"),"UA")</f>
        <v>UA</v>
      </c>
      <c r="J64" s="40">
        <f ca="1">IFERROR(__xludf.DUMMYFUNCTION("IF(SUM(COUNTIF(artists!C:C, SPLIT(D64, "",""))) &gt; 0, ""RU"", 0)"),0)</f>
        <v>0</v>
      </c>
      <c r="K64" s="39">
        <f ca="1">IFERROR(__xludf.DUMMYFUNCTION("IF(SUM(COUNTIF(artists!E:E, SPLIT(D64, "",""))) &gt; 0, ""OTHER"", 0)"),0)</f>
        <v>0</v>
      </c>
    </row>
    <row r="65" spans="1:11" ht="14.25" customHeight="1">
      <c r="A65" s="21">
        <v>64</v>
      </c>
      <c r="B65" s="21">
        <v>38</v>
      </c>
      <c r="C65" s="21" t="s">
        <v>1802</v>
      </c>
      <c r="D65" s="21" t="s">
        <v>1803</v>
      </c>
      <c r="E65" s="21">
        <v>3</v>
      </c>
      <c r="F65" s="21">
        <v>224438</v>
      </c>
      <c r="G65" s="42">
        <v>-0.19500000000000001</v>
      </c>
      <c r="H65" s="21" t="s">
        <v>1804</v>
      </c>
      <c r="I65" s="39" t="str">
        <f ca="1">IFERROR(__xludf.DUMMYFUNCTION("IF(SUM(COUNTIF(artists!A:A, SPLIT(D65, "",""))) &gt; 0, ""UA"", 0)"),"UA")</f>
        <v>UA</v>
      </c>
      <c r="J65" s="40">
        <f ca="1">IFERROR(__xludf.DUMMYFUNCTION("IF(SUM(COUNTIF(artists!C:C, SPLIT(D65, "",""))) &gt; 0, ""RU"", 0)"),0)</f>
        <v>0</v>
      </c>
      <c r="K65" s="39">
        <f ca="1">IFERROR(__xludf.DUMMYFUNCTION("IF(SUM(COUNTIF(artists!E:E, SPLIT(D65, "",""))) &gt; 0, ""OTHER"", 0)"),0)</f>
        <v>0</v>
      </c>
    </row>
    <row r="66" spans="1:11" ht="14.25" customHeight="1">
      <c r="A66" s="21">
        <v>65</v>
      </c>
      <c r="B66" s="21">
        <v>60</v>
      </c>
      <c r="C66" s="21" t="s">
        <v>748</v>
      </c>
      <c r="D66" s="21" t="s">
        <v>586</v>
      </c>
      <c r="E66" s="21">
        <v>8</v>
      </c>
      <c r="F66" s="21">
        <v>223415</v>
      </c>
      <c r="G66" s="42">
        <v>3.5999999999999997E-2</v>
      </c>
      <c r="H66" s="21" t="s">
        <v>749</v>
      </c>
      <c r="I66" s="39" t="str">
        <f ca="1">IFERROR(__xludf.DUMMYFUNCTION("IF(SUM(COUNTIF(artists!A:A, SPLIT(D66, "",""))) &gt; 0, ""UA"", 0)"),"UA")</f>
        <v>UA</v>
      </c>
      <c r="J66" s="40">
        <f ca="1">IFERROR(__xludf.DUMMYFUNCTION("IF(SUM(COUNTIF(artists!C:C, SPLIT(D66, "",""))) &gt; 0, ""RU"", 0)"),0)</f>
        <v>0</v>
      </c>
      <c r="K66" s="39">
        <f ca="1">IFERROR(__xludf.DUMMYFUNCTION("IF(SUM(COUNTIF(artists!E:E, SPLIT(D66, "",""))) &gt; 0, ""OTHER"", 0)"),0)</f>
        <v>0</v>
      </c>
    </row>
    <row r="67" spans="1:11" ht="14.25" customHeight="1">
      <c r="A67" s="21">
        <v>66</v>
      </c>
      <c r="B67" s="21">
        <v>77</v>
      </c>
      <c r="C67" s="21" t="s">
        <v>632</v>
      </c>
      <c r="D67" s="21" t="s">
        <v>633</v>
      </c>
      <c r="E67" s="21">
        <v>3</v>
      </c>
      <c r="F67" s="21">
        <v>222796</v>
      </c>
      <c r="G67" s="42">
        <v>0.21299999999999999</v>
      </c>
      <c r="H67" s="21" t="s">
        <v>634</v>
      </c>
      <c r="I67" s="39" t="str">
        <f ca="1">IFERROR(__xludf.DUMMYFUNCTION("IF(SUM(COUNTIF(artists!A:A, SPLIT(D67, "",""))) &gt; 0, ""UA"", 0)"),"UA")</f>
        <v>UA</v>
      </c>
      <c r="J67" s="40">
        <f ca="1">IFERROR(__xludf.DUMMYFUNCTION("IF(SUM(COUNTIF(artists!C:C, SPLIT(D67, "",""))) &gt; 0, ""RU"", 0)"),0)</f>
        <v>0</v>
      </c>
      <c r="K67" s="39">
        <f ca="1">IFERROR(__xludf.DUMMYFUNCTION("IF(SUM(COUNTIF(artists!E:E, SPLIT(D67, "",""))) &gt; 0, ""OTHER"", 0)"),0)</f>
        <v>0</v>
      </c>
    </row>
    <row r="68" spans="1:11" ht="14.25" customHeight="1">
      <c r="A68" s="21">
        <v>67</v>
      </c>
      <c r="B68" s="21">
        <v>68</v>
      </c>
      <c r="C68" s="21" t="s">
        <v>470</v>
      </c>
      <c r="D68" s="21" t="s">
        <v>81</v>
      </c>
      <c r="E68" s="21">
        <v>8</v>
      </c>
      <c r="F68" s="21">
        <v>210654</v>
      </c>
      <c r="G68" s="42">
        <v>6.0999999999999999E-2</v>
      </c>
      <c r="H68" s="21" t="s">
        <v>472</v>
      </c>
      <c r="I68" s="39" t="str">
        <f ca="1">IFERROR(__xludf.DUMMYFUNCTION("IF(SUM(COUNTIF(artists!A:A, SPLIT(D68, "",""))) &gt; 0, ""UA"", 0)"),"UA")</f>
        <v>UA</v>
      </c>
      <c r="J68" s="40">
        <f ca="1">IFERROR(__xludf.DUMMYFUNCTION("IF(SUM(COUNTIF(artists!C:C, SPLIT(D68, "",""))) &gt; 0, ""RU"", 0)"),0)</f>
        <v>0</v>
      </c>
      <c r="K68" s="39">
        <f ca="1">IFERROR(__xludf.DUMMYFUNCTION("IF(SUM(COUNTIF(artists!E:E, SPLIT(D68, "",""))) &gt; 0, ""OTHER"", 0)"),0)</f>
        <v>0</v>
      </c>
    </row>
    <row r="69" spans="1:11" ht="14.25" customHeight="1">
      <c r="A69" s="21">
        <v>68</v>
      </c>
      <c r="B69" s="21">
        <v>58</v>
      </c>
      <c r="C69" s="21" t="s">
        <v>1659</v>
      </c>
      <c r="D69" s="21" t="s">
        <v>1660</v>
      </c>
      <c r="E69" s="21">
        <v>8</v>
      </c>
      <c r="F69" s="21">
        <v>209796</v>
      </c>
      <c r="G69" s="42">
        <v>-5.7000000000000002E-2</v>
      </c>
      <c r="H69" s="21" t="s">
        <v>1661</v>
      </c>
      <c r="I69" s="39">
        <f ca="1">IFERROR(__xludf.DUMMYFUNCTION("IF(SUM(COUNTIF(artists!A:A, SPLIT(D69, "",""))) &gt; 0, ""UA"", 0)"),0)</f>
        <v>0</v>
      </c>
      <c r="J69" s="40" t="str">
        <f ca="1">IFERROR(__xludf.DUMMYFUNCTION("IF(SUM(COUNTIF(artists!C:C, SPLIT(D69, "",""))) &gt; 0, ""RU"", 0)"),"RU")</f>
        <v>RU</v>
      </c>
      <c r="K69" s="39">
        <f ca="1">IFERROR(__xludf.DUMMYFUNCTION("IF(SUM(COUNTIF(artists!E:E, SPLIT(D69, "",""))) &gt; 0, ""OTHER"", 0)"),0)</f>
        <v>0</v>
      </c>
    </row>
    <row r="70" spans="1:11" ht="14.25" customHeight="1">
      <c r="A70" s="21">
        <v>69</v>
      </c>
      <c r="B70" s="21">
        <v>75</v>
      </c>
      <c r="C70" s="21" t="s">
        <v>1518</v>
      </c>
      <c r="D70" s="21" t="s">
        <v>108</v>
      </c>
      <c r="E70" s="21">
        <v>11</v>
      </c>
      <c r="F70" s="21">
        <v>207809</v>
      </c>
      <c r="G70" s="42">
        <v>0.112</v>
      </c>
      <c r="H70" s="21" t="s">
        <v>1519</v>
      </c>
      <c r="I70" s="39" t="str">
        <f ca="1">IFERROR(__xludf.DUMMYFUNCTION("IF(SUM(COUNTIF(artists!A:A, SPLIT(D70, "",""))) &gt; 0, ""UA"", 0)"),"UA")</f>
        <v>UA</v>
      </c>
      <c r="J70" s="40">
        <f ca="1">IFERROR(__xludf.DUMMYFUNCTION("IF(SUM(COUNTIF(artists!C:C, SPLIT(D70, "",""))) &gt; 0, ""RU"", 0)"),0)</f>
        <v>0</v>
      </c>
      <c r="K70" s="39">
        <f ca="1">IFERROR(__xludf.DUMMYFUNCTION("IF(SUM(COUNTIF(artists!E:E, SPLIT(D70, "",""))) &gt; 0, ""OTHER"", 0)"),0)</f>
        <v>0</v>
      </c>
    </row>
    <row r="71" spans="1:11" ht="14.25" customHeight="1">
      <c r="A71" s="21">
        <v>70</v>
      </c>
      <c r="B71" s="21">
        <v>62</v>
      </c>
      <c r="C71" s="21" t="s">
        <v>1586</v>
      </c>
      <c r="D71" s="21" t="s">
        <v>969</v>
      </c>
      <c r="E71" s="21">
        <v>12</v>
      </c>
      <c r="F71" s="21">
        <v>207415</v>
      </c>
      <c r="G71" s="43">
        <v>-0.02</v>
      </c>
      <c r="H71" s="21" t="s">
        <v>1587</v>
      </c>
      <c r="I71" s="39" t="str">
        <f ca="1">IFERROR(__xludf.DUMMYFUNCTION("IF(SUM(COUNTIF(artists!A:A, SPLIT(D71, "",""))) &gt; 0, ""UA"", 0)"),"UA")</f>
        <v>UA</v>
      </c>
      <c r="J71" s="40">
        <f ca="1">IFERROR(__xludf.DUMMYFUNCTION("IF(SUM(COUNTIF(artists!C:C, SPLIT(D71, "",""))) &gt; 0, ""RU"", 0)"),0)</f>
        <v>0</v>
      </c>
      <c r="K71" s="39">
        <f ca="1">IFERROR(__xludf.DUMMYFUNCTION("IF(SUM(COUNTIF(artists!E:E, SPLIT(D71, "",""))) &gt; 0, ""OTHER"", 0)"),0)</f>
        <v>0</v>
      </c>
    </row>
    <row r="72" spans="1:11" ht="14.25" customHeight="1">
      <c r="A72" s="21">
        <v>71</v>
      </c>
      <c r="B72" s="21">
        <v>46</v>
      </c>
      <c r="C72" s="21">
        <v>12</v>
      </c>
      <c r="D72" s="21" t="s">
        <v>1050</v>
      </c>
      <c r="E72" s="21">
        <v>7</v>
      </c>
      <c r="F72" s="21">
        <v>206803</v>
      </c>
      <c r="G72" s="42">
        <v>-0.18099999999999999</v>
      </c>
      <c r="H72" s="21" t="s">
        <v>1756</v>
      </c>
      <c r="I72" s="39">
        <f ca="1">IFERROR(__xludf.DUMMYFUNCTION("IF(SUM(COUNTIF(artists!A:A, SPLIT(D72, "",""))) &gt; 0, ""UA"", 0)"),0)</f>
        <v>0</v>
      </c>
      <c r="J72" s="40" t="str">
        <f ca="1">IFERROR(__xludf.DUMMYFUNCTION("IF(SUM(COUNTIF(artists!C:C, SPLIT(D72, "",""))) &gt; 0, ""RU"", 0)"),"RU")</f>
        <v>RU</v>
      </c>
      <c r="K72" s="39">
        <f ca="1">IFERROR(__xludf.DUMMYFUNCTION("IF(SUM(COUNTIF(artists!E:E, SPLIT(D72, "",""))) &gt; 0, ""OTHER"", 0)"),0)</f>
        <v>0</v>
      </c>
    </row>
    <row r="73" spans="1:11" ht="14.25" customHeight="1">
      <c r="A73" s="21">
        <v>72</v>
      </c>
      <c r="B73" s="21">
        <v>19</v>
      </c>
      <c r="C73" s="21" t="s">
        <v>1777</v>
      </c>
      <c r="D73" s="21" t="s">
        <v>1778</v>
      </c>
      <c r="E73" s="21">
        <v>9</v>
      </c>
      <c r="F73" s="21">
        <v>206058</v>
      </c>
      <c r="G73" s="42">
        <v>-0.47099999999999997</v>
      </c>
      <c r="H73" s="21" t="s">
        <v>1779</v>
      </c>
      <c r="I73" s="39" t="str">
        <f ca="1">IFERROR(__xludf.DUMMYFUNCTION("IF(SUM(COUNTIF(artists!A:A, SPLIT(D73, "",""))) &gt; 0, ""UA"", 0)"),"UA")</f>
        <v>UA</v>
      </c>
      <c r="J73" s="40">
        <f ca="1">IFERROR(__xludf.DUMMYFUNCTION("IF(SUM(COUNTIF(artists!C:C, SPLIT(D73, "",""))) &gt; 0, ""RU"", 0)"),0)</f>
        <v>0</v>
      </c>
      <c r="K73" s="39">
        <f ca="1">IFERROR(__xludf.DUMMYFUNCTION("IF(SUM(COUNTIF(artists!E:E, SPLIT(D73, "",""))) &gt; 0, ""OTHER"", 0)"),0)</f>
        <v>0</v>
      </c>
    </row>
    <row r="74" spans="1:11" ht="14.25" customHeight="1">
      <c r="A74" s="21">
        <v>73</v>
      </c>
      <c r="B74" s="21">
        <v>56</v>
      </c>
      <c r="C74" s="21" t="s">
        <v>1805</v>
      </c>
      <c r="D74" s="21" t="s">
        <v>1806</v>
      </c>
      <c r="E74" s="21">
        <v>4</v>
      </c>
      <c r="F74" s="21">
        <v>204485</v>
      </c>
      <c r="G74" s="42">
        <v>-9.5000000000000001E-2</v>
      </c>
      <c r="H74" s="21" t="s">
        <v>1807</v>
      </c>
      <c r="I74" s="39" t="str">
        <f ca="1">IFERROR(__xludf.DUMMYFUNCTION("IF(SUM(COUNTIF(artists!A:A, SPLIT(D74, "",""))) &gt; 0, ""UA"", 0)"),"UA")</f>
        <v>UA</v>
      </c>
      <c r="J74" s="40">
        <f ca="1">IFERROR(__xludf.DUMMYFUNCTION("IF(SUM(COUNTIF(artists!C:C, SPLIT(D74, "",""))) &gt; 0, ""RU"", 0)"),0)</f>
        <v>0</v>
      </c>
      <c r="K74" s="39">
        <f ca="1">IFERROR(__xludf.DUMMYFUNCTION("IF(SUM(COUNTIF(artists!E:E, SPLIT(D74, "",""))) &gt; 0, ""OTHER"", 0)"),0)</f>
        <v>0</v>
      </c>
    </row>
    <row r="75" spans="1:11" ht="14.25" customHeight="1">
      <c r="A75" s="21">
        <v>74</v>
      </c>
      <c r="B75" s="21">
        <v>51</v>
      </c>
      <c r="C75" s="21" t="s">
        <v>1588</v>
      </c>
      <c r="D75" s="21" t="s">
        <v>776</v>
      </c>
      <c r="E75" s="21">
        <v>12</v>
      </c>
      <c r="F75" s="21">
        <v>200712</v>
      </c>
      <c r="G75" s="42">
        <v>-0.16600000000000001</v>
      </c>
      <c r="H75" s="21" t="s">
        <v>1589</v>
      </c>
      <c r="I75" s="39" t="str">
        <f ca="1">IFERROR(__xludf.DUMMYFUNCTION("IF(SUM(COUNTIF(artists!A:A, SPLIT(D75, "",""))) &gt; 0, ""UA"", 0)"),"UA")</f>
        <v>UA</v>
      </c>
      <c r="J75" s="40">
        <f ca="1">IFERROR(__xludf.DUMMYFUNCTION("IF(SUM(COUNTIF(artists!C:C, SPLIT(D75, "",""))) &gt; 0, ""RU"", 0)"),0)</f>
        <v>0</v>
      </c>
      <c r="K75" s="39">
        <f ca="1">IFERROR(__xludf.DUMMYFUNCTION("IF(SUM(COUNTIF(artists!E:E, SPLIT(D75, "",""))) &gt; 0, ""OTHER"", 0)"),0)</f>
        <v>0</v>
      </c>
    </row>
    <row r="76" spans="1:11" ht="14.25" customHeight="1">
      <c r="A76" s="21">
        <v>75</v>
      </c>
      <c r="B76" s="21">
        <v>70</v>
      </c>
      <c r="C76" s="21" t="s">
        <v>1546</v>
      </c>
      <c r="D76" s="21" t="s">
        <v>1429</v>
      </c>
      <c r="E76" s="21">
        <v>5</v>
      </c>
      <c r="F76" s="21">
        <v>199092</v>
      </c>
      <c r="G76" s="42">
        <v>6.0000000000000001E-3</v>
      </c>
      <c r="H76" s="21" t="s">
        <v>1547</v>
      </c>
      <c r="I76" s="39" t="str">
        <f ca="1">IFERROR(__xludf.DUMMYFUNCTION("IF(SUM(COUNTIF(artists!A:A, SPLIT(D76, "",""))) &gt; 0, ""UA"", 0)"),"UA")</f>
        <v>UA</v>
      </c>
      <c r="J76" s="40">
        <f ca="1">IFERROR(__xludf.DUMMYFUNCTION("IF(SUM(COUNTIF(artists!C:C, SPLIT(D76, "",""))) &gt; 0, ""RU"", 0)"),0)</f>
        <v>0</v>
      </c>
      <c r="K76" s="39">
        <f ca="1">IFERROR(__xludf.DUMMYFUNCTION("IF(SUM(COUNTIF(artists!E:E, SPLIT(D76, "",""))) &gt; 0, ""OTHER"", 0)"),0)</f>
        <v>0</v>
      </c>
    </row>
    <row r="77" spans="1:11" ht="14.25" customHeight="1">
      <c r="A77" s="21">
        <v>76</v>
      </c>
      <c r="B77" s="21">
        <v>69</v>
      </c>
      <c r="C77" s="21" t="s">
        <v>1726</v>
      </c>
      <c r="D77" s="21" t="s">
        <v>1727</v>
      </c>
      <c r="E77" s="21">
        <v>9</v>
      </c>
      <c r="F77" s="21">
        <v>193886</v>
      </c>
      <c r="G77" s="42">
        <v>-2.1999999999999999E-2</v>
      </c>
      <c r="H77" s="21" t="s">
        <v>1728</v>
      </c>
      <c r="I77" s="39" t="str">
        <f ca="1">IFERROR(__xludf.DUMMYFUNCTION("IF(SUM(COUNTIF(artists!A:A, SPLIT(D77, "",""))) &gt; 0, ""UA"", 0)"),"UA")</f>
        <v>UA</v>
      </c>
      <c r="J77" s="40">
        <f ca="1">IFERROR(__xludf.DUMMYFUNCTION("IF(SUM(COUNTIF(artists!C:C, SPLIT(D77, "",""))) &gt; 0, ""RU"", 0)"),0)</f>
        <v>0</v>
      </c>
      <c r="K77" s="39">
        <f ca="1">IFERROR(__xludf.DUMMYFUNCTION("IF(SUM(COUNTIF(artists!E:E, SPLIT(D77, "",""))) &gt; 0, ""OTHER"", 0)"),0)</f>
        <v>0</v>
      </c>
    </row>
    <row r="78" spans="1:11" ht="14.25" customHeight="1">
      <c r="A78" s="21">
        <v>77</v>
      </c>
      <c r="C78" s="21" t="s">
        <v>1808</v>
      </c>
      <c r="D78" s="21" t="s">
        <v>1042</v>
      </c>
      <c r="E78" s="21">
        <v>1</v>
      </c>
      <c r="F78" s="21">
        <v>193692</v>
      </c>
      <c r="H78" s="21" t="s">
        <v>1809</v>
      </c>
      <c r="I78" s="39">
        <f ca="1">IFERROR(__xludf.DUMMYFUNCTION("IF(SUM(COUNTIF(artists!A:A, SPLIT(D78, "",""))) &gt; 0, ""UA"", 0)"),0)</f>
        <v>0</v>
      </c>
      <c r="J78" s="40" t="str">
        <f ca="1">IFERROR(__xludf.DUMMYFUNCTION("IF(SUM(COUNTIF(artists!C:C, SPLIT(D78, "",""))) &gt; 0, ""RU"", 0)"),"RU")</f>
        <v>RU</v>
      </c>
      <c r="K78" s="39">
        <f ca="1">IFERROR(__xludf.DUMMYFUNCTION("IF(SUM(COUNTIF(artists!E:E, SPLIT(D78, "",""))) &gt; 0, ""OTHER"", 0)"),0)</f>
        <v>0</v>
      </c>
    </row>
    <row r="79" spans="1:11" ht="14.25" customHeight="1">
      <c r="A79" s="21">
        <v>78</v>
      </c>
      <c r="B79" s="21">
        <v>73</v>
      </c>
      <c r="C79" s="21" t="s">
        <v>1631</v>
      </c>
      <c r="D79" s="21" t="s">
        <v>409</v>
      </c>
      <c r="E79" s="21">
        <v>9</v>
      </c>
      <c r="F79" s="21">
        <v>189670</v>
      </c>
      <c r="G79" s="42">
        <v>-1.2999999999999999E-2</v>
      </c>
      <c r="H79" s="21" t="s">
        <v>1632</v>
      </c>
      <c r="I79" s="39" t="str">
        <f ca="1">IFERROR(__xludf.DUMMYFUNCTION("IF(SUM(COUNTIF(artists!A:A, SPLIT(D79, "",""))) &gt; 0, ""UA"", 0)"),"UA")</f>
        <v>UA</v>
      </c>
      <c r="J79" s="40">
        <f ca="1">IFERROR(__xludf.DUMMYFUNCTION("IF(SUM(COUNTIF(artists!C:C, SPLIT(D79, "",""))) &gt; 0, ""RU"", 0)"),0)</f>
        <v>0</v>
      </c>
      <c r="K79" s="39">
        <f ca="1">IFERROR(__xludf.DUMMYFUNCTION("IF(SUM(COUNTIF(artists!E:E, SPLIT(D79, "",""))) &gt; 0, ""OTHER"", 0)"),0)</f>
        <v>0</v>
      </c>
    </row>
    <row r="80" spans="1:11" ht="14.25" customHeight="1">
      <c r="A80" s="21">
        <v>79</v>
      </c>
      <c r="B80" s="21">
        <v>71</v>
      </c>
      <c r="C80" s="21" t="s">
        <v>1690</v>
      </c>
      <c r="D80" s="21" t="s">
        <v>259</v>
      </c>
      <c r="E80" s="21">
        <v>4</v>
      </c>
      <c r="F80" s="21">
        <v>187625</v>
      </c>
      <c r="G80" s="42">
        <v>-3.7999999999999999E-2</v>
      </c>
      <c r="H80" s="21" t="s">
        <v>1691</v>
      </c>
      <c r="I80" s="39" t="str">
        <f ca="1">IFERROR(__xludf.DUMMYFUNCTION("IF(SUM(COUNTIF(artists!A:A, SPLIT(D80, "",""))) &gt; 0, ""UA"", 0)"),"UA")</f>
        <v>UA</v>
      </c>
      <c r="J80" s="40">
        <f ca="1">IFERROR(__xludf.DUMMYFUNCTION("IF(SUM(COUNTIF(artists!C:C, SPLIT(D80, "",""))) &gt; 0, ""RU"", 0)"),0)</f>
        <v>0</v>
      </c>
      <c r="K80" s="39">
        <f ca="1">IFERROR(__xludf.DUMMYFUNCTION("IF(SUM(COUNTIF(artists!E:E, SPLIT(D80, "",""))) &gt; 0, ""OTHER"", 0)"),0)</f>
        <v>0</v>
      </c>
    </row>
    <row r="81" spans="1:11" ht="14.25" customHeight="1">
      <c r="A81" s="21">
        <v>80</v>
      </c>
      <c r="C81" s="21" t="s">
        <v>1745</v>
      </c>
      <c r="D81" s="21" t="s">
        <v>1746</v>
      </c>
      <c r="E81" s="21">
        <v>1</v>
      </c>
      <c r="F81" s="21">
        <v>183875</v>
      </c>
      <c r="H81" s="21" t="s">
        <v>1747</v>
      </c>
      <c r="I81" s="39" t="str">
        <f ca="1">IFERROR(__xludf.DUMMYFUNCTION("IF(SUM(COUNTIF(artists!A:A, SPLIT(D81, "",""))) &gt; 0, ""UA"", 0)"),"UA")</f>
        <v>UA</v>
      </c>
      <c r="J81" s="40">
        <f ca="1">IFERROR(__xludf.DUMMYFUNCTION("IF(SUM(COUNTIF(artists!C:C, SPLIT(D81, "",""))) &gt; 0, ""RU"", 0)"),0)</f>
        <v>0</v>
      </c>
      <c r="K81" s="39">
        <f ca="1">IFERROR(__xludf.DUMMYFUNCTION("IF(SUM(COUNTIF(artists!E:E, SPLIT(D81, "",""))) &gt; 0, ""OTHER"", 0)"),0)</f>
        <v>0</v>
      </c>
    </row>
    <row r="82" spans="1:11" ht="14.25" customHeight="1">
      <c r="A82" s="21">
        <v>81</v>
      </c>
      <c r="B82" s="21">
        <v>74</v>
      </c>
      <c r="C82" s="21" t="s">
        <v>1810</v>
      </c>
      <c r="D82" s="21" t="s">
        <v>15</v>
      </c>
      <c r="E82" s="21">
        <v>9</v>
      </c>
      <c r="F82" s="21">
        <v>182830</v>
      </c>
      <c r="G82" s="42">
        <v>-4.2000000000000003E-2</v>
      </c>
      <c r="H82" s="21" t="s">
        <v>1811</v>
      </c>
      <c r="I82" s="39">
        <f ca="1">IFERROR(__xludf.DUMMYFUNCTION("IF(SUM(COUNTIF(artists!A:A, SPLIT(D82, "",""))) &gt; 0, ""UA"", 0)"),0)</f>
        <v>0</v>
      </c>
      <c r="J82" s="40">
        <f ca="1">IFERROR(__xludf.DUMMYFUNCTION("IF(SUM(COUNTIF(artists!C:C, SPLIT(D82, "",""))) &gt; 0, ""RU"", 0)"),0)</f>
        <v>0</v>
      </c>
      <c r="K82" s="39" t="str">
        <f ca="1">IFERROR(__xludf.DUMMYFUNCTION("IF(SUM(COUNTIF(artists!E:E, SPLIT(D82, "",""))) &gt; 0, ""OTHER"", 0)"),"OTHER")</f>
        <v>OTHER</v>
      </c>
    </row>
    <row r="83" spans="1:11" ht="14.25" customHeight="1">
      <c r="A83" s="21">
        <v>82</v>
      </c>
      <c r="B83" s="21">
        <v>84</v>
      </c>
      <c r="C83" s="21" t="s">
        <v>316</v>
      </c>
      <c r="D83" s="21" t="s">
        <v>317</v>
      </c>
      <c r="E83" s="21">
        <v>4</v>
      </c>
      <c r="F83" s="21">
        <v>176309</v>
      </c>
      <c r="G83" s="42">
        <v>6.6000000000000003E-2</v>
      </c>
      <c r="H83" s="21" t="s">
        <v>319</v>
      </c>
      <c r="I83" s="39" t="str">
        <f ca="1">IFERROR(__xludf.DUMMYFUNCTION("IF(SUM(COUNTIF(artists!A:A, SPLIT(D83, "",""))) &gt; 0, ""UA"", 0)"),"UA")</f>
        <v>UA</v>
      </c>
      <c r="J83" s="40">
        <f ca="1">IFERROR(__xludf.DUMMYFUNCTION("IF(SUM(COUNTIF(artists!C:C, SPLIT(D83, "",""))) &gt; 0, ""RU"", 0)"),0)</f>
        <v>0</v>
      </c>
      <c r="K83" s="39">
        <f ca="1">IFERROR(__xludf.DUMMYFUNCTION("IF(SUM(COUNTIF(artists!E:E, SPLIT(D83, "",""))) &gt; 0, ""OTHER"", 0)"),0)</f>
        <v>0</v>
      </c>
    </row>
    <row r="84" spans="1:11" ht="14.25" customHeight="1">
      <c r="A84" s="21">
        <v>83</v>
      </c>
      <c r="B84" s="21">
        <v>89</v>
      </c>
      <c r="C84" s="21" t="s">
        <v>1812</v>
      </c>
      <c r="D84" s="21" t="s">
        <v>133</v>
      </c>
      <c r="E84" s="21">
        <v>9</v>
      </c>
      <c r="F84" s="21">
        <v>175297</v>
      </c>
      <c r="G84" s="43">
        <v>0.09</v>
      </c>
      <c r="H84" s="21" t="s">
        <v>1813</v>
      </c>
      <c r="I84" s="39" t="str">
        <f ca="1">IFERROR(__xludf.DUMMYFUNCTION("IF(SUM(COUNTIF(artists!A:A, SPLIT(D84, "",""))) &gt; 0, ""UA"", 0)"),"UA")</f>
        <v>UA</v>
      </c>
      <c r="J84" s="40">
        <f ca="1">IFERROR(__xludf.DUMMYFUNCTION("IF(SUM(COUNTIF(artists!C:C, SPLIT(D84, "",""))) &gt; 0, ""RU"", 0)"),0)</f>
        <v>0</v>
      </c>
      <c r="K84" s="39">
        <f ca="1">IFERROR(__xludf.DUMMYFUNCTION("IF(SUM(COUNTIF(artists!E:E, SPLIT(D84, "",""))) &gt; 0, ""OTHER"", 0)"),0)</f>
        <v>0</v>
      </c>
    </row>
    <row r="85" spans="1:11" ht="14.25" customHeight="1">
      <c r="A85" s="21">
        <v>84</v>
      </c>
      <c r="B85" s="21">
        <v>79</v>
      </c>
      <c r="C85" s="21" t="s">
        <v>1622</v>
      </c>
      <c r="D85" s="21" t="s">
        <v>137</v>
      </c>
      <c r="E85" s="21">
        <v>13</v>
      </c>
      <c r="F85" s="21">
        <v>175259</v>
      </c>
      <c r="G85" s="43">
        <v>0.01</v>
      </c>
      <c r="H85" s="21" t="s">
        <v>1623</v>
      </c>
      <c r="I85" s="39" t="str">
        <f ca="1">IFERROR(__xludf.DUMMYFUNCTION("IF(SUM(COUNTIF(artists!A:A, SPLIT(D85, "",""))) &gt; 0, ""UA"", 0)"),"UA")</f>
        <v>UA</v>
      </c>
      <c r="J85" s="40">
        <f ca="1">IFERROR(__xludf.DUMMYFUNCTION("IF(SUM(COUNTIF(artists!C:C, SPLIT(D85, "",""))) &gt; 0, ""RU"", 0)"),0)</f>
        <v>0</v>
      </c>
      <c r="K85" s="39">
        <f ca="1">IFERROR(__xludf.DUMMYFUNCTION("IF(SUM(COUNTIF(artists!E:E, SPLIT(D85, "",""))) &gt; 0, ""OTHER"", 0)"),0)</f>
        <v>0</v>
      </c>
    </row>
    <row r="86" spans="1:11" ht="14.25" customHeight="1">
      <c r="A86" s="21">
        <v>85</v>
      </c>
      <c r="B86" s="21">
        <v>95</v>
      </c>
      <c r="C86" s="21" t="s">
        <v>489</v>
      </c>
      <c r="D86" s="21" t="s">
        <v>490</v>
      </c>
      <c r="E86" s="21">
        <v>7</v>
      </c>
      <c r="F86" s="21">
        <v>174904</v>
      </c>
      <c r="G86" s="43">
        <v>0.13</v>
      </c>
      <c r="H86" s="21" t="s">
        <v>491</v>
      </c>
      <c r="I86" s="39" t="str">
        <f ca="1">IFERROR(__xludf.DUMMYFUNCTION("IF(SUM(COUNTIF(artists!A:A, SPLIT(D86, "",""))) &gt; 0, ""UA"", 0)"),"UA")</f>
        <v>UA</v>
      </c>
      <c r="J86" s="40">
        <f ca="1">IFERROR(__xludf.DUMMYFUNCTION("IF(SUM(COUNTIF(artists!C:C, SPLIT(D86, "",""))) &gt; 0, ""RU"", 0)"),0)</f>
        <v>0</v>
      </c>
      <c r="K86" s="39">
        <f ca="1">IFERROR(__xludf.DUMMYFUNCTION("IF(SUM(COUNTIF(artists!E:E, SPLIT(D86, "",""))) &gt; 0, ""OTHER"", 0)"),0)</f>
        <v>0</v>
      </c>
    </row>
    <row r="87" spans="1:11" ht="14.25" customHeight="1">
      <c r="A87" s="21">
        <v>86</v>
      </c>
      <c r="B87" s="21">
        <v>76</v>
      </c>
      <c r="C87" s="21" t="s">
        <v>1416</v>
      </c>
      <c r="D87" s="21" t="s">
        <v>137</v>
      </c>
      <c r="E87" s="21">
        <v>4</v>
      </c>
      <c r="F87" s="21">
        <v>173928</v>
      </c>
      <c r="G87" s="42">
        <v>-5.8999999999999997E-2</v>
      </c>
      <c r="H87" s="21" t="s">
        <v>1417</v>
      </c>
      <c r="I87" s="39" t="str">
        <f ca="1">IFERROR(__xludf.DUMMYFUNCTION("IF(SUM(COUNTIF(artists!A:A, SPLIT(D87, "",""))) &gt; 0, ""UA"", 0)"),"UA")</f>
        <v>UA</v>
      </c>
      <c r="J87" s="40">
        <f ca="1">IFERROR(__xludf.DUMMYFUNCTION("IF(SUM(COUNTIF(artists!C:C, SPLIT(D87, "",""))) &gt; 0, ""RU"", 0)"),0)</f>
        <v>0</v>
      </c>
      <c r="K87" s="39">
        <f ca="1">IFERROR(__xludf.DUMMYFUNCTION("IF(SUM(COUNTIF(artists!E:E, SPLIT(D87, "",""))) &gt; 0, ""OTHER"", 0)"),0)</f>
        <v>0</v>
      </c>
    </row>
    <row r="88" spans="1:11" ht="14.25" customHeight="1">
      <c r="A88" s="21">
        <v>87</v>
      </c>
      <c r="B88" s="21">
        <v>59</v>
      </c>
      <c r="C88" s="21" t="s">
        <v>1683</v>
      </c>
      <c r="D88" s="21" t="s">
        <v>1757</v>
      </c>
      <c r="E88" s="21">
        <v>2</v>
      </c>
      <c r="F88" s="21">
        <v>173124</v>
      </c>
      <c r="G88" s="42">
        <v>-0.20100000000000001</v>
      </c>
      <c r="H88" s="21" t="s">
        <v>1758</v>
      </c>
      <c r="I88" s="39" t="str">
        <f ca="1">IFERROR(__xludf.DUMMYFUNCTION("IF(SUM(COUNTIF(artists!A:A, SPLIT(D88, "",""))) &gt; 0, ""UA"", 0)"),"UA")</f>
        <v>UA</v>
      </c>
      <c r="J88" s="40">
        <f ca="1">IFERROR(__xludf.DUMMYFUNCTION("IF(SUM(COUNTIF(artists!C:C, SPLIT(D88, "",""))) &gt; 0, ""RU"", 0)"),0)</f>
        <v>0</v>
      </c>
      <c r="K88" s="39">
        <f ca="1">IFERROR(__xludf.DUMMYFUNCTION("IF(SUM(COUNTIF(artists!E:E, SPLIT(D88, "",""))) &gt; 0, ""OTHER"", 0)"),0)</f>
        <v>0</v>
      </c>
    </row>
    <row r="89" spans="1:11" ht="14.25" customHeight="1">
      <c r="A89" s="21">
        <v>88</v>
      </c>
      <c r="B89" s="21">
        <v>45</v>
      </c>
      <c r="C89" s="21" t="s">
        <v>1814</v>
      </c>
      <c r="D89" s="21" t="s">
        <v>1358</v>
      </c>
      <c r="E89" s="21">
        <v>2</v>
      </c>
      <c r="F89" s="21">
        <v>172802</v>
      </c>
      <c r="G89" s="42">
        <v>-0.318</v>
      </c>
      <c r="H89" s="21" t="s">
        <v>1815</v>
      </c>
      <c r="I89" s="39" t="str">
        <f ca="1">IFERROR(__xludf.DUMMYFUNCTION("IF(SUM(COUNTIF(artists!A:A, SPLIT(D89, "",""))) &gt; 0, ""UA"", 0)"),"UA")</f>
        <v>UA</v>
      </c>
      <c r="J89" s="40">
        <f ca="1">IFERROR(__xludf.DUMMYFUNCTION("IF(SUM(COUNTIF(artists!C:C, SPLIT(D89, "",""))) &gt; 0, ""RU"", 0)"),0)</f>
        <v>0</v>
      </c>
      <c r="K89" s="39">
        <f ca="1">IFERROR(__xludf.DUMMYFUNCTION("IF(SUM(COUNTIF(artists!E:E, SPLIT(D89, "",""))) &gt; 0, ""OTHER"", 0)"),0)</f>
        <v>0</v>
      </c>
    </row>
    <row r="90" spans="1:11" ht="14.25" customHeight="1">
      <c r="A90" s="21">
        <v>89</v>
      </c>
      <c r="B90" s="21">
        <v>81</v>
      </c>
      <c r="C90" s="21" t="s">
        <v>1670</v>
      </c>
      <c r="D90" s="21" t="s">
        <v>969</v>
      </c>
      <c r="E90" s="21">
        <v>19</v>
      </c>
      <c r="F90" s="21">
        <v>169875</v>
      </c>
      <c r="G90" s="42">
        <v>-1.4E-2</v>
      </c>
      <c r="H90" s="21" t="s">
        <v>1671</v>
      </c>
      <c r="I90" s="39" t="str">
        <f ca="1">IFERROR(__xludf.DUMMYFUNCTION("IF(SUM(COUNTIF(artists!A:A, SPLIT(D90, "",""))) &gt; 0, ""UA"", 0)"),"UA")</f>
        <v>UA</v>
      </c>
      <c r="J90" s="40">
        <f ca="1">IFERROR(__xludf.DUMMYFUNCTION("IF(SUM(COUNTIF(artists!C:C, SPLIT(D90, "",""))) &gt; 0, ""RU"", 0)"),0)</f>
        <v>0</v>
      </c>
      <c r="K90" s="39">
        <f ca="1">IFERROR(__xludf.DUMMYFUNCTION("IF(SUM(COUNTIF(artists!E:E, SPLIT(D90, "",""))) &gt; 0, ""OTHER"", 0)"),0)</f>
        <v>0</v>
      </c>
    </row>
    <row r="91" spans="1:11" ht="14.25" customHeight="1">
      <c r="A91" s="21">
        <v>90</v>
      </c>
      <c r="B91" s="21">
        <v>90</v>
      </c>
      <c r="C91" s="21" t="s">
        <v>178</v>
      </c>
      <c r="D91" s="21" t="s">
        <v>179</v>
      </c>
      <c r="E91" s="21">
        <v>3</v>
      </c>
      <c r="F91" s="21">
        <v>168612</v>
      </c>
      <c r="G91" s="42">
        <v>5.7000000000000002E-2</v>
      </c>
      <c r="H91" s="21" t="s">
        <v>181</v>
      </c>
      <c r="I91" s="39" t="str">
        <f ca="1">IFERROR(__xludf.DUMMYFUNCTION("IF(SUM(COUNTIF(artists!A:A, SPLIT(D91, "",""))) &gt; 0, ""UA"", 0)"),"UA")</f>
        <v>UA</v>
      </c>
      <c r="J91" s="40">
        <f ca="1">IFERROR(__xludf.DUMMYFUNCTION("IF(SUM(COUNTIF(artists!C:C, SPLIT(D91, "",""))) &gt; 0, ""RU"", 0)"),0)</f>
        <v>0</v>
      </c>
      <c r="K91" s="39">
        <f ca="1">IFERROR(__xludf.DUMMYFUNCTION("IF(SUM(COUNTIF(artists!E:E, SPLIT(D91, "",""))) &gt; 0, ""OTHER"", 0)"),0)</f>
        <v>0</v>
      </c>
    </row>
    <row r="92" spans="1:11" ht="14.25" customHeight="1">
      <c r="A92" s="21">
        <v>91</v>
      </c>
      <c r="B92" s="21">
        <v>85</v>
      </c>
      <c r="C92" s="21" t="s">
        <v>1483</v>
      </c>
      <c r="D92" s="21" t="s">
        <v>972</v>
      </c>
      <c r="E92" s="21">
        <v>20</v>
      </c>
      <c r="F92" s="21">
        <v>167563</v>
      </c>
      <c r="G92" s="42">
        <v>2.1000000000000001E-2</v>
      </c>
      <c r="H92" s="21" t="s">
        <v>1484</v>
      </c>
      <c r="I92" s="39">
        <f ca="1">IFERROR(__xludf.DUMMYFUNCTION("IF(SUM(COUNTIF(artists!A:A, SPLIT(D92, "",""))) &gt; 0, ""UA"", 0)"),0)</f>
        <v>0</v>
      </c>
      <c r="J92" s="40">
        <f ca="1">IFERROR(__xludf.DUMMYFUNCTION("IF(SUM(COUNTIF(artists!C:C, SPLIT(D92, "",""))) &gt; 0, ""RU"", 0)"),0)</f>
        <v>0</v>
      </c>
      <c r="K92" s="39" t="str">
        <f ca="1">IFERROR(__xludf.DUMMYFUNCTION("IF(SUM(COUNTIF(artists!E:E, SPLIT(D92, "",""))) &gt; 0, ""OTHER"", 0)"),"OTHER")</f>
        <v>OTHER</v>
      </c>
    </row>
    <row r="93" spans="1:11" ht="14.25" customHeight="1">
      <c r="A93" s="21">
        <v>92</v>
      </c>
      <c r="C93" s="21" t="s">
        <v>1785</v>
      </c>
      <c r="D93" s="21" t="s">
        <v>1786</v>
      </c>
      <c r="E93" s="21">
        <v>1</v>
      </c>
      <c r="F93" s="21">
        <v>165373</v>
      </c>
      <c r="H93" s="21" t="s">
        <v>1787</v>
      </c>
      <c r="I93" s="39" t="str">
        <f ca="1">IFERROR(__xludf.DUMMYFUNCTION("IF(SUM(COUNTIF(artists!A:A, SPLIT(D93, "",""))) &gt; 0, ""UA"", 0)"),"UA")</f>
        <v>UA</v>
      </c>
      <c r="J93" s="40">
        <f ca="1">IFERROR(__xludf.DUMMYFUNCTION("IF(SUM(COUNTIF(artists!C:C, SPLIT(D93, "",""))) &gt; 0, ""RU"", 0)"),0)</f>
        <v>0</v>
      </c>
      <c r="K93" s="39">
        <f ca="1">IFERROR(__xludf.DUMMYFUNCTION("IF(SUM(COUNTIF(artists!E:E, SPLIT(D93, "",""))) &gt; 0, ""OTHER"", 0)"),0)</f>
        <v>0</v>
      </c>
    </row>
    <row r="94" spans="1:11" ht="14.25" customHeight="1">
      <c r="A94" s="21">
        <v>93</v>
      </c>
      <c r="C94" s="21" t="s">
        <v>1816</v>
      </c>
      <c r="D94" s="21" t="s">
        <v>1637</v>
      </c>
      <c r="E94" s="21">
        <v>53</v>
      </c>
      <c r="F94" s="21">
        <v>164149</v>
      </c>
      <c r="H94" s="21" t="s">
        <v>1817</v>
      </c>
      <c r="I94" s="39">
        <f ca="1">IFERROR(__xludf.DUMMYFUNCTION("IF(SUM(COUNTIF(artists!A:A, SPLIT(D94, "",""))) &gt; 0, ""UA"", 0)"),0)</f>
        <v>0</v>
      </c>
      <c r="J94" s="40" t="str">
        <f ca="1">IFERROR(__xludf.DUMMYFUNCTION("IF(SUM(COUNTIF(artists!C:C, SPLIT(D94, "",""))) &gt; 0, ""RU"", 0)"),"RU")</f>
        <v>RU</v>
      </c>
      <c r="K94" s="39">
        <f ca="1">IFERROR(__xludf.DUMMYFUNCTION("IF(SUM(COUNTIF(artists!E:E, SPLIT(D94, "",""))) &gt; 0, ""OTHER"", 0)"),0)</f>
        <v>0</v>
      </c>
    </row>
    <row r="95" spans="1:11" ht="14.25" customHeight="1">
      <c r="A95" s="21">
        <v>94</v>
      </c>
      <c r="B95" s="21">
        <v>97</v>
      </c>
      <c r="C95" s="21" t="s">
        <v>1818</v>
      </c>
      <c r="D95" s="21" t="s">
        <v>1360</v>
      </c>
      <c r="E95" s="21">
        <v>5</v>
      </c>
      <c r="F95" s="21">
        <v>162658</v>
      </c>
      <c r="G95" s="42">
        <v>6.0999999999999999E-2</v>
      </c>
      <c r="H95" s="21" t="s">
        <v>1819</v>
      </c>
      <c r="I95" s="39" t="str">
        <f ca="1">IFERROR(__xludf.DUMMYFUNCTION("IF(SUM(COUNTIF(artists!A:A, SPLIT(D95, "",""))) &gt; 0, ""UA"", 0)"),"UA")</f>
        <v>UA</v>
      </c>
      <c r="J95" s="40">
        <f ca="1">IFERROR(__xludf.DUMMYFUNCTION("IF(SUM(COUNTIF(artists!C:C, SPLIT(D95, "",""))) &gt; 0, ""RU"", 0)"),0)</f>
        <v>0</v>
      </c>
      <c r="K95" s="39">
        <f ca="1">IFERROR(__xludf.DUMMYFUNCTION("IF(SUM(COUNTIF(artists!E:E, SPLIT(D95, "",""))) &gt; 0, ""OTHER"", 0)"),0)</f>
        <v>0</v>
      </c>
    </row>
    <row r="96" spans="1:11" ht="14.25" customHeight="1">
      <c r="A96" s="21">
        <v>95</v>
      </c>
      <c r="B96" s="21">
        <v>91</v>
      </c>
      <c r="C96" s="21" t="s">
        <v>1820</v>
      </c>
      <c r="D96" s="21" t="s">
        <v>1439</v>
      </c>
      <c r="E96" s="21">
        <v>7</v>
      </c>
      <c r="F96" s="21">
        <v>162527</v>
      </c>
      <c r="G96" s="42">
        <v>3.7999999999999999E-2</v>
      </c>
      <c r="H96" s="21" t="s">
        <v>1821</v>
      </c>
      <c r="I96" s="39" t="str">
        <f ca="1">IFERROR(__xludf.DUMMYFUNCTION("IF(SUM(COUNTIF(artists!A:A, SPLIT(D96, "",""))) &gt; 0, ""UA"", 0)"),"UA")</f>
        <v>UA</v>
      </c>
      <c r="J96" s="40">
        <f ca="1">IFERROR(__xludf.DUMMYFUNCTION("IF(SUM(COUNTIF(artists!C:C, SPLIT(D96, "",""))) &gt; 0, ""RU"", 0)"),0)</f>
        <v>0</v>
      </c>
      <c r="K96" s="39">
        <f ca="1">IFERROR(__xludf.DUMMYFUNCTION("IF(SUM(COUNTIF(artists!E:E, SPLIT(D96, "",""))) &gt; 0, ""OTHER"", 0)"),0)</f>
        <v>0</v>
      </c>
    </row>
    <row r="97" spans="1:11" ht="14.25" customHeight="1">
      <c r="A97" s="21">
        <v>96</v>
      </c>
      <c r="B97" s="21">
        <v>80</v>
      </c>
      <c r="C97" s="21" t="s">
        <v>1611</v>
      </c>
      <c r="D97" s="21" t="s">
        <v>1612</v>
      </c>
      <c r="E97" s="21">
        <v>3</v>
      </c>
      <c r="F97" s="21">
        <v>161623</v>
      </c>
      <c r="G97" s="42">
        <v>-6.7000000000000004E-2</v>
      </c>
      <c r="H97" s="21" t="s">
        <v>1613</v>
      </c>
      <c r="I97" s="39" t="str">
        <f ca="1">IFERROR(__xludf.DUMMYFUNCTION("IF(SUM(COUNTIF(artists!A:A, SPLIT(D97, "",""))) &gt; 0, ""UA"", 0)"),"UA")</f>
        <v>UA</v>
      </c>
      <c r="J97" s="40">
        <f ca="1">IFERROR(__xludf.DUMMYFUNCTION("IF(SUM(COUNTIF(artists!C:C, SPLIT(D97, "",""))) &gt; 0, ""RU"", 0)"),0)</f>
        <v>0</v>
      </c>
      <c r="K97" s="39">
        <f ca="1">IFERROR(__xludf.DUMMYFUNCTION("IF(SUM(COUNTIF(artists!E:E, SPLIT(D97, "",""))) &gt; 0, ""OTHER"", 0)"),0)</f>
        <v>0</v>
      </c>
    </row>
    <row r="98" spans="1:11" ht="14.25" customHeight="1">
      <c r="A98" s="21">
        <v>97</v>
      </c>
      <c r="B98" s="21">
        <v>83</v>
      </c>
      <c r="C98" s="21" t="s">
        <v>1822</v>
      </c>
      <c r="D98" s="21" t="s">
        <v>1823</v>
      </c>
      <c r="E98" s="21">
        <v>9</v>
      </c>
      <c r="F98" s="21">
        <v>159882</v>
      </c>
      <c r="G98" s="42">
        <v>-3.4000000000000002E-2</v>
      </c>
      <c r="H98" s="21" t="s">
        <v>1824</v>
      </c>
      <c r="I98" s="39" t="str">
        <f ca="1">IFERROR(__xludf.DUMMYFUNCTION("IF(SUM(COUNTIF(artists!A:A, SPLIT(D98, "",""))) &gt; 0, ""UA"", 0)"),"UA")</f>
        <v>UA</v>
      </c>
      <c r="J98" s="40">
        <f ca="1">IFERROR(__xludf.DUMMYFUNCTION("IF(SUM(COUNTIF(artists!C:C, SPLIT(D98, "",""))) &gt; 0, ""RU"", 0)"),0)</f>
        <v>0</v>
      </c>
      <c r="K98" s="39">
        <f ca="1">IFERROR(__xludf.DUMMYFUNCTION("IF(SUM(COUNTIF(artists!E:E, SPLIT(D98, "",""))) &gt; 0, ""OTHER"", 0)"),0)</f>
        <v>0</v>
      </c>
    </row>
    <row r="99" spans="1:11" ht="14.25" customHeight="1">
      <c r="A99" s="21">
        <v>98</v>
      </c>
      <c r="B99" s="21">
        <v>93</v>
      </c>
      <c r="C99" s="21" t="s">
        <v>1601</v>
      </c>
      <c r="D99" s="21" t="s">
        <v>1602</v>
      </c>
      <c r="E99" s="21">
        <v>12</v>
      </c>
      <c r="F99" s="21">
        <v>159082</v>
      </c>
      <c r="G99" s="42">
        <v>2.4E-2</v>
      </c>
      <c r="H99" s="21" t="s">
        <v>1603</v>
      </c>
      <c r="I99" s="39">
        <f ca="1">IFERROR(__xludf.DUMMYFUNCTION("IF(SUM(COUNTIF(artists!A:A, SPLIT(D99, "",""))) &gt; 0, ""UA"", 0)"),0)</f>
        <v>0</v>
      </c>
      <c r="J99" s="40" t="str">
        <f ca="1">IFERROR(__xludf.DUMMYFUNCTION("IF(SUM(COUNTIF(artists!C:C, SPLIT(D99, "",""))) &gt; 0, ""RU"", 0)"),"RU")</f>
        <v>RU</v>
      </c>
      <c r="K99" s="39">
        <f ca="1">IFERROR(__xludf.DUMMYFUNCTION("IF(SUM(COUNTIF(artists!E:E, SPLIT(D99, "",""))) &gt; 0, ""OTHER"", 0)"),0)</f>
        <v>0</v>
      </c>
    </row>
    <row r="100" spans="1:11" ht="14.25" customHeight="1">
      <c r="A100" s="21">
        <v>99</v>
      </c>
      <c r="B100" s="21">
        <v>94</v>
      </c>
      <c r="C100" s="21" t="s">
        <v>1007</v>
      </c>
      <c r="D100" s="21" t="s">
        <v>1008</v>
      </c>
      <c r="E100" s="21">
        <v>10</v>
      </c>
      <c r="F100" s="21">
        <v>157565</v>
      </c>
      <c r="G100" s="42">
        <v>1.4E-2</v>
      </c>
      <c r="H100" s="21" t="s">
        <v>1009</v>
      </c>
      <c r="I100" s="39">
        <f ca="1">IFERROR(__xludf.DUMMYFUNCTION("IF(SUM(COUNTIF(artists!A:A, SPLIT(D100, "",""))) &gt; 0, ""UA"", 0)"),0)</f>
        <v>0</v>
      </c>
      <c r="J100" s="40" t="str">
        <f ca="1">IFERROR(__xludf.DUMMYFUNCTION("IF(SUM(COUNTIF(artists!C:C, SPLIT(D100, "",""))) &gt; 0, ""RU"", 0)"),"RU")</f>
        <v>RU</v>
      </c>
      <c r="K100" s="39">
        <f ca="1">IFERROR(__xludf.DUMMYFUNCTION("IF(SUM(COUNTIF(artists!E:E, SPLIT(D100, "",""))) &gt; 0, ""OTHER"", 0)"),0)</f>
        <v>0</v>
      </c>
    </row>
    <row r="101" spans="1:11" ht="14.25" customHeight="1">
      <c r="A101" s="21">
        <v>100</v>
      </c>
      <c r="C101" s="21" t="s">
        <v>1379</v>
      </c>
      <c r="D101" s="21" t="s">
        <v>598</v>
      </c>
      <c r="E101" s="21">
        <v>1</v>
      </c>
      <c r="F101" s="21">
        <v>156875</v>
      </c>
      <c r="H101" s="21" t="s">
        <v>1380</v>
      </c>
      <c r="I101" s="39" t="str">
        <f ca="1">IFERROR(__xludf.DUMMYFUNCTION("IF(SUM(COUNTIF(artists!A:A, SPLIT(D101, "",""))) &gt; 0, ""UA"", 0)"),"UA")</f>
        <v>UA</v>
      </c>
      <c r="J101" s="40">
        <f ca="1">IFERROR(__xludf.DUMMYFUNCTION("IF(SUM(COUNTIF(artists!C:C, SPLIT(D101, "",""))) &gt; 0, ""RU"", 0)"),0)</f>
        <v>0</v>
      </c>
      <c r="K101" s="39">
        <f ca="1">IFERROR(__xludf.DUMMYFUNCTION("IF(SUM(COUNTIF(artists!E:E, SPLIT(D101, "",""))) &gt; 0, ""OTHER"", 0)"),0)</f>
        <v>0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33" priority="1">
      <formula>AND($I2=0, $J2=0, $K2=0)</formula>
    </cfRule>
    <cfRule type="expression" dxfId="32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sheetPr codeName="Аркуш47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4" width="8.6640625" customWidth="1"/>
    <col min="5" max="5" width="8.6640625" hidden="1" customWidth="1"/>
    <col min="6" max="6" width="8.6640625" customWidth="1"/>
    <col min="7" max="7" width="13.10937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C2" s="21" t="s">
        <v>194</v>
      </c>
      <c r="D2" s="21" t="s">
        <v>195</v>
      </c>
      <c r="E2" s="21">
        <v>1</v>
      </c>
      <c r="F2" s="21">
        <v>2311416</v>
      </c>
      <c r="H2" s="21" t="s">
        <v>197</v>
      </c>
      <c r="I2" s="39" t="str">
        <f ca="1">IFERROR(__xludf.DUMMYFUNCTION("IF(SUM(COUNTIF(artists!A:A, SPLIT(D2, "",""))) &gt; 0, ""UA"", 0)"),"UA")</f>
        <v>UA</v>
      </c>
      <c r="J2" s="40">
        <f ca="1">IFERROR(__xludf.DUMMYFUNCTION("IF(SUM(COUNTIF(artists!C:C, SPLIT(D2, "",""))) &gt; 0, ""RU"", 0)"),0)</f>
        <v>0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B3" s="21">
        <v>7</v>
      </c>
      <c r="C3" s="21" t="s">
        <v>1508</v>
      </c>
      <c r="D3" s="21" t="s">
        <v>776</v>
      </c>
      <c r="E3" s="21">
        <v>2</v>
      </c>
      <c r="F3" s="21">
        <v>1624609</v>
      </c>
      <c r="G3" s="42">
        <v>0.61699999999999999</v>
      </c>
      <c r="H3" s="21" t="s">
        <v>1509</v>
      </c>
      <c r="I3" s="39" t="str">
        <f ca="1">IFERROR(__xludf.DUMMYFUNCTION("IF(SUM(COUNTIF(artists!A:A, SPLIT(D3, "",""))) &gt; 0, ""UA"", 0)"),"UA")</f>
        <v>UA</v>
      </c>
      <c r="J3" s="40">
        <f ca="1">IFERROR(__xludf.DUMMYFUNCTION("IF(SUM(COUNTIF(artists!C:C, SPLIT(D3, "",""))) &gt; 0, ""RU"", 0)"),0)</f>
        <v>0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B4" s="21">
        <v>4</v>
      </c>
      <c r="C4" s="21" t="s">
        <v>1496</v>
      </c>
      <c r="D4" s="21" t="s">
        <v>969</v>
      </c>
      <c r="E4" s="21">
        <v>48</v>
      </c>
      <c r="F4" s="21">
        <v>1465662</v>
      </c>
      <c r="G4" s="42">
        <v>0.21299999999999999</v>
      </c>
      <c r="H4" s="21" t="s">
        <v>1497</v>
      </c>
      <c r="I4" s="39" t="str">
        <f ca="1">IFERROR(__xludf.DUMMYFUNCTION("IF(SUM(COUNTIF(artists!A:A, SPLIT(D4, "",""))) &gt; 0, ""UA"", 0)"),"UA")</f>
        <v>UA</v>
      </c>
      <c r="J4" s="40">
        <f ca="1">IFERROR(__xludf.DUMMYFUNCTION("IF(SUM(COUNTIF(artists!C:C, SPLIT(D4, "",""))) &gt; 0, ""RU"", 0)"),0)</f>
        <v>0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B5" s="21">
        <v>2</v>
      </c>
      <c r="C5" s="21" t="s">
        <v>1668</v>
      </c>
      <c r="D5" s="21" t="s">
        <v>1358</v>
      </c>
      <c r="E5" s="21">
        <v>3</v>
      </c>
      <c r="F5" s="21">
        <v>1323256</v>
      </c>
      <c r="G5" s="42">
        <v>-0.20100000000000001</v>
      </c>
      <c r="H5" s="21" t="s">
        <v>1669</v>
      </c>
      <c r="I5" s="39" t="str">
        <f ca="1">IFERROR(__xludf.DUMMYFUNCTION("IF(SUM(COUNTIF(artists!A:A, SPLIT(D5, "",""))) &gt; 0, ""UA"", 0)"),"UA")</f>
        <v>UA</v>
      </c>
      <c r="J5" s="40">
        <f ca="1">IFERROR(__xludf.DUMMYFUNCTION("IF(SUM(COUNTIF(artists!C:C, SPLIT(D5, "",""))) &gt; 0, ""RU"", 0)"),0)</f>
        <v>0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B6" s="21">
        <v>6</v>
      </c>
      <c r="C6" s="21" t="s">
        <v>645</v>
      </c>
      <c r="D6" s="21" t="s">
        <v>352</v>
      </c>
      <c r="E6" s="21">
        <v>11</v>
      </c>
      <c r="F6" s="21">
        <v>1045417</v>
      </c>
      <c r="G6" s="42">
        <v>-2.1000000000000001E-2</v>
      </c>
      <c r="H6" s="21" t="s">
        <v>647</v>
      </c>
      <c r="I6" s="39" t="str">
        <f ca="1">IFERROR(__xludf.DUMMYFUNCTION("IF(SUM(COUNTIF(artists!A:A, SPLIT(D6, "",""))) &gt; 0, ""UA"", 0)"),"UA")</f>
        <v>UA</v>
      </c>
      <c r="J6" s="40">
        <f ca="1">IFERROR(__xludf.DUMMYFUNCTION("IF(SUM(COUNTIF(artists!C:C, SPLIT(D6, "",""))) &gt; 0, ""RU"", 0)"),0)</f>
        <v>0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B7" s="21">
        <v>5</v>
      </c>
      <c r="C7" s="21" t="s">
        <v>895</v>
      </c>
      <c r="D7" s="21" t="s">
        <v>896</v>
      </c>
      <c r="E7" s="21">
        <v>10</v>
      </c>
      <c r="F7" s="21">
        <v>1027014</v>
      </c>
      <c r="G7" s="42">
        <v>-8.3000000000000004E-2</v>
      </c>
      <c r="H7" s="21" t="s">
        <v>897</v>
      </c>
      <c r="I7" s="39" t="str">
        <f ca="1">IFERROR(__xludf.DUMMYFUNCTION("IF(SUM(COUNTIF(artists!A:A, SPLIT(D7, "",""))) &gt; 0, ""UA"", 0)"),"UA")</f>
        <v>UA</v>
      </c>
      <c r="J7" s="40">
        <f ca="1">IFERROR(__xludf.DUMMYFUNCTION("IF(SUM(COUNTIF(artists!C:C, SPLIT(D7, "",""))) &gt; 0, ""RU"", 0)"),0)</f>
        <v>0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B8" s="21">
        <v>3</v>
      </c>
      <c r="C8" s="21" t="s">
        <v>1657</v>
      </c>
      <c r="D8" s="21" t="s">
        <v>837</v>
      </c>
      <c r="E8" s="21">
        <v>2</v>
      </c>
      <c r="F8" s="21">
        <v>725771</v>
      </c>
      <c r="G8" s="42">
        <v>-0.44500000000000001</v>
      </c>
      <c r="H8" s="21" t="s">
        <v>1658</v>
      </c>
      <c r="I8" s="39" t="str">
        <f ca="1">IFERROR(__xludf.DUMMYFUNCTION("IF(SUM(COUNTIF(artists!A:A, SPLIT(D8, "",""))) &gt; 0, ""UA"", 0)"),"UA")</f>
        <v>UA</v>
      </c>
      <c r="J8" s="40">
        <f ca="1">IFERROR(__xludf.DUMMYFUNCTION("IF(SUM(COUNTIF(artists!C:C, SPLIT(D8, "",""))) &gt; 0, ""RU"", 0)"),0)</f>
        <v>0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B9" s="21">
        <v>11</v>
      </c>
      <c r="C9" s="21" t="s">
        <v>799</v>
      </c>
      <c r="D9" s="21" t="s">
        <v>494</v>
      </c>
      <c r="E9" s="21">
        <v>7</v>
      </c>
      <c r="F9" s="21">
        <v>637727</v>
      </c>
      <c r="G9" s="42">
        <v>9.8000000000000004E-2</v>
      </c>
      <c r="H9" s="21" t="s">
        <v>800</v>
      </c>
      <c r="I9" s="39" t="str">
        <f ca="1">IFERROR(__xludf.DUMMYFUNCTION("IF(SUM(COUNTIF(artists!A:A, SPLIT(D9, "",""))) &gt; 0, ""UA"", 0)"),"UA")</f>
        <v>UA</v>
      </c>
      <c r="J9" s="40">
        <f ca="1">IFERROR(__xludf.DUMMYFUNCTION("IF(SUM(COUNTIF(artists!C:C, SPLIT(D9, "",""))) &gt; 0, ""RU"", 0)"),0)</f>
        <v>0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B10" s="21">
        <v>10</v>
      </c>
      <c r="C10" s="21" t="s">
        <v>1383</v>
      </c>
      <c r="D10" s="21" t="s">
        <v>463</v>
      </c>
      <c r="E10" s="21">
        <v>3</v>
      </c>
      <c r="F10" s="21">
        <v>619673</v>
      </c>
      <c r="G10" s="42">
        <v>-0.16800000000000001</v>
      </c>
      <c r="H10" s="21" t="s">
        <v>1384</v>
      </c>
      <c r="I10" s="39" t="str">
        <f ca="1">IFERROR(__xludf.DUMMYFUNCTION("IF(SUM(COUNTIF(artists!A:A, SPLIT(D10, "",""))) &gt; 0, ""UA"", 0)"),"UA")</f>
        <v>UA</v>
      </c>
      <c r="J10" s="40">
        <f ca="1">IFERROR(__xludf.DUMMYFUNCTION("IF(SUM(COUNTIF(artists!C:C, SPLIT(D10, "",""))) &gt; 0, ""RU"", 0)"),0)</f>
        <v>0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B11" s="21">
        <v>12</v>
      </c>
      <c r="C11" s="21" t="s">
        <v>1263</v>
      </c>
      <c r="D11" s="21" t="s">
        <v>1264</v>
      </c>
      <c r="E11" s="21">
        <v>24</v>
      </c>
      <c r="F11" s="21">
        <v>568928</v>
      </c>
      <c r="G11" s="42">
        <v>-6.0000000000000001E-3</v>
      </c>
      <c r="H11" s="21" t="s">
        <v>1265</v>
      </c>
      <c r="I11" s="39">
        <f ca="1">IFERROR(__xludf.DUMMYFUNCTION("IF(SUM(COUNTIF(artists!A:A, SPLIT(D11, "",""))) &gt; 0, ""UA"", 0)"),0)</f>
        <v>0</v>
      </c>
      <c r="J11" s="40" t="str">
        <f ca="1">IFERROR(__xludf.DUMMYFUNCTION("IF(SUM(COUNTIF(artists!C:C, SPLIT(D11, "",""))) &gt; 0, ""RU"", 0)"),"RU")</f>
        <v>RU</v>
      </c>
      <c r="K11" s="39">
        <f ca="1">IFERROR(__xludf.DUMMYFUNCTION("IF(SUM(COUNTIF(artists!E:E, SPLIT(D11, "",""))) &gt; 0, ""OTHER"", 0)"),0)</f>
        <v>0</v>
      </c>
    </row>
    <row r="12" spans="1:11" ht="14.25" customHeight="1">
      <c r="A12" s="21">
        <v>11</v>
      </c>
      <c r="B12" s="21">
        <v>13</v>
      </c>
      <c r="C12" s="21" t="s">
        <v>909</v>
      </c>
      <c r="D12" s="21" t="s">
        <v>910</v>
      </c>
      <c r="E12" s="21">
        <v>8</v>
      </c>
      <c r="F12" s="21">
        <v>564341</v>
      </c>
      <c r="G12" s="42">
        <v>2.1999999999999999E-2</v>
      </c>
      <c r="H12" s="21" t="s">
        <v>911</v>
      </c>
      <c r="I12" s="39" t="str">
        <f ca="1">IFERROR(__xludf.DUMMYFUNCTION("IF(SUM(COUNTIF(artists!A:A, SPLIT(D12, "",""))) &gt; 0, ""UA"", 0)"),"UA")</f>
        <v>UA</v>
      </c>
      <c r="J12" s="40">
        <f ca="1">IFERROR(__xludf.DUMMYFUNCTION("IF(SUM(COUNTIF(artists!C:C, SPLIT(D12, "",""))) &gt; 0, ""RU"", 0)"),0)</f>
        <v>0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B13" s="21">
        <v>14</v>
      </c>
      <c r="C13" s="21" t="s">
        <v>1436</v>
      </c>
      <c r="D13" s="21" t="s">
        <v>896</v>
      </c>
      <c r="E13" s="21">
        <v>5</v>
      </c>
      <c r="F13" s="21">
        <v>495356</v>
      </c>
      <c r="G13" s="43">
        <v>0</v>
      </c>
      <c r="H13" s="21" t="s">
        <v>1437</v>
      </c>
      <c r="I13" s="39" t="str">
        <f ca="1">IFERROR(__xludf.DUMMYFUNCTION("IF(SUM(COUNTIF(artists!A:A, SPLIT(D13, "",""))) &gt; 0, ""UA"", 0)"),"UA")</f>
        <v>UA</v>
      </c>
      <c r="J13" s="40">
        <f ca="1">IFERROR(__xludf.DUMMYFUNCTION("IF(SUM(COUNTIF(artists!C:C, SPLIT(D13, "",""))) &gt; 0, ""RU"", 0)"),0)</f>
        <v>0</v>
      </c>
      <c r="K13" s="39">
        <f ca="1">IFERROR(__xludf.DUMMYFUNCTION("IF(SUM(COUNTIF(artists!E:E, SPLIT(D13, "",""))) &gt; 0, ""OTHER"", 0)"),0)</f>
        <v>0</v>
      </c>
    </row>
    <row r="14" spans="1:11" ht="14.25" customHeight="1">
      <c r="A14" s="21">
        <v>13</v>
      </c>
      <c r="B14" s="21">
        <v>15</v>
      </c>
      <c r="C14" s="21" t="s">
        <v>1463</v>
      </c>
      <c r="D14" s="21" t="s">
        <v>1344</v>
      </c>
      <c r="E14" s="21">
        <v>6</v>
      </c>
      <c r="F14" s="21">
        <v>492639</v>
      </c>
      <c r="G14" s="42">
        <v>6.0000000000000001E-3</v>
      </c>
      <c r="H14" s="21" t="s">
        <v>1464</v>
      </c>
      <c r="I14" s="39" t="str">
        <f ca="1">IFERROR(__xludf.DUMMYFUNCTION("IF(SUM(COUNTIF(artists!A:A, SPLIT(D14, "",""))) &gt; 0, ""UA"", 0)"),"UA")</f>
        <v>UA</v>
      </c>
      <c r="J14" s="40">
        <f ca="1">IFERROR(__xludf.DUMMYFUNCTION("IF(SUM(COUNTIF(artists!C:C, SPLIT(D14, "",""))) &gt; 0, ""RU"", 0)"),0)</f>
        <v>0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B15" s="21">
        <v>20</v>
      </c>
      <c r="C15" s="21" t="s">
        <v>1765</v>
      </c>
      <c r="D15" s="21" t="s">
        <v>671</v>
      </c>
      <c r="E15" s="21">
        <v>2</v>
      </c>
      <c r="F15" s="21">
        <v>485290</v>
      </c>
      <c r="G15" s="42">
        <v>0.27600000000000002</v>
      </c>
      <c r="H15" s="21" t="s">
        <v>1766</v>
      </c>
      <c r="I15" s="39" t="str">
        <f ca="1">IFERROR(__xludf.DUMMYFUNCTION("IF(SUM(COUNTIF(artists!A:A, SPLIT(D15, "",""))) &gt; 0, ""UA"", 0)"),"UA")</f>
        <v>UA</v>
      </c>
      <c r="J15" s="40">
        <f ca="1">IFERROR(__xludf.DUMMYFUNCTION("IF(SUM(COUNTIF(artists!C:C, SPLIT(D15, "",""))) &gt; 0, ""RU"", 0)"),0)</f>
        <v>0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B16" s="21">
        <v>1</v>
      </c>
      <c r="C16" s="21" t="s">
        <v>31</v>
      </c>
      <c r="D16" s="21" t="s">
        <v>32</v>
      </c>
      <c r="E16" s="21">
        <v>3</v>
      </c>
      <c r="F16" s="21">
        <v>477430</v>
      </c>
      <c r="G16" s="42">
        <v>-0.71199999999999997</v>
      </c>
      <c r="H16" s="21" t="s">
        <v>1630</v>
      </c>
      <c r="I16" s="39" t="s">
        <v>77</v>
      </c>
      <c r="J16" s="40">
        <f ca="1">IFERROR(__xludf.DUMMYFUNCTION("IF(SUM(COUNTIF(artists!C:C, SPLIT(D16, "",""))) &gt; 0, ""RU"", 0)"),0)</f>
        <v>0</v>
      </c>
      <c r="K16" s="39">
        <f ca="1">IFERROR(__xludf.DUMMYFUNCTION("IF(SUM(COUNTIF(artists!E:E, SPLIT(D16, "",""))) &gt; 0, ""OTHER"", 0)"),0)</f>
        <v>0</v>
      </c>
    </row>
    <row r="17" spans="1:11" ht="14.25" customHeight="1">
      <c r="A17" s="21">
        <v>16</v>
      </c>
      <c r="B17" s="21">
        <v>16</v>
      </c>
      <c r="C17" s="21" t="s">
        <v>1575</v>
      </c>
      <c r="D17" s="21" t="s">
        <v>945</v>
      </c>
      <c r="E17" s="21">
        <v>4</v>
      </c>
      <c r="F17" s="21">
        <v>442161</v>
      </c>
      <c r="G17" s="42">
        <v>-6.8000000000000005E-2</v>
      </c>
      <c r="H17" s="21" t="s">
        <v>1576</v>
      </c>
      <c r="I17" s="39" t="str">
        <f ca="1">IFERROR(__xludf.DUMMYFUNCTION("IF(SUM(COUNTIF(artists!A:A, SPLIT(D17, "",""))) &gt; 0, ""UA"", 0)"),"UA")</f>
        <v>UA</v>
      </c>
      <c r="J17" s="40">
        <f ca="1">IFERROR(__xludf.DUMMYFUNCTION("IF(SUM(COUNTIF(artists!C:C, SPLIT(D17, "",""))) &gt; 0, ""RU"", 0)"),0)</f>
        <v>0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B18" s="21">
        <v>8</v>
      </c>
      <c r="C18" s="21" t="s">
        <v>1770</v>
      </c>
      <c r="D18" s="21" t="s">
        <v>1050</v>
      </c>
      <c r="E18" s="21">
        <v>2</v>
      </c>
      <c r="F18" s="21">
        <v>414232</v>
      </c>
      <c r="G18" s="42">
        <v>-0.55100000000000005</v>
      </c>
      <c r="H18" s="21" t="s">
        <v>1771</v>
      </c>
      <c r="I18" s="39">
        <f ca="1">IFERROR(__xludf.DUMMYFUNCTION("IF(SUM(COUNTIF(artists!A:A, SPLIT(D18, "",""))) &gt; 0, ""UA"", 0)"),0)</f>
        <v>0</v>
      </c>
      <c r="J18" s="40" t="str">
        <f ca="1">IFERROR(__xludf.DUMMYFUNCTION("IF(SUM(COUNTIF(artists!C:C, SPLIT(D18, "",""))) &gt; 0, ""RU"", 0)"),"RU")</f>
        <v>RU</v>
      </c>
      <c r="K18" s="39">
        <f ca="1">IFERROR(__xludf.DUMMYFUNCTION("IF(SUM(COUNTIF(artists!E:E, SPLIT(D18, "",""))) &gt; 0, ""OTHER"", 0)"),0)</f>
        <v>0</v>
      </c>
    </row>
    <row r="19" spans="1:11" ht="14.25" customHeight="1">
      <c r="A19" s="21">
        <v>18</v>
      </c>
      <c r="B19" s="21">
        <v>31</v>
      </c>
      <c r="C19" s="21" t="s">
        <v>918</v>
      </c>
      <c r="D19" s="21" t="s">
        <v>108</v>
      </c>
      <c r="E19" s="21">
        <v>34</v>
      </c>
      <c r="F19" s="21">
        <v>402018</v>
      </c>
      <c r="G19" s="42">
        <v>0.313</v>
      </c>
      <c r="H19" s="21" t="s">
        <v>919</v>
      </c>
      <c r="I19" s="39" t="str">
        <f ca="1">IFERROR(__xludf.DUMMYFUNCTION("IF(SUM(COUNTIF(artists!A:A, SPLIT(D19, "",""))) &gt; 0, ""UA"", 0)"),"UA")</f>
        <v>UA</v>
      </c>
      <c r="J19" s="40">
        <f ca="1">IFERROR(__xludf.DUMMYFUNCTION("IF(SUM(COUNTIF(artists!C:C, SPLIT(D19, "",""))) &gt; 0, ""RU"", 0)"),0)</f>
        <v>0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B20" s="21">
        <v>25</v>
      </c>
      <c r="C20" s="21" t="s">
        <v>1777</v>
      </c>
      <c r="D20" s="21" t="s">
        <v>1778</v>
      </c>
      <c r="E20" s="21">
        <v>8</v>
      </c>
      <c r="F20" s="21">
        <v>389721</v>
      </c>
      <c r="G20" s="42">
        <v>7.3999999999999996E-2</v>
      </c>
      <c r="H20" s="21" t="s">
        <v>1779</v>
      </c>
      <c r="I20" s="39" t="str">
        <f ca="1">IFERROR(__xludf.DUMMYFUNCTION("IF(SUM(COUNTIF(artists!A:A, SPLIT(D20, "",""))) &gt; 0, ""UA"", 0)"),"UA")</f>
        <v>UA</v>
      </c>
      <c r="J20" s="40">
        <f ca="1">IFERROR(__xludf.DUMMYFUNCTION("IF(SUM(COUNTIF(artists!C:C, SPLIT(D20, "",""))) &gt; 0, ""RU"", 0)"),0)</f>
        <v>0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B21" s="21">
        <v>21</v>
      </c>
      <c r="C21" s="21" t="s">
        <v>1500</v>
      </c>
      <c r="D21" s="21" t="s">
        <v>907</v>
      </c>
      <c r="E21" s="21">
        <v>28</v>
      </c>
      <c r="F21" s="21">
        <v>381656</v>
      </c>
      <c r="G21" s="42">
        <v>1.7999999999999999E-2</v>
      </c>
      <c r="H21" s="21" t="s">
        <v>1501</v>
      </c>
      <c r="I21" s="39">
        <f ca="1">IFERROR(__xludf.DUMMYFUNCTION("IF(SUM(COUNTIF(artists!A:A, SPLIT(D21, "",""))) &gt; 0, ""UA"", 0)"),0)</f>
        <v>0</v>
      </c>
      <c r="J21" s="40" t="str">
        <f ca="1">IFERROR(__xludf.DUMMYFUNCTION("IF(SUM(COUNTIF(artists!C:C, SPLIT(D21, "",""))) &gt; 0, ""RU"", 0)"),"RU")</f>
        <v>RU</v>
      </c>
      <c r="K21" s="39">
        <f ca="1">IFERROR(__xludf.DUMMYFUNCTION("IF(SUM(COUNTIF(artists!E:E, SPLIT(D21, "",""))) &gt; 0, ""OTHER"", 0)"),0)</f>
        <v>0</v>
      </c>
    </row>
    <row r="22" spans="1:11" ht="14.25" customHeight="1">
      <c r="A22" s="21">
        <v>21</v>
      </c>
      <c r="B22" s="21">
        <v>9</v>
      </c>
      <c r="C22" s="21" t="s">
        <v>1471</v>
      </c>
      <c r="D22" s="21" t="s">
        <v>1472</v>
      </c>
      <c r="E22" s="21">
        <v>7</v>
      </c>
      <c r="F22" s="21">
        <v>377998</v>
      </c>
      <c r="G22" s="43">
        <v>-0.55000000000000004</v>
      </c>
      <c r="H22" s="21" t="s">
        <v>1473</v>
      </c>
      <c r="I22" s="39" t="str">
        <f ca="1">IFERROR(__xludf.DUMMYFUNCTION("IF(SUM(COUNTIF(artists!A:A, SPLIT(D22, "",""))) &gt; 0, ""UA"", 0)"),"UA")</f>
        <v>UA</v>
      </c>
      <c r="J22" s="40">
        <f ca="1">IFERROR(__xludf.DUMMYFUNCTION("IF(SUM(COUNTIF(artists!C:C, SPLIT(D22, "",""))) &gt; 0, ""RU"", 0)"),0)</f>
        <v>0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B23" s="21">
        <v>18</v>
      </c>
      <c r="C23" s="21" t="s">
        <v>1487</v>
      </c>
      <c r="D23" s="21" t="s">
        <v>409</v>
      </c>
      <c r="E23" s="21">
        <v>8</v>
      </c>
      <c r="F23" s="21">
        <v>376322</v>
      </c>
      <c r="G23" s="42">
        <v>-7.3999999999999996E-2</v>
      </c>
      <c r="H23" s="21" t="s">
        <v>1488</v>
      </c>
      <c r="I23" s="39" t="str">
        <f ca="1">IFERROR(__xludf.DUMMYFUNCTION("IF(SUM(COUNTIF(artists!A:A, SPLIT(D23, "",""))) &gt; 0, ""UA"", 0)"),"UA")</f>
        <v>UA</v>
      </c>
      <c r="J23" s="40">
        <f ca="1">IFERROR(__xludf.DUMMYFUNCTION("IF(SUM(COUNTIF(artists!C:C, SPLIT(D23, "",""))) &gt; 0, ""RU"", 0)"),0)</f>
        <v>0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B24" s="21">
        <v>19</v>
      </c>
      <c r="C24" s="21" t="s">
        <v>935</v>
      </c>
      <c r="D24" s="21" t="s">
        <v>936</v>
      </c>
      <c r="E24" s="21">
        <v>25</v>
      </c>
      <c r="F24" s="21">
        <v>375918</v>
      </c>
      <c r="G24" s="42">
        <v>-3.5000000000000003E-2</v>
      </c>
      <c r="H24" s="21" t="s">
        <v>937</v>
      </c>
      <c r="I24" s="39">
        <f ca="1">IFERROR(__xludf.DUMMYFUNCTION("IF(SUM(COUNTIF(artists!A:A, SPLIT(D24, "",""))) &gt; 0, ""UA"", 0)"),0)</f>
        <v>0</v>
      </c>
      <c r="J24" s="40" t="str">
        <f ca="1">IFERROR(__xludf.DUMMYFUNCTION("IF(SUM(COUNTIF(artists!C:C, SPLIT(D24, "",""))) &gt; 0, ""RU"", 0)"),"RU")</f>
        <v>RU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B25" s="21">
        <v>28</v>
      </c>
      <c r="C25" s="21" t="s">
        <v>1354</v>
      </c>
      <c r="D25" s="21" t="s">
        <v>1355</v>
      </c>
      <c r="E25" s="21">
        <v>28</v>
      </c>
      <c r="F25" s="21">
        <v>362686</v>
      </c>
      <c r="G25" s="42">
        <v>9.0999999999999998E-2</v>
      </c>
      <c r="H25" s="21" t="s">
        <v>1356</v>
      </c>
      <c r="I25" s="39" t="str">
        <f ca="1">IFERROR(__xludf.DUMMYFUNCTION("IF(SUM(COUNTIF(artists!A:A, SPLIT(D25, "",""))) &gt; 0, ""UA"", 0)"),"UA")</f>
        <v>UA</v>
      </c>
      <c r="J25" s="40">
        <f ca="1">IFERROR(__xludf.DUMMYFUNCTION("IF(SUM(COUNTIF(artists!C:C, SPLIT(D25, "",""))) &gt; 0, ""RU"", 0)"),0)</f>
        <v>0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B26" s="21">
        <v>22</v>
      </c>
      <c r="C26" s="21" t="s">
        <v>887</v>
      </c>
      <c r="D26" s="21" t="s">
        <v>89</v>
      </c>
      <c r="E26" s="21">
        <v>5</v>
      </c>
      <c r="F26" s="21">
        <v>356760</v>
      </c>
      <c r="G26" s="42">
        <v>-4.2999999999999997E-2</v>
      </c>
      <c r="H26" s="21" t="s">
        <v>888</v>
      </c>
      <c r="I26" s="39" t="str">
        <f ca="1">IFERROR(__xludf.DUMMYFUNCTION("IF(SUM(COUNTIF(artists!A:A, SPLIT(D26, "",""))) &gt; 0, ""UA"", 0)"),"UA")</f>
        <v>UA</v>
      </c>
      <c r="J26" s="40">
        <f ca="1">IFERROR(__xludf.DUMMYFUNCTION("IF(SUM(COUNTIF(artists!C:C, SPLIT(D26, "",""))) &gt; 0, ""RU"", 0)"),0)</f>
        <v>0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B27" s="21">
        <v>39</v>
      </c>
      <c r="C27" s="21" t="s">
        <v>1480</v>
      </c>
      <c r="D27" s="21" t="s">
        <v>1481</v>
      </c>
      <c r="E27" s="21">
        <v>3</v>
      </c>
      <c r="F27" s="21">
        <v>345692</v>
      </c>
      <c r="G27" s="42">
        <v>0.33700000000000002</v>
      </c>
      <c r="H27" s="21" t="s">
        <v>1482</v>
      </c>
      <c r="I27" s="39" t="str">
        <f ca="1">IFERROR(__xludf.DUMMYFUNCTION("IF(SUM(COUNTIF(artists!A:A, SPLIT(D27, "",""))) &gt; 0, ""UA"", 0)"),"UA")</f>
        <v>UA</v>
      </c>
      <c r="J27" s="40">
        <f ca="1">IFERROR(__xludf.DUMMYFUNCTION("IF(SUM(COUNTIF(artists!C:C, SPLIT(D27, "",""))) &gt; 0, ""RU"", 0)"),0)</f>
        <v>0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B28" s="21">
        <v>32</v>
      </c>
      <c r="C28" s="21" t="s">
        <v>186</v>
      </c>
      <c r="D28" s="21" t="s">
        <v>187</v>
      </c>
      <c r="E28" s="21">
        <v>2</v>
      </c>
      <c r="F28" s="21">
        <v>333314</v>
      </c>
      <c r="G28" s="42">
        <v>0.105</v>
      </c>
      <c r="H28" s="21" t="s">
        <v>189</v>
      </c>
      <c r="I28" s="39" t="str">
        <f ca="1">IFERROR(__xludf.DUMMYFUNCTION("IF(SUM(COUNTIF(artists!A:A, SPLIT(D28, "",""))) &gt; 0, ""UA"", 0)"),"UA")</f>
        <v>UA</v>
      </c>
      <c r="J28" s="40">
        <f ca="1">IFERROR(__xludf.DUMMYFUNCTION("IF(SUM(COUNTIF(artists!C:C, SPLIT(D28, "",""))) &gt; 0, ""RU"", 0)"),0)</f>
        <v>0</v>
      </c>
      <c r="K28" s="39">
        <f ca="1">IFERROR(__xludf.DUMMYFUNCTION("IF(SUM(COUNTIF(artists!E:E, SPLIT(D28, "",""))) &gt; 0, ""OTHER"", 0)"),0)</f>
        <v>0</v>
      </c>
    </row>
    <row r="29" spans="1:11" ht="14.25" customHeight="1">
      <c r="A29" s="21">
        <v>28</v>
      </c>
      <c r="C29" s="21" t="s">
        <v>1737</v>
      </c>
      <c r="D29" s="21" t="s">
        <v>1042</v>
      </c>
      <c r="E29" s="21">
        <v>1</v>
      </c>
      <c r="F29" s="21">
        <v>332533</v>
      </c>
      <c r="H29" s="21" t="s">
        <v>1738</v>
      </c>
      <c r="I29" s="39">
        <f ca="1">IFERROR(__xludf.DUMMYFUNCTION("IF(SUM(COUNTIF(artists!A:A, SPLIT(D29, "",""))) &gt; 0, ""UA"", 0)"),0)</f>
        <v>0</v>
      </c>
      <c r="J29" s="40" t="str">
        <f ca="1">IFERROR(__xludf.DUMMYFUNCTION("IF(SUM(COUNTIF(artists!C:C, SPLIT(D29, "",""))) &gt; 0, ""RU"", 0)"),"RU")</f>
        <v>RU</v>
      </c>
      <c r="K29" s="39">
        <f ca="1">IFERROR(__xludf.DUMMYFUNCTION("IF(SUM(COUNTIF(artists!E:E, SPLIT(D29, "",""))) &gt; 0, ""OTHER"", 0)"),0)</f>
        <v>0</v>
      </c>
    </row>
    <row r="30" spans="1:11" ht="14.25" customHeight="1">
      <c r="A30" s="21">
        <v>29</v>
      </c>
      <c r="B30" s="21">
        <v>29</v>
      </c>
      <c r="C30" s="21" t="s">
        <v>118</v>
      </c>
      <c r="D30" s="21" t="s">
        <v>586</v>
      </c>
      <c r="E30" s="21">
        <v>8</v>
      </c>
      <c r="F30" s="21">
        <v>324903</v>
      </c>
      <c r="G30" s="42">
        <v>-1.6E-2</v>
      </c>
      <c r="H30" s="21" t="s">
        <v>587</v>
      </c>
      <c r="I30" s="39" t="str">
        <f ca="1">IFERROR(__xludf.DUMMYFUNCTION("IF(SUM(COUNTIF(artists!A:A, SPLIT(D30, "",""))) &gt; 0, ""UA"", 0)"),"UA")</f>
        <v>UA</v>
      </c>
      <c r="J30" s="40">
        <f ca="1">IFERROR(__xludf.DUMMYFUNCTION("IF(SUM(COUNTIF(artists!C:C, SPLIT(D30, "",""))) &gt; 0, ""RU"", 0)"),0)</f>
        <v>0</v>
      </c>
      <c r="K30" s="39">
        <f ca="1">IFERROR(__xludf.DUMMYFUNCTION("IF(SUM(COUNTIF(artists!E:E, SPLIT(D30, "",""))) &gt; 0, ""OTHER"", 0)"),0)</f>
        <v>0</v>
      </c>
    </row>
    <row r="31" spans="1:11" ht="14.25" customHeight="1">
      <c r="A31" s="21">
        <v>30</v>
      </c>
      <c r="C31" s="21" t="s">
        <v>1683</v>
      </c>
      <c r="D31" s="21" t="s">
        <v>1596</v>
      </c>
      <c r="E31" s="21">
        <v>1</v>
      </c>
      <c r="F31" s="21">
        <v>324550</v>
      </c>
      <c r="H31" s="21" t="s">
        <v>1684</v>
      </c>
      <c r="I31" s="39" t="str">
        <f ca="1">IFERROR(__xludf.DUMMYFUNCTION("IF(SUM(COUNTIF(artists!A:A, SPLIT(D31, "",""))) &gt; 0, ""UA"", 0)"),"UA")</f>
        <v>UA</v>
      </c>
      <c r="J31" s="40">
        <f ca="1">IFERROR(__xludf.DUMMYFUNCTION("IF(SUM(COUNTIF(artists!C:C, SPLIT(D31, "",""))) &gt; 0, ""RU"", 0)"),0)</f>
        <v>0</v>
      </c>
      <c r="K31" s="39">
        <f ca="1">IFERROR(__xludf.DUMMYFUNCTION("IF(SUM(COUNTIF(artists!E:E, SPLIT(D31, "",""))) &gt; 0, ""OTHER"", 0)"),0)</f>
        <v>0</v>
      </c>
    </row>
    <row r="32" spans="1:11" ht="14.25" customHeight="1">
      <c r="A32" s="21">
        <v>31</v>
      </c>
      <c r="B32" s="21">
        <v>27</v>
      </c>
      <c r="C32" s="21" t="s">
        <v>1325</v>
      </c>
      <c r="D32" s="21" t="s">
        <v>1237</v>
      </c>
      <c r="E32" s="21">
        <v>48</v>
      </c>
      <c r="F32" s="21">
        <v>323175</v>
      </c>
      <c r="G32" s="42">
        <v>-3.9E-2</v>
      </c>
      <c r="H32" s="21" t="s">
        <v>1326</v>
      </c>
      <c r="I32" s="39">
        <f ca="1">IFERROR(__xludf.DUMMYFUNCTION("IF(SUM(COUNTIF(artists!A:A, SPLIT(D32, "",""))) &gt; 0, ""UA"", 0)"),0)</f>
        <v>0</v>
      </c>
      <c r="J32" s="40" t="str">
        <f ca="1">IFERROR(__xludf.DUMMYFUNCTION("IF(SUM(COUNTIF(artists!C:C, SPLIT(D32, "",""))) &gt; 0, ""RU"", 0)"),"RU")</f>
        <v>RU</v>
      </c>
      <c r="K32" s="39">
        <f ca="1">IFERROR(__xludf.DUMMYFUNCTION("IF(SUM(COUNTIF(artists!E:E, SPLIT(D32, "",""))) &gt; 0, ""OTHER"", 0)"),0)</f>
        <v>0</v>
      </c>
    </row>
    <row r="33" spans="1:11" ht="14.25" customHeight="1">
      <c r="A33" s="21">
        <v>32</v>
      </c>
      <c r="B33" s="21">
        <v>33</v>
      </c>
      <c r="C33" s="21" t="s">
        <v>493</v>
      </c>
      <c r="D33" s="21" t="s">
        <v>494</v>
      </c>
      <c r="E33" s="21">
        <v>13</v>
      </c>
      <c r="F33" s="21">
        <v>301562</v>
      </c>
      <c r="G33" s="42">
        <v>3.5000000000000003E-2</v>
      </c>
      <c r="H33" s="21" t="s">
        <v>495</v>
      </c>
      <c r="I33" s="39" t="str">
        <f ca="1">IFERROR(__xludf.DUMMYFUNCTION("IF(SUM(COUNTIF(artists!A:A, SPLIT(D33, "",""))) &gt; 0, ""UA"", 0)"),"UA")</f>
        <v>UA</v>
      </c>
      <c r="J33" s="40">
        <f ca="1">IFERROR(__xludf.DUMMYFUNCTION("IF(SUM(COUNTIF(artists!C:C, SPLIT(D33, "",""))) &gt; 0, ""RU"", 0)"),0)</f>
        <v>0</v>
      </c>
      <c r="K33" s="39">
        <f ca="1">IFERROR(__xludf.DUMMYFUNCTION("IF(SUM(COUNTIF(artists!E:E, SPLIT(D33, "",""))) &gt; 0, ""OTHER"", 0)"),0)</f>
        <v>0</v>
      </c>
    </row>
    <row r="34" spans="1:11" ht="14.25" customHeight="1">
      <c r="A34" s="21">
        <v>33</v>
      </c>
      <c r="B34" s="21">
        <v>37</v>
      </c>
      <c r="C34" s="21" t="s">
        <v>968</v>
      </c>
      <c r="D34" s="21" t="s">
        <v>969</v>
      </c>
      <c r="E34" s="21">
        <v>18</v>
      </c>
      <c r="F34" s="21">
        <v>297356</v>
      </c>
      <c r="G34" s="42">
        <v>0.106</v>
      </c>
      <c r="H34" s="21" t="s">
        <v>970</v>
      </c>
      <c r="I34" s="39" t="str">
        <f ca="1">IFERROR(__xludf.DUMMYFUNCTION("IF(SUM(COUNTIF(artists!A:A, SPLIT(D34, "",""))) &gt; 0, ""UA"", 0)"),"UA")</f>
        <v>UA</v>
      </c>
      <c r="J34" s="40">
        <f ca="1">IFERROR(__xludf.DUMMYFUNCTION("IF(SUM(COUNTIF(artists!C:C, SPLIT(D34, "",""))) &gt; 0, ""RU"", 0)"),0)</f>
        <v>0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B35" s="21">
        <v>43</v>
      </c>
      <c r="C35" s="21" t="s">
        <v>1282</v>
      </c>
      <c r="D35" s="21" t="s">
        <v>108</v>
      </c>
      <c r="E35" s="21">
        <v>25</v>
      </c>
      <c r="F35" s="21">
        <v>289591</v>
      </c>
      <c r="G35" s="42">
        <v>0.17399999999999999</v>
      </c>
      <c r="H35" s="21" t="s">
        <v>1283</v>
      </c>
      <c r="I35" s="39" t="str">
        <f ca="1">IFERROR(__xludf.DUMMYFUNCTION("IF(SUM(COUNTIF(artists!A:A, SPLIT(D35, "",""))) &gt; 0, ""UA"", 0)"),"UA")</f>
        <v>UA</v>
      </c>
      <c r="J35" s="40">
        <f ca="1">IFERROR(__xludf.DUMMYFUNCTION("IF(SUM(COUNTIF(artists!C:C, SPLIT(D35, "",""))) &gt; 0, ""RU"", 0)"),0)</f>
        <v>0</v>
      </c>
      <c r="K35" s="39">
        <f ca="1">IFERROR(__xludf.DUMMYFUNCTION("IF(SUM(COUNTIF(artists!E:E, SPLIT(D35, "",""))) &gt; 0, ""OTHER"", 0)"),0)</f>
        <v>0</v>
      </c>
    </row>
    <row r="36" spans="1:11" ht="14.25" customHeight="1">
      <c r="A36" s="21">
        <v>35</v>
      </c>
      <c r="B36" s="21">
        <v>52</v>
      </c>
      <c r="C36" s="21" t="s">
        <v>1290</v>
      </c>
      <c r="D36" s="21" t="s">
        <v>942</v>
      </c>
      <c r="E36" s="21">
        <v>2</v>
      </c>
      <c r="F36" s="21">
        <v>285863</v>
      </c>
      <c r="G36" s="42">
        <v>0.28100000000000003</v>
      </c>
      <c r="H36" s="21" t="s">
        <v>1291</v>
      </c>
      <c r="I36" s="39" t="str">
        <f ca="1">IFERROR(__xludf.DUMMYFUNCTION("IF(SUM(COUNTIF(artists!A:A, SPLIT(D36, "",""))) &gt; 0, ""UA"", 0)"),"UA")</f>
        <v>UA</v>
      </c>
      <c r="J36" s="40">
        <f ca="1">IFERROR(__xludf.DUMMYFUNCTION("IF(SUM(COUNTIF(artists!C:C, SPLIT(D36, "",""))) &gt; 0, ""RU"", 0)"),0)</f>
        <v>0</v>
      </c>
      <c r="K36" s="39">
        <f ca="1">IFERROR(__xludf.DUMMYFUNCTION("IF(SUM(COUNTIF(artists!E:E, SPLIT(D36, "",""))) &gt; 0, ""OTHER"", 0)"),0)</f>
        <v>0</v>
      </c>
    </row>
    <row r="37" spans="1:11" ht="14.25" customHeight="1">
      <c r="A37" s="21">
        <v>36</v>
      </c>
      <c r="B37" s="21">
        <v>38</v>
      </c>
      <c r="C37" s="21" t="s">
        <v>1116</v>
      </c>
      <c r="D37" s="21" t="s">
        <v>1117</v>
      </c>
      <c r="E37" s="21">
        <v>20</v>
      </c>
      <c r="F37" s="21">
        <v>281926</v>
      </c>
      <c r="G37" s="43">
        <v>0.05</v>
      </c>
      <c r="H37" s="21" t="s">
        <v>1118</v>
      </c>
      <c r="I37" s="39">
        <f ca="1">IFERROR(__xludf.DUMMYFUNCTION("IF(SUM(COUNTIF(artists!A:A, SPLIT(D37, "",""))) &gt; 0, ""UA"", 0)"),0)</f>
        <v>0</v>
      </c>
      <c r="J37" s="40" t="str">
        <f ca="1">IFERROR(__xludf.DUMMYFUNCTION("IF(SUM(COUNTIF(artists!C:C, SPLIT(D37, "",""))) &gt; 0, ""RU"", 0)"),"RU")</f>
        <v>RU</v>
      </c>
      <c r="K37" s="39">
        <f ca="1">IFERROR(__xludf.DUMMYFUNCTION("IF(SUM(COUNTIF(artists!E:E, SPLIT(D37, "",""))) &gt; 0, ""OTHER"", 0)"),0)</f>
        <v>0</v>
      </c>
    </row>
    <row r="38" spans="1:11" ht="14.25" customHeight="1">
      <c r="A38" s="21">
        <v>37</v>
      </c>
      <c r="B38" s="21">
        <v>40</v>
      </c>
      <c r="C38" s="21" t="s">
        <v>1825</v>
      </c>
      <c r="D38" s="21" t="s">
        <v>1826</v>
      </c>
      <c r="E38" s="21">
        <v>52</v>
      </c>
      <c r="F38" s="21">
        <v>280154</v>
      </c>
      <c r="G38" s="42">
        <v>0.105</v>
      </c>
      <c r="H38" s="21" t="s">
        <v>1827</v>
      </c>
      <c r="I38" s="39">
        <f ca="1">IFERROR(__xludf.DUMMYFUNCTION("IF(SUM(COUNTIF(artists!A:A, SPLIT(D38, "",""))) &gt; 0, ""UA"", 0)"),0)</f>
        <v>0</v>
      </c>
      <c r="J38" s="40" t="str">
        <f ca="1">IFERROR(__xludf.DUMMYFUNCTION("IF(SUM(COUNTIF(artists!C:C, SPLIT(D38, "",""))) &gt; 0, ""RU"", 0)"),"RU")</f>
        <v>RU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B39" s="21">
        <v>34</v>
      </c>
      <c r="C39" s="21" t="s">
        <v>1802</v>
      </c>
      <c r="D39" s="21" t="s">
        <v>1803</v>
      </c>
      <c r="E39" s="21">
        <v>2</v>
      </c>
      <c r="F39" s="21">
        <v>278675</v>
      </c>
      <c r="G39" s="42">
        <v>-3.2000000000000001E-2</v>
      </c>
      <c r="H39" s="21" t="s">
        <v>1804</v>
      </c>
      <c r="I39" s="39" t="str">
        <f ca="1">IFERROR(__xludf.DUMMYFUNCTION("IF(SUM(COUNTIF(artists!A:A, SPLIT(D39, "",""))) &gt; 0, ""UA"", 0)"),"UA")</f>
        <v>UA</v>
      </c>
      <c r="J39" s="40">
        <f ca="1">IFERROR(__xludf.DUMMYFUNCTION("IF(SUM(COUNTIF(artists!C:C, SPLIT(D39, "",""))) &gt; 0, ""RU"", 0)"),0)</f>
        <v>0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B40" s="21">
        <v>41</v>
      </c>
      <c r="C40" s="21" t="s">
        <v>1729</v>
      </c>
      <c r="D40" s="21" t="s">
        <v>1730</v>
      </c>
      <c r="E40" s="21">
        <v>49</v>
      </c>
      <c r="F40" s="21">
        <v>267966</v>
      </c>
      <c r="G40" s="42">
        <v>6.4000000000000001E-2</v>
      </c>
      <c r="H40" s="21" t="s">
        <v>1731</v>
      </c>
      <c r="I40" s="39">
        <f ca="1">IFERROR(__xludf.DUMMYFUNCTION("IF(SUM(COUNTIF(artists!A:A, SPLIT(D40, "",""))) &gt; 0, ""UA"", 0)"),0)</f>
        <v>0</v>
      </c>
      <c r="J40" s="40" t="str">
        <f ca="1">IFERROR(__xludf.DUMMYFUNCTION("IF(SUM(COUNTIF(artists!C:C, SPLIT(D40, "",""))) &gt; 0, ""RU"", 0)"),"RU")</f>
        <v>RU</v>
      </c>
      <c r="K40" s="39">
        <f ca="1">IFERROR(__xludf.DUMMYFUNCTION("IF(SUM(COUNTIF(artists!E:E, SPLIT(D40, "",""))) &gt; 0, ""OTHER"", 0)"),0)</f>
        <v>0</v>
      </c>
    </row>
    <row r="41" spans="1:11" ht="14.25" customHeight="1">
      <c r="A41" s="21">
        <v>40</v>
      </c>
      <c r="C41" s="21" t="s">
        <v>1431</v>
      </c>
      <c r="D41" s="21" t="s">
        <v>969</v>
      </c>
      <c r="E41" s="21">
        <v>26</v>
      </c>
      <c r="F41" s="21">
        <v>265832</v>
      </c>
      <c r="H41" s="21" t="s">
        <v>1432</v>
      </c>
      <c r="I41" s="39" t="str">
        <f ca="1">IFERROR(__xludf.DUMMYFUNCTION("IF(SUM(COUNTIF(artists!A:A, SPLIT(D41, "",""))) &gt; 0, ""UA"", 0)"),"UA")</f>
        <v>UA</v>
      </c>
      <c r="J41" s="40">
        <f ca="1">IFERROR(__xludf.DUMMYFUNCTION("IF(SUM(COUNTIF(artists!C:C, SPLIT(D41, "",""))) &gt; 0, ""RU"", 0)"),0)</f>
        <v>0</v>
      </c>
      <c r="K41" s="39">
        <f ca="1">IFERROR(__xludf.DUMMYFUNCTION("IF(SUM(COUNTIF(artists!E:E, SPLIT(D41, "",""))) &gt; 0, ""OTHER"", 0)"),0)</f>
        <v>0</v>
      </c>
    </row>
    <row r="42" spans="1:11" ht="14.25" customHeight="1">
      <c r="A42" s="21">
        <v>41</v>
      </c>
      <c r="B42" s="21">
        <v>58</v>
      </c>
      <c r="C42" s="21" t="s">
        <v>253</v>
      </c>
      <c r="D42" s="21" t="s">
        <v>89</v>
      </c>
      <c r="E42" s="21">
        <v>7</v>
      </c>
      <c r="F42" s="21">
        <v>262791</v>
      </c>
      <c r="G42" s="43">
        <v>0.22</v>
      </c>
      <c r="H42" s="21" t="s">
        <v>254</v>
      </c>
      <c r="I42" s="39" t="str">
        <f ca="1">IFERROR(__xludf.DUMMYFUNCTION("IF(SUM(COUNTIF(artists!A:A, SPLIT(D42, "",""))) &gt; 0, ""UA"", 0)"),"UA")</f>
        <v>UA</v>
      </c>
      <c r="J42" s="40">
        <f ca="1">IFERROR(__xludf.DUMMYFUNCTION("IF(SUM(COUNTIF(artists!C:C, SPLIT(D42, "",""))) &gt; 0, ""RU"", 0)"),0)</f>
        <v>0</v>
      </c>
      <c r="K42" s="39">
        <f ca="1">IFERROR(__xludf.DUMMYFUNCTION("IF(SUM(COUNTIF(artists!E:E, SPLIT(D42, "",""))) &gt; 0, ""OTHER"", 0)"),0)</f>
        <v>0</v>
      </c>
    </row>
    <row r="43" spans="1:11" ht="14.25" customHeight="1">
      <c r="A43" s="21">
        <v>42</v>
      </c>
      <c r="B43" s="21">
        <v>35</v>
      </c>
      <c r="C43" s="21" t="s">
        <v>1530</v>
      </c>
      <c r="D43" s="21" t="s">
        <v>1531</v>
      </c>
      <c r="E43" s="21">
        <v>8</v>
      </c>
      <c r="F43" s="21">
        <v>260352</v>
      </c>
      <c r="G43" s="42">
        <v>-8.2000000000000003E-2</v>
      </c>
      <c r="H43" s="21" t="s">
        <v>1532</v>
      </c>
      <c r="I43" s="39">
        <f ca="1">IFERROR(__xludf.DUMMYFUNCTION("IF(SUM(COUNTIF(artists!A:A, SPLIT(D43, "",""))) &gt; 0, ""UA"", 0)"),0)</f>
        <v>0</v>
      </c>
      <c r="J43" s="40">
        <f ca="1">IFERROR(__xludf.DUMMYFUNCTION("IF(SUM(COUNTIF(artists!C:C, SPLIT(D43, "",""))) &gt; 0, ""RU"", 0)"),0)</f>
        <v>0</v>
      </c>
      <c r="K43" s="39" t="str">
        <f ca="1">IFERROR(__xludf.DUMMYFUNCTION("IF(SUM(COUNTIF(artists!E:E, SPLIT(D43, "",""))) &gt; 0, ""OTHER"", 0)"),"OTHER")</f>
        <v>OTHER</v>
      </c>
    </row>
    <row r="44" spans="1:11" ht="14.25" customHeight="1">
      <c r="A44" s="21">
        <v>43</v>
      </c>
      <c r="B44" s="21">
        <v>36</v>
      </c>
      <c r="C44" s="21" t="s">
        <v>1797</v>
      </c>
      <c r="D44" s="21" t="s">
        <v>945</v>
      </c>
      <c r="E44" s="21">
        <v>30</v>
      </c>
      <c r="F44" s="21">
        <v>258725</v>
      </c>
      <c r="G44" s="42">
        <v>-6.6000000000000003E-2</v>
      </c>
      <c r="H44" s="21" t="s">
        <v>1798</v>
      </c>
      <c r="I44" s="39" t="str">
        <f ca="1">IFERROR(__xludf.DUMMYFUNCTION("IF(SUM(COUNTIF(artists!A:A, SPLIT(D44, "",""))) &gt; 0, ""UA"", 0)"),"UA")</f>
        <v>UA</v>
      </c>
      <c r="J44" s="40">
        <f ca="1">IFERROR(__xludf.DUMMYFUNCTION("IF(SUM(COUNTIF(artists!C:C, SPLIT(D44, "",""))) &gt; 0, ""RU"", 0)"),0)</f>
        <v>0</v>
      </c>
      <c r="K44" s="39">
        <f ca="1">IFERROR(__xludf.DUMMYFUNCTION("IF(SUM(COUNTIF(artists!E:E, SPLIT(D44, "",""))) &gt; 0, ""OTHER"", 0)"),0)</f>
        <v>0</v>
      </c>
    </row>
    <row r="45" spans="1:11" ht="14.25" customHeight="1">
      <c r="A45" s="21">
        <v>44</v>
      </c>
      <c r="B45" s="21">
        <v>46</v>
      </c>
      <c r="C45" s="21" t="s">
        <v>1387</v>
      </c>
      <c r="D45" s="21" t="s">
        <v>1388</v>
      </c>
      <c r="E45" s="21">
        <v>2</v>
      </c>
      <c r="F45" s="21">
        <v>258514</v>
      </c>
      <c r="G45" s="42">
        <v>9.4E-2</v>
      </c>
      <c r="H45" s="21" t="s">
        <v>1389</v>
      </c>
      <c r="I45" s="39">
        <f ca="1">IFERROR(__xludf.DUMMYFUNCTION("IF(SUM(COUNTIF(artists!A:A, SPLIT(D45, "",""))) &gt; 0, ""UA"", 0)"),0)</f>
        <v>0</v>
      </c>
      <c r="J45" s="40">
        <f ca="1">IFERROR(__xludf.DUMMYFUNCTION("IF(SUM(COUNTIF(artists!C:C, SPLIT(D45, "",""))) &gt; 0, ""RU"", 0)"),0)</f>
        <v>0</v>
      </c>
      <c r="K45" s="39" t="str">
        <f ca="1">IFERROR(__xludf.DUMMYFUNCTION("IF(SUM(COUNTIF(artists!E:E, SPLIT(D45, "",""))) &gt; 0, ""OTHER"", 0)"),"OTHER")</f>
        <v>OTHER</v>
      </c>
    </row>
    <row r="46" spans="1:11" ht="14.25" customHeight="1">
      <c r="A46" s="21">
        <v>45</v>
      </c>
      <c r="C46" s="21" t="s">
        <v>1814</v>
      </c>
      <c r="D46" s="21" t="s">
        <v>1358</v>
      </c>
      <c r="E46" s="21">
        <v>1</v>
      </c>
      <c r="F46" s="21">
        <v>253227</v>
      </c>
      <c r="H46" s="21" t="s">
        <v>1815</v>
      </c>
      <c r="I46" s="39" t="str">
        <f ca="1">IFERROR(__xludf.DUMMYFUNCTION("IF(SUM(COUNTIF(artists!A:A, SPLIT(D46, "",""))) &gt; 0, ""UA"", 0)"),"UA")</f>
        <v>UA</v>
      </c>
      <c r="J46" s="40">
        <f ca="1">IFERROR(__xludf.DUMMYFUNCTION("IF(SUM(COUNTIF(artists!C:C, SPLIT(D46, "",""))) &gt; 0, ""RU"", 0)"),0)</f>
        <v>0</v>
      </c>
      <c r="K46" s="39">
        <f ca="1">IFERROR(__xludf.DUMMYFUNCTION("IF(SUM(COUNTIF(artists!E:E, SPLIT(D46, "",""))) &gt; 0, ""OTHER"", 0)"),0)</f>
        <v>0</v>
      </c>
    </row>
    <row r="47" spans="1:11" ht="14.25" customHeight="1">
      <c r="A47" s="21">
        <v>46</v>
      </c>
      <c r="B47" s="21">
        <v>26</v>
      </c>
      <c r="C47" s="21">
        <v>12</v>
      </c>
      <c r="D47" s="21" t="s">
        <v>1050</v>
      </c>
      <c r="E47" s="21">
        <v>6</v>
      </c>
      <c r="F47" s="21">
        <v>252604</v>
      </c>
      <c r="G47" s="42">
        <v>-0.28499999999999998</v>
      </c>
      <c r="H47" s="21" t="s">
        <v>1756</v>
      </c>
      <c r="I47" s="39">
        <f ca="1">IFERROR(__xludf.DUMMYFUNCTION("IF(SUM(COUNTIF(artists!A:A, SPLIT(D47, "",""))) &gt; 0, ""UA"", 0)"),0)</f>
        <v>0</v>
      </c>
      <c r="J47" s="40" t="str">
        <f ca="1">IFERROR(__xludf.DUMMYFUNCTION("IF(SUM(COUNTIF(artists!C:C, SPLIT(D47, "",""))) &gt; 0, ""RU"", 0)"),"RU")</f>
        <v>RU</v>
      </c>
      <c r="K47" s="39">
        <f ca="1">IFERROR(__xludf.DUMMYFUNCTION("IF(SUM(COUNTIF(artists!E:E, SPLIT(D47, "",""))) &gt; 0, ""OTHER"", 0)"),0)</f>
        <v>0</v>
      </c>
    </row>
    <row r="48" spans="1:11" ht="14.25" customHeight="1">
      <c r="A48" s="21">
        <v>47</v>
      </c>
      <c r="B48" s="21">
        <v>48</v>
      </c>
      <c r="C48" s="21" t="s">
        <v>1498</v>
      </c>
      <c r="D48" s="21" t="s">
        <v>969</v>
      </c>
      <c r="E48" s="21">
        <v>30</v>
      </c>
      <c r="F48" s="21">
        <v>249622</v>
      </c>
      <c r="G48" s="42">
        <v>8.5999999999999993E-2</v>
      </c>
      <c r="H48" s="21" t="s">
        <v>1499</v>
      </c>
      <c r="I48" s="39" t="str">
        <f ca="1">IFERROR(__xludf.DUMMYFUNCTION("IF(SUM(COUNTIF(artists!A:A, SPLIT(D48, "",""))) &gt; 0, ""UA"", 0)"),"UA")</f>
        <v>UA</v>
      </c>
      <c r="J48" s="40">
        <f ca="1">IFERROR(__xludf.DUMMYFUNCTION("IF(SUM(COUNTIF(artists!C:C, SPLIT(D48, "",""))) &gt; 0, ""RU"", 0)"),0)</f>
        <v>0</v>
      </c>
      <c r="K48" s="39">
        <f ca="1">IFERROR(__xludf.DUMMYFUNCTION("IF(SUM(COUNTIF(artists!E:E, SPLIT(D48, "",""))) &gt; 0, ""OTHER"", 0)"),0)</f>
        <v>0</v>
      </c>
    </row>
    <row r="49" spans="1:11" ht="14.25" customHeight="1">
      <c r="A49" s="21">
        <v>48</v>
      </c>
      <c r="B49" s="21">
        <v>45</v>
      </c>
      <c r="C49" s="21" t="s">
        <v>841</v>
      </c>
      <c r="D49" s="21" t="s">
        <v>842</v>
      </c>
      <c r="E49" s="21">
        <v>14</v>
      </c>
      <c r="F49" s="21">
        <v>244152</v>
      </c>
      <c r="G49" s="42">
        <v>1.0999999999999999E-2</v>
      </c>
      <c r="H49" s="21" t="s">
        <v>843</v>
      </c>
      <c r="I49" s="39">
        <f ca="1">IFERROR(__xludf.DUMMYFUNCTION("IF(SUM(COUNTIF(artists!A:A, SPLIT(D49, "",""))) &gt; 0, ""UA"", 0)"),0)</f>
        <v>0</v>
      </c>
      <c r="J49" s="40">
        <f ca="1">IFERROR(__xludf.DUMMYFUNCTION("IF(SUM(COUNTIF(artists!C:C, SPLIT(D49, "",""))) &gt; 0, ""RU"", 0)"),0)</f>
        <v>0</v>
      </c>
      <c r="K49" s="39" t="str">
        <f ca="1">IFERROR(__xludf.DUMMYFUNCTION("IF(SUM(COUNTIF(artists!E:E, SPLIT(D49, "",""))) &gt; 0, ""OTHER"", 0)"),"OTHER")</f>
        <v>OTHER</v>
      </c>
    </row>
    <row r="50" spans="1:11" ht="14.25" customHeight="1">
      <c r="A50" s="21">
        <v>49</v>
      </c>
      <c r="B50" s="21">
        <v>93</v>
      </c>
      <c r="C50" s="21" t="s">
        <v>1395</v>
      </c>
      <c r="D50" s="21" t="s">
        <v>1396</v>
      </c>
      <c r="E50" s="21">
        <v>24</v>
      </c>
      <c r="F50" s="21">
        <v>242845</v>
      </c>
      <c r="G50" s="42">
        <v>0.66700000000000004</v>
      </c>
      <c r="H50" s="21" t="s">
        <v>1397</v>
      </c>
      <c r="I50" s="39" t="str">
        <f ca="1">IFERROR(__xludf.DUMMYFUNCTION("IF(SUM(COUNTIF(artists!A:A, SPLIT(D50, "",""))) &gt; 0, ""UA"", 0)"),"UA")</f>
        <v>UA</v>
      </c>
      <c r="J50" s="40">
        <f ca="1">IFERROR(__xludf.DUMMYFUNCTION("IF(SUM(COUNTIF(artists!C:C, SPLIT(D50, "",""))) &gt; 0, ""RU"", 0)"),0)</f>
        <v>0</v>
      </c>
      <c r="K50" s="39">
        <f ca="1">IFERROR(__xludf.DUMMYFUNCTION("IF(SUM(COUNTIF(artists!E:E, SPLIT(D50, "",""))) &gt; 0, ""OTHER"", 0)"),0)</f>
        <v>0</v>
      </c>
    </row>
    <row r="51" spans="1:11" ht="14.25" customHeight="1">
      <c r="A51" s="21">
        <v>50</v>
      </c>
      <c r="B51" s="21">
        <v>49</v>
      </c>
      <c r="C51" s="21" t="s">
        <v>1636</v>
      </c>
      <c r="D51" s="21" t="s">
        <v>1637</v>
      </c>
      <c r="E51" s="21">
        <v>13</v>
      </c>
      <c r="F51" s="21">
        <v>241961</v>
      </c>
      <c r="G51" s="42">
        <v>5.2999999999999999E-2</v>
      </c>
      <c r="H51" s="21" t="s">
        <v>1638</v>
      </c>
      <c r="I51" s="39">
        <f ca="1">IFERROR(__xludf.DUMMYFUNCTION("IF(SUM(COUNTIF(artists!A:A, SPLIT(D51, "",""))) &gt; 0, ""UA"", 0)"),0)</f>
        <v>0</v>
      </c>
      <c r="J51" s="40" t="str">
        <f ca="1">IFERROR(__xludf.DUMMYFUNCTION("IF(SUM(COUNTIF(artists!C:C, SPLIT(D51, "",""))) &gt; 0, ""RU"", 0)"),"RU")</f>
        <v>RU</v>
      </c>
      <c r="K51" s="39">
        <f ca="1">IFERROR(__xludf.DUMMYFUNCTION("IF(SUM(COUNTIF(artists!E:E, SPLIT(D51, "",""))) &gt; 0, ""OTHER"", 0)"),0)</f>
        <v>0</v>
      </c>
    </row>
    <row r="52" spans="1:11" ht="14.25" customHeight="1">
      <c r="A52" s="21">
        <v>51</v>
      </c>
      <c r="B52" s="21">
        <v>60</v>
      </c>
      <c r="C52" s="21" t="s">
        <v>1588</v>
      </c>
      <c r="D52" s="21" t="s">
        <v>776</v>
      </c>
      <c r="E52" s="21">
        <v>11</v>
      </c>
      <c r="F52" s="21">
        <v>240779</v>
      </c>
      <c r="G52" s="42">
        <v>0.124</v>
      </c>
      <c r="H52" s="21" t="s">
        <v>1589</v>
      </c>
      <c r="I52" s="39" t="str">
        <f ca="1">IFERROR(__xludf.DUMMYFUNCTION("IF(SUM(COUNTIF(artists!A:A, SPLIT(D52, "",""))) &gt; 0, ""UA"", 0)"),"UA")</f>
        <v>UA</v>
      </c>
      <c r="J52" s="40">
        <f ca="1">IFERROR(__xludf.DUMMYFUNCTION("IF(SUM(COUNTIF(artists!C:C, SPLIT(D52, "",""))) &gt; 0, ""RU"", 0)"),0)</f>
        <v>0</v>
      </c>
      <c r="K52" s="39">
        <f ca="1">IFERROR(__xludf.DUMMYFUNCTION("IF(SUM(COUNTIF(artists!E:E, SPLIT(D52, "",""))) &gt; 0, ""OTHER"", 0)"),0)</f>
        <v>0</v>
      </c>
    </row>
    <row r="53" spans="1:11" ht="14.25" customHeight="1">
      <c r="A53" s="21">
        <v>52</v>
      </c>
      <c r="B53" s="21">
        <v>61</v>
      </c>
      <c r="C53" s="21" t="s">
        <v>1327</v>
      </c>
      <c r="D53" s="21" t="s">
        <v>89</v>
      </c>
      <c r="E53" s="21">
        <v>27</v>
      </c>
      <c r="F53" s="21">
        <v>239069</v>
      </c>
      <c r="G53" s="43">
        <v>0.14000000000000001</v>
      </c>
      <c r="H53" s="21" t="s">
        <v>1328</v>
      </c>
      <c r="I53" s="39" t="str">
        <f ca="1">IFERROR(__xludf.DUMMYFUNCTION("IF(SUM(COUNTIF(artists!A:A, SPLIT(D53, "",""))) &gt; 0, ""UA"", 0)"),"UA")</f>
        <v>UA</v>
      </c>
      <c r="J53" s="40">
        <f ca="1">IFERROR(__xludf.DUMMYFUNCTION("IF(SUM(COUNTIF(artists!C:C, SPLIT(D53, "",""))) &gt; 0, ""RU"", 0)"),0)</f>
        <v>0</v>
      </c>
      <c r="K53" s="39">
        <f ca="1">IFERROR(__xludf.DUMMYFUNCTION("IF(SUM(COUNTIF(artists!E:E, SPLIT(D53, "",""))) &gt; 0, ""OTHER"", 0)"),0)</f>
        <v>0</v>
      </c>
    </row>
    <row r="54" spans="1:11" ht="14.25" customHeight="1">
      <c r="A54" s="21">
        <v>53</v>
      </c>
      <c r="B54" s="21">
        <v>50</v>
      </c>
      <c r="C54" s="21" t="s">
        <v>1477</v>
      </c>
      <c r="D54" s="21" t="s">
        <v>1478</v>
      </c>
      <c r="E54" s="21">
        <v>7</v>
      </c>
      <c r="F54" s="21">
        <v>236651</v>
      </c>
      <c r="G54" s="42">
        <v>4.2999999999999997E-2</v>
      </c>
      <c r="H54" s="21" t="s">
        <v>1479</v>
      </c>
      <c r="I54" s="39" t="str">
        <f ca="1">IFERROR(__xludf.DUMMYFUNCTION("IF(SUM(COUNTIF(artists!A:A, SPLIT(D54, "",""))) &gt; 0, ""UA"", 0)"),"UA")</f>
        <v>UA</v>
      </c>
      <c r="J54" s="40">
        <f ca="1">IFERROR(__xludf.DUMMYFUNCTION("IF(SUM(COUNTIF(artists!C:C, SPLIT(D54, "",""))) &gt; 0, ""RU"", 0)"),0)</f>
        <v>0</v>
      </c>
      <c r="K54" s="39">
        <f ca="1">IFERROR(__xludf.DUMMYFUNCTION("IF(SUM(COUNTIF(artists!E:E, SPLIT(D54, "",""))) &gt; 0, ""OTHER"", 0)"),0)</f>
        <v>0</v>
      </c>
    </row>
    <row r="55" spans="1:11" ht="14.25" customHeight="1">
      <c r="A55" s="21">
        <v>54</v>
      </c>
      <c r="B55" s="21">
        <v>44</v>
      </c>
      <c r="C55" s="21" t="s">
        <v>1614</v>
      </c>
      <c r="D55" s="21" t="s">
        <v>1027</v>
      </c>
      <c r="E55" s="21">
        <v>5</v>
      </c>
      <c r="F55" s="21">
        <v>234400</v>
      </c>
      <c r="G55" s="42">
        <v>-3.9E-2</v>
      </c>
      <c r="H55" s="21" t="s">
        <v>1615</v>
      </c>
      <c r="I55" s="39" t="str">
        <f ca="1">IFERROR(__xludf.DUMMYFUNCTION("IF(SUM(COUNTIF(artists!A:A, SPLIT(D55, "",""))) &gt; 0, ""UA"", 0)"),"UA")</f>
        <v>UA</v>
      </c>
      <c r="J55" s="40">
        <f ca="1">IFERROR(__xludf.DUMMYFUNCTION("IF(SUM(COUNTIF(artists!C:C, SPLIT(D55, "",""))) &gt; 0, ""RU"", 0)"),0)</f>
        <v>0</v>
      </c>
      <c r="K55" s="39">
        <f ca="1">IFERROR(__xludf.DUMMYFUNCTION("IF(SUM(COUNTIF(artists!E:E, SPLIT(D55, "",""))) &gt; 0, ""OTHER"", 0)"),0)</f>
        <v>0</v>
      </c>
    </row>
    <row r="56" spans="1:11" ht="14.25" customHeight="1">
      <c r="A56" s="21">
        <v>55</v>
      </c>
      <c r="B56" s="21">
        <v>53</v>
      </c>
      <c r="C56" s="21" t="s">
        <v>1674</v>
      </c>
      <c r="D56" s="21" t="s">
        <v>172</v>
      </c>
      <c r="E56" s="21">
        <v>14</v>
      </c>
      <c r="F56" s="21">
        <v>232357</v>
      </c>
      <c r="G56" s="42">
        <v>4.2000000000000003E-2</v>
      </c>
      <c r="H56" s="21" t="s">
        <v>1675</v>
      </c>
      <c r="I56" s="39">
        <f ca="1">IFERROR(__xludf.DUMMYFUNCTION("IF(SUM(COUNTIF(artists!A:A, SPLIT(D56, "",""))) &gt; 0, ""UA"", 0)"),0)</f>
        <v>0</v>
      </c>
      <c r="J56" s="40" t="str">
        <f ca="1">IFERROR(__xludf.DUMMYFUNCTION("IF(SUM(COUNTIF(artists!C:C, SPLIT(D56, "",""))) &gt; 0, ""RU"", 0)"),"RU")</f>
        <v>RU</v>
      </c>
      <c r="K56" s="39">
        <f ca="1">IFERROR(__xludf.DUMMYFUNCTION("IF(SUM(COUNTIF(artists!E:E, SPLIT(D56, "",""))) &gt; 0, ""OTHER"", 0)"),0)</f>
        <v>0</v>
      </c>
    </row>
    <row r="57" spans="1:11" ht="14.25" customHeight="1">
      <c r="A57" s="21">
        <v>56</v>
      </c>
      <c r="B57" s="21">
        <v>17</v>
      </c>
      <c r="C57" s="21" t="s">
        <v>1805</v>
      </c>
      <c r="D57" s="21" t="s">
        <v>1806</v>
      </c>
      <c r="E57" s="21">
        <v>3</v>
      </c>
      <c r="F57" s="21">
        <v>226067</v>
      </c>
      <c r="G57" s="42">
        <v>-0.47299999999999998</v>
      </c>
      <c r="H57" s="21" t="s">
        <v>1807</v>
      </c>
      <c r="I57" s="39" t="str">
        <f ca="1">IFERROR(__xludf.DUMMYFUNCTION("IF(SUM(COUNTIF(artists!A:A, SPLIT(D57, "",""))) &gt; 0, ""UA"", 0)"),"UA")</f>
        <v>UA</v>
      </c>
      <c r="J57" s="40">
        <f ca="1">IFERROR(__xludf.DUMMYFUNCTION("IF(SUM(COUNTIF(artists!C:C, SPLIT(D57, "",""))) &gt; 0, ""RU"", 0)"),0)</f>
        <v>0</v>
      </c>
      <c r="K57" s="39">
        <f ca="1">IFERROR(__xludf.DUMMYFUNCTION("IF(SUM(COUNTIF(artists!E:E, SPLIT(D57, "",""))) &gt; 0, ""OTHER"", 0)"),0)</f>
        <v>0</v>
      </c>
    </row>
    <row r="58" spans="1:11" ht="14.25" customHeight="1">
      <c r="A58" s="21">
        <v>57</v>
      </c>
      <c r="B58" s="21">
        <v>30</v>
      </c>
      <c r="C58" s="21" t="s">
        <v>1791</v>
      </c>
      <c r="D58" s="21" t="s">
        <v>1792</v>
      </c>
      <c r="E58" s="21">
        <v>4</v>
      </c>
      <c r="F58" s="21">
        <v>223682</v>
      </c>
      <c r="G58" s="42">
        <v>-0.307</v>
      </c>
      <c r="H58" s="21" t="s">
        <v>1793</v>
      </c>
      <c r="I58" s="39" t="str">
        <f ca="1">IFERROR(__xludf.DUMMYFUNCTION("IF(SUM(COUNTIF(artists!A:A, SPLIT(D58, "",""))) &gt; 0, ""UA"", 0)"),"UA")</f>
        <v>UA</v>
      </c>
      <c r="J58" s="40">
        <f ca="1">IFERROR(__xludf.DUMMYFUNCTION("IF(SUM(COUNTIF(artists!C:C, SPLIT(D58, "",""))) &gt; 0, ""RU"", 0)"),0)</f>
        <v>0</v>
      </c>
      <c r="K58" s="39">
        <f ca="1">IFERROR(__xludf.DUMMYFUNCTION("IF(SUM(COUNTIF(artists!E:E, SPLIT(D58, "",""))) &gt; 0, ""OTHER"", 0)"),0)</f>
        <v>0</v>
      </c>
    </row>
    <row r="59" spans="1:11" ht="14.25" customHeight="1">
      <c r="A59" s="21">
        <v>58</v>
      </c>
      <c r="B59" s="21">
        <v>54</v>
      </c>
      <c r="C59" s="21" t="s">
        <v>1659</v>
      </c>
      <c r="D59" s="21" t="s">
        <v>1660</v>
      </c>
      <c r="E59" s="21">
        <v>7</v>
      </c>
      <c r="F59" s="21">
        <v>222592</v>
      </c>
      <c r="G59" s="42">
        <v>6.0000000000000001E-3</v>
      </c>
      <c r="H59" s="21" t="s">
        <v>1661</v>
      </c>
      <c r="I59" s="39">
        <f ca="1">IFERROR(__xludf.DUMMYFUNCTION("IF(SUM(COUNTIF(artists!A:A, SPLIT(D59, "",""))) &gt; 0, ""UA"", 0)"),0)</f>
        <v>0</v>
      </c>
      <c r="J59" s="40" t="str">
        <f ca="1">IFERROR(__xludf.DUMMYFUNCTION("IF(SUM(COUNTIF(artists!C:C, SPLIT(D59, "",""))) &gt; 0, ""RU"", 0)"),"RU")</f>
        <v>RU</v>
      </c>
      <c r="K59" s="39">
        <f ca="1">IFERROR(__xludf.DUMMYFUNCTION("IF(SUM(COUNTIF(artists!E:E, SPLIT(D59, "",""))) &gt; 0, ""OTHER"", 0)"),0)</f>
        <v>0</v>
      </c>
    </row>
    <row r="60" spans="1:11" ht="14.25" customHeight="1">
      <c r="A60" s="21">
        <v>59</v>
      </c>
      <c r="C60" s="21" t="s">
        <v>1683</v>
      </c>
      <c r="D60" s="21" t="s">
        <v>1757</v>
      </c>
      <c r="E60" s="21">
        <v>1</v>
      </c>
      <c r="F60" s="21">
        <v>216598</v>
      </c>
      <c r="H60" s="21" t="s">
        <v>1758</v>
      </c>
      <c r="I60" s="39" t="str">
        <f ca="1">IFERROR(__xludf.DUMMYFUNCTION("IF(SUM(COUNTIF(artists!A:A, SPLIT(D60, "",""))) &gt; 0, ""UA"", 0)"),"UA")</f>
        <v>UA</v>
      </c>
      <c r="J60" s="40">
        <f ca="1">IFERROR(__xludf.DUMMYFUNCTION("IF(SUM(COUNTIF(artists!C:C, SPLIT(D60, "",""))) &gt; 0, ""RU"", 0)"),0)</f>
        <v>0</v>
      </c>
      <c r="K60" s="39">
        <f ca="1">IFERROR(__xludf.DUMMYFUNCTION("IF(SUM(COUNTIF(artists!E:E, SPLIT(D60, "",""))) &gt; 0, ""OTHER"", 0)"),0)</f>
        <v>0</v>
      </c>
    </row>
    <row r="61" spans="1:11" ht="14.25" customHeight="1">
      <c r="A61" s="21">
        <v>60</v>
      </c>
      <c r="B61" s="21">
        <v>51</v>
      </c>
      <c r="C61" s="21" t="s">
        <v>748</v>
      </c>
      <c r="D61" s="21" t="s">
        <v>586</v>
      </c>
      <c r="E61" s="21">
        <v>7</v>
      </c>
      <c r="F61" s="21">
        <v>215596</v>
      </c>
      <c r="G61" s="43">
        <v>-0.04</v>
      </c>
      <c r="H61" s="21" t="s">
        <v>749</v>
      </c>
      <c r="I61" s="39" t="str">
        <f ca="1">IFERROR(__xludf.DUMMYFUNCTION("IF(SUM(COUNTIF(artists!A:A, SPLIT(D61, "",""))) &gt; 0, ""UA"", 0)"),"UA")</f>
        <v>UA</v>
      </c>
      <c r="J61" s="40">
        <f ca="1">IFERROR(__xludf.DUMMYFUNCTION("IF(SUM(COUNTIF(artists!C:C, SPLIT(D61, "",""))) &gt; 0, ""RU"", 0)"),0)</f>
        <v>0</v>
      </c>
      <c r="K61" s="39">
        <f ca="1">IFERROR(__xludf.DUMMYFUNCTION("IF(SUM(COUNTIF(artists!E:E, SPLIT(D61, "",""))) &gt; 0, ""OTHER"", 0)"),0)</f>
        <v>0</v>
      </c>
    </row>
    <row r="62" spans="1:11" ht="14.25" customHeight="1">
      <c r="A62" s="21">
        <v>61</v>
      </c>
      <c r="B62" s="21">
        <v>71</v>
      </c>
      <c r="C62" s="21" t="s">
        <v>597</v>
      </c>
      <c r="D62" s="21" t="s">
        <v>598</v>
      </c>
      <c r="E62" s="21">
        <v>3</v>
      </c>
      <c r="F62" s="21">
        <v>213293</v>
      </c>
      <c r="G62" s="42">
        <v>0.19400000000000001</v>
      </c>
      <c r="H62" s="21" t="s">
        <v>600</v>
      </c>
      <c r="I62" s="39" t="str">
        <f ca="1">IFERROR(__xludf.DUMMYFUNCTION("IF(SUM(COUNTIF(artists!A:A, SPLIT(D62, "",""))) &gt; 0, ""UA"", 0)"),"UA")</f>
        <v>UA</v>
      </c>
      <c r="J62" s="40">
        <f ca="1">IFERROR(__xludf.DUMMYFUNCTION("IF(SUM(COUNTIF(artists!C:C, SPLIT(D62, "",""))) &gt; 0, ""RU"", 0)"),0)</f>
        <v>0</v>
      </c>
      <c r="K62" s="39">
        <f ca="1">IFERROR(__xludf.DUMMYFUNCTION("IF(SUM(COUNTIF(artists!E:E, SPLIT(D62, "",""))) &gt; 0, ""OTHER"", 0)"),0)</f>
        <v>0</v>
      </c>
    </row>
    <row r="63" spans="1:11" ht="14.25" customHeight="1">
      <c r="A63" s="21">
        <v>62</v>
      </c>
      <c r="B63" s="21">
        <v>67</v>
      </c>
      <c r="C63" s="21" t="s">
        <v>1586</v>
      </c>
      <c r="D63" s="21" t="s">
        <v>969</v>
      </c>
      <c r="E63" s="21">
        <v>11</v>
      </c>
      <c r="F63" s="21">
        <v>211621</v>
      </c>
      <c r="G63" s="42">
        <v>0.11899999999999999</v>
      </c>
      <c r="H63" s="21" t="s">
        <v>1587</v>
      </c>
      <c r="I63" s="39" t="str">
        <f ca="1">IFERROR(__xludf.DUMMYFUNCTION("IF(SUM(COUNTIF(artists!A:A, SPLIT(D63, "",""))) &gt; 0, ""UA"", 0)"),"UA")</f>
        <v>UA</v>
      </c>
      <c r="J63" s="40">
        <f ca="1">IFERROR(__xludf.DUMMYFUNCTION("IF(SUM(COUNTIF(artists!C:C, SPLIT(D63, "",""))) &gt; 0, ""RU"", 0)"),0)</f>
        <v>0</v>
      </c>
      <c r="K63" s="39">
        <f ca="1">IFERROR(__xludf.DUMMYFUNCTION("IF(SUM(COUNTIF(artists!E:E, SPLIT(D63, "",""))) &gt; 0, ""OTHER"", 0)"),0)</f>
        <v>0</v>
      </c>
    </row>
    <row r="64" spans="1:11" ht="14.25" customHeight="1">
      <c r="A64" s="21">
        <v>63</v>
      </c>
      <c r="B64" s="21">
        <v>56</v>
      </c>
      <c r="C64" s="21" t="s">
        <v>1369</v>
      </c>
      <c r="D64" s="21" t="s">
        <v>1370</v>
      </c>
      <c r="E64" s="21">
        <v>8</v>
      </c>
      <c r="F64" s="21">
        <v>210753</v>
      </c>
      <c r="G64" s="42">
        <v>-3.9E-2</v>
      </c>
      <c r="H64" s="21" t="s">
        <v>1371</v>
      </c>
      <c r="I64" s="39" t="str">
        <f ca="1">IFERROR(__xludf.DUMMYFUNCTION("IF(SUM(COUNTIF(artists!A:A, SPLIT(D64, "",""))) &gt; 0, ""UA"", 0)"),"UA")</f>
        <v>UA</v>
      </c>
      <c r="J64" s="40">
        <f ca="1">IFERROR(__xludf.DUMMYFUNCTION("IF(SUM(COUNTIF(artists!C:C, SPLIT(D64, "",""))) &gt; 0, ""RU"", 0)"),0)</f>
        <v>0</v>
      </c>
      <c r="K64" s="39">
        <f ca="1">IFERROR(__xludf.DUMMYFUNCTION("IF(SUM(COUNTIF(artists!E:E, SPLIT(D64, "",""))) &gt; 0, ""OTHER"", 0)"),0)</f>
        <v>0</v>
      </c>
    </row>
    <row r="65" spans="1:11" ht="14.25" customHeight="1">
      <c r="A65" s="21">
        <v>64</v>
      </c>
      <c r="B65" s="21">
        <v>65</v>
      </c>
      <c r="C65" s="21" t="s">
        <v>1447</v>
      </c>
      <c r="D65" s="21" t="s">
        <v>969</v>
      </c>
      <c r="E65" s="21">
        <v>18</v>
      </c>
      <c r="F65" s="21">
        <v>206860</v>
      </c>
      <c r="G65" s="42">
        <v>4.9000000000000002E-2</v>
      </c>
      <c r="H65" s="21" t="s">
        <v>1448</v>
      </c>
      <c r="I65" s="39" t="str">
        <f ca="1">IFERROR(__xludf.DUMMYFUNCTION("IF(SUM(COUNTIF(artists!A:A, SPLIT(D65, "",""))) &gt; 0, ""UA"", 0)"),"UA")</f>
        <v>UA</v>
      </c>
      <c r="J65" s="40">
        <f ca="1">IFERROR(__xludf.DUMMYFUNCTION("IF(SUM(COUNTIF(artists!C:C, SPLIT(D65, "",""))) &gt; 0, ""RU"", 0)"),0)</f>
        <v>0</v>
      </c>
      <c r="K65" s="39">
        <f ca="1">IFERROR(__xludf.DUMMYFUNCTION("IF(SUM(COUNTIF(artists!E:E, SPLIT(D65, "",""))) &gt; 0, ""OTHER"", 0)"),0)</f>
        <v>0</v>
      </c>
    </row>
    <row r="66" spans="1:11" ht="14.25" customHeight="1">
      <c r="A66" s="21">
        <v>65</v>
      </c>
      <c r="B66" s="21">
        <v>77</v>
      </c>
      <c r="C66" s="21" t="s">
        <v>1381</v>
      </c>
      <c r="D66" s="21" t="s">
        <v>969</v>
      </c>
      <c r="E66" s="21">
        <v>9</v>
      </c>
      <c r="F66" s="21">
        <v>202846</v>
      </c>
      <c r="G66" s="42">
        <v>0.191</v>
      </c>
      <c r="H66" s="21" t="s">
        <v>1382</v>
      </c>
      <c r="I66" s="39" t="str">
        <f ca="1">IFERROR(__xludf.DUMMYFUNCTION("IF(SUM(COUNTIF(artists!A:A, SPLIT(D66, "",""))) &gt; 0, ""UA"", 0)"),"UA")</f>
        <v>UA</v>
      </c>
      <c r="J66" s="40">
        <f ca="1">IFERROR(__xludf.DUMMYFUNCTION("IF(SUM(COUNTIF(artists!C:C, SPLIT(D66, "",""))) &gt; 0, ""RU"", 0)"),0)</f>
        <v>0</v>
      </c>
      <c r="K66" s="39">
        <f ca="1">IFERROR(__xludf.DUMMYFUNCTION("IF(SUM(COUNTIF(artists!E:E, SPLIT(D66, "",""))) &gt; 0, ""OTHER"", 0)"),0)</f>
        <v>0</v>
      </c>
    </row>
    <row r="67" spans="1:11" ht="14.25" customHeight="1">
      <c r="A67" s="21">
        <v>66</v>
      </c>
      <c r="C67" s="21" t="s">
        <v>1668</v>
      </c>
      <c r="D67" s="21" t="s">
        <v>1828</v>
      </c>
      <c r="E67" s="21">
        <v>1</v>
      </c>
      <c r="F67" s="21">
        <v>202475</v>
      </c>
      <c r="H67" s="21" t="s">
        <v>1829</v>
      </c>
      <c r="I67" s="39" t="str">
        <f ca="1">IFERROR(__xludf.DUMMYFUNCTION("IF(SUM(COUNTIF(artists!A:A, SPLIT(D67, "",""))) &gt; 0, ""UA"", 0)"),"UA")</f>
        <v>UA</v>
      </c>
      <c r="J67" s="40">
        <f ca="1">IFERROR(__xludf.DUMMYFUNCTION("IF(SUM(COUNTIF(artists!C:C, SPLIT(D67, "",""))) &gt; 0, ""RU"", 0)"),0)</f>
        <v>0</v>
      </c>
      <c r="K67" s="39">
        <f ca="1">IFERROR(__xludf.DUMMYFUNCTION("IF(SUM(COUNTIF(artists!E:E, SPLIT(D67, "",""))) &gt; 0, ""OTHER"", 0)"),0)</f>
        <v>0</v>
      </c>
    </row>
    <row r="68" spans="1:11" ht="14.25" customHeight="1">
      <c r="A68" s="21">
        <v>67</v>
      </c>
      <c r="B68" s="21">
        <v>42</v>
      </c>
      <c r="C68" s="21" t="s">
        <v>1298</v>
      </c>
      <c r="D68" s="21" t="s">
        <v>226</v>
      </c>
      <c r="E68" s="21">
        <v>4</v>
      </c>
      <c r="F68" s="21">
        <v>202157</v>
      </c>
      <c r="G68" s="43">
        <v>-0.19</v>
      </c>
      <c r="H68" s="21" t="s">
        <v>1299</v>
      </c>
      <c r="I68" s="39" t="str">
        <f ca="1">IFERROR(__xludf.DUMMYFUNCTION("IF(SUM(COUNTIF(artists!A:A, SPLIT(D68, "",""))) &gt; 0, ""UA"", 0)"),"UA")</f>
        <v>UA</v>
      </c>
      <c r="J68" s="40">
        <f ca="1">IFERROR(__xludf.DUMMYFUNCTION("IF(SUM(COUNTIF(artists!C:C, SPLIT(D68, "",""))) &gt; 0, ""RU"", 0)"),0)</f>
        <v>0</v>
      </c>
      <c r="K68" s="39">
        <f ca="1">IFERROR(__xludf.DUMMYFUNCTION("IF(SUM(COUNTIF(artists!E:E, SPLIT(D68, "",""))) &gt; 0, ""OTHER"", 0)"),0)</f>
        <v>0</v>
      </c>
    </row>
    <row r="69" spans="1:11" ht="14.25" customHeight="1">
      <c r="A69" s="21">
        <v>68</v>
      </c>
      <c r="B69" s="21">
        <v>57</v>
      </c>
      <c r="C69" s="21" t="s">
        <v>470</v>
      </c>
      <c r="D69" s="21" t="s">
        <v>81</v>
      </c>
      <c r="E69" s="21">
        <v>7</v>
      </c>
      <c r="F69" s="21">
        <v>198607</v>
      </c>
      <c r="G69" s="42">
        <v>-7.9000000000000001E-2</v>
      </c>
      <c r="H69" s="21" t="s">
        <v>472</v>
      </c>
      <c r="I69" s="39" t="str">
        <f ca="1">IFERROR(__xludf.DUMMYFUNCTION("IF(SUM(COUNTIF(artists!A:A, SPLIT(D69, "",""))) &gt; 0, ""UA"", 0)"),"UA")</f>
        <v>UA</v>
      </c>
      <c r="J69" s="40">
        <f ca="1">IFERROR(__xludf.DUMMYFUNCTION("IF(SUM(COUNTIF(artists!C:C, SPLIT(D69, "",""))) &gt; 0, ""RU"", 0)"),0)</f>
        <v>0</v>
      </c>
      <c r="K69" s="39">
        <f ca="1">IFERROR(__xludf.DUMMYFUNCTION("IF(SUM(COUNTIF(artists!E:E, SPLIT(D69, "",""))) &gt; 0, ""OTHER"", 0)"),0)</f>
        <v>0</v>
      </c>
    </row>
    <row r="70" spans="1:11" ht="14.25" customHeight="1">
      <c r="A70" s="21">
        <v>69</v>
      </c>
      <c r="B70" s="21">
        <v>62</v>
      </c>
      <c r="C70" s="21" t="s">
        <v>1726</v>
      </c>
      <c r="D70" s="21" t="s">
        <v>1727</v>
      </c>
      <c r="E70" s="21">
        <v>8</v>
      </c>
      <c r="F70" s="21">
        <v>198289</v>
      </c>
      <c r="G70" s="42">
        <v>-2.3E-2</v>
      </c>
      <c r="H70" s="21" t="s">
        <v>1728</v>
      </c>
      <c r="I70" s="39" t="str">
        <f ca="1">IFERROR(__xludf.DUMMYFUNCTION("IF(SUM(COUNTIF(artists!A:A, SPLIT(D70, "",""))) &gt; 0, ""UA"", 0)"),"UA")</f>
        <v>UA</v>
      </c>
      <c r="J70" s="40">
        <f ca="1">IFERROR(__xludf.DUMMYFUNCTION("IF(SUM(COUNTIF(artists!C:C, SPLIT(D70, "",""))) &gt; 0, ""RU"", 0)"),0)</f>
        <v>0</v>
      </c>
      <c r="K70" s="39">
        <f ca="1">IFERROR(__xludf.DUMMYFUNCTION("IF(SUM(COUNTIF(artists!E:E, SPLIT(D70, "",""))) &gt; 0, ""OTHER"", 0)"),0)</f>
        <v>0</v>
      </c>
    </row>
    <row r="71" spans="1:11" ht="14.25" customHeight="1">
      <c r="A71" s="21">
        <v>70</v>
      </c>
      <c r="B71" s="21">
        <v>69</v>
      </c>
      <c r="C71" s="21" t="s">
        <v>1546</v>
      </c>
      <c r="D71" s="21" t="s">
        <v>1429</v>
      </c>
      <c r="E71" s="21">
        <v>4</v>
      </c>
      <c r="F71" s="21">
        <v>197909</v>
      </c>
      <c r="G71" s="42">
        <v>5.1999999999999998E-2</v>
      </c>
      <c r="H71" s="21" t="s">
        <v>1547</v>
      </c>
      <c r="I71" s="39" t="str">
        <f ca="1">IFERROR(__xludf.DUMMYFUNCTION("IF(SUM(COUNTIF(artists!A:A, SPLIT(D71, "",""))) &gt; 0, ""UA"", 0)"),"UA")</f>
        <v>UA</v>
      </c>
      <c r="J71" s="40">
        <f ca="1">IFERROR(__xludf.DUMMYFUNCTION("IF(SUM(COUNTIF(artists!C:C, SPLIT(D71, "",""))) &gt; 0, ""RU"", 0)"),0)</f>
        <v>0</v>
      </c>
      <c r="K71" s="39">
        <f ca="1">IFERROR(__xludf.DUMMYFUNCTION("IF(SUM(COUNTIF(artists!E:E, SPLIT(D71, "",""))) &gt; 0, ""OTHER"", 0)"),0)</f>
        <v>0</v>
      </c>
    </row>
    <row r="72" spans="1:11" ht="14.25" customHeight="1">
      <c r="A72" s="21">
        <v>71</v>
      </c>
      <c r="B72" s="21">
        <v>80</v>
      </c>
      <c r="C72" s="21" t="s">
        <v>1690</v>
      </c>
      <c r="D72" s="21" t="s">
        <v>259</v>
      </c>
      <c r="E72" s="21">
        <v>3</v>
      </c>
      <c r="F72" s="21">
        <v>195066</v>
      </c>
      <c r="G72" s="42">
        <v>0.16900000000000001</v>
      </c>
      <c r="H72" s="21" t="s">
        <v>1691</v>
      </c>
      <c r="I72" s="39" t="str">
        <f ca="1">IFERROR(__xludf.DUMMYFUNCTION("IF(SUM(COUNTIF(artists!A:A, SPLIT(D72, "",""))) &gt; 0, ""UA"", 0)"),"UA")</f>
        <v>UA</v>
      </c>
      <c r="J72" s="40">
        <f ca="1">IFERROR(__xludf.DUMMYFUNCTION("IF(SUM(COUNTIF(artists!C:C, SPLIT(D72, "",""))) &gt; 0, ""RU"", 0)"),0)</f>
        <v>0</v>
      </c>
      <c r="K72" s="39">
        <f ca="1">IFERROR(__xludf.DUMMYFUNCTION("IF(SUM(COUNTIF(artists!E:E, SPLIT(D72, "",""))) &gt; 0, ""OTHER"", 0)"),0)</f>
        <v>0</v>
      </c>
    </row>
    <row r="73" spans="1:11" ht="14.25" customHeight="1">
      <c r="A73" s="21">
        <v>72</v>
      </c>
      <c r="B73" s="21">
        <v>78</v>
      </c>
      <c r="C73" s="21" t="s">
        <v>229</v>
      </c>
      <c r="D73" s="21" t="s">
        <v>230</v>
      </c>
      <c r="E73" s="21">
        <v>5</v>
      </c>
      <c r="F73" s="21">
        <v>193693</v>
      </c>
      <c r="G73" s="42">
        <v>0.13800000000000001</v>
      </c>
      <c r="H73" s="21" t="s">
        <v>232</v>
      </c>
      <c r="I73" s="39" t="str">
        <f ca="1">IFERROR(__xludf.DUMMYFUNCTION("IF(SUM(COUNTIF(artists!A:A, SPLIT(D73, "",""))) &gt; 0, ""UA"", 0)"),"UA")</f>
        <v>UA</v>
      </c>
      <c r="J73" s="40">
        <f ca="1">IFERROR(__xludf.DUMMYFUNCTION("IF(SUM(COUNTIF(artists!C:C, SPLIT(D73, "",""))) &gt; 0, ""RU"", 0)"),0)</f>
        <v>0</v>
      </c>
      <c r="K73" s="39">
        <f ca="1">IFERROR(__xludf.DUMMYFUNCTION("IF(SUM(COUNTIF(artists!E:E, SPLIT(D73, "",""))) &gt; 0, ""OTHER"", 0)"),0)</f>
        <v>0</v>
      </c>
    </row>
    <row r="74" spans="1:11" ht="14.25" customHeight="1">
      <c r="A74" s="21">
        <v>73</v>
      </c>
      <c r="B74" s="21">
        <v>63</v>
      </c>
      <c r="C74" s="21" t="s">
        <v>1631</v>
      </c>
      <c r="D74" s="21" t="s">
        <v>409</v>
      </c>
      <c r="E74" s="21">
        <v>8</v>
      </c>
      <c r="F74" s="21">
        <v>192179</v>
      </c>
      <c r="G74" s="42">
        <v>-4.7E-2</v>
      </c>
      <c r="H74" s="21" t="s">
        <v>1632</v>
      </c>
      <c r="I74" s="39" t="str">
        <f ca="1">IFERROR(__xludf.DUMMYFUNCTION("IF(SUM(COUNTIF(artists!A:A, SPLIT(D74, "",""))) &gt; 0, ""UA"", 0)"),"UA")</f>
        <v>UA</v>
      </c>
      <c r="J74" s="40">
        <f ca="1">IFERROR(__xludf.DUMMYFUNCTION("IF(SUM(COUNTIF(artists!C:C, SPLIT(D74, "",""))) &gt; 0, ""RU"", 0)"),0)</f>
        <v>0</v>
      </c>
      <c r="K74" s="39">
        <f ca="1">IFERROR(__xludf.DUMMYFUNCTION("IF(SUM(COUNTIF(artists!E:E, SPLIT(D74, "",""))) &gt; 0, ""OTHER"", 0)"),0)</f>
        <v>0</v>
      </c>
    </row>
    <row r="75" spans="1:11" ht="14.25" customHeight="1">
      <c r="A75" s="21">
        <v>74</v>
      </c>
      <c r="B75" s="21">
        <v>68</v>
      </c>
      <c r="C75" s="21" t="s">
        <v>1810</v>
      </c>
      <c r="D75" s="21" t="s">
        <v>15</v>
      </c>
      <c r="E75" s="21">
        <v>8</v>
      </c>
      <c r="F75" s="21">
        <v>190909</v>
      </c>
      <c r="G75" s="42">
        <v>1.4E-2</v>
      </c>
      <c r="H75" s="21" t="s">
        <v>1811</v>
      </c>
      <c r="I75" s="39">
        <f ca="1">IFERROR(__xludf.DUMMYFUNCTION("IF(SUM(COUNTIF(artists!A:A, SPLIT(D75, "",""))) &gt; 0, ""UA"", 0)"),0)</f>
        <v>0</v>
      </c>
      <c r="J75" s="40">
        <f ca="1">IFERROR(__xludf.DUMMYFUNCTION("IF(SUM(COUNTIF(artists!C:C, SPLIT(D75, "",""))) &gt; 0, ""RU"", 0)"),0)</f>
        <v>0</v>
      </c>
      <c r="K75" s="39" t="str">
        <f ca="1">IFERROR(__xludf.DUMMYFUNCTION("IF(SUM(COUNTIF(artists!E:E, SPLIT(D75, "",""))) &gt; 0, ""OTHER"", 0)"),"OTHER")</f>
        <v>OTHER</v>
      </c>
    </row>
    <row r="76" spans="1:11" ht="14.25" customHeight="1">
      <c r="A76" s="21">
        <v>75</v>
      </c>
      <c r="B76" s="21">
        <v>74</v>
      </c>
      <c r="C76" s="21" t="s">
        <v>1518</v>
      </c>
      <c r="D76" s="21" t="s">
        <v>108</v>
      </c>
      <c r="E76" s="21">
        <v>10</v>
      </c>
      <c r="F76" s="21">
        <v>186846</v>
      </c>
      <c r="G76" s="42">
        <v>6.6000000000000003E-2</v>
      </c>
      <c r="H76" s="21" t="s">
        <v>1519</v>
      </c>
      <c r="I76" s="39" t="str">
        <f ca="1">IFERROR(__xludf.DUMMYFUNCTION("IF(SUM(COUNTIF(artists!A:A, SPLIT(D76, "",""))) &gt; 0, ""UA"", 0)"),"UA")</f>
        <v>UA</v>
      </c>
      <c r="J76" s="40">
        <f ca="1">IFERROR(__xludf.DUMMYFUNCTION("IF(SUM(COUNTIF(artists!C:C, SPLIT(D76, "",""))) &gt; 0, ""RU"", 0)"),0)</f>
        <v>0</v>
      </c>
      <c r="K76" s="39">
        <f ca="1">IFERROR(__xludf.DUMMYFUNCTION("IF(SUM(COUNTIF(artists!E:E, SPLIT(D76, "",""))) &gt; 0, ""OTHER"", 0)"),0)</f>
        <v>0</v>
      </c>
    </row>
    <row r="77" spans="1:11" ht="14.25" customHeight="1">
      <c r="A77" s="21">
        <v>76</v>
      </c>
      <c r="B77" s="21">
        <v>59</v>
      </c>
      <c r="C77" s="21" t="s">
        <v>1416</v>
      </c>
      <c r="D77" s="21" t="s">
        <v>137</v>
      </c>
      <c r="E77" s="21">
        <v>3</v>
      </c>
      <c r="F77" s="21">
        <v>184758</v>
      </c>
      <c r="G77" s="42">
        <v>-0.14199999999999999</v>
      </c>
      <c r="H77" s="21" t="s">
        <v>1417</v>
      </c>
      <c r="I77" s="39" t="str">
        <f ca="1">IFERROR(__xludf.DUMMYFUNCTION("IF(SUM(COUNTIF(artists!A:A, SPLIT(D77, "",""))) &gt; 0, ""UA"", 0)"),"UA")</f>
        <v>UA</v>
      </c>
      <c r="J77" s="40">
        <f ca="1">IFERROR(__xludf.DUMMYFUNCTION("IF(SUM(COUNTIF(artists!C:C, SPLIT(D77, "",""))) &gt; 0, ""RU"", 0)"),0)</f>
        <v>0</v>
      </c>
      <c r="K77" s="39">
        <f ca="1">IFERROR(__xludf.DUMMYFUNCTION("IF(SUM(COUNTIF(artists!E:E, SPLIT(D77, "",""))) &gt; 0, ""OTHER"", 0)"),0)</f>
        <v>0</v>
      </c>
    </row>
    <row r="78" spans="1:11" ht="14.25" customHeight="1">
      <c r="A78" s="21">
        <v>77</v>
      </c>
      <c r="B78" s="21">
        <v>89</v>
      </c>
      <c r="C78" s="21" t="s">
        <v>632</v>
      </c>
      <c r="D78" s="21" t="s">
        <v>633</v>
      </c>
      <c r="E78" s="21">
        <v>2</v>
      </c>
      <c r="F78" s="21">
        <v>183612</v>
      </c>
      <c r="G78" s="42">
        <v>0.20399999999999999</v>
      </c>
      <c r="H78" s="21" t="s">
        <v>634</v>
      </c>
      <c r="I78" s="39" t="str">
        <f ca="1">IFERROR(__xludf.DUMMYFUNCTION("IF(SUM(COUNTIF(artists!A:A, SPLIT(D78, "",""))) &gt; 0, ""UA"", 0)"),"UA")</f>
        <v>UA</v>
      </c>
      <c r="J78" s="40">
        <f ca="1">IFERROR(__xludf.DUMMYFUNCTION("IF(SUM(COUNTIF(artists!C:C, SPLIT(D78, "",""))) &gt; 0, ""RU"", 0)"),0)</f>
        <v>0</v>
      </c>
      <c r="K78" s="39">
        <f ca="1">IFERROR(__xludf.DUMMYFUNCTION("IF(SUM(COUNTIF(artists!E:E, SPLIT(D78, "",""))) &gt; 0, ""OTHER"", 0)"),0)</f>
        <v>0</v>
      </c>
    </row>
    <row r="79" spans="1:11" ht="14.25" customHeight="1">
      <c r="A79" s="21">
        <v>78</v>
      </c>
      <c r="B79" s="21">
        <v>81</v>
      </c>
      <c r="C79" s="21" t="s">
        <v>1788</v>
      </c>
      <c r="D79" s="21" t="s">
        <v>1789</v>
      </c>
      <c r="E79" s="21">
        <v>4</v>
      </c>
      <c r="F79" s="21">
        <v>174757</v>
      </c>
      <c r="G79" s="42">
        <v>7.1999999999999995E-2</v>
      </c>
      <c r="H79" s="21" t="s">
        <v>1790</v>
      </c>
      <c r="I79" s="39" t="str">
        <f ca="1">IFERROR(__xludf.DUMMYFUNCTION("IF(SUM(COUNTIF(artists!A:A, SPLIT(D79, "",""))) &gt; 0, ""UA"", 0)"),"UA")</f>
        <v>UA</v>
      </c>
      <c r="J79" s="40">
        <f ca="1">IFERROR(__xludf.DUMMYFUNCTION("IF(SUM(COUNTIF(artists!C:C, SPLIT(D79, "",""))) &gt; 0, ""RU"", 0)"),0)</f>
        <v>0</v>
      </c>
      <c r="K79" s="39">
        <f ca="1">IFERROR(__xludf.DUMMYFUNCTION("IF(SUM(COUNTIF(artists!E:E, SPLIT(D79, "",""))) &gt; 0, ""OTHER"", 0)"),0)</f>
        <v>0</v>
      </c>
    </row>
    <row r="80" spans="1:11" ht="14.25" customHeight="1">
      <c r="A80" s="21">
        <v>79</v>
      </c>
      <c r="B80" s="21">
        <v>91</v>
      </c>
      <c r="C80" s="21" t="s">
        <v>1622</v>
      </c>
      <c r="D80" s="21" t="s">
        <v>137</v>
      </c>
      <c r="E80" s="21">
        <v>12</v>
      </c>
      <c r="F80" s="21">
        <v>173525</v>
      </c>
      <c r="G80" s="42">
        <v>0.183</v>
      </c>
      <c r="H80" s="21" t="s">
        <v>1623</v>
      </c>
      <c r="I80" s="39" t="str">
        <f ca="1">IFERROR(__xludf.DUMMYFUNCTION("IF(SUM(COUNTIF(artists!A:A, SPLIT(D80, "",""))) &gt; 0, ""UA"", 0)"),"UA")</f>
        <v>UA</v>
      </c>
      <c r="J80" s="40">
        <f ca="1">IFERROR(__xludf.DUMMYFUNCTION("IF(SUM(COUNTIF(artists!C:C, SPLIT(D80, "",""))) &gt; 0, ""RU"", 0)"),0)</f>
        <v>0</v>
      </c>
      <c r="K80" s="39">
        <f ca="1">IFERROR(__xludf.DUMMYFUNCTION("IF(SUM(COUNTIF(artists!E:E, SPLIT(D80, "",""))) &gt; 0, ""OTHER"", 0)"),0)</f>
        <v>0</v>
      </c>
    </row>
    <row r="81" spans="1:11" ht="14.25" customHeight="1">
      <c r="A81" s="21">
        <v>80</v>
      </c>
      <c r="B81" s="21">
        <v>75</v>
      </c>
      <c r="C81" s="21" t="s">
        <v>1611</v>
      </c>
      <c r="D81" s="21" t="s">
        <v>1612</v>
      </c>
      <c r="E81" s="21">
        <v>2</v>
      </c>
      <c r="F81" s="21">
        <v>173317</v>
      </c>
      <c r="G81" s="42">
        <v>-7.0000000000000001E-3</v>
      </c>
      <c r="H81" s="21" t="s">
        <v>1613</v>
      </c>
      <c r="I81" s="39" t="str">
        <f ca="1">IFERROR(__xludf.DUMMYFUNCTION("IF(SUM(COUNTIF(artists!A:A, SPLIT(D81, "",""))) &gt; 0, ""UA"", 0)"),"UA")</f>
        <v>UA</v>
      </c>
      <c r="J81" s="40">
        <f ca="1">IFERROR(__xludf.DUMMYFUNCTION("IF(SUM(COUNTIF(artists!C:C, SPLIT(D81, "",""))) &gt; 0, ""RU"", 0)"),0)</f>
        <v>0</v>
      </c>
      <c r="K81" s="39">
        <f ca="1">IFERROR(__xludf.DUMMYFUNCTION("IF(SUM(COUNTIF(artists!E:E, SPLIT(D81, "",""))) &gt; 0, ""OTHER"", 0)"),0)</f>
        <v>0</v>
      </c>
    </row>
    <row r="82" spans="1:11" ht="14.25" customHeight="1">
      <c r="A82" s="21">
        <v>81</v>
      </c>
      <c r="B82" s="21">
        <v>83</v>
      </c>
      <c r="C82" s="21" t="s">
        <v>1670</v>
      </c>
      <c r="D82" s="21" t="s">
        <v>969</v>
      </c>
      <c r="E82" s="21">
        <v>18</v>
      </c>
      <c r="F82" s="21">
        <v>172272</v>
      </c>
      <c r="G82" s="42">
        <v>6.5000000000000002E-2</v>
      </c>
      <c r="H82" s="21" t="s">
        <v>1671</v>
      </c>
      <c r="I82" s="39" t="str">
        <f ca="1">IFERROR(__xludf.DUMMYFUNCTION("IF(SUM(COUNTIF(artists!A:A, SPLIT(D82, "",""))) &gt; 0, ""UA"", 0)"),"UA")</f>
        <v>UA</v>
      </c>
      <c r="J82" s="40">
        <f ca="1">IFERROR(__xludf.DUMMYFUNCTION("IF(SUM(COUNTIF(artists!C:C, SPLIT(D82, "",""))) &gt; 0, ""RU"", 0)"),0)</f>
        <v>0</v>
      </c>
      <c r="K82" s="39">
        <f ca="1">IFERROR(__xludf.DUMMYFUNCTION("IF(SUM(COUNTIF(artists!E:E, SPLIT(D82, "",""))) &gt; 0, ""OTHER"", 0)"),0)</f>
        <v>0</v>
      </c>
    </row>
    <row r="83" spans="1:11" ht="14.25" customHeight="1">
      <c r="A83" s="21">
        <v>82</v>
      </c>
      <c r="B83" s="21">
        <v>47</v>
      </c>
      <c r="C83" s="21" t="s">
        <v>1830</v>
      </c>
      <c r="D83" s="21" t="s">
        <v>1426</v>
      </c>
      <c r="E83" s="21">
        <v>5</v>
      </c>
      <c r="F83" s="21">
        <v>169906</v>
      </c>
      <c r="G83" s="42">
        <v>-0.27200000000000002</v>
      </c>
      <c r="H83" s="21" t="s">
        <v>1831</v>
      </c>
      <c r="I83" s="39" t="str">
        <f ca="1">IFERROR(__xludf.DUMMYFUNCTION("IF(SUM(COUNTIF(artists!A:A, SPLIT(D83, "",""))) &gt; 0, ""UA"", 0)"),"UA")</f>
        <v>UA</v>
      </c>
      <c r="J83" s="40">
        <f ca="1">IFERROR(__xludf.DUMMYFUNCTION("IF(SUM(COUNTIF(artists!C:C, SPLIT(D83, "",""))) &gt; 0, ""RU"", 0)"),0)</f>
        <v>0</v>
      </c>
      <c r="K83" s="39">
        <f ca="1">IFERROR(__xludf.DUMMYFUNCTION("IF(SUM(COUNTIF(artists!E:E, SPLIT(D83, "",""))) &gt; 0, ""OTHER"", 0)"),0)</f>
        <v>0</v>
      </c>
    </row>
    <row r="84" spans="1:11" ht="14.25" customHeight="1">
      <c r="A84" s="21">
        <v>83</v>
      </c>
      <c r="B84" s="21">
        <v>79</v>
      </c>
      <c r="C84" s="21" t="s">
        <v>1822</v>
      </c>
      <c r="D84" s="21" t="s">
        <v>1823</v>
      </c>
      <c r="E84" s="21">
        <v>8</v>
      </c>
      <c r="F84" s="21">
        <v>165517</v>
      </c>
      <c r="G84" s="42">
        <v>-1.2E-2</v>
      </c>
      <c r="H84" s="21" t="s">
        <v>1824</v>
      </c>
      <c r="I84" s="39" t="str">
        <f ca="1">IFERROR(__xludf.DUMMYFUNCTION("IF(SUM(COUNTIF(artists!A:A, SPLIT(D84, "",""))) &gt; 0, ""UA"", 0)"),"UA")</f>
        <v>UA</v>
      </c>
      <c r="J84" s="40">
        <f ca="1">IFERROR(__xludf.DUMMYFUNCTION("IF(SUM(COUNTIF(artists!C:C, SPLIT(D84, "",""))) &gt; 0, ""RU"", 0)"),0)</f>
        <v>0</v>
      </c>
      <c r="K84" s="39">
        <f ca="1">IFERROR(__xludf.DUMMYFUNCTION("IF(SUM(COUNTIF(artists!E:E, SPLIT(D84, "",""))) &gt; 0, ""OTHER"", 0)"),0)</f>
        <v>0</v>
      </c>
    </row>
    <row r="85" spans="1:11" ht="14.25" customHeight="1">
      <c r="A85" s="21">
        <v>84</v>
      </c>
      <c r="B85" s="21">
        <v>86</v>
      </c>
      <c r="C85" s="21" t="s">
        <v>316</v>
      </c>
      <c r="D85" s="21" t="s">
        <v>317</v>
      </c>
      <c r="E85" s="21">
        <v>3</v>
      </c>
      <c r="F85" s="21">
        <v>165353</v>
      </c>
      <c r="G85" s="42">
        <v>6.4000000000000001E-2</v>
      </c>
      <c r="H85" s="21" t="s">
        <v>319</v>
      </c>
      <c r="I85" s="39" t="str">
        <f ca="1">IFERROR(__xludf.DUMMYFUNCTION("IF(SUM(COUNTIF(artists!A:A, SPLIT(D85, "",""))) &gt; 0, ""UA"", 0)"),"UA")</f>
        <v>UA</v>
      </c>
      <c r="J85" s="40">
        <f ca="1">IFERROR(__xludf.DUMMYFUNCTION("IF(SUM(COUNTIF(artists!C:C, SPLIT(D85, "",""))) &gt; 0, ""RU"", 0)"),0)</f>
        <v>0</v>
      </c>
      <c r="K85" s="39">
        <f ca="1">IFERROR(__xludf.DUMMYFUNCTION("IF(SUM(COUNTIF(artists!E:E, SPLIT(D85, "",""))) &gt; 0, ""OTHER"", 0)"),0)</f>
        <v>0</v>
      </c>
    </row>
    <row r="86" spans="1:11" ht="14.25" customHeight="1">
      <c r="A86" s="21">
        <v>85</v>
      </c>
      <c r="C86" s="21" t="s">
        <v>1483</v>
      </c>
      <c r="D86" s="21" t="s">
        <v>972</v>
      </c>
      <c r="E86" s="21">
        <v>19</v>
      </c>
      <c r="F86" s="21">
        <v>164053</v>
      </c>
      <c r="H86" s="21" t="s">
        <v>1484</v>
      </c>
      <c r="I86" s="39">
        <f ca="1">IFERROR(__xludf.DUMMYFUNCTION("IF(SUM(COUNTIF(artists!A:A, SPLIT(D86, "",""))) &gt; 0, ""UA"", 0)"),0)</f>
        <v>0</v>
      </c>
      <c r="J86" s="40">
        <f ca="1">IFERROR(__xludf.DUMMYFUNCTION("IF(SUM(COUNTIF(artists!C:C, SPLIT(D86, "",""))) &gt; 0, ""RU"", 0)"),0)</f>
        <v>0</v>
      </c>
      <c r="K86" s="39" t="str">
        <f ca="1">IFERROR(__xludf.DUMMYFUNCTION("IF(SUM(COUNTIF(artists!E:E, SPLIT(D86, "",""))) &gt; 0, ""OTHER"", 0)"),"OTHER")</f>
        <v>OTHER</v>
      </c>
    </row>
    <row r="87" spans="1:11" ht="14.25" customHeight="1">
      <c r="A87" s="21">
        <v>86</v>
      </c>
      <c r="B87" s="21">
        <v>76</v>
      </c>
      <c r="C87" s="21" t="s">
        <v>470</v>
      </c>
      <c r="D87" s="21" t="s">
        <v>598</v>
      </c>
      <c r="E87" s="21">
        <v>20</v>
      </c>
      <c r="F87" s="21">
        <v>163385</v>
      </c>
      <c r="G87" s="42">
        <v>-5.0999999999999997E-2</v>
      </c>
      <c r="H87" s="21" t="s">
        <v>1274</v>
      </c>
      <c r="I87" s="39" t="str">
        <f ca="1">IFERROR(__xludf.DUMMYFUNCTION("IF(SUM(COUNTIF(artists!A:A, SPLIT(D87, "",""))) &gt; 0, ""UA"", 0)"),"UA")</f>
        <v>UA</v>
      </c>
      <c r="J87" s="40">
        <f ca="1">IFERROR(__xludf.DUMMYFUNCTION("IF(SUM(COUNTIF(artists!C:C, SPLIT(D87, "",""))) &gt; 0, ""RU"", 0)"),0)</f>
        <v>0</v>
      </c>
      <c r="K87" s="39">
        <f ca="1">IFERROR(__xludf.DUMMYFUNCTION("IF(SUM(COUNTIF(artists!E:E, SPLIT(D87, "",""))) &gt; 0, ""OTHER"", 0)"),0)</f>
        <v>0</v>
      </c>
    </row>
    <row r="88" spans="1:11" ht="14.25" customHeight="1">
      <c r="A88" s="21">
        <v>87</v>
      </c>
      <c r="C88" s="21" t="s">
        <v>1832</v>
      </c>
      <c r="D88" s="21" t="s">
        <v>1833</v>
      </c>
      <c r="E88" s="21">
        <v>2</v>
      </c>
      <c r="F88" s="21">
        <v>163302</v>
      </c>
      <c r="H88" s="21" t="s">
        <v>1834</v>
      </c>
      <c r="I88" s="39" t="str">
        <f ca="1">IFERROR(__xludf.DUMMYFUNCTION("IF(SUM(COUNTIF(artists!A:A, SPLIT(D88, "",""))) &gt; 0, ""UA"", 0)"),"UA")</f>
        <v>UA</v>
      </c>
      <c r="J88" s="40">
        <f ca="1">IFERROR(__xludf.DUMMYFUNCTION("IF(SUM(COUNTIF(artists!C:C, SPLIT(D88, "",""))) &gt; 0, ""RU"", 0)"),0)</f>
        <v>0</v>
      </c>
      <c r="K88" s="39">
        <f ca="1">IFERROR(__xludf.DUMMYFUNCTION("IF(SUM(COUNTIF(artists!E:E, SPLIT(D88, "",""))) &gt; 0, ""OTHER"", 0)"),0)</f>
        <v>0</v>
      </c>
    </row>
    <row r="89" spans="1:11" ht="14.25" customHeight="1">
      <c r="A89" s="21">
        <v>88</v>
      </c>
      <c r="C89" s="21" t="s">
        <v>1835</v>
      </c>
      <c r="D89" s="21" t="s">
        <v>837</v>
      </c>
      <c r="E89" s="21">
        <v>1</v>
      </c>
      <c r="F89" s="21">
        <v>162929</v>
      </c>
      <c r="H89" s="21" t="s">
        <v>1836</v>
      </c>
      <c r="I89" s="39" t="str">
        <f ca="1">IFERROR(__xludf.DUMMYFUNCTION("IF(SUM(COUNTIF(artists!A:A, SPLIT(D89, "",""))) &gt; 0, ""UA"", 0)"),"UA")</f>
        <v>UA</v>
      </c>
      <c r="J89" s="40">
        <f ca="1">IFERROR(__xludf.DUMMYFUNCTION("IF(SUM(COUNTIF(artists!C:C, SPLIT(D89, "",""))) &gt; 0, ""RU"", 0)"),0)</f>
        <v>0</v>
      </c>
      <c r="K89" s="39">
        <f ca="1">IFERROR(__xludf.DUMMYFUNCTION("IF(SUM(COUNTIF(artists!E:E, SPLIT(D89, "",""))) &gt; 0, ""OTHER"", 0)"),0)</f>
        <v>0</v>
      </c>
    </row>
    <row r="90" spans="1:11" ht="14.25" customHeight="1">
      <c r="A90" s="21">
        <v>89</v>
      </c>
      <c r="B90" s="21">
        <v>73</v>
      </c>
      <c r="C90" s="21" t="s">
        <v>1812</v>
      </c>
      <c r="D90" s="21" t="s">
        <v>133</v>
      </c>
      <c r="E90" s="21">
        <v>8</v>
      </c>
      <c r="F90" s="21">
        <v>160777</v>
      </c>
      <c r="G90" s="42">
        <v>-8.8999999999999996E-2</v>
      </c>
      <c r="H90" s="21" t="s">
        <v>1813</v>
      </c>
      <c r="I90" s="39" t="str">
        <f ca="1">IFERROR(__xludf.DUMMYFUNCTION("IF(SUM(COUNTIF(artists!A:A, SPLIT(D90, "",""))) &gt; 0, ""UA"", 0)"),"UA")</f>
        <v>UA</v>
      </c>
      <c r="J90" s="40">
        <f ca="1">IFERROR(__xludf.DUMMYFUNCTION("IF(SUM(COUNTIF(artists!C:C, SPLIT(D90, "",""))) &gt; 0, ""RU"", 0)"),0)</f>
        <v>0</v>
      </c>
      <c r="K90" s="39">
        <f ca="1">IFERROR(__xludf.DUMMYFUNCTION("IF(SUM(COUNTIF(artists!E:E, SPLIT(D90, "",""))) &gt; 0, ""OTHER"", 0)"),0)</f>
        <v>0</v>
      </c>
    </row>
    <row r="91" spans="1:11" ht="14.25" customHeight="1">
      <c r="A91" s="21">
        <v>90</v>
      </c>
      <c r="B91" s="21">
        <v>99</v>
      </c>
      <c r="C91" s="21" t="s">
        <v>178</v>
      </c>
      <c r="D91" s="21" t="s">
        <v>179</v>
      </c>
      <c r="E91" s="21">
        <v>2</v>
      </c>
      <c r="F91" s="21">
        <v>159510</v>
      </c>
      <c r="G91" s="42">
        <v>0.16300000000000001</v>
      </c>
      <c r="H91" s="21" t="s">
        <v>181</v>
      </c>
      <c r="I91" s="39" t="str">
        <f ca="1">IFERROR(__xludf.DUMMYFUNCTION("IF(SUM(COUNTIF(artists!A:A, SPLIT(D91, "",""))) &gt; 0, ""UA"", 0)"),"UA")</f>
        <v>UA</v>
      </c>
      <c r="J91" s="40">
        <f ca="1">IFERROR(__xludf.DUMMYFUNCTION("IF(SUM(COUNTIF(artists!C:C, SPLIT(D91, "",""))) &gt; 0, ""RU"", 0)"),0)</f>
        <v>0</v>
      </c>
      <c r="K91" s="39">
        <f ca="1">IFERROR(__xludf.DUMMYFUNCTION("IF(SUM(COUNTIF(artists!E:E, SPLIT(D91, "",""))) &gt; 0, ""OTHER"", 0)"),0)</f>
        <v>0</v>
      </c>
    </row>
    <row r="92" spans="1:11" ht="14.25" customHeight="1">
      <c r="A92" s="21">
        <v>91</v>
      </c>
      <c r="B92" s="21">
        <v>82</v>
      </c>
      <c r="C92" s="21" t="s">
        <v>1820</v>
      </c>
      <c r="D92" s="21" t="s">
        <v>1439</v>
      </c>
      <c r="E92" s="21">
        <v>6</v>
      </c>
      <c r="F92" s="21">
        <v>156520</v>
      </c>
      <c r="G92" s="42">
        <v>-3.5000000000000003E-2</v>
      </c>
      <c r="H92" s="21" t="s">
        <v>1821</v>
      </c>
      <c r="I92" s="39" t="str">
        <f ca="1">IFERROR(__xludf.DUMMYFUNCTION("IF(SUM(COUNTIF(artists!A:A, SPLIT(D92, "",""))) &gt; 0, ""UA"", 0)"),"UA")</f>
        <v>UA</v>
      </c>
      <c r="J92" s="40">
        <f ca="1">IFERROR(__xludf.DUMMYFUNCTION("IF(SUM(COUNTIF(artists!C:C, SPLIT(D92, "",""))) &gt; 0, ""RU"", 0)"),0)</f>
        <v>0</v>
      </c>
      <c r="K92" s="39">
        <f ca="1">IFERROR(__xludf.DUMMYFUNCTION("IF(SUM(COUNTIF(artists!E:E, SPLIT(D92, "",""))) &gt; 0, ""OTHER"", 0)"),0)</f>
        <v>0</v>
      </c>
    </row>
    <row r="93" spans="1:11" ht="14.25" customHeight="1">
      <c r="A93" s="21">
        <v>92</v>
      </c>
      <c r="B93" s="21">
        <v>72</v>
      </c>
      <c r="C93" s="21" t="s">
        <v>1837</v>
      </c>
      <c r="D93" s="21" t="s">
        <v>380</v>
      </c>
      <c r="E93" s="21">
        <v>5</v>
      </c>
      <c r="F93" s="21">
        <v>155713</v>
      </c>
      <c r="G93" s="42">
        <v>-0.128</v>
      </c>
      <c r="H93" s="21" t="s">
        <v>1838</v>
      </c>
      <c r="I93" s="39" t="str">
        <f ca="1">IFERROR(__xludf.DUMMYFUNCTION("IF(SUM(COUNTIF(artists!A:A, SPLIT(D93, "",""))) &gt; 0, ""UA"", 0)"),"UA")</f>
        <v>UA</v>
      </c>
      <c r="J93" s="40">
        <f ca="1">IFERROR(__xludf.DUMMYFUNCTION("IF(SUM(COUNTIF(artists!C:C, SPLIT(D93, "",""))) &gt; 0, ""RU"", 0)"),0)</f>
        <v>0</v>
      </c>
      <c r="K93" s="39">
        <f ca="1">IFERROR(__xludf.DUMMYFUNCTION("IF(SUM(COUNTIF(artists!E:E, SPLIT(D93, "",""))) &gt; 0, ""OTHER"", 0)"),0)</f>
        <v>0</v>
      </c>
    </row>
    <row r="94" spans="1:11" ht="14.25" customHeight="1">
      <c r="A94" s="21">
        <v>93</v>
      </c>
      <c r="B94" s="21">
        <v>90</v>
      </c>
      <c r="C94" s="21" t="s">
        <v>1601</v>
      </c>
      <c r="D94" s="21" t="s">
        <v>1602</v>
      </c>
      <c r="E94" s="21">
        <v>11</v>
      </c>
      <c r="F94" s="21">
        <v>155392</v>
      </c>
      <c r="G94" s="42">
        <v>3.4000000000000002E-2</v>
      </c>
      <c r="H94" s="21" t="s">
        <v>1603</v>
      </c>
      <c r="I94" s="39">
        <f ca="1">IFERROR(__xludf.DUMMYFUNCTION("IF(SUM(COUNTIF(artists!A:A, SPLIT(D94, "",""))) &gt; 0, ""UA"", 0)"),0)</f>
        <v>0</v>
      </c>
      <c r="J94" s="40" t="str">
        <f ca="1">IFERROR(__xludf.DUMMYFUNCTION("IF(SUM(COUNTIF(artists!C:C, SPLIT(D94, "",""))) &gt; 0, ""RU"", 0)"),"RU")</f>
        <v>RU</v>
      </c>
      <c r="K94" s="39">
        <f ca="1">IFERROR(__xludf.DUMMYFUNCTION("IF(SUM(COUNTIF(artists!E:E, SPLIT(D94, "",""))) &gt; 0, ""OTHER"", 0)"),0)</f>
        <v>0</v>
      </c>
    </row>
    <row r="95" spans="1:11" ht="14.25" customHeight="1">
      <c r="A95" s="21">
        <v>94</v>
      </c>
      <c r="B95" s="21">
        <v>87</v>
      </c>
      <c r="C95" s="21" t="s">
        <v>1007</v>
      </c>
      <c r="D95" s="21" t="s">
        <v>1008</v>
      </c>
      <c r="E95" s="21">
        <v>9</v>
      </c>
      <c r="F95" s="21">
        <v>155348</v>
      </c>
      <c r="G95" s="42">
        <v>3.0000000000000001E-3</v>
      </c>
      <c r="H95" s="21" t="s">
        <v>1009</v>
      </c>
      <c r="I95" s="39">
        <f ca="1">IFERROR(__xludf.DUMMYFUNCTION("IF(SUM(COUNTIF(artists!A:A, SPLIT(D95, "",""))) &gt; 0, ""UA"", 0)"),0)</f>
        <v>0</v>
      </c>
      <c r="J95" s="40" t="str">
        <f ca="1">IFERROR(__xludf.DUMMYFUNCTION("IF(SUM(COUNTIF(artists!C:C, SPLIT(D95, "",""))) &gt; 0, ""RU"", 0)"),"RU")</f>
        <v>RU</v>
      </c>
      <c r="K95" s="39">
        <f ca="1">IFERROR(__xludf.DUMMYFUNCTION("IF(SUM(COUNTIF(artists!E:E, SPLIT(D95, "",""))) &gt; 0, ""OTHER"", 0)"),0)</f>
        <v>0</v>
      </c>
    </row>
    <row r="96" spans="1:11" ht="14.25" customHeight="1">
      <c r="A96" s="21">
        <v>95</v>
      </c>
      <c r="B96" s="21">
        <v>94</v>
      </c>
      <c r="C96" s="21" t="s">
        <v>489</v>
      </c>
      <c r="D96" s="21" t="s">
        <v>490</v>
      </c>
      <c r="E96" s="21">
        <v>6</v>
      </c>
      <c r="F96" s="21">
        <v>154723</v>
      </c>
      <c r="G96" s="43">
        <v>0.09</v>
      </c>
      <c r="H96" s="21" t="s">
        <v>491</v>
      </c>
      <c r="I96" s="39" t="str">
        <f ca="1">IFERROR(__xludf.DUMMYFUNCTION("IF(SUM(COUNTIF(artists!A:A, SPLIT(D96, "",""))) &gt; 0, ""UA"", 0)"),"UA")</f>
        <v>UA</v>
      </c>
      <c r="J96" s="40">
        <f ca="1">IFERROR(__xludf.DUMMYFUNCTION("IF(SUM(COUNTIF(artists!C:C, SPLIT(D96, "",""))) &gt; 0, ""RU"", 0)"),0)</f>
        <v>0</v>
      </c>
      <c r="K96" s="39">
        <f ca="1">IFERROR(__xludf.DUMMYFUNCTION("IF(SUM(COUNTIF(artists!E:E, SPLIT(D96, "",""))) &gt; 0, ""OTHER"", 0)"),0)</f>
        <v>0</v>
      </c>
    </row>
    <row r="97" spans="1:11" ht="14.25" customHeight="1">
      <c r="A97" s="21">
        <v>96</v>
      </c>
      <c r="B97" s="21">
        <v>98</v>
      </c>
      <c r="C97" s="21" t="s">
        <v>1839</v>
      </c>
      <c r="D97" s="21" t="s">
        <v>1840</v>
      </c>
      <c r="E97" s="21">
        <v>14</v>
      </c>
      <c r="F97" s="21">
        <v>153530</v>
      </c>
      <c r="G97" s="42">
        <v>0.108</v>
      </c>
      <c r="H97" s="21" t="s">
        <v>1841</v>
      </c>
      <c r="I97" s="39">
        <f ca="1">IFERROR(__xludf.DUMMYFUNCTION("IF(SUM(COUNTIF(artists!A:A, SPLIT(D97, "",""))) &gt; 0, ""UA"", 0)"),0)</f>
        <v>0</v>
      </c>
      <c r="J97" s="40" t="str">
        <f ca="1">IFERROR(__xludf.DUMMYFUNCTION("IF(SUM(COUNTIF(artists!C:C, SPLIT(D97, "",""))) &gt; 0, ""RU"", 0)"),"RU")</f>
        <v>RU</v>
      </c>
      <c r="K97" s="39">
        <f ca="1">IFERROR(__xludf.DUMMYFUNCTION("IF(SUM(COUNTIF(artists!E:E, SPLIT(D97, "",""))) &gt; 0, ""OTHER"", 0)"),0)</f>
        <v>0</v>
      </c>
    </row>
    <row r="98" spans="1:11" ht="14.25" customHeight="1">
      <c r="A98" s="21">
        <v>97</v>
      </c>
      <c r="B98" s="21">
        <v>55</v>
      </c>
      <c r="C98" s="21" t="s">
        <v>1818</v>
      </c>
      <c r="D98" s="21" t="s">
        <v>1360</v>
      </c>
      <c r="E98" s="21">
        <v>4</v>
      </c>
      <c r="F98" s="21">
        <v>153332</v>
      </c>
      <c r="G98" s="42">
        <v>-0.307</v>
      </c>
      <c r="H98" s="21" t="s">
        <v>1819</v>
      </c>
      <c r="I98" s="39" t="str">
        <f ca="1">IFERROR(__xludf.DUMMYFUNCTION("IF(SUM(COUNTIF(artists!A:A, SPLIT(D98, "",""))) &gt; 0, ""UA"", 0)"),"UA")</f>
        <v>UA</v>
      </c>
      <c r="J98" s="40">
        <f ca="1">IFERROR(__xludf.DUMMYFUNCTION("IF(SUM(COUNTIF(artists!C:C, SPLIT(D98, "",""))) &gt; 0, ""RU"", 0)"),0)</f>
        <v>0</v>
      </c>
      <c r="K98" s="39">
        <f ca="1">IFERROR(__xludf.DUMMYFUNCTION("IF(SUM(COUNTIF(artists!E:E, SPLIT(D98, "",""))) &gt; 0, ""OTHER"", 0)"),0)</f>
        <v>0</v>
      </c>
    </row>
    <row r="99" spans="1:11" ht="14.25" customHeight="1">
      <c r="A99" s="21">
        <v>98</v>
      </c>
      <c r="C99" s="21" t="s">
        <v>1678</v>
      </c>
      <c r="D99" s="21" t="s">
        <v>1679</v>
      </c>
      <c r="E99" s="21">
        <v>35</v>
      </c>
      <c r="F99" s="21">
        <v>147552</v>
      </c>
      <c r="H99" s="21" t="s">
        <v>1680</v>
      </c>
      <c r="I99" s="39">
        <f ca="1">IFERROR(__xludf.DUMMYFUNCTION("IF(SUM(COUNTIF(artists!A:A, SPLIT(D99, "",""))) &gt; 0, ""UA"", 0)"),0)</f>
        <v>0</v>
      </c>
      <c r="J99" s="40" t="str">
        <f ca="1">IFERROR(__xludf.DUMMYFUNCTION("IF(SUM(COUNTIF(artists!C:C, SPLIT(D99, "",""))) &gt; 0, ""RU"", 0)"),"RU")</f>
        <v>RU</v>
      </c>
      <c r="K99" s="39">
        <f ca="1">IFERROR(__xludf.DUMMYFUNCTION("IF(SUM(COUNTIF(artists!E:E, SPLIT(D99, "",""))) &gt; 0, ""OTHER"", 0)"),0)</f>
        <v>0</v>
      </c>
    </row>
    <row r="100" spans="1:11" ht="14.25" customHeight="1">
      <c r="A100" s="21">
        <v>99</v>
      </c>
      <c r="C100" s="21" t="s">
        <v>1692</v>
      </c>
      <c r="D100" s="21" t="s">
        <v>1693</v>
      </c>
      <c r="E100" s="21">
        <v>2</v>
      </c>
      <c r="F100" s="21">
        <v>147487</v>
      </c>
      <c r="H100" s="21" t="s">
        <v>1694</v>
      </c>
      <c r="I100" s="39" t="str">
        <f ca="1">IFERROR(__xludf.DUMMYFUNCTION("IF(SUM(COUNTIF(artists!A:A, SPLIT(D100, "",""))) &gt; 0, ""UA"", 0)"),"UA")</f>
        <v>UA</v>
      </c>
      <c r="J100" s="40">
        <f ca="1">IFERROR(__xludf.DUMMYFUNCTION("IF(SUM(COUNTIF(artists!C:C, SPLIT(D100, "",""))) &gt; 0, ""RU"", 0)"),0)</f>
        <v>0</v>
      </c>
      <c r="K100" s="39">
        <f ca="1">IFERROR(__xludf.DUMMYFUNCTION("IF(SUM(COUNTIF(artists!E:E, SPLIT(D100, "",""))) &gt; 0, ""OTHER"", 0)"),0)</f>
        <v>0</v>
      </c>
    </row>
    <row r="101" spans="1:11" ht="14.25" customHeight="1">
      <c r="A101" s="21">
        <v>100</v>
      </c>
      <c r="B101" s="21">
        <v>84</v>
      </c>
      <c r="C101" s="21" t="s">
        <v>1842</v>
      </c>
      <c r="D101" s="21" t="s">
        <v>1843</v>
      </c>
      <c r="E101" s="21">
        <v>8</v>
      </c>
      <c r="F101" s="21">
        <v>146256</v>
      </c>
      <c r="G101" s="42">
        <v>-9.6000000000000002E-2</v>
      </c>
      <c r="H101" s="21" t="s">
        <v>1844</v>
      </c>
      <c r="I101" s="39">
        <f ca="1">IFERROR(__xludf.DUMMYFUNCTION("IF(SUM(COUNTIF(artists!A:A, SPLIT(D101, "",""))) &gt; 0, ""UA"", 0)"),0)</f>
        <v>0</v>
      </c>
      <c r="J101" s="40" t="str">
        <f ca="1">IFERROR(__xludf.DUMMYFUNCTION("IF(SUM(COUNTIF(artists!C:C, SPLIT(D101, "",""))) &gt; 0, ""RU"", 0)"),"RU")</f>
        <v>RU</v>
      </c>
      <c r="K101" s="39">
        <f ca="1">IFERROR(__xludf.DUMMYFUNCTION("IF(SUM(COUNTIF(artists!E:E, SPLIT(D101, "",""))) &gt; 0, ""OTHER"", 0)"),0)</f>
        <v>0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31" priority="1">
      <formula>AND($I2=0, $J2=0, $K2=0)</formula>
    </cfRule>
    <cfRule type="expression" dxfId="30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sheetPr codeName="Аркуш48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4" width="8.6640625" customWidth="1"/>
    <col min="5" max="5" width="8.6640625" hidden="1" customWidth="1"/>
    <col min="6" max="6" width="8.6640625" customWidth="1"/>
    <col min="7" max="7" width="13.10937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B2" s="21">
        <v>46</v>
      </c>
      <c r="C2" s="21" t="s">
        <v>31</v>
      </c>
      <c r="D2" s="21" t="s">
        <v>32</v>
      </c>
      <c r="E2" s="21">
        <v>2</v>
      </c>
      <c r="F2" s="21">
        <v>1656891</v>
      </c>
      <c r="G2" s="43">
        <v>6.76</v>
      </c>
      <c r="H2" s="21" t="s">
        <v>1630</v>
      </c>
      <c r="I2" s="39" t="s">
        <v>77</v>
      </c>
      <c r="J2" s="40">
        <f ca="1">IFERROR(__xludf.DUMMYFUNCTION("IF(SUM(COUNTIF(artists!C:C, SPLIT(D2, "",""))) &gt; 0, ""RU"", 0)"),0)</f>
        <v>0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B3" s="21">
        <v>1</v>
      </c>
      <c r="C3" s="21" t="s">
        <v>1668</v>
      </c>
      <c r="D3" s="21" t="s">
        <v>1358</v>
      </c>
      <c r="E3" s="21">
        <v>2</v>
      </c>
      <c r="F3" s="21">
        <v>1655820</v>
      </c>
      <c r="G3" s="43">
        <v>0.35</v>
      </c>
      <c r="H3" s="21" t="s">
        <v>1669</v>
      </c>
      <c r="I3" s="39" t="str">
        <f ca="1">IFERROR(__xludf.DUMMYFUNCTION("IF(SUM(COUNTIF(artists!A:A, SPLIT(D3, "",""))) &gt; 0, ""UA"", 0)"),"UA")</f>
        <v>UA</v>
      </c>
      <c r="J3" s="40">
        <f ca="1">IFERROR(__xludf.DUMMYFUNCTION("IF(SUM(COUNTIF(artists!C:C, SPLIT(D3, "",""))) &gt; 0, ""RU"", 0)"),0)</f>
        <v>0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C4" s="21" t="s">
        <v>1657</v>
      </c>
      <c r="D4" s="21" t="s">
        <v>837</v>
      </c>
      <c r="E4" s="21">
        <v>1</v>
      </c>
      <c r="F4" s="21">
        <v>1308365</v>
      </c>
      <c r="H4" s="21" t="s">
        <v>1658</v>
      </c>
      <c r="I4" s="39" t="str">
        <f ca="1">IFERROR(__xludf.DUMMYFUNCTION("IF(SUM(COUNTIF(artists!A:A, SPLIT(D4, "",""))) &gt; 0, ""UA"", 0)"),"UA")</f>
        <v>UA</v>
      </c>
      <c r="J4" s="40">
        <f ca="1">IFERROR(__xludf.DUMMYFUNCTION("IF(SUM(COUNTIF(artists!C:C, SPLIT(D4, "",""))) &gt; 0, ""RU"", 0)"),0)</f>
        <v>0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B5" s="21">
        <v>2</v>
      </c>
      <c r="C5" s="21" t="s">
        <v>1496</v>
      </c>
      <c r="D5" s="21" t="s">
        <v>969</v>
      </c>
      <c r="E5" s="21">
        <v>47</v>
      </c>
      <c r="F5" s="21">
        <v>1208503</v>
      </c>
      <c r="G5" s="42">
        <v>6.6000000000000003E-2</v>
      </c>
      <c r="H5" s="21" t="s">
        <v>1497</v>
      </c>
      <c r="I5" s="39" t="str">
        <f ca="1">IFERROR(__xludf.DUMMYFUNCTION("IF(SUM(COUNTIF(artists!A:A, SPLIT(D5, "",""))) &gt; 0, ""UA"", 0)"),"UA")</f>
        <v>UA</v>
      </c>
      <c r="J5" s="40">
        <f ca="1">IFERROR(__xludf.DUMMYFUNCTION("IF(SUM(COUNTIF(artists!C:C, SPLIT(D5, "",""))) &gt; 0, ""RU"", 0)"),0)</f>
        <v>0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B6" s="21">
        <v>3</v>
      </c>
      <c r="C6" s="21" t="s">
        <v>895</v>
      </c>
      <c r="D6" s="21" t="s">
        <v>896</v>
      </c>
      <c r="E6" s="21">
        <v>9</v>
      </c>
      <c r="F6" s="21">
        <v>1119558</v>
      </c>
      <c r="G6" s="42">
        <v>4.3999999999999997E-2</v>
      </c>
      <c r="H6" s="21" t="s">
        <v>897</v>
      </c>
      <c r="I6" s="39" t="str">
        <f ca="1">IFERROR(__xludf.DUMMYFUNCTION("IF(SUM(COUNTIF(artists!A:A, SPLIT(D6, "",""))) &gt; 0, ""UA"", 0)"),"UA")</f>
        <v>UA</v>
      </c>
      <c r="J6" s="40">
        <f ca="1">IFERROR(__xludf.DUMMYFUNCTION("IF(SUM(COUNTIF(artists!C:C, SPLIT(D6, "",""))) &gt; 0, ""RU"", 0)"),0)</f>
        <v>0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B7" s="21">
        <v>4</v>
      </c>
      <c r="C7" s="21" t="s">
        <v>645</v>
      </c>
      <c r="D7" s="21" t="s">
        <v>352</v>
      </c>
      <c r="E7" s="21">
        <v>10</v>
      </c>
      <c r="F7" s="21">
        <v>1067648</v>
      </c>
      <c r="G7" s="42">
        <v>4.0000000000000001E-3</v>
      </c>
      <c r="H7" s="21" t="s">
        <v>647</v>
      </c>
      <c r="I7" s="39" t="str">
        <f ca="1">IFERROR(__xludf.DUMMYFUNCTION("IF(SUM(COUNTIF(artists!A:A, SPLIT(D7, "",""))) &gt; 0, ""UA"", 0)"),"UA")</f>
        <v>UA</v>
      </c>
      <c r="J7" s="40">
        <f ca="1">IFERROR(__xludf.DUMMYFUNCTION("IF(SUM(COUNTIF(artists!C:C, SPLIT(D7, "",""))) &gt; 0, ""RU"", 0)"),0)</f>
        <v>0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C8" s="21" t="s">
        <v>1508</v>
      </c>
      <c r="D8" s="21" t="s">
        <v>776</v>
      </c>
      <c r="E8" s="21">
        <v>1</v>
      </c>
      <c r="F8" s="21">
        <v>1004928</v>
      </c>
      <c r="H8" s="21" t="s">
        <v>1509</v>
      </c>
      <c r="I8" s="39" t="str">
        <f ca="1">IFERROR(__xludf.DUMMYFUNCTION("IF(SUM(COUNTIF(artists!A:A, SPLIT(D8, "",""))) &gt; 0, ""UA"", 0)"),"UA")</f>
        <v>UA</v>
      </c>
      <c r="J8" s="40">
        <f ca="1">IFERROR(__xludf.DUMMYFUNCTION("IF(SUM(COUNTIF(artists!C:C, SPLIT(D8, "",""))) &gt; 0, ""RU"", 0)"),0)</f>
        <v>0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C9" s="21" t="s">
        <v>1770</v>
      </c>
      <c r="D9" s="21" t="s">
        <v>1050</v>
      </c>
      <c r="E9" s="21">
        <v>1</v>
      </c>
      <c r="F9" s="21">
        <v>922285</v>
      </c>
      <c r="H9" s="21" t="s">
        <v>1771</v>
      </c>
      <c r="I9" s="39">
        <f ca="1">IFERROR(__xludf.DUMMYFUNCTION("IF(SUM(COUNTIF(artists!A:A, SPLIT(D9, "",""))) &gt; 0, ""UA"", 0)"),0)</f>
        <v>0</v>
      </c>
      <c r="J9" s="40" t="str">
        <f ca="1">IFERROR(__xludf.DUMMYFUNCTION("IF(SUM(COUNTIF(artists!C:C, SPLIT(D9, "",""))) &gt; 0, ""RU"", 0)"),"RU")</f>
        <v>RU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B10" s="21">
        <v>6</v>
      </c>
      <c r="C10" s="21" t="s">
        <v>1471</v>
      </c>
      <c r="D10" s="21" t="s">
        <v>1472</v>
      </c>
      <c r="E10" s="21">
        <v>6</v>
      </c>
      <c r="F10" s="21">
        <v>839090</v>
      </c>
      <c r="G10" s="42">
        <v>-2.9000000000000001E-2</v>
      </c>
      <c r="H10" s="21" t="s">
        <v>1473</v>
      </c>
      <c r="I10" s="39" t="str">
        <f ca="1">IFERROR(__xludf.DUMMYFUNCTION("IF(SUM(COUNTIF(artists!A:A, SPLIT(D10, "",""))) &gt; 0, ""UA"", 0)"),"UA")</f>
        <v>UA</v>
      </c>
      <c r="J10" s="40">
        <f ca="1">IFERROR(__xludf.DUMMYFUNCTION("IF(SUM(COUNTIF(artists!C:C, SPLIT(D10, "",""))) &gt; 0, ""RU"", 0)"),0)</f>
        <v>0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B11" s="21">
        <v>7</v>
      </c>
      <c r="C11" s="21" t="s">
        <v>1383</v>
      </c>
      <c r="D11" s="21" t="s">
        <v>463</v>
      </c>
      <c r="E11" s="21">
        <v>2</v>
      </c>
      <c r="F11" s="21">
        <v>744638</v>
      </c>
      <c r="G11" s="42">
        <v>0.10299999999999999</v>
      </c>
      <c r="H11" s="21" t="s">
        <v>1384</v>
      </c>
      <c r="I11" s="39" t="str">
        <f ca="1">IFERROR(__xludf.DUMMYFUNCTION("IF(SUM(COUNTIF(artists!A:A, SPLIT(D11, "",""))) &gt; 0, ""UA"", 0)"),"UA")</f>
        <v>UA</v>
      </c>
      <c r="J11" s="40">
        <f ca="1">IFERROR(__xludf.DUMMYFUNCTION("IF(SUM(COUNTIF(artists!C:C, SPLIT(D11, "",""))) &gt; 0, ""RU"", 0)"),0)</f>
        <v>0</v>
      </c>
      <c r="K11" s="39">
        <f ca="1">IFERROR(__xludf.DUMMYFUNCTION("IF(SUM(COUNTIF(artists!E:E, SPLIT(D11, "",""))) &gt; 0, ""OTHER"", 0)"),0)</f>
        <v>0</v>
      </c>
    </row>
    <row r="12" spans="1:11" ht="14.25" customHeight="1">
      <c r="A12" s="21">
        <v>11</v>
      </c>
      <c r="B12" s="21">
        <v>11</v>
      </c>
      <c r="C12" s="21" t="s">
        <v>799</v>
      </c>
      <c r="D12" s="21" t="s">
        <v>494</v>
      </c>
      <c r="E12" s="21">
        <v>6</v>
      </c>
      <c r="F12" s="21">
        <v>580762</v>
      </c>
      <c r="G12" s="42">
        <v>0.21299999999999999</v>
      </c>
      <c r="H12" s="21" t="s">
        <v>800</v>
      </c>
      <c r="I12" s="39" t="str">
        <f ca="1">IFERROR(__xludf.DUMMYFUNCTION("IF(SUM(COUNTIF(artists!A:A, SPLIT(D12, "",""))) &gt; 0, ""UA"", 0)"),"UA")</f>
        <v>UA</v>
      </c>
      <c r="J12" s="40">
        <f ca="1">IFERROR(__xludf.DUMMYFUNCTION("IF(SUM(COUNTIF(artists!C:C, SPLIT(D12, "",""))) &gt; 0, ""RU"", 0)"),0)</f>
        <v>0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B13" s="21">
        <v>8</v>
      </c>
      <c r="C13" s="21" t="s">
        <v>1263</v>
      </c>
      <c r="D13" s="21" t="s">
        <v>1264</v>
      </c>
      <c r="E13" s="21">
        <v>23</v>
      </c>
      <c r="F13" s="21">
        <v>572378</v>
      </c>
      <c r="G13" s="42">
        <v>-6.4000000000000001E-2</v>
      </c>
      <c r="H13" s="21" t="s">
        <v>1265</v>
      </c>
      <c r="I13" s="39">
        <f ca="1">IFERROR(__xludf.DUMMYFUNCTION("IF(SUM(COUNTIF(artists!A:A, SPLIT(D13, "",""))) &gt; 0, ""UA"", 0)"),0)</f>
        <v>0</v>
      </c>
      <c r="J13" s="40" t="str">
        <f ca="1">IFERROR(__xludf.DUMMYFUNCTION("IF(SUM(COUNTIF(artists!C:C, SPLIT(D13, "",""))) &gt; 0, ""RU"", 0)"),"RU")</f>
        <v>RU</v>
      </c>
      <c r="K13" s="39">
        <f ca="1">IFERROR(__xludf.DUMMYFUNCTION("IF(SUM(COUNTIF(artists!E:E, SPLIT(D13, "",""))) &gt; 0, ""OTHER"", 0)"),0)</f>
        <v>0</v>
      </c>
    </row>
    <row r="14" spans="1:11" ht="14.25" customHeight="1">
      <c r="A14" s="21">
        <v>13</v>
      </c>
      <c r="B14" s="21">
        <v>9</v>
      </c>
      <c r="C14" s="21" t="s">
        <v>909</v>
      </c>
      <c r="D14" s="21" t="s">
        <v>910</v>
      </c>
      <c r="E14" s="21">
        <v>7</v>
      </c>
      <c r="F14" s="21">
        <v>552277</v>
      </c>
      <c r="G14" s="42">
        <v>2.5000000000000001E-2</v>
      </c>
      <c r="H14" s="21" t="s">
        <v>911</v>
      </c>
      <c r="I14" s="39" t="str">
        <f ca="1">IFERROR(__xludf.DUMMYFUNCTION("IF(SUM(COUNTIF(artists!A:A, SPLIT(D14, "",""))) &gt; 0, ""UA"", 0)"),"UA")</f>
        <v>UA</v>
      </c>
      <c r="J14" s="40">
        <f ca="1">IFERROR(__xludf.DUMMYFUNCTION("IF(SUM(COUNTIF(artists!C:C, SPLIT(D14, "",""))) &gt; 0, ""RU"", 0)"),0)</f>
        <v>0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B15" s="21">
        <v>13</v>
      </c>
      <c r="C15" s="21" t="s">
        <v>1436</v>
      </c>
      <c r="D15" s="21" t="s">
        <v>896</v>
      </c>
      <c r="E15" s="21">
        <v>4</v>
      </c>
      <c r="F15" s="21">
        <v>495376</v>
      </c>
      <c r="G15" s="42">
        <v>5.8000000000000003E-2</v>
      </c>
      <c r="H15" s="21" t="s">
        <v>1437</v>
      </c>
      <c r="I15" s="39" t="str">
        <f ca="1">IFERROR(__xludf.DUMMYFUNCTION("IF(SUM(COUNTIF(artists!A:A, SPLIT(D15, "",""))) &gt; 0, ""UA"", 0)"),"UA")</f>
        <v>UA</v>
      </c>
      <c r="J15" s="40">
        <f ca="1">IFERROR(__xludf.DUMMYFUNCTION("IF(SUM(COUNTIF(artists!C:C, SPLIT(D15, "",""))) &gt; 0, ""RU"", 0)"),0)</f>
        <v>0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B16" s="21">
        <v>10</v>
      </c>
      <c r="C16" s="21" t="s">
        <v>1463</v>
      </c>
      <c r="D16" s="21" t="s">
        <v>1344</v>
      </c>
      <c r="E16" s="21">
        <v>5</v>
      </c>
      <c r="F16" s="21">
        <v>489566</v>
      </c>
      <c r="G16" s="42">
        <v>-6.2E-2</v>
      </c>
      <c r="H16" s="21" t="s">
        <v>1464</v>
      </c>
      <c r="I16" s="39" t="str">
        <f ca="1">IFERROR(__xludf.DUMMYFUNCTION("IF(SUM(COUNTIF(artists!A:A, SPLIT(D16, "",""))) &gt; 0, ""UA"", 0)"),"UA")</f>
        <v>UA</v>
      </c>
      <c r="J16" s="40">
        <f ca="1">IFERROR(__xludf.DUMMYFUNCTION("IF(SUM(COUNTIF(artists!C:C, SPLIT(D16, "",""))) &gt; 0, ""RU"", 0)"),0)</f>
        <v>0</v>
      </c>
      <c r="K16" s="39">
        <f ca="1">IFERROR(__xludf.DUMMYFUNCTION("IF(SUM(COUNTIF(artists!E:E, SPLIT(D16, "",""))) &gt; 0, ""OTHER"", 0)"),0)</f>
        <v>0</v>
      </c>
    </row>
    <row r="17" spans="1:11" ht="14.25" customHeight="1">
      <c r="A17" s="21">
        <v>16</v>
      </c>
      <c r="B17" s="21">
        <v>12</v>
      </c>
      <c r="C17" s="21" t="s">
        <v>1575</v>
      </c>
      <c r="D17" s="21" t="s">
        <v>945</v>
      </c>
      <c r="E17" s="21">
        <v>3</v>
      </c>
      <c r="F17" s="21">
        <v>474230</v>
      </c>
      <c r="G17" s="42">
        <v>-5.0000000000000001E-3</v>
      </c>
      <c r="H17" s="21" t="s">
        <v>1576</v>
      </c>
      <c r="I17" s="39" t="str">
        <f ca="1">IFERROR(__xludf.DUMMYFUNCTION("IF(SUM(COUNTIF(artists!A:A, SPLIT(D17, "",""))) &gt; 0, ""UA"", 0)"),"UA")</f>
        <v>UA</v>
      </c>
      <c r="J17" s="40">
        <f ca="1">IFERROR(__xludf.DUMMYFUNCTION("IF(SUM(COUNTIF(artists!C:C, SPLIT(D17, "",""))) &gt; 0, ""RU"", 0)"),0)</f>
        <v>0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B18" s="21">
        <v>5</v>
      </c>
      <c r="C18" s="21" t="s">
        <v>1805</v>
      </c>
      <c r="D18" s="21" t="s">
        <v>1806</v>
      </c>
      <c r="E18" s="21">
        <v>2</v>
      </c>
      <c r="F18" s="21">
        <v>428624</v>
      </c>
      <c r="G18" s="42">
        <v>-0.51800000000000002</v>
      </c>
      <c r="H18" s="21" t="s">
        <v>1807</v>
      </c>
      <c r="I18" s="39" t="str">
        <f ca="1">IFERROR(__xludf.DUMMYFUNCTION("IF(SUM(COUNTIF(artists!A:A, SPLIT(D18, "",""))) &gt; 0, ""UA"", 0)"),"UA")</f>
        <v>UA</v>
      </c>
      <c r="J18" s="40">
        <f ca="1">IFERROR(__xludf.DUMMYFUNCTION("IF(SUM(COUNTIF(artists!C:C, SPLIT(D18, "",""))) &gt; 0, ""RU"", 0)"),0)</f>
        <v>0</v>
      </c>
      <c r="K18" s="39">
        <f ca="1">IFERROR(__xludf.DUMMYFUNCTION("IF(SUM(COUNTIF(artists!E:E, SPLIT(D18, "",""))) &gt; 0, ""OTHER"", 0)"),0)</f>
        <v>0</v>
      </c>
    </row>
    <row r="19" spans="1:11" ht="14.25" customHeight="1">
      <c r="A19" s="21">
        <v>18</v>
      </c>
      <c r="B19" s="21">
        <v>14</v>
      </c>
      <c r="C19" s="21" t="s">
        <v>1487</v>
      </c>
      <c r="D19" s="21" t="s">
        <v>409</v>
      </c>
      <c r="E19" s="21">
        <v>7</v>
      </c>
      <c r="F19" s="21">
        <v>406439</v>
      </c>
      <c r="G19" s="42">
        <v>-9.2999999999999999E-2</v>
      </c>
      <c r="H19" s="21" t="s">
        <v>1488</v>
      </c>
      <c r="I19" s="39" t="str">
        <f ca="1">IFERROR(__xludf.DUMMYFUNCTION("IF(SUM(COUNTIF(artists!A:A, SPLIT(D19, "",""))) &gt; 0, ""UA"", 0)"),"UA")</f>
        <v>UA</v>
      </c>
      <c r="J19" s="40">
        <f ca="1">IFERROR(__xludf.DUMMYFUNCTION("IF(SUM(COUNTIF(artists!C:C, SPLIT(D19, "",""))) &gt; 0, ""RU"", 0)"),0)</f>
        <v>0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B20" s="21">
        <v>16</v>
      </c>
      <c r="C20" s="21" t="s">
        <v>935</v>
      </c>
      <c r="D20" s="21" t="s">
        <v>936</v>
      </c>
      <c r="E20" s="21">
        <v>24</v>
      </c>
      <c r="F20" s="21">
        <v>389660</v>
      </c>
      <c r="G20" s="42">
        <v>-5.8000000000000003E-2</v>
      </c>
      <c r="H20" s="21" t="s">
        <v>937</v>
      </c>
      <c r="I20" s="39">
        <f ca="1">IFERROR(__xludf.DUMMYFUNCTION("IF(SUM(COUNTIF(artists!A:A, SPLIT(D20, "",""))) &gt; 0, ""UA"", 0)"),0)</f>
        <v>0</v>
      </c>
      <c r="J20" s="40" t="str">
        <f ca="1">IFERROR(__xludf.DUMMYFUNCTION("IF(SUM(COUNTIF(artists!C:C, SPLIT(D20, "",""))) &gt; 0, ""RU"", 0)"),"RU")</f>
        <v>RU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C21" s="21" t="s">
        <v>1765</v>
      </c>
      <c r="D21" s="21" t="s">
        <v>671</v>
      </c>
      <c r="E21" s="21">
        <v>1</v>
      </c>
      <c r="F21" s="21">
        <v>380310</v>
      </c>
      <c r="H21" s="21" t="s">
        <v>1766</v>
      </c>
      <c r="I21" s="39" t="str">
        <f ca="1">IFERROR(__xludf.DUMMYFUNCTION("IF(SUM(COUNTIF(artists!A:A, SPLIT(D21, "",""))) &gt; 0, ""UA"", 0)"),"UA")</f>
        <v>UA</v>
      </c>
      <c r="J21" s="40">
        <f ca="1">IFERROR(__xludf.DUMMYFUNCTION("IF(SUM(COUNTIF(artists!C:C, SPLIT(D21, "",""))) &gt; 0, ""RU"", 0)"),0)</f>
        <v>0</v>
      </c>
      <c r="K21" s="39">
        <f ca="1">IFERROR(__xludf.DUMMYFUNCTION("IF(SUM(COUNTIF(artists!E:E, SPLIT(D21, "",""))) &gt; 0, ""OTHER"", 0)"),0)</f>
        <v>0</v>
      </c>
    </row>
    <row r="22" spans="1:11" ht="14.25" customHeight="1">
      <c r="A22" s="21">
        <v>21</v>
      </c>
      <c r="B22" s="21">
        <v>17</v>
      </c>
      <c r="C22" s="21" t="s">
        <v>1500</v>
      </c>
      <c r="D22" s="21" t="s">
        <v>907</v>
      </c>
      <c r="E22" s="21">
        <v>27</v>
      </c>
      <c r="F22" s="21">
        <v>374934</v>
      </c>
      <c r="G22" s="42">
        <v>7.0000000000000001E-3</v>
      </c>
      <c r="H22" s="21" t="s">
        <v>1501</v>
      </c>
      <c r="I22" s="39">
        <f ca="1">IFERROR(__xludf.DUMMYFUNCTION("IF(SUM(COUNTIF(artists!A:A, SPLIT(D22, "",""))) &gt; 0, ""UA"", 0)"),0)</f>
        <v>0</v>
      </c>
      <c r="J22" s="40" t="str">
        <f ca="1">IFERROR(__xludf.DUMMYFUNCTION("IF(SUM(COUNTIF(artists!C:C, SPLIT(D22, "",""))) &gt; 0, ""RU"", 0)"),"RU")</f>
        <v>RU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B23" s="21">
        <v>19</v>
      </c>
      <c r="C23" s="21" t="s">
        <v>887</v>
      </c>
      <c r="D23" s="21" t="s">
        <v>89</v>
      </c>
      <c r="E23" s="21">
        <v>4</v>
      </c>
      <c r="F23" s="21">
        <v>372761</v>
      </c>
      <c r="G23" s="42">
        <v>4.2000000000000003E-2</v>
      </c>
      <c r="H23" s="21" t="s">
        <v>888</v>
      </c>
      <c r="I23" s="39" t="str">
        <f ca="1">IFERROR(__xludf.DUMMYFUNCTION("IF(SUM(COUNTIF(artists!A:A, SPLIT(D23, "",""))) &gt; 0, ""UA"", 0)"),"UA")</f>
        <v>UA</v>
      </c>
      <c r="J23" s="40">
        <f ca="1">IFERROR(__xludf.DUMMYFUNCTION("IF(SUM(COUNTIF(artists!C:C, SPLIT(D23, "",""))) &gt; 0, ""RU"", 0)"),0)</f>
        <v>0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C24" s="21" t="s">
        <v>1780</v>
      </c>
      <c r="D24" s="21" t="s">
        <v>310</v>
      </c>
      <c r="E24" s="21">
        <v>1</v>
      </c>
      <c r="F24" s="21">
        <v>368409</v>
      </c>
      <c r="H24" s="21" t="s">
        <v>1781</v>
      </c>
      <c r="I24" s="39">
        <f ca="1">IFERROR(__xludf.DUMMYFUNCTION("IF(SUM(COUNTIF(artists!A:A, SPLIT(D24, "",""))) &gt; 0, ""UA"", 0)"),0)</f>
        <v>0</v>
      </c>
      <c r="J24" s="40">
        <f ca="1">IFERROR(__xludf.DUMMYFUNCTION("IF(SUM(COUNTIF(artists!C:C, SPLIT(D24, "",""))) &gt; 0, ""RU"", 0)"),0)</f>
        <v>0</v>
      </c>
      <c r="K24" s="39" t="str">
        <f ca="1">IFERROR(__xludf.DUMMYFUNCTION("IF(SUM(COUNTIF(artists!E:E, SPLIT(D24, "",""))) &gt; 0, ""OTHER"", 0)"),"OTHER")</f>
        <v>OTHER</v>
      </c>
    </row>
    <row r="25" spans="1:11" ht="14.25" customHeight="1">
      <c r="A25" s="21">
        <v>24</v>
      </c>
      <c r="C25" s="21" t="s">
        <v>1845</v>
      </c>
      <c r="D25" s="21" t="s">
        <v>1534</v>
      </c>
      <c r="E25" s="21">
        <v>1</v>
      </c>
      <c r="F25" s="21">
        <v>363972</v>
      </c>
      <c r="H25" s="21" t="s">
        <v>1846</v>
      </c>
      <c r="I25" s="39">
        <f ca="1">IFERROR(__xludf.DUMMYFUNCTION("IF(SUM(COUNTIF(artists!A:A, SPLIT(D25, "",""))) &gt; 0, ""UA"", 0)"),0)</f>
        <v>0</v>
      </c>
      <c r="J25" s="40" t="str">
        <f ca="1">IFERROR(__xludf.DUMMYFUNCTION("IF(SUM(COUNTIF(artists!C:C, SPLIT(D25, "",""))) &gt; 0, ""RU"", 0)"),"RU")</f>
        <v>RU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B26" s="21">
        <v>18</v>
      </c>
      <c r="C26" s="21" t="s">
        <v>1777</v>
      </c>
      <c r="D26" s="21" t="s">
        <v>1778</v>
      </c>
      <c r="E26" s="21">
        <v>7</v>
      </c>
      <c r="F26" s="21">
        <v>362922</v>
      </c>
      <c r="G26" s="42">
        <v>-1.4999999999999999E-2</v>
      </c>
      <c r="H26" s="21" t="s">
        <v>1779</v>
      </c>
      <c r="I26" s="39" t="str">
        <f ca="1">IFERROR(__xludf.DUMMYFUNCTION("IF(SUM(COUNTIF(artists!A:A, SPLIT(D26, "",""))) &gt; 0, ""UA"", 0)"),"UA")</f>
        <v>UA</v>
      </c>
      <c r="J26" s="40">
        <f ca="1">IFERROR(__xludf.DUMMYFUNCTION("IF(SUM(COUNTIF(artists!C:C, SPLIT(D26, "",""))) &gt; 0, ""RU"", 0)"),0)</f>
        <v>0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B27" s="21">
        <v>15</v>
      </c>
      <c r="C27" s="21">
        <v>12</v>
      </c>
      <c r="D27" s="21" t="s">
        <v>1050</v>
      </c>
      <c r="E27" s="21">
        <v>5</v>
      </c>
      <c r="F27" s="21">
        <v>353508</v>
      </c>
      <c r="G27" s="42">
        <v>-0.17499999999999999</v>
      </c>
      <c r="H27" s="21" t="s">
        <v>1756</v>
      </c>
      <c r="I27" s="39">
        <f ca="1">IFERROR(__xludf.DUMMYFUNCTION("IF(SUM(COUNTIF(artists!A:A, SPLIT(D27, "",""))) &gt; 0, ""UA"", 0)"),0)</f>
        <v>0</v>
      </c>
      <c r="J27" s="40" t="str">
        <f ca="1">IFERROR(__xludf.DUMMYFUNCTION("IF(SUM(COUNTIF(artists!C:C, SPLIT(D27, "",""))) &gt; 0, ""RU"", 0)"),"RU")</f>
        <v>RU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B28" s="21">
        <v>22</v>
      </c>
      <c r="C28" s="21" t="s">
        <v>1325</v>
      </c>
      <c r="D28" s="21" t="s">
        <v>1237</v>
      </c>
      <c r="E28" s="21">
        <v>47</v>
      </c>
      <c r="F28" s="21">
        <v>336379</v>
      </c>
      <c r="G28" s="42">
        <v>9.0999999999999998E-2</v>
      </c>
      <c r="H28" s="21" t="s">
        <v>1326</v>
      </c>
      <c r="I28" s="39">
        <f ca="1">IFERROR(__xludf.DUMMYFUNCTION("IF(SUM(COUNTIF(artists!A:A, SPLIT(D28, "",""))) &gt; 0, ""UA"", 0)"),0)</f>
        <v>0</v>
      </c>
      <c r="J28" s="40" t="str">
        <f ca="1">IFERROR(__xludf.DUMMYFUNCTION("IF(SUM(COUNTIF(artists!C:C, SPLIT(D28, "",""))) &gt; 0, ""RU"", 0)"),"RU")</f>
        <v>RU</v>
      </c>
      <c r="K28" s="39">
        <f ca="1">IFERROR(__xludf.DUMMYFUNCTION("IF(SUM(COUNTIF(artists!E:E, SPLIT(D28, "",""))) &gt; 0, ""OTHER"", 0)"),0)</f>
        <v>0</v>
      </c>
    </row>
    <row r="29" spans="1:11" ht="14.25" customHeight="1">
      <c r="A29" s="21">
        <v>28</v>
      </c>
      <c r="B29" s="21">
        <v>26</v>
      </c>
      <c r="C29" s="21" t="s">
        <v>1354</v>
      </c>
      <c r="D29" s="21" t="s">
        <v>1355</v>
      </c>
      <c r="E29" s="21">
        <v>27</v>
      </c>
      <c r="F29" s="21">
        <v>332490</v>
      </c>
      <c r="G29" s="42">
        <v>0.192</v>
      </c>
      <c r="H29" s="21" t="s">
        <v>1356</v>
      </c>
      <c r="I29" s="39" t="str">
        <f ca="1">IFERROR(__xludf.DUMMYFUNCTION("IF(SUM(COUNTIF(artists!A:A, SPLIT(D29, "",""))) &gt; 0, ""UA"", 0)"),"UA")</f>
        <v>UA</v>
      </c>
      <c r="J29" s="40">
        <f ca="1">IFERROR(__xludf.DUMMYFUNCTION("IF(SUM(COUNTIF(artists!C:C, SPLIT(D29, "",""))) &gt; 0, ""RU"", 0)"),0)</f>
        <v>0</v>
      </c>
      <c r="K29" s="39">
        <f ca="1">IFERROR(__xludf.DUMMYFUNCTION("IF(SUM(COUNTIF(artists!E:E, SPLIT(D29, "",""))) &gt; 0, ""OTHER"", 0)"),0)</f>
        <v>0</v>
      </c>
    </row>
    <row r="30" spans="1:11" ht="14.25" customHeight="1">
      <c r="A30" s="21">
        <v>29</v>
      </c>
      <c r="B30" s="21">
        <v>21</v>
      </c>
      <c r="C30" s="21" t="s">
        <v>118</v>
      </c>
      <c r="D30" s="21" t="s">
        <v>586</v>
      </c>
      <c r="E30" s="21">
        <v>7</v>
      </c>
      <c r="F30" s="21">
        <v>330027</v>
      </c>
      <c r="G30" s="42">
        <v>6.9000000000000006E-2</v>
      </c>
      <c r="H30" s="21" t="s">
        <v>587</v>
      </c>
      <c r="I30" s="39" t="str">
        <f ca="1">IFERROR(__xludf.DUMMYFUNCTION("IF(SUM(COUNTIF(artists!A:A, SPLIT(D30, "",""))) &gt; 0, ""UA"", 0)"),"UA")</f>
        <v>UA</v>
      </c>
      <c r="J30" s="40">
        <f ca="1">IFERROR(__xludf.DUMMYFUNCTION("IF(SUM(COUNTIF(artists!C:C, SPLIT(D30, "",""))) &gt; 0, ""RU"", 0)"),0)</f>
        <v>0</v>
      </c>
      <c r="K30" s="39">
        <f ca="1">IFERROR(__xludf.DUMMYFUNCTION("IF(SUM(COUNTIF(artists!E:E, SPLIT(D30, "",""))) &gt; 0, ""OTHER"", 0)"),0)</f>
        <v>0</v>
      </c>
    </row>
    <row r="31" spans="1:11" ht="14.25" customHeight="1">
      <c r="A31" s="21">
        <v>30</v>
      </c>
      <c r="B31" s="21">
        <v>23</v>
      </c>
      <c r="C31" s="21" t="s">
        <v>1791</v>
      </c>
      <c r="D31" s="21" t="s">
        <v>1792</v>
      </c>
      <c r="E31" s="21">
        <v>3</v>
      </c>
      <c r="F31" s="21">
        <v>322842</v>
      </c>
      <c r="G31" s="42">
        <v>9.1999999999999998E-2</v>
      </c>
      <c r="H31" s="21" t="s">
        <v>1793</v>
      </c>
      <c r="I31" s="39" t="str">
        <f ca="1">IFERROR(__xludf.DUMMYFUNCTION("IF(SUM(COUNTIF(artists!A:A, SPLIT(D31, "",""))) &gt; 0, ""UA"", 0)"),"UA")</f>
        <v>UA</v>
      </c>
      <c r="J31" s="40">
        <f ca="1">IFERROR(__xludf.DUMMYFUNCTION("IF(SUM(COUNTIF(artists!C:C, SPLIT(D31, "",""))) &gt; 0, ""RU"", 0)"),0)</f>
        <v>0</v>
      </c>
      <c r="K31" s="39">
        <f ca="1">IFERROR(__xludf.DUMMYFUNCTION("IF(SUM(COUNTIF(artists!E:E, SPLIT(D31, "",""))) &gt; 0, ""OTHER"", 0)"),0)</f>
        <v>0</v>
      </c>
    </row>
    <row r="32" spans="1:11" ht="14.25" customHeight="1">
      <c r="A32" s="21">
        <v>31</v>
      </c>
      <c r="B32" s="21">
        <v>60</v>
      </c>
      <c r="C32" s="21" t="s">
        <v>918</v>
      </c>
      <c r="D32" s="21" t="s">
        <v>108</v>
      </c>
      <c r="E32" s="21">
        <v>33</v>
      </c>
      <c r="F32" s="21">
        <v>306248</v>
      </c>
      <c r="G32" s="42">
        <v>0.72899999999999998</v>
      </c>
      <c r="H32" s="21" t="s">
        <v>919</v>
      </c>
      <c r="I32" s="39" t="str">
        <f ca="1">IFERROR(__xludf.DUMMYFUNCTION("IF(SUM(COUNTIF(artists!A:A, SPLIT(D32, "",""))) &gt; 0, ""UA"", 0)"),"UA")</f>
        <v>UA</v>
      </c>
      <c r="J32" s="40">
        <f ca="1">IFERROR(__xludf.DUMMYFUNCTION("IF(SUM(COUNTIF(artists!C:C, SPLIT(D32, "",""))) &gt; 0, ""RU"", 0)"),0)</f>
        <v>0</v>
      </c>
      <c r="K32" s="39">
        <f ca="1">IFERROR(__xludf.DUMMYFUNCTION("IF(SUM(COUNTIF(artists!E:E, SPLIT(D32, "",""))) &gt; 0, ""OTHER"", 0)"),0)</f>
        <v>0</v>
      </c>
    </row>
    <row r="33" spans="1:11" ht="14.25" customHeight="1">
      <c r="A33" s="21">
        <v>32</v>
      </c>
      <c r="C33" s="21" t="s">
        <v>186</v>
      </c>
      <c r="D33" s="21" t="s">
        <v>187</v>
      </c>
      <c r="E33" s="21">
        <v>1</v>
      </c>
      <c r="F33" s="21">
        <v>301592</v>
      </c>
      <c r="H33" s="21" t="s">
        <v>189</v>
      </c>
      <c r="I33" s="39" t="str">
        <f ca="1">IFERROR(__xludf.DUMMYFUNCTION("IF(SUM(COUNTIF(artists!A:A, SPLIT(D33, "",""))) &gt; 0, ""UA"", 0)"),"UA")</f>
        <v>UA</v>
      </c>
      <c r="J33" s="40">
        <f ca="1">IFERROR(__xludf.DUMMYFUNCTION("IF(SUM(COUNTIF(artists!C:C, SPLIT(D33, "",""))) &gt; 0, ""RU"", 0)"),0)</f>
        <v>0</v>
      </c>
      <c r="K33" s="39">
        <f ca="1">IFERROR(__xludf.DUMMYFUNCTION("IF(SUM(COUNTIF(artists!E:E, SPLIT(D33, "",""))) &gt; 0, ""OTHER"", 0)"),0)</f>
        <v>0</v>
      </c>
    </row>
    <row r="34" spans="1:11" ht="14.25" customHeight="1">
      <c r="A34" s="21">
        <v>33</v>
      </c>
      <c r="B34" s="21">
        <v>24</v>
      </c>
      <c r="C34" s="21" t="s">
        <v>493</v>
      </c>
      <c r="D34" s="21" t="s">
        <v>494</v>
      </c>
      <c r="E34" s="21">
        <v>12</v>
      </c>
      <c r="F34" s="21">
        <v>291301</v>
      </c>
      <c r="G34" s="42">
        <v>3.6999999999999998E-2</v>
      </c>
      <c r="H34" s="21" t="s">
        <v>495</v>
      </c>
      <c r="I34" s="39" t="str">
        <f ca="1">IFERROR(__xludf.DUMMYFUNCTION("IF(SUM(COUNTIF(artists!A:A, SPLIT(D34, "",""))) &gt; 0, ""UA"", 0)"),"UA")</f>
        <v>UA</v>
      </c>
      <c r="J34" s="40">
        <f ca="1">IFERROR(__xludf.DUMMYFUNCTION("IF(SUM(COUNTIF(artists!C:C, SPLIT(D34, "",""))) &gt; 0, ""RU"", 0)"),0)</f>
        <v>0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C35" s="21" t="s">
        <v>1802</v>
      </c>
      <c r="D35" s="21" t="s">
        <v>1803</v>
      </c>
      <c r="E35" s="21">
        <v>1</v>
      </c>
      <c r="F35" s="21">
        <v>287971</v>
      </c>
      <c r="H35" s="21" t="s">
        <v>1804</v>
      </c>
      <c r="I35" s="39" t="str">
        <f ca="1">IFERROR(__xludf.DUMMYFUNCTION("IF(SUM(COUNTIF(artists!A:A, SPLIT(D35, "",""))) &gt; 0, ""UA"", 0)"),"UA")</f>
        <v>UA</v>
      </c>
      <c r="J35" s="40">
        <f ca="1">IFERROR(__xludf.DUMMYFUNCTION("IF(SUM(COUNTIF(artists!C:C, SPLIT(D35, "",""))) &gt; 0, ""RU"", 0)"),0)</f>
        <v>0</v>
      </c>
      <c r="K35" s="39">
        <f ca="1">IFERROR(__xludf.DUMMYFUNCTION("IF(SUM(COUNTIF(artists!E:E, SPLIT(D35, "",""))) &gt; 0, ""OTHER"", 0)"),0)</f>
        <v>0</v>
      </c>
    </row>
    <row r="36" spans="1:11" ht="14.25" customHeight="1">
      <c r="A36" s="21">
        <v>35</v>
      </c>
      <c r="B36" s="21">
        <v>20</v>
      </c>
      <c r="C36" s="21" t="s">
        <v>1530</v>
      </c>
      <c r="D36" s="21" t="s">
        <v>1531</v>
      </c>
      <c r="E36" s="21">
        <v>7</v>
      </c>
      <c r="F36" s="21">
        <v>283612</v>
      </c>
      <c r="G36" s="42">
        <v>-0.154</v>
      </c>
      <c r="H36" s="21" t="s">
        <v>1532</v>
      </c>
      <c r="I36" s="39">
        <f ca="1">IFERROR(__xludf.DUMMYFUNCTION("IF(SUM(COUNTIF(artists!A:A, SPLIT(D36, "",""))) &gt; 0, ""UA"", 0)"),0)</f>
        <v>0</v>
      </c>
      <c r="J36" s="40">
        <f ca="1">IFERROR(__xludf.DUMMYFUNCTION("IF(SUM(COUNTIF(artists!C:C, SPLIT(D36, "",""))) &gt; 0, ""RU"", 0)"),0)</f>
        <v>0</v>
      </c>
      <c r="K36" s="39" t="str">
        <f ca="1">IFERROR(__xludf.DUMMYFUNCTION("IF(SUM(COUNTIF(artists!E:E, SPLIT(D36, "",""))) &gt; 0, ""OTHER"", 0)"),"OTHER")</f>
        <v>OTHER</v>
      </c>
    </row>
    <row r="37" spans="1:11" ht="14.25" customHeight="1">
      <c r="A37" s="21">
        <v>36</v>
      </c>
      <c r="B37" s="21">
        <v>27</v>
      </c>
      <c r="C37" s="21" t="s">
        <v>1797</v>
      </c>
      <c r="D37" s="21" t="s">
        <v>945</v>
      </c>
      <c r="E37" s="21">
        <v>29</v>
      </c>
      <c r="F37" s="21">
        <v>277057</v>
      </c>
      <c r="G37" s="42">
        <v>-4.0000000000000001E-3</v>
      </c>
      <c r="H37" s="21" t="s">
        <v>1798</v>
      </c>
      <c r="I37" s="39" t="str">
        <f ca="1">IFERROR(__xludf.DUMMYFUNCTION("IF(SUM(COUNTIF(artists!A:A, SPLIT(D37, "",""))) &gt; 0, ""UA"", 0)"),"UA")</f>
        <v>UA</v>
      </c>
      <c r="J37" s="40">
        <f ca="1">IFERROR(__xludf.DUMMYFUNCTION("IF(SUM(COUNTIF(artists!C:C, SPLIT(D37, "",""))) &gt; 0, ""RU"", 0)"),0)</f>
        <v>0</v>
      </c>
      <c r="K37" s="39">
        <f ca="1">IFERROR(__xludf.DUMMYFUNCTION("IF(SUM(COUNTIF(artists!E:E, SPLIT(D37, "",""))) &gt; 0, ""OTHER"", 0)"),0)</f>
        <v>0</v>
      </c>
    </row>
    <row r="38" spans="1:11" ht="14.25" customHeight="1">
      <c r="A38" s="21">
        <v>37</v>
      </c>
      <c r="B38" s="21">
        <v>33</v>
      </c>
      <c r="C38" s="21" t="s">
        <v>968</v>
      </c>
      <c r="D38" s="21" t="s">
        <v>969</v>
      </c>
      <c r="E38" s="21">
        <v>17</v>
      </c>
      <c r="F38" s="21">
        <v>268792</v>
      </c>
      <c r="G38" s="42">
        <v>0.104</v>
      </c>
      <c r="H38" s="21" t="s">
        <v>970</v>
      </c>
      <c r="I38" s="39" t="str">
        <f ca="1">IFERROR(__xludf.DUMMYFUNCTION("IF(SUM(COUNTIF(artists!A:A, SPLIT(D38, "",""))) &gt; 0, ""UA"", 0)"),"UA")</f>
        <v>UA</v>
      </c>
      <c r="J38" s="40">
        <f ca="1">IFERROR(__xludf.DUMMYFUNCTION("IF(SUM(COUNTIF(artists!C:C, SPLIT(D38, "",""))) &gt; 0, ""RU"", 0)"),0)</f>
        <v>0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B39" s="21">
        <v>28</v>
      </c>
      <c r="C39" s="21" t="s">
        <v>1116</v>
      </c>
      <c r="D39" s="21" t="s">
        <v>1117</v>
      </c>
      <c r="E39" s="21">
        <v>19</v>
      </c>
      <c r="F39" s="21">
        <v>268536</v>
      </c>
      <c r="G39" s="42">
        <v>-1.2999999999999999E-2</v>
      </c>
      <c r="H39" s="21" t="s">
        <v>1118</v>
      </c>
      <c r="I39" s="39">
        <f ca="1">IFERROR(__xludf.DUMMYFUNCTION("IF(SUM(COUNTIF(artists!A:A, SPLIT(D39, "",""))) &gt; 0, ""UA"", 0)"),0)</f>
        <v>0</v>
      </c>
      <c r="J39" s="40" t="str">
        <f ca="1">IFERROR(__xludf.DUMMYFUNCTION("IF(SUM(COUNTIF(artists!C:C, SPLIT(D39, "",""))) &gt; 0, ""RU"", 0)"),"RU")</f>
        <v>RU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B40" s="21">
        <v>90</v>
      </c>
      <c r="C40" s="21" t="s">
        <v>1480</v>
      </c>
      <c r="D40" s="21" t="s">
        <v>1481</v>
      </c>
      <c r="E40" s="21">
        <v>2</v>
      </c>
      <c r="F40" s="21">
        <v>258649</v>
      </c>
      <c r="G40" s="42">
        <v>0.93700000000000006</v>
      </c>
      <c r="H40" s="21" t="s">
        <v>1482</v>
      </c>
      <c r="I40" s="39" t="str">
        <f ca="1">IFERROR(__xludf.DUMMYFUNCTION("IF(SUM(COUNTIF(artists!A:A, SPLIT(D40, "",""))) &gt; 0, ""UA"", 0)"),"UA")</f>
        <v>UA</v>
      </c>
      <c r="J40" s="40">
        <f ca="1">IFERROR(__xludf.DUMMYFUNCTION("IF(SUM(COUNTIF(artists!C:C, SPLIT(D40, "",""))) &gt; 0, ""RU"", 0)"),0)</f>
        <v>0</v>
      </c>
      <c r="K40" s="39">
        <f ca="1">IFERROR(__xludf.DUMMYFUNCTION("IF(SUM(COUNTIF(artists!E:E, SPLIT(D40, "",""))) &gt; 0, ""OTHER"", 0)"),0)</f>
        <v>0</v>
      </c>
    </row>
    <row r="41" spans="1:11" ht="14.25" customHeight="1">
      <c r="A41" s="21">
        <v>40</v>
      </c>
      <c r="B41" s="21">
        <v>32</v>
      </c>
      <c r="C41" s="21" t="s">
        <v>1825</v>
      </c>
      <c r="D41" s="21" t="s">
        <v>1826</v>
      </c>
      <c r="E41" s="21">
        <v>51</v>
      </c>
      <c r="F41" s="21">
        <v>253623</v>
      </c>
      <c r="G41" s="42">
        <v>-6.0000000000000001E-3</v>
      </c>
      <c r="H41" s="21" t="s">
        <v>1827</v>
      </c>
      <c r="I41" s="39">
        <f ca="1">IFERROR(__xludf.DUMMYFUNCTION("IF(SUM(COUNTIF(artists!A:A, SPLIT(D41, "",""))) &gt; 0, ""UA"", 0)"),0)</f>
        <v>0</v>
      </c>
      <c r="J41" s="40" t="str">
        <f ca="1">IFERROR(__xludf.DUMMYFUNCTION("IF(SUM(COUNTIF(artists!C:C, SPLIT(D41, "",""))) &gt; 0, ""RU"", 0)"),"RU")</f>
        <v>RU</v>
      </c>
      <c r="K41" s="39">
        <f ca="1">IFERROR(__xludf.DUMMYFUNCTION("IF(SUM(COUNTIF(artists!E:E, SPLIT(D41, "",""))) &gt; 0, ""OTHER"", 0)"),0)</f>
        <v>0</v>
      </c>
    </row>
    <row r="42" spans="1:11" ht="14.25" customHeight="1">
      <c r="A42" s="21">
        <v>41</v>
      </c>
      <c r="B42" s="21">
        <v>35</v>
      </c>
      <c r="C42" s="21" t="s">
        <v>1729</v>
      </c>
      <c r="D42" s="21" t="s">
        <v>1730</v>
      </c>
      <c r="E42" s="21">
        <v>48</v>
      </c>
      <c r="F42" s="21">
        <v>251840</v>
      </c>
      <c r="G42" s="42">
        <v>4.9000000000000002E-2</v>
      </c>
      <c r="H42" s="21" t="s">
        <v>1731</v>
      </c>
      <c r="I42" s="39">
        <f ca="1">IFERROR(__xludf.DUMMYFUNCTION("IF(SUM(COUNTIF(artists!A:A, SPLIT(D42, "",""))) &gt; 0, ""UA"", 0)"),0)</f>
        <v>0</v>
      </c>
      <c r="J42" s="40" t="str">
        <f ca="1">IFERROR(__xludf.DUMMYFUNCTION("IF(SUM(COUNTIF(artists!C:C, SPLIT(D42, "",""))) &gt; 0, ""RU"", 0)"),"RU")</f>
        <v>RU</v>
      </c>
      <c r="K42" s="39">
        <f ca="1">IFERROR(__xludf.DUMMYFUNCTION("IF(SUM(COUNTIF(artists!E:E, SPLIT(D42, "",""))) &gt; 0, ""OTHER"", 0)"),0)</f>
        <v>0</v>
      </c>
    </row>
    <row r="43" spans="1:11" ht="14.25" customHeight="1">
      <c r="A43" s="21">
        <v>42</v>
      </c>
      <c r="B43" s="21">
        <v>31</v>
      </c>
      <c r="C43" s="21" t="s">
        <v>1298</v>
      </c>
      <c r="D43" s="21" t="s">
        <v>226</v>
      </c>
      <c r="E43" s="21">
        <v>3</v>
      </c>
      <c r="F43" s="21">
        <v>249626</v>
      </c>
      <c r="G43" s="42">
        <v>-2.7E-2</v>
      </c>
      <c r="H43" s="21" t="s">
        <v>1299</v>
      </c>
      <c r="I43" s="39" t="str">
        <f ca="1">IFERROR(__xludf.DUMMYFUNCTION("IF(SUM(COUNTIF(artists!A:A, SPLIT(D43, "",""))) &gt; 0, ""UA"", 0)"),"UA")</f>
        <v>UA</v>
      </c>
      <c r="J43" s="40">
        <f ca="1">IFERROR(__xludf.DUMMYFUNCTION("IF(SUM(COUNTIF(artists!C:C, SPLIT(D43, "",""))) &gt; 0, ""RU"", 0)"),0)</f>
        <v>0</v>
      </c>
      <c r="K43" s="39">
        <f ca="1">IFERROR(__xludf.DUMMYFUNCTION("IF(SUM(COUNTIF(artists!E:E, SPLIT(D43, "",""))) &gt; 0, ""OTHER"", 0)"),0)</f>
        <v>0</v>
      </c>
    </row>
    <row r="44" spans="1:11" ht="14.25" customHeight="1">
      <c r="A44" s="21">
        <v>43</v>
      </c>
      <c r="B44" s="21">
        <v>51</v>
      </c>
      <c r="C44" s="21" t="s">
        <v>1282</v>
      </c>
      <c r="D44" s="21" t="s">
        <v>108</v>
      </c>
      <c r="E44" s="21">
        <v>24</v>
      </c>
      <c r="F44" s="21">
        <v>246704</v>
      </c>
      <c r="G44" s="42">
        <v>0.192</v>
      </c>
      <c r="H44" s="21" t="s">
        <v>1283</v>
      </c>
      <c r="I44" s="39" t="str">
        <f ca="1">IFERROR(__xludf.DUMMYFUNCTION("IF(SUM(COUNTIF(artists!A:A, SPLIT(D44, "",""))) &gt; 0, ""UA"", 0)"),"UA")</f>
        <v>UA</v>
      </c>
      <c r="J44" s="40">
        <f ca="1">IFERROR(__xludf.DUMMYFUNCTION("IF(SUM(COUNTIF(artists!C:C, SPLIT(D44, "",""))) &gt; 0, ""RU"", 0)"),0)</f>
        <v>0</v>
      </c>
      <c r="K44" s="39">
        <f ca="1">IFERROR(__xludf.DUMMYFUNCTION("IF(SUM(COUNTIF(artists!E:E, SPLIT(D44, "",""))) &gt; 0, ""OTHER"", 0)"),0)</f>
        <v>0</v>
      </c>
    </row>
    <row r="45" spans="1:11" ht="14.25" customHeight="1">
      <c r="A45" s="21">
        <v>44</v>
      </c>
      <c r="B45" s="21">
        <v>30</v>
      </c>
      <c r="C45" s="21" t="s">
        <v>1614</v>
      </c>
      <c r="D45" s="21" t="s">
        <v>1027</v>
      </c>
      <c r="E45" s="21">
        <v>4</v>
      </c>
      <c r="F45" s="21">
        <v>243920</v>
      </c>
      <c r="G45" s="42">
        <v>-8.5999999999999993E-2</v>
      </c>
      <c r="H45" s="21" t="s">
        <v>1615</v>
      </c>
      <c r="I45" s="39" t="str">
        <f ca="1">IFERROR(__xludf.DUMMYFUNCTION("IF(SUM(COUNTIF(artists!A:A, SPLIT(D45, "",""))) &gt; 0, ""UA"", 0)"),"UA")</f>
        <v>UA</v>
      </c>
      <c r="J45" s="40">
        <f ca="1">IFERROR(__xludf.DUMMYFUNCTION("IF(SUM(COUNTIF(artists!C:C, SPLIT(D45, "",""))) &gt; 0, ""RU"", 0)"),0)</f>
        <v>0</v>
      </c>
      <c r="K45" s="39">
        <f ca="1">IFERROR(__xludf.DUMMYFUNCTION("IF(SUM(COUNTIF(artists!E:E, SPLIT(D45, "",""))) &gt; 0, ""OTHER"", 0)"),0)</f>
        <v>0</v>
      </c>
    </row>
    <row r="46" spans="1:11" ht="14.25" customHeight="1">
      <c r="A46" s="21">
        <v>45</v>
      </c>
      <c r="B46" s="21">
        <v>40</v>
      </c>
      <c r="C46" s="21" t="s">
        <v>841</v>
      </c>
      <c r="D46" s="21" t="s">
        <v>842</v>
      </c>
      <c r="E46" s="21">
        <v>13</v>
      </c>
      <c r="F46" s="21">
        <v>241448</v>
      </c>
      <c r="G46" s="42">
        <v>8.3000000000000004E-2</v>
      </c>
      <c r="H46" s="21" t="s">
        <v>843</v>
      </c>
      <c r="I46" s="39">
        <f ca="1">IFERROR(__xludf.DUMMYFUNCTION("IF(SUM(COUNTIF(artists!A:A, SPLIT(D46, "",""))) &gt; 0, ""UA"", 0)"),0)</f>
        <v>0</v>
      </c>
      <c r="J46" s="40">
        <f ca="1">IFERROR(__xludf.DUMMYFUNCTION("IF(SUM(COUNTIF(artists!C:C, SPLIT(D46, "",""))) &gt; 0, ""RU"", 0)"),0)</f>
        <v>0</v>
      </c>
      <c r="K46" s="39" t="str">
        <f ca="1">IFERROR(__xludf.DUMMYFUNCTION("IF(SUM(COUNTIF(artists!E:E, SPLIT(D46, "",""))) &gt; 0, ""OTHER"", 0)"),"OTHER")</f>
        <v>OTHER</v>
      </c>
    </row>
    <row r="47" spans="1:11" ht="14.25" customHeight="1">
      <c r="A47" s="21">
        <v>46</v>
      </c>
      <c r="C47" s="21" t="s">
        <v>1387</v>
      </c>
      <c r="D47" s="21" t="s">
        <v>1388</v>
      </c>
      <c r="E47" s="21">
        <v>1</v>
      </c>
      <c r="F47" s="21">
        <v>236251</v>
      </c>
      <c r="H47" s="21" t="s">
        <v>1389</v>
      </c>
      <c r="I47" s="39">
        <f ca="1">IFERROR(__xludf.DUMMYFUNCTION("IF(SUM(COUNTIF(artists!A:A, SPLIT(D47, "",""))) &gt; 0, ""UA"", 0)"),0)</f>
        <v>0</v>
      </c>
      <c r="J47" s="40">
        <f ca="1">IFERROR(__xludf.DUMMYFUNCTION("IF(SUM(COUNTIF(artists!C:C, SPLIT(D47, "",""))) &gt; 0, ""RU"", 0)"),0)</f>
        <v>0</v>
      </c>
      <c r="K47" s="39" t="str">
        <f ca="1">IFERROR(__xludf.DUMMYFUNCTION("IF(SUM(COUNTIF(artists!E:E, SPLIT(D47, "",""))) &gt; 0, ""OTHER"", 0)"),"OTHER")</f>
        <v>OTHER</v>
      </c>
    </row>
    <row r="48" spans="1:11" ht="14.25" customHeight="1">
      <c r="A48" s="21">
        <v>47</v>
      </c>
      <c r="B48" s="21">
        <v>34</v>
      </c>
      <c r="C48" s="21" t="s">
        <v>1830</v>
      </c>
      <c r="D48" s="21" t="s">
        <v>1426</v>
      </c>
      <c r="E48" s="21">
        <v>4</v>
      </c>
      <c r="F48" s="21">
        <v>233391</v>
      </c>
      <c r="G48" s="42">
        <v>-3.2000000000000001E-2</v>
      </c>
      <c r="H48" s="21" t="s">
        <v>1831</v>
      </c>
      <c r="I48" s="39" t="str">
        <f ca="1">IFERROR(__xludf.DUMMYFUNCTION("IF(SUM(COUNTIF(artists!A:A, SPLIT(D48, "",""))) &gt; 0, ""UA"", 0)"),"UA")</f>
        <v>UA</v>
      </c>
      <c r="J48" s="40">
        <f ca="1">IFERROR(__xludf.DUMMYFUNCTION("IF(SUM(COUNTIF(artists!C:C, SPLIT(D48, "",""))) &gt; 0, ""RU"", 0)"),0)</f>
        <v>0</v>
      </c>
      <c r="K48" s="39">
        <f ca="1">IFERROR(__xludf.DUMMYFUNCTION("IF(SUM(COUNTIF(artists!E:E, SPLIT(D48, "",""))) &gt; 0, ""OTHER"", 0)"),0)</f>
        <v>0</v>
      </c>
    </row>
    <row r="49" spans="1:11" ht="14.25" customHeight="1">
      <c r="A49" s="21">
        <v>48</v>
      </c>
      <c r="B49" s="21">
        <v>45</v>
      </c>
      <c r="C49" s="21" t="s">
        <v>1498</v>
      </c>
      <c r="D49" s="21" t="s">
        <v>969</v>
      </c>
      <c r="E49" s="21">
        <v>29</v>
      </c>
      <c r="F49" s="21">
        <v>229891</v>
      </c>
      <c r="G49" s="43">
        <v>7.0000000000000007E-2</v>
      </c>
      <c r="H49" s="21" t="s">
        <v>1499</v>
      </c>
      <c r="I49" s="39" t="str">
        <f ca="1">IFERROR(__xludf.DUMMYFUNCTION("IF(SUM(COUNTIF(artists!A:A, SPLIT(D49, "",""))) &gt; 0, ""UA"", 0)"),"UA")</f>
        <v>UA</v>
      </c>
      <c r="J49" s="40">
        <f ca="1">IFERROR(__xludf.DUMMYFUNCTION("IF(SUM(COUNTIF(artists!C:C, SPLIT(D49, "",""))) &gt; 0, ""RU"", 0)"),0)</f>
        <v>0</v>
      </c>
      <c r="K49" s="39">
        <f ca="1">IFERROR(__xludf.DUMMYFUNCTION("IF(SUM(COUNTIF(artists!E:E, SPLIT(D49, "",""))) &gt; 0, ""OTHER"", 0)"),0)</f>
        <v>0</v>
      </c>
    </row>
    <row r="50" spans="1:11" ht="14.25" customHeight="1">
      <c r="A50" s="21">
        <v>49</v>
      </c>
      <c r="B50" s="21">
        <v>36</v>
      </c>
      <c r="C50" s="21" t="s">
        <v>1636</v>
      </c>
      <c r="D50" s="21" t="s">
        <v>1637</v>
      </c>
      <c r="E50" s="21">
        <v>12</v>
      </c>
      <c r="F50" s="21">
        <v>229810</v>
      </c>
      <c r="G50" s="42">
        <v>-1.4E-2</v>
      </c>
      <c r="H50" s="21" t="s">
        <v>1638</v>
      </c>
      <c r="I50" s="39">
        <f ca="1">IFERROR(__xludf.DUMMYFUNCTION("IF(SUM(COUNTIF(artists!A:A, SPLIT(D50, "",""))) &gt; 0, ""UA"", 0)"),0)</f>
        <v>0</v>
      </c>
      <c r="J50" s="40" t="str">
        <f ca="1">IFERROR(__xludf.DUMMYFUNCTION("IF(SUM(COUNTIF(artists!C:C, SPLIT(D50, "",""))) &gt; 0, ""RU"", 0)"),"RU")</f>
        <v>RU</v>
      </c>
      <c r="K50" s="39">
        <f ca="1">IFERROR(__xludf.DUMMYFUNCTION("IF(SUM(COUNTIF(artists!E:E, SPLIT(D50, "",""))) &gt; 0, ""OTHER"", 0)"),0)</f>
        <v>0</v>
      </c>
    </row>
    <row r="51" spans="1:11" ht="14.25" customHeight="1">
      <c r="A51" s="21">
        <v>50</v>
      </c>
      <c r="B51" s="21">
        <v>47</v>
      </c>
      <c r="C51" s="21" t="s">
        <v>1477</v>
      </c>
      <c r="D51" s="21" t="s">
        <v>1478</v>
      </c>
      <c r="E51" s="21">
        <v>6</v>
      </c>
      <c r="F51" s="21">
        <v>226831</v>
      </c>
      <c r="G51" s="42">
        <v>8.4000000000000005E-2</v>
      </c>
      <c r="H51" s="21" t="s">
        <v>1479</v>
      </c>
      <c r="I51" s="39" t="str">
        <f ca="1">IFERROR(__xludf.DUMMYFUNCTION("IF(SUM(COUNTIF(artists!A:A, SPLIT(D51, "",""))) &gt; 0, ""UA"", 0)"),"UA")</f>
        <v>UA</v>
      </c>
      <c r="J51" s="40">
        <f ca="1">IFERROR(__xludf.DUMMYFUNCTION("IF(SUM(COUNTIF(artists!C:C, SPLIT(D51, "",""))) &gt; 0, ""RU"", 0)"),0)</f>
        <v>0</v>
      </c>
      <c r="K51" s="39">
        <f ca="1">IFERROR(__xludf.DUMMYFUNCTION("IF(SUM(COUNTIF(artists!E:E, SPLIT(D51, "",""))) &gt; 0, ""OTHER"", 0)"),0)</f>
        <v>0</v>
      </c>
    </row>
    <row r="52" spans="1:11" ht="14.25" customHeight="1">
      <c r="A52" s="21">
        <v>51</v>
      </c>
      <c r="B52" s="21">
        <v>49</v>
      </c>
      <c r="C52" s="21" t="s">
        <v>748</v>
      </c>
      <c r="D52" s="21" t="s">
        <v>586</v>
      </c>
      <c r="E52" s="21">
        <v>6</v>
      </c>
      <c r="F52" s="21">
        <v>224693</v>
      </c>
      <c r="G52" s="42">
        <v>7.6999999999999999E-2</v>
      </c>
      <c r="H52" s="21" t="s">
        <v>749</v>
      </c>
      <c r="I52" s="39" t="str">
        <f ca="1">IFERROR(__xludf.DUMMYFUNCTION("IF(SUM(COUNTIF(artists!A:A, SPLIT(D52, "",""))) &gt; 0, ""UA"", 0)"),"UA")</f>
        <v>UA</v>
      </c>
      <c r="J52" s="40">
        <f ca="1">IFERROR(__xludf.DUMMYFUNCTION("IF(SUM(COUNTIF(artists!C:C, SPLIT(D52, "",""))) &gt; 0, ""RU"", 0)"),0)</f>
        <v>0</v>
      </c>
      <c r="K52" s="39">
        <f ca="1">IFERROR(__xludf.DUMMYFUNCTION("IF(SUM(COUNTIF(artists!E:E, SPLIT(D52, "",""))) &gt; 0, ""OTHER"", 0)"),0)</f>
        <v>0</v>
      </c>
    </row>
    <row r="53" spans="1:11" ht="14.25" customHeight="1">
      <c r="A53" s="21">
        <v>52</v>
      </c>
      <c r="C53" s="21" t="s">
        <v>1290</v>
      </c>
      <c r="D53" s="21" t="s">
        <v>942</v>
      </c>
      <c r="E53" s="21">
        <v>1</v>
      </c>
      <c r="F53" s="21">
        <v>223167</v>
      </c>
      <c r="H53" s="21" t="s">
        <v>1291</v>
      </c>
      <c r="I53" s="39" t="str">
        <f ca="1">IFERROR(__xludf.DUMMYFUNCTION("IF(SUM(COUNTIF(artists!A:A, SPLIT(D53, "",""))) &gt; 0, ""UA"", 0)"),"UA")</f>
        <v>UA</v>
      </c>
      <c r="J53" s="40">
        <f ca="1">IFERROR(__xludf.DUMMYFUNCTION("IF(SUM(COUNTIF(artists!C:C, SPLIT(D53, "",""))) &gt; 0, ""RU"", 0)"),0)</f>
        <v>0</v>
      </c>
      <c r="K53" s="39">
        <f ca="1">IFERROR(__xludf.DUMMYFUNCTION("IF(SUM(COUNTIF(artists!E:E, SPLIT(D53, "",""))) &gt; 0, ""OTHER"", 0)"),0)</f>
        <v>0</v>
      </c>
    </row>
    <row r="54" spans="1:11" ht="14.25" customHeight="1">
      <c r="A54" s="21">
        <v>53</v>
      </c>
      <c r="B54" s="21">
        <v>41</v>
      </c>
      <c r="C54" s="21" t="s">
        <v>1674</v>
      </c>
      <c r="D54" s="21" t="s">
        <v>172</v>
      </c>
      <c r="E54" s="21">
        <v>13</v>
      </c>
      <c r="F54" s="21">
        <v>223093</v>
      </c>
      <c r="G54" s="42">
        <v>2E-3</v>
      </c>
      <c r="H54" s="21" t="s">
        <v>1675</v>
      </c>
      <c r="I54" s="39">
        <f ca="1">IFERROR(__xludf.DUMMYFUNCTION("IF(SUM(COUNTIF(artists!A:A, SPLIT(D54, "",""))) &gt; 0, ""UA"", 0)"),0)</f>
        <v>0</v>
      </c>
      <c r="J54" s="40" t="str">
        <f ca="1">IFERROR(__xludf.DUMMYFUNCTION("IF(SUM(COUNTIF(artists!C:C, SPLIT(D54, "",""))) &gt; 0, ""RU"", 0)"),"RU")</f>
        <v>RU</v>
      </c>
      <c r="K54" s="39">
        <f ca="1">IFERROR(__xludf.DUMMYFUNCTION("IF(SUM(COUNTIF(artists!E:E, SPLIT(D54, "",""))) &gt; 0, ""OTHER"", 0)"),0)</f>
        <v>0</v>
      </c>
    </row>
    <row r="55" spans="1:11" ht="14.25" customHeight="1">
      <c r="A55" s="21">
        <v>54</v>
      </c>
      <c r="B55" s="21">
        <v>42</v>
      </c>
      <c r="C55" s="21" t="s">
        <v>1659</v>
      </c>
      <c r="D55" s="21" t="s">
        <v>1660</v>
      </c>
      <c r="E55" s="21">
        <v>6</v>
      </c>
      <c r="F55" s="21">
        <v>221314</v>
      </c>
      <c r="G55" s="42">
        <v>-1E-3</v>
      </c>
      <c r="H55" s="21" t="s">
        <v>1661</v>
      </c>
      <c r="I55" s="39">
        <f ca="1">IFERROR(__xludf.DUMMYFUNCTION("IF(SUM(COUNTIF(artists!A:A, SPLIT(D55, "",""))) &gt; 0, ""UA"", 0)"),0)</f>
        <v>0</v>
      </c>
      <c r="J55" s="40" t="str">
        <f ca="1">IFERROR(__xludf.DUMMYFUNCTION("IF(SUM(COUNTIF(artists!C:C, SPLIT(D55, "",""))) &gt; 0, ""RU"", 0)"),"RU")</f>
        <v>RU</v>
      </c>
      <c r="K55" s="39">
        <f ca="1">IFERROR(__xludf.DUMMYFUNCTION("IF(SUM(COUNTIF(artists!E:E, SPLIT(D55, "",""))) &gt; 0, ""OTHER"", 0)"),0)</f>
        <v>0</v>
      </c>
    </row>
    <row r="56" spans="1:11" ht="14.25" customHeight="1">
      <c r="A56" s="21">
        <v>55</v>
      </c>
      <c r="B56" s="21">
        <v>25</v>
      </c>
      <c r="C56" s="21" t="s">
        <v>1818</v>
      </c>
      <c r="D56" s="21" t="s">
        <v>1360</v>
      </c>
      <c r="E56" s="21">
        <v>3</v>
      </c>
      <c r="F56" s="21">
        <v>221178</v>
      </c>
      <c r="G56" s="42">
        <v>-0.21099999999999999</v>
      </c>
      <c r="H56" s="21" t="s">
        <v>1819</v>
      </c>
      <c r="I56" s="39" t="str">
        <f ca="1">IFERROR(__xludf.DUMMYFUNCTION("IF(SUM(COUNTIF(artists!A:A, SPLIT(D56, "",""))) &gt; 0, ""UA"", 0)"),"UA")</f>
        <v>UA</v>
      </c>
      <c r="J56" s="40">
        <f ca="1">IFERROR(__xludf.DUMMYFUNCTION("IF(SUM(COUNTIF(artists!C:C, SPLIT(D56, "",""))) &gt; 0, ""RU"", 0)"),0)</f>
        <v>0</v>
      </c>
      <c r="K56" s="39">
        <f ca="1">IFERROR(__xludf.DUMMYFUNCTION("IF(SUM(COUNTIF(artists!E:E, SPLIT(D56, "",""))) &gt; 0, ""OTHER"", 0)"),0)</f>
        <v>0</v>
      </c>
    </row>
    <row r="57" spans="1:11" ht="14.25" customHeight="1">
      <c r="A57" s="21">
        <v>56</v>
      </c>
      <c r="B57" s="21">
        <v>37</v>
      </c>
      <c r="C57" s="21" t="s">
        <v>1369</v>
      </c>
      <c r="D57" s="21" t="s">
        <v>1370</v>
      </c>
      <c r="E57" s="21">
        <v>7</v>
      </c>
      <c r="F57" s="21">
        <v>219402</v>
      </c>
      <c r="G57" s="42">
        <v>-5.7000000000000002E-2</v>
      </c>
      <c r="H57" s="21" t="s">
        <v>1371</v>
      </c>
      <c r="I57" s="39" t="str">
        <f ca="1">IFERROR(__xludf.DUMMYFUNCTION("IF(SUM(COUNTIF(artists!A:A, SPLIT(D57, "",""))) &gt; 0, ""UA"", 0)"),"UA")</f>
        <v>UA</v>
      </c>
      <c r="J57" s="40">
        <f ca="1">IFERROR(__xludf.DUMMYFUNCTION("IF(SUM(COUNTIF(artists!C:C, SPLIT(D57, "",""))) &gt; 0, ""RU"", 0)"),0)</f>
        <v>0</v>
      </c>
      <c r="K57" s="39">
        <f ca="1">IFERROR(__xludf.DUMMYFUNCTION("IF(SUM(COUNTIF(artists!E:E, SPLIT(D57, "",""))) &gt; 0, ""OTHER"", 0)"),0)</f>
        <v>0</v>
      </c>
    </row>
    <row r="58" spans="1:11" ht="14.25" customHeight="1">
      <c r="A58" s="21">
        <v>57</v>
      </c>
      <c r="B58" s="21">
        <v>39</v>
      </c>
      <c r="C58" s="21" t="s">
        <v>470</v>
      </c>
      <c r="D58" s="21" t="s">
        <v>81</v>
      </c>
      <c r="E58" s="21">
        <v>6</v>
      </c>
      <c r="F58" s="21">
        <v>215547</v>
      </c>
      <c r="G58" s="42">
        <v>-6.3E-2</v>
      </c>
      <c r="H58" s="21" t="s">
        <v>472</v>
      </c>
      <c r="I58" s="39" t="str">
        <f ca="1">IFERROR(__xludf.DUMMYFUNCTION("IF(SUM(COUNTIF(artists!A:A, SPLIT(D58, "",""))) &gt; 0, ""UA"", 0)"),"UA")</f>
        <v>UA</v>
      </c>
      <c r="J58" s="40">
        <f ca="1">IFERROR(__xludf.DUMMYFUNCTION("IF(SUM(COUNTIF(artists!C:C, SPLIT(D58, "",""))) &gt; 0, ""RU"", 0)"),0)</f>
        <v>0</v>
      </c>
      <c r="K58" s="39">
        <f ca="1">IFERROR(__xludf.DUMMYFUNCTION("IF(SUM(COUNTIF(artists!E:E, SPLIT(D58, "",""))) &gt; 0, ""OTHER"", 0)"),0)</f>
        <v>0</v>
      </c>
    </row>
    <row r="59" spans="1:11" ht="14.25" customHeight="1">
      <c r="A59" s="21">
        <v>58</v>
      </c>
      <c r="B59" s="21">
        <v>59</v>
      </c>
      <c r="C59" s="21" t="s">
        <v>253</v>
      </c>
      <c r="D59" s="21" t="s">
        <v>89</v>
      </c>
      <c r="E59" s="21">
        <v>6</v>
      </c>
      <c r="F59" s="21">
        <v>215384</v>
      </c>
      <c r="G59" s="42">
        <v>0.189</v>
      </c>
      <c r="H59" s="21" t="s">
        <v>254</v>
      </c>
      <c r="I59" s="39" t="str">
        <f ca="1">IFERROR(__xludf.DUMMYFUNCTION("IF(SUM(COUNTIF(artists!A:A, SPLIT(D59, "",""))) &gt; 0, ""UA"", 0)"),"UA")</f>
        <v>UA</v>
      </c>
      <c r="J59" s="40">
        <f ca="1">IFERROR(__xludf.DUMMYFUNCTION("IF(SUM(COUNTIF(artists!C:C, SPLIT(D59, "",""))) &gt; 0, ""RU"", 0)"),0)</f>
        <v>0</v>
      </c>
      <c r="K59" s="39">
        <f ca="1">IFERROR(__xludf.DUMMYFUNCTION("IF(SUM(COUNTIF(artists!E:E, SPLIT(D59, "",""))) &gt; 0, ""OTHER"", 0)"),0)</f>
        <v>0</v>
      </c>
    </row>
    <row r="60" spans="1:11" ht="14.25" customHeight="1">
      <c r="A60" s="21">
        <v>59</v>
      </c>
      <c r="B60" s="21">
        <v>29</v>
      </c>
      <c r="C60" s="21" t="s">
        <v>1416</v>
      </c>
      <c r="D60" s="21" t="s">
        <v>137</v>
      </c>
      <c r="E60" s="21">
        <v>2</v>
      </c>
      <c r="F60" s="21">
        <v>215240</v>
      </c>
      <c r="G60" s="42">
        <v>-0.20799999999999999</v>
      </c>
      <c r="H60" s="21" t="s">
        <v>1417</v>
      </c>
      <c r="I60" s="39" t="str">
        <f ca="1">IFERROR(__xludf.DUMMYFUNCTION("IF(SUM(COUNTIF(artists!A:A, SPLIT(D60, "",""))) &gt; 0, ""UA"", 0)"),"UA")</f>
        <v>UA</v>
      </c>
      <c r="J60" s="40">
        <f ca="1">IFERROR(__xludf.DUMMYFUNCTION("IF(SUM(COUNTIF(artists!C:C, SPLIT(D60, "",""))) &gt; 0, ""RU"", 0)"),0)</f>
        <v>0</v>
      </c>
      <c r="K60" s="39">
        <f ca="1">IFERROR(__xludf.DUMMYFUNCTION("IF(SUM(COUNTIF(artists!E:E, SPLIT(D60, "",""))) &gt; 0, ""OTHER"", 0)"),0)</f>
        <v>0</v>
      </c>
    </row>
    <row r="61" spans="1:11" ht="14.25" customHeight="1">
      <c r="A61" s="21">
        <v>60</v>
      </c>
      <c r="B61" s="21">
        <v>54</v>
      </c>
      <c r="C61" s="21" t="s">
        <v>1588</v>
      </c>
      <c r="D61" s="21" t="s">
        <v>776</v>
      </c>
      <c r="E61" s="21">
        <v>10</v>
      </c>
      <c r="F61" s="21">
        <v>214230</v>
      </c>
      <c r="G61" s="42">
        <v>8.1000000000000003E-2</v>
      </c>
      <c r="H61" s="21" t="s">
        <v>1589</v>
      </c>
      <c r="I61" s="39" t="str">
        <f ca="1">IFERROR(__xludf.DUMMYFUNCTION("IF(SUM(COUNTIF(artists!A:A, SPLIT(D61, "",""))) &gt; 0, ""UA"", 0)"),"UA")</f>
        <v>UA</v>
      </c>
      <c r="J61" s="40">
        <f ca="1">IFERROR(__xludf.DUMMYFUNCTION("IF(SUM(COUNTIF(artists!C:C, SPLIT(D61, "",""))) &gt; 0, ""RU"", 0)"),0)</f>
        <v>0</v>
      </c>
      <c r="K61" s="39">
        <f ca="1">IFERROR(__xludf.DUMMYFUNCTION("IF(SUM(COUNTIF(artists!E:E, SPLIT(D61, "",""))) &gt; 0, ""OTHER"", 0)"),0)</f>
        <v>0</v>
      </c>
    </row>
    <row r="62" spans="1:11" ht="14.25" customHeight="1">
      <c r="A62" s="21">
        <v>61</v>
      </c>
      <c r="B62" s="21">
        <v>68</v>
      </c>
      <c r="C62" s="21" t="s">
        <v>1327</v>
      </c>
      <c r="D62" s="21" t="s">
        <v>89</v>
      </c>
      <c r="E62" s="21">
        <v>26</v>
      </c>
      <c r="F62" s="21">
        <v>209725</v>
      </c>
      <c r="G62" s="42">
        <v>0.28100000000000003</v>
      </c>
      <c r="H62" s="21" t="s">
        <v>1328</v>
      </c>
      <c r="I62" s="39" t="str">
        <f ca="1">IFERROR(__xludf.DUMMYFUNCTION("IF(SUM(COUNTIF(artists!A:A, SPLIT(D62, "",""))) &gt; 0, ""UA"", 0)"),"UA")</f>
        <v>UA</v>
      </c>
      <c r="J62" s="40">
        <f ca="1">IFERROR(__xludf.DUMMYFUNCTION("IF(SUM(COUNTIF(artists!C:C, SPLIT(D62, "",""))) &gt; 0, ""RU"", 0)"),0)</f>
        <v>0</v>
      </c>
      <c r="K62" s="39">
        <f ca="1">IFERROR(__xludf.DUMMYFUNCTION("IF(SUM(COUNTIF(artists!E:E, SPLIT(D62, "",""))) &gt; 0, ""OTHER"", 0)"),0)</f>
        <v>0</v>
      </c>
    </row>
    <row r="63" spans="1:11" ht="14.25" customHeight="1">
      <c r="A63" s="21">
        <v>62</v>
      </c>
      <c r="B63" s="21">
        <v>44</v>
      </c>
      <c r="C63" s="21" t="s">
        <v>1726</v>
      </c>
      <c r="D63" s="21" t="s">
        <v>1727</v>
      </c>
      <c r="E63" s="21">
        <v>7</v>
      </c>
      <c r="F63" s="21">
        <v>203008</v>
      </c>
      <c r="G63" s="42">
        <v>-6.5000000000000002E-2</v>
      </c>
      <c r="H63" s="21" t="s">
        <v>1728</v>
      </c>
      <c r="I63" s="39" t="str">
        <f ca="1">IFERROR(__xludf.DUMMYFUNCTION("IF(SUM(COUNTIF(artists!A:A, SPLIT(D63, "",""))) &gt; 0, ""UA"", 0)"),"UA")</f>
        <v>UA</v>
      </c>
      <c r="J63" s="40">
        <f ca="1">IFERROR(__xludf.DUMMYFUNCTION("IF(SUM(COUNTIF(artists!C:C, SPLIT(D63, "",""))) &gt; 0, ""RU"", 0)"),0)</f>
        <v>0</v>
      </c>
      <c r="K63" s="39">
        <f ca="1">IFERROR(__xludf.DUMMYFUNCTION("IF(SUM(COUNTIF(artists!E:E, SPLIT(D63, "",""))) &gt; 0, ""OTHER"", 0)"),0)</f>
        <v>0</v>
      </c>
    </row>
    <row r="64" spans="1:11" ht="14.25" customHeight="1">
      <c r="A64" s="21">
        <v>63</v>
      </c>
      <c r="B64" s="21">
        <v>50</v>
      </c>
      <c r="C64" s="21" t="s">
        <v>1631</v>
      </c>
      <c r="D64" s="21" t="s">
        <v>409</v>
      </c>
      <c r="E64" s="21">
        <v>7</v>
      </c>
      <c r="F64" s="21">
        <v>201566</v>
      </c>
      <c r="G64" s="42">
        <v>-3.3000000000000002E-2</v>
      </c>
      <c r="H64" s="21" t="s">
        <v>1632</v>
      </c>
      <c r="I64" s="39" t="str">
        <f ca="1">IFERROR(__xludf.DUMMYFUNCTION("IF(SUM(COUNTIF(artists!A:A, SPLIT(D64, "",""))) &gt; 0, ""UA"", 0)"),"UA")</f>
        <v>UA</v>
      </c>
      <c r="J64" s="40">
        <f ca="1">IFERROR(__xludf.DUMMYFUNCTION("IF(SUM(COUNTIF(artists!C:C, SPLIT(D64, "",""))) &gt; 0, ""RU"", 0)"),0)</f>
        <v>0</v>
      </c>
      <c r="K64" s="39">
        <f ca="1">IFERROR(__xludf.DUMMYFUNCTION("IF(SUM(COUNTIF(artists!E:E, SPLIT(D64, "",""))) &gt; 0, ""OTHER"", 0)"),0)</f>
        <v>0</v>
      </c>
    </row>
    <row r="65" spans="1:11" ht="14.25" customHeight="1">
      <c r="A65" s="21">
        <v>64</v>
      </c>
      <c r="C65" s="21" t="s">
        <v>1847</v>
      </c>
      <c r="D65" s="21" t="s">
        <v>896</v>
      </c>
      <c r="E65" s="21">
        <v>1</v>
      </c>
      <c r="F65" s="21">
        <v>199680</v>
      </c>
      <c r="H65" s="21" t="s">
        <v>1848</v>
      </c>
      <c r="I65" s="39" t="str">
        <f ca="1">IFERROR(__xludf.DUMMYFUNCTION("IF(SUM(COUNTIF(artists!A:A, SPLIT(D65, "",""))) &gt; 0, ""UA"", 0)"),"UA")</f>
        <v>UA</v>
      </c>
      <c r="J65" s="40">
        <f ca="1">IFERROR(__xludf.DUMMYFUNCTION("IF(SUM(COUNTIF(artists!C:C, SPLIT(D65, "",""))) &gt; 0, ""RU"", 0)"),0)</f>
        <v>0</v>
      </c>
      <c r="K65" s="39">
        <f ca="1">IFERROR(__xludf.DUMMYFUNCTION("IF(SUM(COUNTIF(artists!E:E, SPLIT(D65, "",""))) &gt; 0, ""OTHER"", 0)"),0)</f>
        <v>0</v>
      </c>
    </row>
    <row r="66" spans="1:11" ht="14.25" customHeight="1">
      <c r="A66" s="21">
        <v>65</v>
      </c>
      <c r="B66" s="21">
        <v>53</v>
      </c>
      <c r="C66" s="21" t="s">
        <v>1447</v>
      </c>
      <c r="D66" s="21" t="s">
        <v>969</v>
      </c>
      <c r="E66" s="21">
        <v>17</v>
      </c>
      <c r="F66" s="21">
        <v>197195</v>
      </c>
      <c r="G66" s="42">
        <v>-1.2999999999999999E-2</v>
      </c>
      <c r="H66" s="21" t="s">
        <v>1448</v>
      </c>
      <c r="I66" s="39" t="str">
        <f ca="1">IFERROR(__xludf.DUMMYFUNCTION("IF(SUM(COUNTIF(artists!A:A, SPLIT(D66, "",""))) &gt; 0, ""UA"", 0)"),"UA")</f>
        <v>UA</v>
      </c>
      <c r="J66" s="40">
        <f ca="1">IFERROR(__xludf.DUMMYFUNCTION("IF(SUM(COUNTIF(artists!C:C, SPLIT(D66, "",""))) &gt; 0, ""RU"", 0)"),0)</f>
        <v>0</v>
      </c>
      <c r="K66" s="39">
        <f ca="1">IFERROR(__xludf.DUMMYFUNCTION("IF(SUM(COUNTIF(artists!E:E, SPLIT(D66, "",""))) &gt; 0, ""OTHER"", 0)"),0)</f>
        <v>0</v>
      </c>
    </row>
    <row r="67" spans="1:11" ht="14.25" customHeight="1">
      <c r="A67" s="21">
        <v>66</v>
      </c>
      <c r="B67" s="21">
        <v>43</v>
      </c>
      <c r="C67" s="21" t="s">
        <v>1849</v>
      </c>
      <c r="D67" s="21" t="s">
        <v>598</v>
      </c>
      <c r="E67" s="21">
        <v>7</v>
      </c>
      <c r="F67" s="21">
        <v>191095</v>
      </c>
      <c r="G67" s="42">
        <v>-0.128</v>
      </c>
      <c r="H67" s="21" t="s">
        <v>1850</v>
      </c>
      <c r="I67" s="39" t="str">
        <f ca="1">IFERROR(__xludf.DUMMYFUNCTION("IF(SUM(COUNTIF(artists!A:A, SPLIT(D67, "",""))) &gt; 0, ""UA"", 0)"),"UA")</f>
        <v>UA</v>
      </c>
      <c r="J67" s="40">
        <f ca="1">IFERROR(__xludf.DUMMYFUNCTION("IF(SUM(COUNTIF(artists!C:C, SPLIT(D67, "",""))) &gt; 0, ""RU"", 0)"),0)</f>
        <v>0</v>
      </c>
      <c r="K67" s="39">
        <f ca="1">IFERROR(__xludf.DUMMYFUNCTION("IF(SUM(COUNTIF(artists!E:E, SPLIT(D67, "",""))) &gt; 0, ""OTHER"", 0)"),0)</f>
        <v>0</v>
      </c>
    </row>
    <row r="68" spans="1:11" ht="14.25" customHeight="1">
      <c r="A68" s="21">
        <v>67</v>
      </c>
      <c r="B68" s="21">
        <v>67</v>
      </c>
      <c r="C68" s="21" t="s">
        <v>1586</v>
      </c>
      <c r="D68" s="21" t="s">
        <v>969</v>
      </c>
      <c r="E68" s="21">
        <v>10</v>
      </c>
      <c r="F68" s="21">
        <v>189116</v>
      </c>
      <c r="G68" s="42">
        <v>0.13800000000000001</v>
      </c>
      <c r="H68" s="21" t="s">
        <v>1587</v>
      </c>
      <c r="I68" s="39" t="str">
        <f ca="1">IFERROR(__xludf.DUMMYFUNCTION("IF(SUM(COUNTIF(artists!A:A, SPLIT(D68, "",""))) &gt; 0, ""UA"", 0)"),"UA")</f>
        <v>UA</v>
      </c>
      <c r="J68" s="40">
        <f ca="1">IFERROR(__xludf.DUMMYFUNCTION("IF(SUM(COUNTIF(artists!C:C, SPLIT(D68, "",""))) &gt; 0, ""RU"", 0)"),0)</f>
        <v>0</v>
      </c>
      <c r="K68" s="39">
        <f ca="1">IFERROR(__xludf.DUMMYFUNCTION("IF(SUM(COUNTIF(artists!E:E, SPLIT(D68, "",""))) &gt; 0, ""OTHER"", 0)"),0)</f>
        <v>0</v>
      </c>
    </row>
    <row r="69" spans="1:11" ht="14.25" customHeight="1">
      <c r="A69" s="21">
        <v>68</v>
      </c>
      <c r="B69" s="21">
        <v>52</v>
      </c>
      <c r="C69" s="21" t="s">
        <v>1810</v>
      </c>
      <c r="D69" s="21" t="s">
        <v>15</v>
      </c>
      <c r="E69" s="21">
        <v>7</v>
      </c>
      <c r="F69" s="21">
        <v>188300</v>
      </c>
      <c r="G69" s="42">
        <v>-6.4000000000000001E-2</v>
      </c>
      <c r="H69" s="21" t="s">
        <v>1811</v>
      </c>
      <c r="I69" s="39">
        <f ca="1">IFERROR(__xludf.DUMMYFUNCTION("IF(SUM(COUNTIF(artists!A:A, SPLIT(D69, "",""))) &gt; 0, ""UA"", 0)"),0)</f>
        <v>0</v>
      </c>
      <c r="J69" s="40">
        <f ca="1">IFERROR(__xludf.DUMMYFUNCTION("IF(SUM(COUNTIF(artists!C:C, SPLIT(D69, "",""))) &gt; 0, ""RU"", 0)"),0)</f>
        <v>0</v>
      </c>
      <c r="K69" s="39" t="str">
        <f ca="1">IFERROR(__xludf.DUMMYFUNCTION("IF(SUM(COUNTIF(artists!E:E, SPLIT(D69, "",""))) &gt; 0, ""OTHER"", 0)"),"OTHER")</f>
        <v>OTHER</v>
      </c>
    </row>
    <row r="70" spans="1:11" ht="14.25" customHeight="1">
      <c r="A70" s="21">
        <v>69</v>
      </c>
      <c r="B70" s="21">
        <v>63</v>
      </c>
      <c r="C70" s="21" t="s">
        <v>1546</v>
      </c>
      <c r="D70" s="21" t="s">
        <v>1429</v>
      </c>
      <c r="E70" s="21">
        <v>3</v>
      </c>
      <c r="F70" s="21">
        <v>188074</v>
      </c>
      <c r="G70" s="42">
        <v>9.6000000000000002E-2</v>
      </c>
      <c r="H70" s="21" t="s">
        <v>1547</v>
      </c>
      <c r="I70" s="39" t="str">
        <f ca="1">IFERROR(__xludf.DUMMYFUNCTION("IF(SUM(COUNTIF(artists!A:A, SPLIT(D70, "",""))) &gt; 0, ""UA"", 0)"),"UA")</f>
        <v>UA</v>
      </c>
      <c r="J70" s="40">
        <f ca="1">IFERROR(__xludf.DUMMYFUNCTION("IF(SUM(COUNTIF(artists!C:C, SPLIT(D70, "",""))) &gt; 0, ""RU"", 0)"),0)</f>
        <v>0</v>
      </c>
      <c r="K70" s="39">
        <f ca="1">IFERROR(__xludf.DUMMYFUNCTION("IF(SUM(COUNTIF(artists!E:E, SPLIT(D70, "",""))) &gt; 0, ""OTHER"", 0)"),0)</f>
        <v>0</v>
      </c>
    </row>
    <row r="71" spans="1:11" ht="14.25" customHeight="1">
      <c r="A71" s="21">
        <v>70</v>
      </c>
      <c r="C71" s="21" t="s">
        <v>1851</v>
      </c>
      <c r="D71" s="21" t="s">
        <v>1852</v>
      </c>
      <c r="E71" s="21">
        <v>4</v>
      </c>
      <c r="F71" s="21">
        <v>185927</v>
      </c>
      <c r="H71" s="21" t="s">
        <v>1853</v>
      </c>
      <c r="I71" s="39">
        <f ca="1">IFERROR(__xludf.DUMMYFUNCTION("IF(SUM(COUNTIF(artists!A:A, SPLIT(D71, "",""))) &gt; 0, ""UA"", 0)"),0)</f>
        <v>0</v>
      </c>
      <c r="J71" s="40" t="str">
        <f ca="1">IFERROR(__xludf.DUMMYFUNCTION("IF(SUM(COUNTIF(artists!C:C, SPLIT(D71, "",""))) &gt; 0, ""RU"", 0)"),"RU")</f>
        <v>RU</v>
      </c>
      <c r="K71" s="39">
        <f ca="1">IFERROR(__xludf.DUMMYFUNCTION("IF(SUM(COUNTIF(artists!E:E, SPLIT(D71, "",""))) &gt; 0, ""OTHER"", 0)"),0)</f>
        <v>0</v>
      </c>
    </row>
    <row r="72" spans="1:11" ht="14.25" customHeight="1">
      <c r="A72" s="21">
        <v>71</v>
      </c>
      <c r="B72" s="21">
        <v>80</v>
      </c>
      <c r="C72" s="21" t="s">
        <v>597</v>
      </c>
      <c r="D72" s="21" t="s">
        <v>598</v>
      </c>
      <c r="E72" s="21">
        <v>2</v>
      </c>
      <c r="F72" s="21">
        <v>178593</v>
      </c>
      <c r="G72" s="42">
        <v>0.28699999999999998</v>
      </c>
      <c r="H72" s="21" t="s">
        <v>600</v>
      </c>
      <c r="I72" s="39" t="str">
        <f ca="1">IFERROR(__xludf.DUMMYFUNCTION("IF(SUM(COUNTIF(artists!A:A, SPLIT(D72, "",""))) &gt; 0, ""UA"", 0)"),"UA")</f>
        <v>UA</v>
      </c>
      <c r="J72" s="40">
        <f ca="1">IFERROR(__xludf.DUMMYFUNCTION("IF(SUM(COUNTIF(artists!C:C, SPLIT(D72, "",""))) &gt; 0, ""RU"", 0)"),0)</f>
        <v>0</v>
      </c>
      <c r="K72" s="39">
        <f ca="1">IFERROR(__xludf.DUMMYFUNCTION("IF(SUM(COUNTIF(artists!E:E, SPLIT(D72, "",""))) &gt; 0, ""OTHER"", 0)"),0)</f>
        <v>0</v>
      </c>
    </row>
    <row r="73" spans="1:11" ht="14.25" customHeight="1">
      <c r="A73" s="21">
        <v>72</v>
      </c>
      <c r="B73" s="21">
        <v>58</v>
      </c>
      <c r="C73" s="21" t="s">
        <v>1837</v>
      </c>
      <c r="D73" s="21" t="s">
        <v>380</v>
      </c>
      <c r="E73" s="21">
        <v>4</v>
      </c>
      <c r="F73" s="21">
        <v>178500</v>
      </c>
      <c r="G73" s="42">
        <v>-2.3E-2</v>
      </c>
      <c r="H73" s="21" t="s">
        <v>1838</v>
      </c>
      <c r="I73" s="39" t="str">
        <f ca="1">IFERROR(__xludf.DUMMYFUNCTION("IF(SUM(COUNTIF(artists!A:A, SPLIT(D73, "",""))) &gt; 0, ""UA"", 0)"),"UA")</f>
        <v>UA</v>
      </c>
      <c r="J73" s="40">
        <f ca="1">IFERROR(__xludf.DUMMYFUNCTION("IF(SUM(COUNTIF(artists!C:C, SPLIT(D73, "",""))) &gt; 0, ""RU"", 0)"),0)</f>
        <v>0</v>
      </c>
      <c r="K73" s="39">
        <f ca="1">IFERROR(__xludf.DUMMYFUNCTION("IF(SUM(COUNTIF(artists!E:E, SPLIT(D73, "",""))) &gt; 0, ""OTHER"", 0)"),0)</f>
        <v>0</v>
      </c>
    </row>
    <row r="74" spans="1:11" ht="14.25" customHeight="1">
      <c r="A74" s="21">
        <v>73</v>
      </c>
      <c r="B74" s="21">
        <v>56</v>
      </c>
      <c r="C74" s="21" t="s">
        <v>1812</v>
      </c>
      <c r="D74" s="21" t="s">
        <v>133</v>
      </c>
      <c r="E74" s="21">
        <v>7</v>
      </c>
      <c r="F74" s="21">
        <v>176513</v>
      </c>
      <c r="G74" s="42">
        <v>-6.5000000000000002E-2</v>
      </c>
      <c r="H74" s="21" t="s">
        <v>1813</v>
      </c>
      <c r="I74" s="39" t="str">
        <f ca="1">IFERROR(__xludf.DUMMYFUNCTION("IF(SUM(COUNTIF(artists!A:A, SPLIT(D74, "",""))) &gt; 0, ""UA"", 0)"),"UA")</f>
        <v>UA</v>
      </c>
      <c r="J74" s="40">
        <f ca="1">IFERROR(__xludf.DUMMYFUNCTION("IF(SUM(COUNTIF(artists!C:C, SPLIT(D74, "",""))) &gt; 0, ""RU"", 0)"),0)</f>
        <v>0</v>
      </c>
      <c r="K74" s="39">
        <f ca="1">IFERROR(__xludf.DUMMYFUNCTION("IF(SUM(COUNTIF(artists!E:E, SPLIT(D74, "",""))) &gt; 0, ""OTHER"", 0)"),0)</f>
        <v>0</v>
      </c>
    </row>
    <row r="75" spans="1:11" ht="14.25" customHeight="1">
      <c r="A75" s="21">
        <v>74</v>
      </c>
      <c r="B75" s="21">
        <v>66</v>
      </c>
      <c r="C75" s="21" t="s">
        <v>1518</v>
      </c>
      <c r="D75" s="21" t="s">
        <v>108</v>
      </c>
      <c r="E75" s="21">
        <v>9</v>
      </c>
      <c r="F75" s="21">
        <v>175329</v>
      </c>
      <c r="G75" s="42">
        <v>4.5999999999999999E-2</v>
      </c>
      <c r="H75" s="21" t="s">
        <v>1519</v>
      </c>
      <c r="I75" s="39" t="str">
        <f ca="1">IFERROR(__xludf.DUMMYFUNCTION("IF(SUM(COUNTIF(artists!A:A, SPLIT(D75, "",""))) &gt; 0, ""UA"", 0)"),"UA")</f>
        <v>UA</v>
      </c>
      <c r="J75" s="40">
        <f ca="1">IFERROR(__xludf.DUMMYFUNCTION("IF(SUM(COUNTIF(artists!C:C, SPLIT(D75, "",""))) &gt; 0, ""RU"", 0)"),0)</f>
        <v>0</v>
      </c>
      <c r="K75" s="39">
        <f ca="1">IFERROR(__xludf.DUMMYFUNCTION("IF(SUM(COUNTIF(artists!E:E, SPLIT(D75, "",""))) &gt; 0, ""OTHER"", 0)"),0)</f>
        <v>0</v>
      </c>
    </row>
    <row r="76" spans="1:11" ht="14.25" customHeight="1">
      <c r="A76" s="21">
        <v>75</v>
      </c>
      <c r="C76" s="21" t="s">
        <v>1611</v>
      </c>
      <c r="D76" s="21" t="s">
        <v>1612</v>
      </c>
      <c r="E76" s="21">
        <v>1</v>
      </c>
      <c r="F76" s="21">
        <v>174533</v>
      </c>
      <c r="H76" s="21" t="s">
        <v>1613</v>
      </c>
      <c r="I76" s="39" t="str">
        <f ca="1">IFERROR(__xludf.DUMMYFUNCTION("IF(SUM(COUNTIF(artists!A:A, SPLIT(D76, "",""))) &gt; 0, ""UA"", 0)"),"UA")</f>
        <v>UA</v>
      </c>
      <c r="J76" s="40">
        <f ca="1">IFERROR(__xludf.DUMMYFUNCTION("IF(SUM(COUNTIF(artists!C:C, SPLIT(D76, "",""))) &gt; 0, ""RU"", 0)"),0)</f>
        <v>0</v>
      </c>
      <c r="K76" s="39">
        <f ca="1">IFERROR(__xludf.DUMMYFUNCTION("IF(SUM(COUNTIF(artists!E:E, SPLIT(D76, "",""))) &gt; 0, ""OTHER"", 0)"),0)</f>
        <v>0</v>
      </c>
    </row>
    <row r="77" spans="1:11" ht="14.25" customHeight="1">
      <c r="A77" s="21">
        <v>76</v>
      </c>
      <c r="B77" s="21">
        <v>62</v>
      </c>
      <c r="C77" s="21" t="s">
        <v>470</v>
      </c>
      <c r="D77" s="21" t="s">
        <v>598</v>
      </c>
      <c r="E77" s="21">
        <v>19</v>
      </c>
      <c r="F77" s="21">
        <v>172155</v>
      </c>
      <c r="G77" s="42">
        <v>-1.7999999999999999E-2</v>
      </c>
      <c r="H77" s="21" t="s">
        <v>1274</v>
      </c>
      <c r="I77" s="39" t="str">
        <f ca="1">IFERROR(__xludf.DUMMYFUNCTION("IF(SUM(COUNTIF(artists!A:A, SPLIT(D77, "",""))) &gt; 0, ""UA"", 0)"),"UA")</f>
        <v>UA</v>
      </c>
      <c r="J77" s="40">
        <f ca="1">IFERROR(__xludf.DUMMYFUNCTION("IF(SUM(COUNTIF(artists!C:C, SPLIT(D77, "",""))) &gt; 0, ""RU"", 0)"),0)</f>
        <v>0</v>
      </c>
      <c r="K77" s="39">
        <f ca="1">IFERROR(__xludf.DUMMYFUNCTION("IF(SUM(COUNTIF(artists!E:E, SPLIT(D77, "",""))) &gt; 0, ""OTHER"", 0)"),0)</f>
        <v>0</v>
      </c>
    </row>
    <row r="78" spans="1:11" ht="14.25" customHeight="1">
      <c r="A78" s="21">
        <v>77</v>
      </c>
      <c r="B78" s="21">
        <v>69</v>
      </c>
      <c r="C78" s="21" t="s">
        <v>1381</v>
      </c>
      <c r="D78" s="21" t="s">
        <v>969</v>
      </c>
      <c r="E78" s="21">
        <v>8</v>
      </c>
      <c r="F78" s="21">
        <v>170268</v>
      </c>
      <c r="G78" s="42">
        <v>5.1999999999999998E-2</v>
      </c>
      <c r="H78" s="21" t="s">
        <v>1382</v>
      </c>
      <c r="I78" s="39" t="str">
        <f ca="1">IFERROR(__xludf.DUMMYFUNCTION("IF(SUM(COUNTIF(artists!A:A, SPLIT(D78, "",""))) &gt; 0, ""UA"", 0)"),"UA")</f>
        <v>UA</v>
      </c>
      <c r="J78" s="40">
        <f ca="1">IFERROR(__xludf.DUMMYFUNCTION("IF(SUM(COUNTIF(artists!C:C, SPLIT(D78, "",""))) &gt; 0, ""RU"", 0)"),0)</f>
        <v>0</v>
      </c>
      <c r="K78" s="39">
        <f ca="1">IFERROR(__xludf.DUMMYFUNCTION("IF(SUM(COUNTIF(artists!E:E, SPLIT(D78, "",""))) &gt; 0, ""OTHER"", 0)"),0)</f>
        <v>0</v>
      </c>
    </row>
    <row r="79" spans="1:11" ht="14.25" customHeight="1">
      <c r="A79" s="21">
        <v>78</v>
      </c>
      <c r="B79" s="21">
        <v>72</v>
      </c>
      <c r="C79" s="21" t="s">
        <v>229</v>
      </c>
      <c r="D79" s="21" t="s">
        <v>230</v>
      </c>
      <c r="E79" s="21">
        <v>4</v>
      </c>
      <c r="F79" s="21">
        <v>170140</v>
      </c>
      <c r="G79" s="42">
        <v>8.5999999999999993E-2</v>
      </c>
      <c r="H79" s="21" t="s">
        <v>232</v>
      </c>
      <c r="I79" s="39" t="str">
        <f ca="1">IFERROR(__xludf.DUMMYFUNCTION("IF(SUM(COUNTIF(artists!A:A, SPLIT(D79, "",""))) &gt; 0, ""UA"", 0)"),"UA")</f>
        <v>UA</v>
      </c>
      <c r="J79" s="40">
        <f ca="1">IFERROR(__xludf.DUMMYFUNCTION("IF(SUM(COUNTIF(artists!C:C, SPLIT(D79, "",""))) &gt; 0, ""RU"", 0)"),0)</f>
        <v>0</v>
      </c>
      <c r="K79" s="39">
        <f ca="1">IFERROR(__xludf.DUMMYFUNCTION("IF(SUM(COUNTIF(artists!E:E, SPLIT(D79, "",""))) &gt; 0, ""OTHER"", 0)"),0)</f>
        <v>0</v>
      </c>
    </row>
    <row r="80" spans="1:11" ht="14.25" customHeight="1">
      <c r="A80" s="21">
        <v>79</v>
      </c>
      <c r="B80" s="21">
        <v>65</v>
      </c>
      <c r="C80" s="21" t="s">
        <v>1822</v>
      </c>
      <c r="D80" s="21" t="s">
        <v>1823</v>
      </c>
      <c r="E80" s="21">
        <v>7</v>
      </c>
      <c r="F80" s="21">
        <v>167503</v>
      </c>
      <c r="G80" s="42">
        <v>-1.7000000000000001E-2</v>
      </c>
      <c r="H80" s="21" t="s">
        <v>1824</v>
      </c>
      <c r="I80" s="39" t="str">
        <f ca="1">IFERROR(__xludf.DUMMYFUNCTION("IF(SUM(COUNTIF(artists!A:A, SPLIT(D80, "",""))) &gt; 0, ""UA"", 0)"),"UA")</f>
        <v>UA</v>
      </c>
      <c r="J80" s="40">
        <f ca="1">IFERROR(__xludf.DUMMYFUNCTION("IF(SUM(COUNTIF(artists!C:C, SPLIT(D80, "",""))) &gt; 0, ""RU"", 0)"),0)</f>
        <v>0</v>
      </c>
      <c r="K80" s="39">
        <f ca="1">IFERROR(__xludf.DUMMYFUNCTION("IF(SUM(COUNTIF(artists!E:E, SPLIT(D80, "",""))) &gt; 0, ""OTHER"", 0)"),0)</f>
        <v>0</v>
      </c>
    </row>
    <row r="81" spans="1:11" ht="14.25" customHeight="1">
      <c r="A81" s="21">
        <v>80</v>
      </c>
      <c r="B81" s="21">
        <v>93</v>
      </c>
      <c r="C81" s="21" t="s">
        <v>1690</v>
      </c>
      <c r="D81" s="21" t="s">
        <v>259</v>
      </c>
      <c r="E81" s="21">
        <v>2</v>
      </c>
      <c r="F81" s="21">
        <v>166856</v>
      </c>
      <c r="G81" s="42">
        <v>0.27500000000000002</v>
      </c>
      <c r="H81" s="21" t="s">
        <v>1691</v>
      </c>
      <c r="I81" s="39" t="str">
        <f ca="1">IFERROR(__xludf.DUMMYFUNCTION("IF(SUM(COUNTIF(artists!A:A, SPLIT(D81, "",""))) &gt; 0, ""UA"", 0)"),"UA")</f>
        <v>UA</v>
      </c>
      <c r="J81" s="40">
        <f ca="1">IFERROR(__xludf.DUMMYFUNCTION("IF(SUM(COUNTIF(artists!C:C, SPLIT(D81, "",""))) &gt; 0, ""RU"", 0)"),0)</f>
        <v>0</v>
      </c>
      <c r="K81" s="39">
        <f ca="1">IFERROR(__xludf.DUMMYFUNCTION("IF(SUM(COUNTIF(artists!E:E, SPLIT(D81, "",""))) &gt; 0, ""OTHER"", 0)"),0)</f>
        <v>0</v>
      </c>
    </row>
    <row r="82" spans="1:11" ht="14.25" customHeight="1">
      <c r="A82" s="21">
        <v>81</v>
      </c>
      <c r="B82" s="21">
        <v>70</v>
      </c>
      <c r="C82" s="21" t="s">
        <v>1788</v>
      </c>
      <c r="D82" s="21" t="s">
        <v>1789</v>
      </c>
      <c r="E82" s="21">
        <v>3</v>
      </c>
      <c r="F82" s="21">
        <v>163077</v>
      </c>
      <c r="G82" s="42">
        <v>2.8000000000000001E-2</v>
      </c>
      <c r="H82" s="21" t="s">
        <v>1790</v>
      </c>
      <c r="I82" s="39" t="str">
        <f ca="1">IFERROR(__xludf.DUMMYFUNCTION("IF(SUM(COUNTIF(artists!A:A, SPLIT(D82, "",""))) &gt; 0, ""UA"", 0)"),"UA")</f>
        <v>UA</v>
      </c>
      <c r="J82" s="40">
        <f ca="1">IFERROR(__xludf.DUMMYFUNCTION("IF(SUM(COUNTIF(artists!C:C, SPLIT(D82, "",""))) &gt; 0, ""RU"", 0)"),0)</f>
        <v>0</v>
      </c>
      <c r="K82" s="39">
        <f ca="1">IFERROR(__xludf.DUMMYFUNCTION("IF(SUM(COUNTIF(artists!E:E, SPLIT(D82, "",""))) &gt; 0, ""OTHER"", 0)"),0)</f>
        <v>0</v>
      </c>
    </row>
    <row r="83" spans="1:11" ht="14.25" customHeight="1">
      <c r="A83" s="21">
        <v>82</v>
      </c>
      <c r="B83" s="21">
        <v>73</v>
      </c>
      <c r="C83" s="21" t="s">
        <v>1820</v>
      </c>
      <c r="D83" s="21" t="s">
        <v>1439</v>
      </c>
      <c r="E83" s="21">
        <v>5</v>
      </c>
      <c r="F83" s="21">
        <v>162134</v>
      </c>
      <c r="G83" s="43">
        <v>0.04</v>
      </c>
      <c r="H83" s="21" t="s">
        <v>1821</v>
      </c>
      <c r="I83" s="39" t="str">
        <f ca="1">IFERROR(__xludf.DUMMYFUNCTION("IF(SUM(COUNTIF(artists!A:A, SPLIT(D83, "",""))) &gt; 0, ""UA"", 0)"),"UA")</f>
        <v>UA</v>
      </c>
      <c r="J83" s="40">
        <f ca="1">IFERROR(__xludf.DUMMYFUNCTION("IF(SUM(COUNTIF(artists!C:C, SPLIT(D83, "",""))) &gt; 0, ""RU"", 0)"),0)</f>
        <v>0</v>
      </c>
      <c r="K83" s="39">
        <f ca="1">IFERROR(__xludf.DUMMYFUNCTION("IF(SUM(COUNTIF(artists!E:E, SPLIT(D83, "",""))) &gt; 0, ""OTHER"", 0)"),0)</f>
        <v>0</v>
      </c>
    </row>
    <row r="84" spans="1:11" ht="14.25" customHeight="1">
      <c r="A84" s="21">
        <v>83</v>
      </c>
      <c r="B84" s="21">
        <v>71</v>
      </c>
      <c r="C84" s="21" t="s">
        <v>1670</v>
      </c>
      <c r="D84" s="21" t="s">
        <v>969</v>
      </c>
      <c r="E84" s="21">
        <v>17</v>
      </c>
      <c r="F84" s="21">
        <v>161819</v>
      </c>
      <c r="G84" s="42">
        <v>2.7E-2</v>
      </c>
      <c r="H84" s="21" t="s">
        <v>1671</v>
      </c>
      <c r="I84" s="39" t="str">
        <f ca="1">IFERROR(__xludf.DUMMYFUNCTION("IF(SUM(COUNTIF(artists!A:A, SPLIT(D84, "",""))) &gt; 0, ""UA"", 0)"),"UA")</f>
        <v>UA</v>
      </c>
      <c r="J84" s="40">
        <f ca="1">IFERROR(__xludf.DUMMYFUNCTION("IF(SUM(COUNTIF(artists!C:C, SPLIT(D84, "",""))) &gt; 0, ""RU"", 0)"),0)</f>
        <v>0</v>
      </c>
      <c r="K84" s="39">
        <f ca="1">IFERROR(__xludf.DUMMYFUNCTION("IF(SUM(COUNTIF(artists!E:E, SPLIT(D84, "",""))) &gt; 0, ""OTHER"", 0)"),0)</f>
        <v>0</v>
      </c>
    </row>
    <row r="85" spans="1:11" ht="14.25" customHeight="1">
      <c r="A85" s="21">
        <v>84</v>
      </c>
      <c r="B85" s="21">
        <v>64</v>
      </c>
      <c r="C85" s="21" t="s">
        <v>1842</v>
      </c>
      <c r="D85" s="21" t="s">
        <v>1843</v>
      </c>
      <c r="E85" s="21">
        <v>7</v>
      </c>
      <c r="F85" s="21">
        <v>161726</v>
      </c>
      <c r="G85" s="42">
        <v>-5.7000000000000002E-2</v>
      </c>
      <c r="H85" s="21" t="s">
        <v>1844</v>
      </c>
      <c r="I85" s="39">
        <f ca="1">IFERROR(__xludf.DUMMYFUNCTION("IF(SUM(COUNTIF(artists!A:A, SPLIT(D85, "",""))) &gt; 0, ""UA"", 0)"),0)</f>
        <v>0</v>
      </c>
      <c r="J85" s="40" t="str">
        <f ca="1">IFERROR(__xludf.DUMMYFUNCTION("IF(SUM(COUNTIF(artists!C:C, SPLIT(D85, "",""))) &gt; 0, ""RU"", 0)"),"RU")</f>
        <v>RU</v>
      </c>
      <c r="K85" s="39">
        <f ca="1">IFERROR(__xludf.DUMMYFUNCTION("IF(SUM(COUNTIF(artists!E:E, SPLIT(D85, "",""))) &gt; 0, ""OTHER"", 0)"),0)</f>
        <v>0</v>
      </c>
    </row>
    <row r="86" spans="1:11" ht="14.25" customHeight="1">
      <c r="A86" s="21">
        <v>85</v>
      </c>
      <c r="B86" s="21">
        <v>55</v>
      </c>
      <c r="C86" s="21" t="s">
        <v>1854</v>
      </c>
      <c r="D86" s="21" t="s">
        <v>1503</v>
      </c>
      <c r="E86" s="21">
        <v>4</v>
      </c>
      <c r="F86" s="21">
        <v>155844</v>
      </c>
      <c r="G86" s="42">
        <v>-0.21299999999999999</v>
      </c>
      <c r="H86" s="21" t="s">
        <v>1855</v>
      </c>
      <c r="I86" s="39" t="str">
        <f ca="1">IFERROR(__xludf.DUMMYFUNCTION("IF(SUM(COUNTIF(artists!A:A, SPLIT(D86, "",""))) &gt; 0, ""UA"", 0)"),"UA")</f>
        <v>UA</v>
      </c>
      <c r="J86" s="40">
        <f ca="1">IFERROR(__xludf.DUMMYFUNCTION("IF(SUM(COUNTIF(artists!C:C, SPLIT(D86, "",""))) &gt; 0, ""RU"", 0)"),0)</f>
        <v>0</v>
      </c>
      <c r="K86" s="39">
        <f ca="1">IFERROR(__xludf.DUMMYFUNCTION("IF(SUM(COUNTIF(artists!E:E, SPLIT(D86, "",""))) &gt; 0, ""OTHER"", 0)"),0)</f>
        <v>0</v>
      </c>
    </row>
    <row r="87" spans="1:11" ht="14.25" customHeight="1">
      <c r="A87" s="21">
        <v>86</v>
      </c>
      <c r="B87" s="21">
        <v>100</v>
      </c>
      <c r="C87" s="21" t="s">
        <v>316</v>
      </c>
      <c r="D87" s="21" t="s">
        <v>317</v>
      </c>
      <c r="E87" s="21">
        <v>2</v>
      </c>
      <c r="F87" s="21">
        <v>155453</v>
      </c>
      <c r="G87" s="42">
        <v>0.24399999999999999</v>
      </c>
      <c r="H87" s="21" t="s">
        <v>319</v>
      </c>
      <c r="I87" s="39" t="str">
        <f ca="1">IFERROR(__xludf.DUMMYFUNCTION("IF(SUM(COUNTIF(artists!A:A, SPLIT(D87, "",""))) &gt; 0, ""UA"", 0)"),"UA")</f>
        <v>UA</v>
      </c>
      <c r="J87" s="40">
        <f ca="1">IFERROR(__xludf.DUMMYFUNCTION("IF(SUM(COUNTIF(artists!C:C, SPLIT(D87, "",""))) &gt; 0, ""RU"", 0)"),0)</f>
        <v>0</v>
      </c>
      <c r="K87" s="39">
        <f ca="1">IFERROR(__xludf.DUMMYFUNCTION("IF(SUM(COUNTIF(artists!E:E, SPLIT(D87, "",""))) &gt; 0, ""OTHER"", 0)"),0)</f>
        <v>0</v>
      </c>
    </row>
    <row r="88" spans="1:11" ht="14.25" customHeight="1">
      <c r="A88" s="21">
        <v>87</v>
      </c>
      <c r="B88" s="21">
        <v>75</v>
      </c>
      <c r="C88" s="21" t="s">
        <v>1007</v>
      </c>
      <c r="D88" s="21" t="s">
        <v>1008</v>
      </c>
      <c r="E88" s="21">
        <v>8</v>
      </c>
      <c r="F88" s="21">
        <v>154894</v>
      </c>
      <c r="G88" s="42">
        <v>1.7999999999999999E-2</v>
      </c>
      <c r="H88" s="21" t="s">
        <v>1009</v>
      </c>
      <c r="I88" s="39">
        <f ca="1">IFERROR(__xludf.DUMMYFUNCTION("IF(SUM(COUNTIF(artists!A:A, SPLIT(D88, "",""))) &gt; 0, ""UA"", 0)"),0)</f>
        <v>0</v>
      </c>
      <c r="J88" s="40" t="str">
        <f ca="1">IFERROR(__xludf.DUMMYFUNCTION("IF(SUM(COUNTIF(artists!C:C, SPLIT(D88, "",""))) &gt; 0, ""RU"", 0)"),"RU")</f>
        <v>RU</v>
      </c>
      <c r="K88" s="39">
        <f ca="1">IFERROR(__xludf.DUMMYFUNCTION("IF(SUM(COUNTIF(artists!E:E, SPLIT(D88, "",""))) &gt; 0, ""OTHER"", 0)"),0)</f>
        <v>0</v>
      </c>
    </row>
    <row r="89" spans="1:11" ht="14.25" customHeight="1">
      <c r="A89" s="21">
        <v>88</v>
      </c>
      <c r="B89" s="21">
        <v>57</v>
      </c>
      <c r="C89" s="21" t="s">
        <v>1856</v>
      </c>
      <c r="D89" s="21" t="s">
        <v>125</v>
      </c>
      <c r="E89" s="21">
        <v>3</v>
      </c>
      <c r="F89" s="21">
        <v>154799</v>
      </c>
      <c r="G89" s="42">
        <v>-0.156</v>
      </c>
      <c r="H89" s="21" t="s">
        <v>1857</v>
      </c>
      <c r="I89" s="39">
        <f ca="1">IFERROR(__xludf.DUMMYFUNCTION("IF(SUM(COUNTIF(artists!A:A, SPLIT(D89, "",""))) &gt; 0, ""UA"", 0)"),0)</f>
        <v>0</v>
      </c>
      <c r="J89" s="40" t="str">
        <f ca="1">IFERROR(__xludf.DUMMYFUNCTION("IF(SUM(COUNTIF(artists!C:C, SPLIT(D89, "",""))) &gt; 0, ""RU"", 0)"),"RU")</f>
        <v>RU</v>
      </c>
      <c r="K89" s="39">
        <f ca="1">IFERROR(__xludf.DUMMYFUNCTION("IF(SUM(COUNTIF(artists!E:E, SPLIT(D89, "",""))) &gt; 0, ""OTHER"", 0)"),0)</f>
        <v>0</v>
      </c>
    </row>
    <row r="90" spans="1:11" ht="14.25" customHeight="1">
      <c r="A90" s="21">
        <v>89</v>
      </c>
      <c r="C90" s="21" t="s">
        <v>632</v>
      </c>
      <c r="D90" s="21" t="s">
        <v>633</v>
      </c>
      <c r="E90" s="21">
        <v>1</v>
      </c>
      <c r="F90" s="21">
        <v>152510</v>
      </c>
      <c r="H90" s="21" t="s">
        <v>634</v>
      </c>
      <c r="I90" s="39" t="str">
        <f ca="1">IFERROR(__xludf.DUMMYFUNCTION("IF(SUM(COUNTIF(artists!A:A, SPLIT(D90, "",""))) &gt; 0, ""UA"", 0)"),"UA")</f>
        <v>UA</v>
      </c>
      <c r="J90" s="40">
        <f ca="1">IFERROR(__xludf.DUMMYFUNCTION("IF(SUM(COUNTIF(artists!C:C, SPLIT(D90, "",""))) &gt; 0, ""RU"", 0)"),0)</f>
        <v>0</v>
      </c>
      <c r="K90" s="39">
        <f ca="1">IFERROR(__xludf.DUMMYFUNCTION("IF(SUM(COUNTIF(artists!E:E, SPLIT(D90, "",""))) &gt; 0, ""OTHER"", 0)"),0)</f>
        <v>0</v>
      </c>
    </row>
    <row r="91" spans="1:11" ht="14.25" customHeight="1">
      <c r="A91" s="21">
        <v>90</v>
      </c>
      <c r="B91" s="21">
        <v>74</v>
      </c>
      <c r="C91" s="21" t="s">
        <v>1601</v>
      </c>
      <c r="D91" s="21" t="s">
        <v>1602</v>
      </c>
      <c r="E91" s="21">
        <v>10</v>
      </c>
      <c r="F91" s="21">
        <v>150320</v>
      </c>
      <c r="G91" s="42">
        <v>-2.1999999999999999E-2</v>
      </c>
      <c r="H91" s="21" t="s">
        <v>1603</v>
      </c>
      <c r="I91" s="39">
        <f ca="1">IFERROR(__xludf.DUMMYFUNCTION("IF(SUM(COUNTIF(artists!A:A, SPLIT(D91, "",""))) &gt; 0, ""UA"", 0)"),0)</f>
        <v>0</v>
      </c>
      <c r="J91" s="40" t="str">
        <f ca="1">IFERROR(__xludf.DUMMYFUNCTION("IF(SUM(COUNTIF(artists!C:C, SPLIT(D91, "",""))) &gt; 0, ""RU"", 0)"),"RU")</f>
        <v>RU</v>
      </c>
      <c r="K91" s="39">
        <f ca="1">IFERROR(__xludf.DUMMYFUNCTION("IF(SUM(COUNTIF(artists!E:E, SPLIT(D91, "",""))) &gt; 0, ""OTHER"", 0)"),0)</f>
        <v>0</v>
      </c>
    </row>
    <row r="92" spans="1:11" ht="14.25" customHeight="1">
      <c r="A92" s="21">
        <v>91</v>
      </c>
      <c r="C92" s="21" t="s">
        <v>1622</v>
      </c>
      <c r="D92" s="21" t="s">
        <v>137</v>
      </c>
      <c r="E92" s="21">
        <v>11</v>
      </c>
      <c r="F92" s="21">
        <v>146727</v>
      </c>
      <c r="H92" s="21" t="s">
        <v>1623</v>
      </c>
      <c r="I92" s="39" t="str">
        <f ca="1">IFERROR(__xludf.DUMMYFUNCTION("IF(SUM(COUNTIF(artists!A:A, SPLIT(D92, "",""))) &gt; 0, ""UA"", 0)"),"UA")</f>
        <v>UA</v>
      </c>
      <c r="J92" s="40">
        <f ca="1">IFERROR(__xludf.DUMMYFUNCTION("IF(SUM(COUNTIF(artists!C:C, SPLIT(D92, "",""))) &gt; 0, ""RU"", 0)"),0)</f>
        <v>0</v>
      </c>
      <c r="K92" s="39">
        <f ca="1">IFERROR(__xludf.DUMMYFUNCTION("IF(SUM(COUNTIF(artists!E:E, SPLIT(D92, "",""))) &gt; 0, ""OTHER"", 0)"),0)</f>
        <v>0</v>
      </c>
    </row>
    <row r="93" spans="1:11" ht="14.25" customHeight="1">
      <c r="A93" s="21">
        <v>92</v>
      </c>
      <c r="C93" s="21" t="s">
        <v>579</v>
      </c>
      <c r="D93" s="21" t="s">
        <v>183</v>
      </c>
      <c r="E93" s="21">
        <v>1</v>
      </c>
      <c r="F93" s="21">
        <v>146570</v>
      </c>
      <c r="H93" s="21" t="s">
        <v>580</v>
      </c>
      <c r="I93" s="39" t="str">
        <f ca="1">IFERROR(__xludf.DUMMYFUNCTION("IF(SUM(COUNTIF(artists!A:A, SPLIT(D93, "",""))) &gt; 0, ""UA"", 0)"),"UA")</f>
        <v>UA</v>
      </c>
      <c r="J93" s="40">
        <f ca="1">IFERROR(__xludf.DUMMYFUNCTION("IF(SUM(COUNTIF(artists!C:C, SPLIT(D93, "",""))) &gt; 0, ""RU"", 0)"),0)</f>
        <v>0</v>
      </c>
      <c r="K93" s="39">
        <f ca="1">IFERROR(__xludf.DUMMYFUNCTION("IF(SUM(COUNTIF(artists!E:E, SPLIT(D93, "",""))) &gt; 0, ""OTHER"", 0)"),0)</f>
        <v>0</v>
      </c>
    </row>
    <row r="94" spans="1:11" ht="14.25" customHeight="1">
      <c r="A94" s="21">
        <v>93</v>
      </c>
      <c r="B94" s="21">
        <v>95</v>
      </c>
      <c r="C94" s="21" t="s">
        <v>1395</v>
      </c>
      <c r="D94" s="21" t="s">
        <v>1396</v>
      </c>
      <c r="E94" s="21">
        <v>23</v>
      </c>
      <c r="F94" s="21">
        <v>145677</v>
      </c>
      <c r="G94" s="42">
        <v>0.13100000000000001</v>
      </c>
      <c r="H94" s="21" t="s">
        <v>1397</v>
      </c>
      <c r="I94" s="39" t="str">
        <f ca="1">IFERROR(__xludf.DUMMYFUNCTION("IF(SUM(COUNTIF(artists!A:A, SPLIT(D94, "",""))) &gt; 0, ""UA"", 0)"),"UA")</f>
        <v>UA</v>
      </c>
      <c r="J94" s="40">
        <f ca="1">IFERROR(__xludf.DUMMYFUNCTION("IF(SUM(COUNTIF(artists!C:C, SPLIT(D94, "",""))) &gt; 0, ""RU"", 0)"),0)</f>
        <v>0</v>
      </c>
      <c r="K94" s="39">
        <f ca="1">IFERROR(__xludf.DUMMYFUNCTION("IF(SUM(COUNTIF(artists!E:E, SPLIT(D94, "",""))) &gt; 0, ""OTHER"", 0)"),0)</f>
        <v>0</v>
      </c>
    </row>
    <row r="95" spans="1:11" ht="14.25" customHeight="1">
      <c r="A95" s="21">
        <v>94</v>
      </c>
      <c r="B95" s="21">
        <v>89</v>
      </c>
      <c r="C95" s="21" t="s">
        <v>489</v>
      </c>
      <c r="D95" s="21" t="s">
        <v>490</v>
      </c>
      <c r="E95" s="21">
        <v>5</v>
      </c>
      <c r="F95" s="21">
        <v>141930</v>
      </c>
      <c r="G95" s="42">
        <v>6.3E-2</v>
      </c>
      <c r="H95" s="21" t="s">
        <v>491</v>
      </c>
      <c r="I95" s="39" t="str">
        <f ca="1">IFERROR(__xludf.DUMMYFUNCTION("IF(SUM(COUNTIF(artists!A:A, SPLIT(D95, "",""))) &gt; 0, ""UA"", 0)"),"UA")</f>
        <v>UA</v>
      </c>
      <c r="J95" s="40">
        <f ca="1">IFERROR(__xludf.DUMMYFUNCTION("IF(SUM(COUNTIF(artists!C:C, SPLIT(D95, "",""))) &gt; 0, ""RU"", 0)"),0)</f>
        <v>0</v>
      </c>
      <c r="K95" s="39">
        <f ca="1">IFERROR(__xludf.DUMMYFUNCTION("IF(SUM(COUNTIF(artists!E:E, SPLIT(D95, "",""))) &gt; 0, ""OTHER"", 0)"),0)</f>
        <v>0</v>
      </c>
    </row>
    <row r="96" spans="1:11" ht="14.25" customHeight="1">
      <c r="A96" s="21">
        <v>95</v>
      </c>
      <c r="B96" s="21">
        <v>77</v>
      </c>
      <c r="C96" s="21" t="s">
        <v>1858</v>
      </c>
      <c r="D96" s="21" t="s">
        <v>1859</v>
      </c>
      <c r="E96" s="21">
        <v>8</v>
      </c>
      <c r="F96" s="21">
        <v>140818</v>
      </c>
      <c r="G96" s="42">
        <v>-3.5999999999999997E-2</v>
      </c>
      <c r="H96" s="21" t="s">
        <v>1860</v>
      </c>
      <c r="I96" s="39">
        <f ca="1">IFERROR(__xludf.DUMMYFUNCTION("IF(SUM(COUNTIF(artists!A:A, SPLIT(D96, "",""))) &gt; 0, ""UA"", 0)"),0)</f>
        <v>0</v>
      </c>
      <c r="J96" s="40" t="str">
        <f ca="1">IFERROR(__xludf.DUMMYFUNCTION("IF(SUM(COUNTIF(artists!C:C, SPLIT(D96, "",""))) &gt; 0, ""RU"", 0)"),"RU")</f>
        <v>RU</v>
      </c>
      <c r="K96" s="39">
        <f ca="1">IFERROR(__xludf.DUMMYFUNCTION("IF(SUM(COUNTIF(artists!E:E, SPLIT(D96, "",""))) &gt; 0, ""OTHER"", 0)"),0)</f>
        <v>0</v>
      </c>
    </row>
    <row r="97" spans="1:11" ht="14.25" customHeight="1">
      <c r="A97" s="21">
        <v>96</v>
      </c>
      <c r="B97" s="21">
        <v>83</v>
      </c>
      <c r="C97" s="21" t="s">
        <v>1861</v>
      </c>
      <c r="D97" s="21" t="s">
        <v>409</v>
      </c>
      <c r="E97" s="21">
        <v>7</v>
      </c>
      <c r="F97" s="21">
        <v>139473</v>
      </c>
      <c r="G97" s="42">
        <v>2.3E-2</v>
      </c>
      <c r="H97" s="21" t="s">
        <v>1862</v>
      </c>
      <c r="I97" s="39" t="str">
        <f ca="1">IFERROR(__xludf.DUMMYFUNCTION("IF(SUM(COUNTIF(artists!A:A, SPLIT(D97, "",""))) &gt; 0, ""UA"", 0)"),"UA")</f>
        <v>UA</v>
      </c>
      <c r="J97" s="40">
        <f ca="1">IFERROR(__xludf.DUMMYFUNCTION("IF(SUM(COUNTIF(artists!C:C, SPLIT(D97, "",""))) &gt; 0, ""RU"", 0)"),0)</f>
        <v>0</v>
      </c>
      <c r="K97" s="39">
        <f ca="1">IFERROR(__xludf.DUMMYFUNCTION("IF(SUM(COUNTIF(artists!E:E, SPLIT(D97, "",""))) &gt; 0, ""OTHER"", 0)"),0)</f>
        <v>0</v>
      </c>
    </row>
    <row r="98" spans="1:11" ht="14.25" customHeight="1">
      <c r="A98" s="21">
        <v>97</v>
      </c>
      <c r="B98" s="21">
        <v>79</v>
      </c>
      <c r="C98" s="21" t="s">
        <v>1863</v>
      </c>
      <c r="D98" s="21" t="s">
        <v>1660</v>
      </c>
      <c r="E98" s="21">
        <v>13</v>
      </c>
      <c r="F98" s="21">
        <v>138605</v>
      </c>
      <c r="G98" s="43">
        <v>-0.01</v>
      </c>
      <c r="H98" s="21" t="s">
        <v>1864</v>
      </c>
      <c r="I98" s="39">
        <f ca="1">IFERROR(__xludf.DUMMYFUNCTION("IF(SUM(COUNTIF(artists!A:A, SPLIT(D98, "",""))) &gt; 0, ""UA"", 0)"),0)</f>
        <v>0</v>
      </c>
      <c r="J98" s="40" t="str">
        <f ca="1">IFERROR(__xludf.DUMMYFUNCTION("IF(SUM(COUNTIF(artists!C:C, SPLIT(D98, "",""))) &gt; 0, ""RU"", 0)"),"RU")</f>
        <v>RU</v>
      </c>
      <c r="K98" s="39">
        <f ca="1">IFERROR(__xludf.DUMMYFUNCTION("IF(SUM(COUNTIF(artists!E:E, SPLIT(D98, "",""))) &gt; 0, ""OTHER"", 0)"),0)</f>
        <v>0</v>
      </c>
    </row>
    <row r="99" spans="1:11" ht="14.25" customHeight="1">
      <c r="A99" s="21">
        <v>98</v>
      </c>
      <c r="B99" s="21">
        <v>76</v>
      </c>
      <c r="C99" s="21" t="s">
        <v>1839</v>
      </c>
      <c r="D99" s="21" t="s">
        <v>1840</v>
      </c>
      <c r="E99" s="21">
        <v>13</v>
      </c>
      <c r="F99" s="21">
        <v>138600</v>
      </c>
      <c r="G99" s="42">
        <v>-7.8E-2</v>
      </c>
      <c r="H99" s="21" t="s">
        <v>1841</v>
      </c>
      <c r="I99" s="39">
        <f ca="1">IFERROR(__xludf.DUMMYFUNCTION("IF(SUM(COUNTIF(artists!A:A, SPLIT(D99, "",""))) &gt; 0, ""UA"", 0)"),0)</f>
        <v>0</v>
      </c>
      <c r="J99" s="40" t="str">
        <f ca="1">IFERROR(__xludf.DUMMYFUNCTION("IF(SUM(COUNTIF(artists!C:C, SPLIT(D99, "",""))) &gt; 0, ""RU"", 0)"),"RU")</f>
        <v>RU</v>
      </c>
      <c r="K99" s="39">
        <f ca="1">IFERROR(__xludf.DUMMYFUNCTION("IF(SUM(COUNTIF(artists!E:E, SPLIT(D99, "",""))) &gt; 0, ""OTHER"", 0)"),0)</f>
        <v>0</v>
      </c>
    </row>
    <row r="100" spans="1:11" ht="14.25" customHeight="1">
      <c r="A100" s="21">
        <v>99</v>
      </c>
      <c r="C100" s="21" t="s">
        <v>178</v>
      </c>
      <c r="D100" s="21" t="s">
        <v>179</v>
      </c>
      <c r="E100" s="21">
        <v>1</v>
      </c>
      <c r="F100" s="21">
        <v>137122</v>
      </c>
      <c r="H100" s="21" t="s">
        <v>181</v>
      </c>
      <c r="I100" s="39" t="str">
        <f ca="1">IFERROR(__xludf.DUMMYFUNCTION("IF(SUM(COUNTIF(artists!A:A, SPLIT(D100, "",""))) &gt; 0, ""UA"", 0)"),"UA")</f>
        <v>UA</v>
      </c>
      <c r="J100" s="40">
        <f ca="1">IFERROR(__xludf.DUMMYFUNCTION("IF(SUM(COUNTIF(artists!C:C, SPLIT(D100, "",""))) &gt; 0, ""RU"", 0)"),0)</f>
        <v>0</v>
      </c>
      <c r="K100" s="39">
        <f ca="1">IFERROR(__xludf.DUMMYFUNCTION("IF(SUM(COUNTIF(artists!E:E, SPLIT(D100, "",""))) &gt; 0, ""OTHER"", 0)"),0)</f>
        <v>0</v>
      </c>
    </row>
    <row r="101" spans="1:11" ht="14.25" customHeight="1">
      <c r="A101" s="21">
        <v>100</v>
      </c>
      <c r="B101" s="21">
        <v>88</v>
      </c>
      <c r="C101" s="21" t="s">
        <v>1865</v>
      </c>
      <c r="D101" s="21" t="s">
        <v>1646</v>
      </c>
      <c r="E101" s="21">
        <v>18</v>
      </c>
      <c r="F101" s="21">
        <v>137020</v>
      </c>
      <c r="G101" s="42">
        <v>2.5999999999999999E-2</v>
      </c>
      <c r="H101" s="21" t="s">
        <v>1866</v>
      </c>
      <c r="I101" s="39">
        <f ca="1">IFERROR(__xludf.DUMMYFUNCTION("IF(SUM(COUNTIF(artists!A:A, SPLIT(D101, "",""))) &gt; 0, ""UA"", 0)"),0)</f>
        <v>0</v>
      </c>
      <c r="J101" s="40" t="str">
        <f ca="1">IFERROR(__xludf.DUMMYFUNCTION("IF(SUM(COUNTIF(artists!C:C, SPLIT(D101, "",""))) &gt; 0, ""RU"", 0)"),"RU")</f>
        <v>RU</v>
      </c>
      <c r="K101" s="39">
        <f ca="1">IFERROR(__xludf.DUMMYFUNCTION("IF(SUM(COUNTIF(artists!E:E, SPLIT(D101, "",""))) &gt; 0, ""OTHER"", 0)"),0)</f>
        <v>0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29" priority="1">
      <formula>AND($I2=0, $J2=0, $K2=0)</formula>
    </cfRule>
    <cfRule type="expression" dxfId="28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sheetPr codeName="Аркуш49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4" width="8.6640625" customWidth="1"/>
    <col min="5" max="5" width="8.6640625" hidden="1" customWidth="1"/>
    <col min="6" max="6" width="8.6640625" customWidth="1"/>
    <col min="7" max="7" width="13.10937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C2" s="21" t="s">
        <v>1668</v>
      </c>
      <c r="D2" s="21" t="s">
        <v>1358</v>
      </c>
      <c r="E2" s="21">
        <v>1</v>
      </c>
      <c r="F2" s="21">
        <v>1226252</v>
      </c>
      <c r="H2" s="21" t="s">
        <v>1669</v>
      </c>
      <c r="I2" s="39" t="str">
        <f ca="1">IFERROR(__xludf.DUMMYFUNCTION("IF(SUM(COUNTIF(artists!A:A, SPLIT(D2, "",""))) &gt; 0, ""UA"", 0)"),"UA")</f>
        <v>UA</v>
      </c>
      <c r="J2" s="40">
        <f ca="1">IFERROR(__xludf.DUMMYFUNCTION("IF(SUM(COUNTIF(artists!C:C, SPLIT(D2, "",""))) &gt; 0, ""RU"", 0)"),0)</f>
        <v>0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B3" s="21">
        <v>2</v>
      </c>
      <c r="C3" s="21" t="s">
        <v>1496</v>
      </c>
      <c r="D3" s="21" t="s">
        <v>969</v>
      </c>
      <c r="E3" s="21">
        <v>46</v>
      </c>
      <c r="F3" s="21">
        <v>1133182</v>
      </c>
      <c r="G3" s="42">
        <v>0.191</v>
      </c>
      <c r="H3" s="21" t="s">
        <v>1497</v>
      </c>
      <c r="I3" s="39" t="str">
        <f ca="1">IFERROR(__xludf.DUMMYFUNCTION("IF(SUM(COUNTIF(artists!A:A, SPLIT(D3, "",""))) &gt; 0, ""UA"", 0)"),"UA")</f>
        <v>UA</v>
      </c>
      <c r="J3" s="40">
        <f ca="1">IFERROR(__xludf.DUMMYFUNCTION("IF(SUM(COUNTIF(artists!C:C, SPLIT(D3, "",""))) &gt; 0, ""RU"", 0)"),0)</f>
        <v>0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B4" s="21">
        <v>3</v>
      </c>
      <c r="C4" s="21" t="s">
        <v>895</v>
      </c>
      <c r="D4" s="21" t="s">
        <v>896</v>
      </c>
      <c r="E4" s="21">
        <v>8</v>
      </c>
      <c r="F4" s="21">
        <v>1072349</v>
      </c>
      <c r="G4" s="42">
        <v>0.13400000000000001</v>
      </c>
      <c r="H4" s="21" t="s">
        <v>897</v>
      </c>
      <c r="I4" s="39" t="str">
        <f ca="1">IFERROR(__xludf.DUMMYFUNCTION("IF(SUM(COUNTIF(artists!A:A, SPLIT(D4, "",""))) &gt; 0, ""UA"", 0)"),"UA")</f>
        <v>UA</v>
      </c>
      <c r="J4" s="40">
        <f ca="1">IFERROR(__xludf.DUMMYFUNCTION("IF(SUM(COUNTIF(artists!C:C, SPLIT(D4, "",""))) &gt; 0, ""RU"", 0)"),0)</f>
        <v>0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B5" s="21">
        <v>1</v>
      </c>
      <c r="C5" s="21" t="s">
        <v>645</v>
      </c>
      <c r="D5" s="21" t="s">
        <v>352</v>
      </c>
      <c r="E5" s="21">
        <v>9</v>
      </c>
      <c r="F5" s="21">
        <v>1063302</v>
      </c>
      <c r="G5" s="42">
        <v>1.2E-2</v>
      </c>
      <c r="H5" s="21" t="s">
        <v>647</v>
      </c>
      <c r="I5" s="39" t="str">
        <f ca="1">IFERROR(__xludf.DUMMYFUNCTION("IF(SUM(COUNTIF(artists!A:A, SPLIT(D5, "",""))) &gt; 0, ""UA"", 0)"),"UA")</f>
        <v>UA</v>
      </c>
      <c r="J5" s="40">
        <f ca="1">IFERROR(__xludf.DUMMYFUNCTION("IF(SUM(COUNTIF(artists!C:C, SPLIT(D5, "",""))) &gt; 0, ""RU"", 0)"),0)</f>
        <v>0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C6" s="21" t="s">
        <v>1805</v>
      </c>
      <c r="D6" s="21" t="s">
        <v>1806</v>
      </c>
      <c r="E6" s="21">
        <v>1</v>
      </c>
      <c r="F6" s="21">
        <v>889124</v>
      </c>
      <c r="H6" s="21" t="s">
        <v>1807</v>
      </c>
      <c r="I6" s="39" t="str">
        <f ca="1">IFERROR(__xludf.DUMMYFUNCTION("IF(SUM(COUNTIF(artists!A:A, SPLIT(D6, "",""))) &gt; 0, ""UA"", 0)"),"UA")</f>
        <v>UA</v>
      </c>
      <c r="J6" s="40">
        <f ca="1">IFERROR(__xludf.DUMMYFUNCTION("IF(SUM(COUNTIF(artists!C:C, SPLIT(D6, "",""))) &gt; 0, ""RU"", 0)"),0)</f>
        <v>0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B7" s="21">
        <v>5</v>
      </c>
      <c r="C7" s="21" t="s">
        <v>1471</v>
      </c>
      <c r="D7" s="21" t="s">
        <v>1472</v>
      </c>
      <c r="E7" s="21">
        <v>5</v>
      </c>
      <c r="F7" s="21">
        <v>864049</v>
      </c>
      <c r="G7" s="42">
        <v>0.30599999999999999</v>
      </c>
      <c r="H7" s="21" t="s">
        <v>1473</v>
      </c>
      <c r="I7" s="39" t="str">
        <f ca="1">IFERROR(__xludf.DUMMYFUNCTION("IF(SUM(COUNTIF(artists!A:A, SPLIT(D7, "",""))) &gt; 0, ""UA"", 0)"),"UA")</f>
        <v>UA</v>
      </c>
      <c r="J7" s="40">
        <f ca="1">IFERROR(__xludf.DUMMYFUNCTION("IF(SUM(COUNTIF(artists!C:C, SPLIT(D7, "",""))) &gt; 0, ""RU"", 0)"),0)</f>
        <v>0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C8" s="21" t="s">
        <v>1383</v>
      </c>
      <c r="D8" s="21" t="s">
        <v>463</v>
      </c>
      <c r="E8" s="21">
        <v>1</v>
      </c>
      <c r="F8" s="21">
        <v>675079</v>
      </c>
      <c r="H8" s="21" t="s">
        <v>1384</v>
      </c>
      <c r="I8" s="39" t="str">
        <f ca="1">IFERROR(__xludf.DUMMYFUNCTION("IF(SUM(COUNTIF(artists!A:A, SPLIT(D8, "",""))) &gt; 0, ""UA"", 0)"),"UA")</f>
        <v>UA</v>
      </c>
      <c r="J8" s="40">
        <f ca="1">IFERROR(__xludf.DUMMYFUNCTION("IF(SUM(COUNTIF(artists!C:C, SPLIT(D8, "",""))) &gt; 0, ""RU"", 0)"),0)</f>
        <v>0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B9" s="21">
        <v>4</v>
      </c>
      <c r="C9" s="21" t="s">
        <v>1263</v>
      </c>
      <c r="D9" s="21" t="s">
        <v>1264</v>
      </c>
      <c r="E9" s="21">
        <v>22</v>
      </c>
      <c r="F9" s="21">
        <v>611460</v>
      </c>
      <c r="G9" s="42">
        <v>-9.8000000000000004E-2</v>
      </c>
      <c r="H9" s="21" t="s">
        <v>1265</v>
      </c>
      <c r="I9" s="39">
        <f ca="1">IFERROR(__xludf.DUMMYFUNCTION("IF(SUM(COUNTIF(artists!A:A, SPLIT(D9, "",""))) &gt; 0, ""UA"", 0)"),0)</f>
        <v>0</v>
      </c>
      <c r="J9" s="40" t="str">
        <f ca="1">IFERROR(__xludf.DUMMYFUNCTION("IF(SUM(COUNTIF(artists!C:C, SPLIT(D9, "",""))) &gt; 0, ""RU"", 0)"),"RU")</f>
        <v>RU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B10" s="21">
        <v>7</v>
      </c>
      <c r="C10" s="21" t="s">
        <v>909</v>
      </c>
      <c r="D10" s="21" t="s">
        <v>910</v>
      </c>
      <c r="E10" s="21">
        <v>6</v>
      </c>
      <c r="F10" s="21">
        <v>538828</v>
      </c>
      <c r="G10" s="42">
        <v>5.8999999999999997E-2</v>
      </c>
      <c r="H10" s="21" t="s">
        <v>911</v>
      </c>
      <c r="I10" s="39" t="str">
        <f ca="1">IFERROR(__xludf.DUMMYFUNCTION("IF(SUM(COUNTIF(artists!A:A, SPLIT(D10, "",""))) &gt; 0, ""UA"", 0)"),"UA")</f>
        <v>UA</v>
      </c>
      <c r="J10" s="40">
        <f ca="1">IFERROR(__xludf.DUMMYFUNCTION("IF(SUM(COUNTIF(artists!C:C, SPLIT(D10, "",""))) &gt; 0, ""RU"", 0)"),0)</f>
        <v>0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B11" s="21">
        <v>10</v>
      </c>
      <c r="C11" s="21" t="s">
        <v>1463</v>
      </c>
      <c r="D11" s="21" t="s">
        <v>1344</v>
      </c>
      <c r="E11" s="21">
        <v>4</v>
      </c>
      <c r="F11" s="21">
        <v>521921</v>
      </c>
      <c r="G11" s="43">
        <v>0.22</v>
      </c>
      <c r="H11" s="21" t="s">
        <v>1464</v>
      </c>
      <c r="I11" s="39" t="str">
        <f ca="1">IFERROR(__xludf.DUMMYFUNCTION("IF(SUM(COUNTIF(artists!A:A, SPLIT(D11, "",""))) &gt; 0, ""UA"", 0)"),"UA")</f>
        <v>UA</v>
      </c>
      <c r="J11" s="40">
        <f ca="1">IFERROR(__xludf.DUMMYFUNCTION("IF(SUM(COUNTIF(artists!C:C, SPLIT(D11, "",""))) &gt; 0, ""RU"", 0)"),0)</f>
        <v>0</v>
      </c>
      <c r="K11" s="39">
        <f ca="1">IFERROR(__xludf.DUMMYFUNCTION("IF(SUM(COUNTIF(artists!E:E, SPLIT(D11, "",""))) &gt; 0, ""OTHER"", 0)"),0)</f>
        <v>0</v>
      </c>
    </row>
    <row r="12" spans="1:11" ht="14.25" customHeight="1">
      <c r="A12" s="21">
        <v>11</v>
      </c>
      <c r="B12" s="21">
        <v>11</v>
      </c>
      <c r="C12" s="21" t="s">
        <v>799</v>
      </c>
      <c r="D12" s="21" t="s">
        <v>494</v>
      </c>
      <c r="E12" s="21">
        <v>5</v>
      </c>
      <c r="F12" s="21">
        <v>478801</v>
      </c>
      <c r="G12" s="42">
        <v>0.20899999999999999</v>
      </c>
      <c r="H12" s="21" t="s">
        <v>800</v>
      </c>
      <c r="I12" s="39" t="str">
        <f ca="1">IFERROR(__xludf.DUMMYFUNCTION("IF(SUM(COUNTIF(artists!A:A, SPLIT(D12, "",""))) &gt; 0, ""UA"", 0)"),"UA")</f>
        <v>UA</v>
      </c>
      <c r="J12" s="40">
        <f ca="1">IFERROR(__xludf.DUMMYFUNCTION("IF(SUM(COUNTIF(artists!C:C, SPLIT(D12, "",""))) &gt; 0, ""RU"", 0)"),0)</f>
        <v>0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B13" s="21">
        <v>56</v>
      </c>
      <c r="C13" s="21" t="s">
        <v>1575</v>
      </c>
      <c r="D13" s="21" t="s">
        <v>945</v>
      </c>
      <c r="E13" s="21">
        <v>2</v>
      </c>
      <c r="F13" s="21">
        <v>476385</v>
      </c>
      <c r="G13" s="42">
        <v>1.6479999999999999</v>
      </c>
      <c r="H13" s="21" t="s">
        <v>1576</v>
      </c>
      <c r="I13" s="39" t="str">
        <f ca="1">IFERROR(__xludf.DUMMYFUNCTION("IF(SUM(COUNTIF(artists!A:A, SPLIT(D13, "",""))) &gt; 0, ""UA"", 0)"),"UA")</f>
        <v>UA</v>
      </c>
      <c r="J13" s="40">
        <f ca="1">IFERROR(__xludf.DUMMYFUNCTION("IF(SUM(COUNTIF(artists!C:C, SPLIT(D13, "",""))) &gt; 0, ""RU"", 0)"),0)</f>
        <v>0</v>
      </c>
      <c r="K13" s="39">
        <f ca="1">IFERROR(__xludf.DUMMYFUNCTION("IF(SUM(COUNTIF(artists!E:E, SPLIT(D13, "",""))) &gt; 0, ""OTHER"", 0)"),0)</f>
        <v>0</v>
      </c>
    </row>
    <row r="14" spans="1:11" ht="14.25" customHeight="1">
      <c r="A14" s="21">
        <v>13</v>
      </c>
      <c r="B14" s="21">
        <v>14</v>
      </c>
      <c r="C14" s="21" t="s">
        <v>1436</v>
      </c>
      <c r="D14" s="21" t="s">
        <v>896</v>
      </c>
      <c r="E14" s="21">
        <v>3</v>
      </c>
      <c r="F14" s="21">
        <v>468063</v>
      </c>
      <c r="G14" s="42">
        <v>0.25900000000000001</v>
      </c>
      <c r="H14" s="21" t="s">
        <v>1437</v>
      </c>
      <c r="I14" s="39" t="str">
        <f ca="1">IFERROR(__xludf.DUMMYFUNCTION("IF(SUM(COUNTIF(artists!A:A, SPLIT(D14, "",""))) &gt; 0, ""UA"", 0)"),"UA")</f>
        <v>UA</v>
      </c>
      <c r="J14" s="40">
        <f ca="1">IFERROR(__xludf.DUMMYFUNCTION("IF(SUM(COUNTIF(artists!C:C, SPLIT(D14, "",""))) &gt; 0, ""RU"", 0)"),0)</f>
        <v>0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B15" s="21">
        <v>8</v>
      </c>
      <c r="C15" s="21" t="s">
        <v>1487</v>
      </c>
      <c r="D15" s="21" t="s">
        <v>409</v>
      </c>
      <c r="E15" s="21">
        <v>6</v>
      </c>
      <c r="F15" s="21">
        <v>448304</v>
      </c>
      <c r="G15" s="42">
        <v>-4.4999999999999998E-2</v>
      </c>
      <c r="H15" s="21" t="s">
        <v>1488</v>
      </c>
      <c r="I15" s="39" t="str">
        <f ca="1">IFERROR(__xludf.DUMMYFUNCTION("IF(SUM(COUNTIF(artists!A:A, SPLIT(D15, "",""))) &gt; 0, ""UA"", 0)"),"UA")</f>
        <v>UA</v>
      </c>
      <c r="J15" s="40">
        <f ca="1">IFERROR(__xludf.DUMMYFUNCTION("IF(SUM(COUNTIF(artists!C:C, SPLIT(D15, "",""))) &gt; 0, ""RU"", 0)"),0)</f>
        <v>0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B16" s="21">
        <v>6</v>
      </c>
      <c r="C16" s="21">
        <v>12</v>
      </c>
      <c r="D16" s="21" t="s">
        <v>1050</v>
      </c>
      <c r="E16" s="21">
        <v>4</v>
      </c>
      <c r="F16" s="21">
        <v>428440</v>
      </c>
      <c r="G16" s="42">
        <v>-0.29599999999999999</v>
      </c>
      <c r="H16" s="21" t="s">
        <v>1756</v>
      </c>
      <c r="I16" s="39">
        <f ca="1">IFERROR(__xludf.DUMMYFUNCTION("IF(SUM(COUNTIF(artists!A:A, SPLIT(D16, "",""))) &gt; 0, ""UA"", 0)"),0)</f>
        <v>0</v>
      </c>
      <c r="J16" s="40" t="str">
        <f ca="1">IFERROR(__xludf.DUMMYFUNCTION("IF(SUM(COUNTIF(artists!C:C, SPLIT(D16, "",""))) &gt; 0, ""RU"", 0)"),"RU")</f>
        <v>RU</v>
      </c>
      <c r="K16" s="39">
        <f ca="1">IFERROR(__xludf.DUMMYFUNCTION("IF(SUM(COUNTIF(artists!E:E, SPLIT(D16, "",""))) &gt; 0, ""OTHER"", 0)"),0)</f>
        <v>0</v>
      </c>
    </row>
    <row r="17" spans="1:11" ht="14.25" customHeight="1">
      <c r="A17" s="21">
        <v>16</v>
      </c>
      <c r="B17" s="21">
        <v>9</v>
      </c>
      <c r="C17" s="21" t="s">
        <v>935</v>
      </c>
      <c r="D17" s="21" t="s">
        <v>936</v>
      </c>
      <c r="E17" s="21">
        <v>23</v>
      </c>
      <c r="F17" s="21">
        <v>413559</v>
      </c>
      <c r="G17" s="42">
        <v>-4.2000000000000003E-2</v>
      </c>
      <c r="H17" s="21" t="s">
        <v>937</v>
      </c>
      <c r="I17" s="39">
        <f ca="1">IFERROR(__xludf.DUMMYFUNCTION("IF(SUM(COUNTIF(artists!A:A, SPLIT(D17, "",""))) &gt; 0, ""UA"", 0)"),0)</f>
        <v>0</v>
      </c>
      <c r="J17" s="40" t="str">
        <f ca="1">IFERROR(__xludf.DUMMYFUNCTION("IF(SUM(COUNTIF(artists!C:C, SPLIT(D17, "",""))) &gt; 0, ""RU"", 0)"),"RU")</f>
        <v>RU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B18" s="21">
        <v>13</v>
      </c>
      <c r="C18" s="21" t="s">
        <v>1500</v>
      </c>
      <c r="D18" s="21" t="s">
        <v>907</v>
      </c>
      <c r="E18" s="21">
        <v>26</v>
      </c>
      <c r="F18" s="21">
        <v>372253</v>
      </c>
      <c r="G18" s="42">
        <v>-1.9E-2</v>
      </c>
      <c r="H18" s="21" t="s">
        <v>1501</v>
      </c>
      <c r="I18" s="39">
        <f ca="1">IFERROR(__xludf.DUMMYFUNCTION("IF(SUM(COUNTIF(artists!A:A, SPLIT(D18, "",""))) &gt; 0, ""UA"", 0)"),0)</f>
        <v>0</v>
      </c>
      <c r="J18" s="40" t="str">
        <f ca="1">IFERROR(__xludf.DUMMYFUNCTION("IF(SUM(COUNTIF(artists!C:C, SPLIT(D18, "",""))) &gt; 0, ""RU"", 0)"),"RU")</f>
        <v>RU</v>
      </c>
      <c r="K18" s="39">
        <f ca="1">IFERROR(__xludf.DUMMYFUNCTION("IF(SUM(COUNTIF(artists!E:E, SPLIT(D18, "",""))) &gt; 0, ""OTHER"", 0)"),0)</f>
        <v>0</v>
      </c>
    </row>
    <row r="19" spans="1:11" ht="14.25" customHeight="1">
      <c r="A19" s="21">
        <v>18</v>
      </c>
      <c r="B19" s="21">
        <v>16</v>
      </c>
      <c r="C19" s="21" t="s">
        <v>1777</v>
      </c>
      <c r="D19" s="21" t="s">
        <v>1778</v>
      </c>
      <c r="E19" s="21">
        <v>6</v>
      </c>
      <c r="F19" s="21">
        <v>368570</v>
      </c>
      <c r="G19" s="42">
        <v>0.121</v>
      </c>
      <c r="H19" s="21" t="s">
        <v>1779</v>
      </c>
      <c r="I19" s="39" t="str">
        <f ca="1">IFERROR(__xludf.DUMMYFUNCTION("IF(SUM(COUNTIF(artists!A:A, SPLIT(D19, "",""))) &gt; 0, ""UA"", 0)"),"UA")</f>
        <v>UA</v>
      </c>
      <c r="J19" s="40">
        <f ca="1">IFERROR(__xludf.DUMMYFUNCTION("IF(SUM(COUNTIF(artists!C:C, SPLIT(D19, "",""))) &gt; 0, ""RU"", 0)"),0)</f>
        <v>0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B20" s="21">
        <v>15</v>
      </c>
      <c r="C20" s="21" t="s">
        <v>887</v>
      </c>
      <c r="D20" s="21" t="s">
        <v>89</v>
      </c>
      <c r="E20" s="21">
        <v>3</v>
      </c>
      <c r="F20" s="21">
        <v>357759</v>
      </c>
      <c r="G20" s="42">
        <v>-1.9E-2</v>
      </c>
      <c r="H20" s="21" t="s">
        <v>888</v>
      </c>
      <c r="I20" s="39" t="str">
        <f ca="1">IFERROR(__xludf.DUMMYFUNCTION("IF(SUM(COUNTIF(artists!A:A, SPLIT(D20, "",""))) &gt; 0, ""UA"", 0)"),"UA")</f>
        <v>UA</v>
      </c>
      <c r="J20" s="40">
        <f ca="1">IFERROR(__xludf.DUMMYFUNCTION("IF(SUM(COUNTIF(artists!C:C, SPLIT(D20, "",""))) &gt; 0, ""RU"", 0)"),0)</f>
        <v>0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B21" s="21">
        <v>20</v>
      </c>
      <c r="C21" s="21" t="s">
        <v>1530</v>
      </c>
      <c r="D21" s="21" t="s">
        <v>1531</v>
      </c>
      <c r="E21" s="21">
        <v>6</v>
      </c>
      <c r="F21" s="21">
        <v>335137</v>
      </c>
      <c r="G21" s="42">
        <v>0.17299999999999999</v>
      </c>
      <c r="H21" s="21" t="s">
        <v>1532</v>
      </c>
      <c r="I21" s="39">
        <f ca="1">IFERROR(__xludf.DUMMYFUNCTION("IF(SUM(COUNTIF(artists!A:A, SPLIT(D21, "",""))) &gt; 0, ""UA"", 0)"),0)</f>
        <v>0</v>
      </c>
      <c r="J21" s="40">
        <f ca="1">IFERROR(__xludf.DUMMYFUNCTION("IF(SUM(COUNTIF(artists!C:C, SPLIT(D21, "",""))) &gt; 0, ""RU"", 0)"),0)</f>
        <v>0</v>
      </c>
      <c r="K21" s="39" t="str">
        <f ca="1">IFERROR(__xludf.DUMMYFUNCTION("IF(SUM(COUNTIF(artists!E:E, SPLIT(D21, "",""))) &gt; 0, ""OTHER"", 0)"),"OTHER")</f>
        <v>OTHER</v>
      </c>
    </row>
    <row r="22" spans="1:11" ht="14.25" customHeight="1">
      <c r="A22" s="21">
        <v>21</v>
      </c>
      <c r="B22" s="21">
        <v>21</v>
      </c>
      <c r="C22" s="21" t="s">
        <v>118</v>
      </c>
      <c r="D22" s="21" t="s">
        <v>586</v>
      </c>
      <c r="E22" s="21">
        <v>6</v>
      </c>
      <c r="F22" s="21">
        <v>308817</v>
      </c>
      <c r="G22" s="42">
        <v>9.1999999999999998E-2</v>
      </c>
      <c r="H22" s="21" t="s">
        <v>587</v>
      </c>
      <c r="I22" s="39" t="str">
        <f ca="1">IFERROR(__xludf.DUMMYFUNCTION("IF(SUM(COUNTIF(artists!A:A, SPLIT(D22, "",""))) &gt; 0, ""UA"", 0)"),"UA")</f>
        <v>UA</v>
      </c>
      <c r="J22" s="40">
        <f ca="1">IFERROR(__xludf.DUMMYFUNCTION("IF(SUM(COUNTIF(artists!C:C, SPLIT(D22, "",""))) &gt; 0, ""RU"", 0)"),0)</f>
        <v>0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B23" s="21">
        <v>18</v>
      </c>
      <c r="C23" s="21" t="s">
        <v>1325</v>
      </c>
      <c r="D23" s="21" t="s">
        <v>1237</v>
      </c>
      <c r="E23" s="21">
        <v>46</v>
      </c>
      <c r="F23" s="21">
        <v>308348</v>
      </c>
      <c r="G23" s="42">
        <v>3.4000000000000002E-2</v>
      </c>
      <c r="H23" s="21" t="s">
        <v>1326</v>
      </c>
      <c r="I23" s="39">
        <f ca="1">IFERROR(__xludf.DUMMYFUNCTION("IF(SUM(COUNTIF(artists!A:A, SPLIT(D23, "",""))) &gt; 0, ""UA"", 0)"),0)</f>
        <v>0</v>
      </c>
      <c r="J23" s="40" t="str">
        <f ca="1">IFERROR(__xludf.DUMMYFUNCTION("IF(SUM(COUNTIF(artists!C:C, SPLIT(D23, "",""))) &gt; 0, ""RU"", 0)"),"RU")</f>
        <v>RU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C24" s="21" t="s">
        <v>1791</v>
      </c>
      <c r="D24" s="21" t="s">
        <v>1792</v>
      </c>
      <c r="E24" s="21">
        <v>2</v>
      </c>
      <c r="F24" s="21">
        <v>295591</v>
      </c>
      <c r="H24" s="21" t="s">
        <v>1793</v>
      </c>
      <c r="I24" s="39" t="str">
        <f ca="1">IFERROR(__xludf.DUMMYFUNCTION("IF(SUM(COUNTIF(artists!A:A, SPLIT(D24, "",""))) &gt; 0, ""UA"", 0)"),"UA")</f>
        <v>UA</v>
      </c>
      <c r="J24" s="40">
        <f ca="1">IFERROR(__xludf.DUMMYFUNCTION("IF(SUM(COUNTIF(artists!C:C, SPLIT(D24, "",""))) &gt; 0, ""RU"", 0)"),0)</f>
        <v>0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B25" s="21">
        <v>28</v>
      </c>
      <c r="C25" s="21" t="s">
        <v>493</v>
      </c>
      <c r="D25" s="21" t="s">
        <v>494</v>
      </c>
      <c r="E25" s="21">
        <v>11</v>
      </c>
      <c r="F25" s="21">
        <v>280817</v>
      </c>
      <c r="G25" s="42">
        <v>0.107</v>
      </c>
      <c r="H25" s="21" t="s">
        <v>495</v>
      </c>
      <c r="I25" s="39" t="str">
        <f ca="1">IFERROR(__xludf.DUMMYFUNCTION("IF(SUM(COUNTIF(artists!A:A, SPLIT(D25, "",""))) &gt; 0, ""UA"", 0)"),"UA")</f>
        <v>UA</v>
      </c>
      <c r="J25" s="40">
        <f ca="1">IFERROR(__xludf.DUMMYFUNCTION("IF(SUM(COUNTIF(artists!C:C, SPLIT(D25, "",""))) &gt; 0, ""RU"", 0)"),0)</f>
        <v>0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B26" s="21">
        <v>12</v>
      </c>
      <c r="C26" s="21" t="s">
        <v>1818</v>
      </c>
      <c r="D26" s="21" t="s">
        <v>1360</v>
      </c>
      <c r="E26" s="21">
        <v>2</v>
      </c>
      <c r="F26" s="21">
        <v>280340</v>
      </c>
      <c r="G26" s="42">
        <v>-0.27300000000000002</v>
      </c>
      <c r="H26" s="21" t="s">
        <v>1819</v>
      </c>
      <c r="I26" s="39" t="str">
        <f ca="1">IFERROR(__xludf.DUMMYFUNCTION("IF(SUM(COUNTIF(artists!A:A, SPLIT(D26, "",""))) &gt; 0, ""UA"", 0)"),"UA")</f>
        <v>UA</v>
      </c>
      <c r="J26" s="40">
        <f ca="1">IFERROR(__xludf.DUMMYFUNCTION("IF(SUM(COUNTIF(artists!C:C, SPLIT(D26, "",""))) &gt; 0, ""RU"", 0)"),0)</f>
        <v>0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B27" s="21">
        <v>25</v>
      </c>
      <c r="C27" s="21" t="s">
        <v>1354</v>
      </c>
      <c r="D27" s="21" t="s">
        <v>1355</v>
      </c>
      <c r="E27" s="21">
        <v>26</v>
      </c>
      <c r="F27" s="21">
        <v>278820</v>
      </c>
      <c r="G27" s="42">
        <v>6.6000000000000003E-2</v>
      </c>
      <c r="H27" s="21" t="s">
        <v>1356</v>
      </c>
      <c r="I27" s="39" t="str">
        <f ca="1">IFERROR(__xludf.DUMMYFUNCTION("IF(SUM(COUNTIF(artists!A:A, SPLIT(D27, "",""))) &gt; 0, ""UA"", 0)"),"UA")</f>
        <v>UA</v>
      </c>
      <c r="J27" s="40">
        <f ca="1">IFERROR(__xludf.DUMMYFUNCTION("IF(SUM(COUNTIF(artists!C:C, SPLIT(D27, "",""))) &gt; 0, ""RU"", 0)"),0)</f>
        <v>0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B28" s="21">
        <v>22</v>
      </c>
      <c r="C28" s="21" t="s">
        <v>1797</v>
      </c>
      <c r="D28" s="21" t="s">
        <v>945</v>
      </c>
      <c r="E28" s="21">
        <v>28</v>
      </c>
      <c r="F28" s="21">
        <v>278091</v>
      </c>
      <c r="G28" s="42">
        <v>-5.0000000000000001E-3</v>
      </c>
      <c r="H28" s="21" t="s">
        <v>1798</v>
      </c>
      <c r="I28" s="39" t="str">
        <f ca="1">IFERROR(__xludf.DUMMYFUNCTION("IF(SUM(COUNTIF(artists!A:A, SPLIT(D28, "",""))) &gt; 0, ""UA"", 0)"),"UA")</f>
        <v>UA</v>
      </c>
      <c r="J28" s="40">
        <f ca="1">IFERROR(__xludf.DUMMYFUNCTION("IF(SUM(COUNTIF(artists!C:C, SPLIT(D28, "",""))) &gt; 0, ""RU"", 0)"),0)</f>
        <v>0</v>
      </c>
      <c r="K28" s="39">
        <f ca="1">IFERROR(__xludf.DUMMYFUNCTION("IF(SUM(COUNTIF(artists!E:E, SPLIT(D28, "",""))) &gt; 0, ""OTHER"", 0)"),0)</f>
        <v>0</v>
      </c>
    </row>
    <row r="29" spans="1:11" ht="14.25" customHeight="1">
      <c r="A29" s="21">
        <v>28</v>
      </c>
      <c r="B29" s="21">
        <v>19</v>
      </c>
      <c r="C29" s="21" t="s">
        <v>1116</v>
      </c>
      <c r="D29" s="21" t="s">
        <v>1117</v>
      </c>
      <c r="E29" s="21">
        <v>18</v>
      </c>
      <c r="F29" s="21">
        <v>272054</v>
      </c>
      <c r="G29" s="42">
        <v>-4.9000000000000002E-2</v>
      </c>
      <c r="H29" s="21" t="s">
        <v>1118</v>
      </c>
      <c r="I29" s="39">
        <f ca="1">IFERROR(__xludf.DUMMYFUNCTION("IF(SUM(COUNTIF(artists!A:A, SPLIT(D29, "",""))) &gt; 0, ""UA"", 0)"),0)</f>
        <v>0</v>
      </c>
      <c r="J29" s="40" t="str">
        <f ca="1">IFERROR(__xludf.DUMMYFUNCTION("IF(SUM(COUNTIF(artists!C:C, SPLIT(D29, "",""))) &gt; 0, ""RU"", 0)"),"RU")</f>
        <v>RU</v>
      </c>
      <c r="K29" s="39">
        <f ca="1">IFERROR(__xludf.DUMMYFUNCTION("IF(SUM(COUNTIF(artists!E:E, SPLIT(D29, "",""))) &gt; 0, ""OTHER"", 0)"),0)</f>
        <v>0</v>
      </c>
    </row>
    <row r="30" spans="1:11" ht="14.25" customHeight="1">
      <c r="A30" s="21">
        <v>29</v>
      </c>
      <c r="C30" s="21" t="s">
        <v>1416</v>
      </c>
      <c r="D30" s="21" t="s">
        <v>137</v>
      </c>
      <c r="E30" s="21">
        <v>1</v>
      </c>
      <c r="F30" s="21">
        <v>271713</v>
      </c>
      <c r="H30" s="21" t="s">
        <v>1417</v>
      </c>
      <c r="I30" s="39" t="str">
        <f ca="1">IFERROR(__xludf.DUMMYFUNCTION("IF(SUM(COUNTIF(artists!A:A, SPLIT(D30, "",""))) &gt; 0, ""UA"", 0)"),"UA")</f>
        <v>UA</v>
      </c>
      <c r="J30" s="40">
        <f ca="1">IFERROR(__xludf.DUMMYFUNCTION("IF(SUM(COUNTIF(artists!C:C, SPLIT(D30, "",""))) &gt; 0, ""RU"", 0)"),0)</f>
        <v>0</v>
      </c>
      <c r="K30" s="39">
        <f ca="1">IFERROR(__xludf.DUMMYFUNCTION("IF(SUM(COUNTIF(artists!E:E, SPLIT(D30, "",""))) &gt; 0, ""OTHER"", 0)"),0)</f>
        <v>0</v>
      </c>
    </row>
    <row r="31" spans="1:11" ht="14.25" customHeight="1">
      <c r="A31" s="21">
        <v>30</v>
      </c>
      <c r="B31" s="21">
        <v>23</v>
      </c>
      <c r="C31" s="21" t="s">
        <v>1614</v>
      </c>
      <c r="D31" s="21" t="s">
        <v>1027</v>
      </c>
      <c r="E31" s="21">
        <v>3</v>
      </c>
      <c r="F31" s="21">
        <v>266901</v>
      </c>
      <c r="G31" s="42">
        <v>3.0000000000000001E-3</v>
      </c>
      <c r="H31" s="21" t="s">
        <v>1615</v>
      </c>
      <c r="I31" s="39" t="str">
        <f ca="1">IFERROR(__xludf.DUMMYFUNCTION("IF(SUM(COUNTIF(artists!A:A, SPLIT(D31, "",""))) &gt; 0, ""UA"", 0)"),"UA")</f>
        <v>UA</v>
      </c>
      <c r="J31" s="40">
        <f ca="1">IFERROR(__xludf.DUMMYFUNCTION("IF(SUM(COUNTIF(artists!C:C, SPLIT(D31, "",""))) &gt; 0, ""RU"", 0)"),0)</f>
        <v>0</v>
      </c>
      <c r="K31" s="39">
        <f ca="1">IFERROR(__xludf.DUMMYFUNCTION("IF(SUM(COUNTIF(artists!E:E, SPLIT(D31, "",""))) &gt; 0, ""OTHER"", 0)"),0)</f>
        <v>0</v>
      </c>
    </row>
    <row r="32" spans="1:11" ht="14.25" customHeight="1">
      <c r="A32" s="21">
        <v>31</v>
      </c>
      <c r="B32" s="21">
        <v>46</v>
      </c>
      <c r="C32" s="21" t="s">
        <v>1298</v>
      </c>
      <c r="D32" s="21" t="s">
        <v>226</v>
      </c>
      <c r="E32" s="21">
        <v>2</v>
      </c>
      <c r="F32" s="21">
        <v>256478</v>
      </c>
      <c r="G32" s="42">
        <v>0.27300000000000002</v>
      </c>
      <c r="H32" s="21" t="s">
        <v>1299</v>
      </c>
      <c r="I32" s="39" t="str">
        <f ca="1">IFERROR(__xludf.DUMMYFUNCTION("IF(SUM(COUNTIF(artists!A:A, SPLIT(D32, "",""))) &gt; 0, ""UA"", 0)"),"UA")</f>
        <v>UA</v>
      </c>
      <c r="J32" s="40">
        <f ca="1">IFERROR(__xludf.DUMMYFUNCTION("IF(SUM(COUNTIF(artists!C:C, SPLIT(D32, "",""))) &gt; 0, ""RU"", 0)"),0)</f>
        <v>0</v>
      </c>
      <c r="K32" s="39">
        <f ca="1">IFERROR(__xludf.DUMMYFUNCTION("IF(SUM(COUNTIF(artists!E:E, SPLIT(D32, "",""))) &gt; 0, ""OTHER"", 0)"),0)</f>
        <v>0</v>
      </c>
    </row>
    <row r="33" spans="1:11" ht="14.25" customHeight="1">
      <c r="A33" s="21">
        <v>32</v>
      </c>
      <c r="B33" s="21">
        <v>31</v>
      </c>
      <c r="C33" s="21" t="s">
        <v>1825</v>
      </c>
      <c r="D33" s="21" t="s">
        <v>1826</v>
      </c>
      <c r="E33" s="21">
        <v>50</v>
      </c>
      <c r="F33" s="21">
        <v>255050</v>
      </c>
      <c r="G33" s="42">
        <v>3.3000000000000002E-2</v>
      </c>
      <c r="H33" s="21" t="s">
        <v>1827</v>
      </c>
      <c r="I33" s="39">
        <f ca="1">IFERROR(__xludf.DUMMYFUNCTION("IF(SUM(COUNTIF(artists!A:A, SPLIT(D33, "",""))) &gt; 0, ""UA"", 0)"),0)</f>
        <v>0</v>
      </c>
      <c r="J33" s="40" t="str">
        <f ca="1">IFERROR(__xludf.DUMMYFUNCTION("IF(SUM(COUNTIF(artists!C:C, SPLIT(D33, "",""))) &gt; 0, ""RU"", 0)"),"RU")</f>
        <v>RU</v>
      </c>
      <c r="K33" s="39">
        <f ca="1">IFERROR(__xludf.DUMMYFUNCTION("IF(SUM(COUNTIF(artists!E:E, SPLIT(D33, "",""))) &gt; 0, ""OTHER"", 0)"),0)</f>
        <v>0</v>
      </c>
    </row>
    <row r="34" spans="1:11" ht="14.25" customHeight="1">
      <c r="A34" s="21">
        <v>33</v>
      </c>
      <c r="B34" s="21">
        <v>34</v>
      </c>
      <c r="C34" s="21" t="s">
        <v>968</v>
      </c>
      <c r="D34" s="21" t="s">
        <v>969</v>
      </c>
      <c r="E34" s="21">
        <v>16</v>
      </c>
      <c r="F34" s="21">
        <v>243542</v>
      </c>
      <c r="G34" s="42">
        <v>5.8000000000000003E-2</v>
      </c>
      <c r="H34" s="21" t="s">
        <v>970</v>
      </c>
      <c r="I34" s="39" t="str">
        <f ca="1">IFERROR(__xludf.DUMMYFUNCTION("IF(SUM(COUNTIF(artists!A:A, SPLIT(D34, "",""))) &gt; 0, ""UA"", 0)"),"UA")</f>
        <v>UA</v>
      </c>
      <c r="J34" s="40">
        <f ca="1">IFERROR(__xludf.DUMMYFUNCTION("IF(SUM(COUNTIF(artists!C:C, SPLIT(D34, "",""))) &gt; 0, ""RU"", 0)"),0)</f>
        <v>0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B35" s="21">
        <v>35</v>
      </c>
      <c r="C35" s="21" t="s">
        <v>1830</v>
      </c>
      <c r="D35" s="21" t="s">
        <v>1426</v>
      </c>
      <c r="E35" s="21">
        <v>3</v>
      </c>
      <c r="F35" s="21">
        <v>241167</v>
      </c>
      <c r="G35" s="42">
        <v>4.9000000000000002E-2</v>
      </c>
      <c r="H35" s="21" t="s">
        <v>1831</v>
      </c>
      <c r="I35" s="39" t="str">
        <f ca="1">IFERROR(__xludf.DUMMYFUNCTION("IF(SUM(COUNTIF(artists!A:A, SPLIT(D35, "",""))) &gt; 0, ""UA"", 0)"),"UA")</f>
        <v>UA</v>
      </c>
      <c r="J35" s="40">
        <f ca="1">IFERROR(__xludf.DUMMYFUNCTION("IF(SUM(COUNTIF(artists!C:C, SPLIT(D35, "",""))) &gt; 0, ""RU"", 0)"),0)</f>
        <v>0</v>
      </c>
      <c r="K35" s="39">
        <f ca="1">IFERROR(__xludf.DUMMYFUNCTION("IF(SUM(COUNTIF(artists!E:E, SPLIT(D35, "",""))) &gt; 0, ""OTHER"", 0)"),0)</f>
        <v>0</v>
      </c>
    </row>
    <row r="36" spans="1:11" ht="14.25" customHeight="1">
      <c r="A36" s="21">
        <v>35</v>
      </c>
      <c r="B36" s="21">
        <v>24</v>
      </c>
      <c r="C36" s="21" t="s">
        <v>1729</v>
      </c>
      <c r="D36" s="21" t="s">
        <v>1730</v>
      </c>
      <c r="E36" s="21">
        <v>47</v>
      </c>
      <c r="F36" s="21">
        <v>240075</v>
      </c>
      <c r="G36" s="42">
        <v>-8.5000000000000006E-2</v>
      </c>
      <c r="H36" s="21" t="s">
        <v>1731</v>
      </c>
      <c r="I36" s="39">
        <f ca="1">IFERROR(__xludf.DUMMYFUNCTION("IF(SUM(COUNTIF(artists!A:A, SPLIT(D36, "",""))) &gt; 0, ""UA"", 0)"),0)</f>
        <v>0</v>
      </c>
      <c r="J36" s="40" t="str">
        <f ca="1">IFERROR(__xludf.DUMMYFUNCTION("IF(SUM(COUNTIF(artists!C:C, SPLIT(D36, "",""))) &gt; 0, ""RU"", 0)"),"RU")</f>
        <v>RU</v>
      </c>
      <c r="K36" s="39">
        <f ca="1">IFERROR(__xludf.DUMMYFUNCTION("IF(SUM(COUNTIF(artists!E:E, SPLIT(D36, "",""))) &gt; 0, ""OTHER"", 0)"),0)</f>
        <v>0</v>
      </c>
    </row>
    <row r="37" spans="1:11" ht="14.25" customHeight="1">
      <c r="A37" s="21">
        <v>36</v>
      </c>
      <c r="B37" s="21">
        <v>27</v>
      </c>
      <c r="C37" s="21" t="s">
        <v>1636</v>
      </c>
      <c r="D37" s="21" t="s">
        <v>1637</v>
      </c>
      <c r="E37" s="21">
        <v>11</v>
      </c>
      <c r="F37" s="21">
        <v>233104</v>
      </c>
      <c r="G37" s="42">
        <v>-9.0999999999999998E-2</v>
      </c>
      <c r="H37" s="21" t="s">
        <v>1638</v>
      </c>
      <c r="I37" s="39">
        <f ca="1">IFERROR(__xludf.DUMMYFUNCTION("IF(SUM(COUNTIF(artists!A:A, SPLIT(D37, "",""))) &gt; 0, ""UA"", 0)"),0)</f>
        <v>0</v>
      </c>
      <c r="J37" s="40" t="str">
        <f ca="1">IFERROR(__xludf.DUMMYFUNCTION("IF(SUM(COUNTIF(artists!C:C, SPLIT(D37, "",""))) &gt; 0, ""RU"", 0)"),"RU")</f>
        <v>RU</v>
      </c>
      <c r="K37" s="39">
        <f ca="1">IFERROR(__xludf.DUMMYFUNCTION("IF(SUM(COUNTIF(artists!E:E, SPLIT(D37, "",""))) &gt; 0, ""OTHER"", 0)"),0)</f>
        <v>0</v>
      </c>
    </row>
    <row r="38" spans="1:11" ht="14.25" customHeight="1">
      <c r="A38" s="21">
        <v>37</v>
      </c>
      <c r="B38" s="21">
        <v>26</v>
      </c>
      <c r="C38" s="21" t="s">
        <v>1369</v>
      </c>
      <c r="D38" s="21" t="s">
        <v>1370</v>
      </c>
      <c r="E38" s="21">
        <v>6</v>
      </c>
      <c r="F38" s="21">
        <v>232719</v>
      </c>
      <c r="G38" s="42">
        <v>-0.107</v>
      </c>
      <c r="H38" s="21" t="s">
        <v>1371</v>
      </c>
      <c r="I38" s="39" t="str">
        <f ca="1">IFERROR(__xludf.DUMMYFUNCTION("IF(SUM(COUNTIF(artists!A:A, SPLIT(D38, "",""))) &gt; 0, ""UA"", 0)"),"UA")</f>
        <v>UA</v>
      </c>
      <c r="J38" s="40">
        <f ca="1">IFERROR(__xludf.DUMMYFUNCTION("IF(SUM(COUNTIF(artists!C:C, SPLIT(D38, "",""))) &gt; 0, ""RU"", 0)"),0)</f>
        <v>0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B39" s="21">
        <v>37</v>
      </c>
      <c r="C39" s="21" t="s">
        <v>1616</v>
      </c>
      <c r="D39" s="21" t="s">
        <v>1617</v>
      </c>
      <c r="E39" s="21">
        <v>42</v>
      </c>
      <c r="F39" s="21">
        <v>231096</v>
      </c>
      <c r="G39" s="43">
        <v>0.01</v>
      </c>
      <c r="H39" s="21" t="s">
        <v>1618</v>
      </c>
      <c r="I39" s="39">
        <f ca="1">IFERROR(__xludf.DUMMYFUNCTION("IF(SUM(COUNTIF(artists!A:A, SPLIT(D39, "",""))) &gt; 0, ""UA"", 0)"),0)</f>
        <v>0</v>
      </c>
      <c r="J39" s="40" t="str">
        <f ca="1">IFERROR(__xludf.DUMMYFUNCTION("IF(SUM(COUNTIF(artists!C:C, SPLIT(D39, "",""))) &gt; 0, ""RU"", 0)"),"RU")</f>
        <v>RU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B40" s="21">
        <v>38</v>
      </c>
      <c r="C40" s="21" t="s">
        <v>470</v>
      </c>
      <c r="D40" s="21" t="s">
        <v>81</v>
      </c>
      <c r="E40" s="21">
        <v>5</v>
      </c>
      <c r="F40" s="21">
        <v>230132</v>
      </c>
      <c r="G40" s="42">
        <v>8.9999999999999993E-3</v>
      </c>
      <c r="H40" s="21" t="s">
        <v>472</v>
      </c>
      <c r="I40" s="39" t="str">
        <f ca="1">IFERROR(__xludf.DUMMYFUNCTION("IF(SUM(COUNTIF(artists!A:A, SPLIT(D40, "",""))) &gt; 0, ""UA"", 0)"),"UA")</f>
        <v>UA</v>
      </c>
      <c r="J40" s="40">
        <f ca="1">IFERROR(__xludf.DUMMYFUNCTION("IF(SUM(COUNTIF(artists!C:C, SPLIT(D40, "",""))) &gt; 0, ""RU"", 0)"),0)</f>
        <v>0</v>
      </c>
      <c r="K40" s="39">
        <f ca="1">IFERROR(__xludf.DUMMYFUNCTION("IF(SUM(COUNTIF(artists!E:E, SPLIT(D40, "",""))) &gt; 0, ""OTHER"", 0)"),0)</f>
        <v>0</v>
      </c>
    </row>
    <row r="41" spans="1:11" ht="14.25" customHeight="1">
      <c r="A41" s="21">
        <v>40</v>
      </c>
      <c r="B41" s="21">
        <v>44</v>
      </c>
      <c r="C41" s="21" t="s">
        <v>841</v>
      </c>
      <c r="D41" s="21" t="s">
        <v>842</v>
      </c>
      <c r="E41" s="21">
        <v>12</v>
      </c>
      <c r="F41" s="21">
        <v>222870</v>
      </c>
      <c r="G41" s="42">
        <v>9.1999999999999998E-2</v>
      </c>
      <c r="H41" s="21" t="s">
        <v>843</v>
      </c>
      <c r="I41" s="39">
        <f ca="1">IFERROR(__xludf.DUMMYFUNCTION("IF(SUM(COUNTIF(artists!A:A, SPLIT(D41, "",""))) &gt; 0, ""UA"", 0)"),0)</f>
        <v>0</v>
      </c>
      <c r="J41" s="40">
        <f ca="1">IFERROR(__xludf.DUMMYFUNCTION("IF(SUM(COUNTIF(artists!C:C, SPLIT(D41, "",""))) &gt; 0, ""RU"", 0)"),0)</f>
        <v>0</v>
      </c>
      <c r="K41" s="39" t="str">
        <f ca="1">IFERROR(__xludf.DUMMYFUNCTION("IF(SUM(COUNTIF(artists!E:E, SPLIT(D41, "",""))) &gt; 0, ""OTHER"", 0)"),"OTHER")</f>
        <v>OTHER</v>
      </c>
    </row>
    <row r="42" spans="1:11" ht="14.25" customHeight="1">
      <c r="A42" s="21">
        <v>41</v>
      </c>
      <c r="B42" s="21">
        <v>33</v>
      </c>
      <c r="C42" s="21" t="s">
        <v>1674</v>
      </c>
      <c r="D42" s="21" t="s">
        <v>172</v>
      </c>
      <c r="E42" s="21">
        <v>12</v>
      </c>
      <c r="F42" s="21">
        <v>222717</v>
      </c>
      <c r="G42" s="42">
        <v>-9.5000000000000001E-2</v>
      </c>
      <c r="H42" s="21" t="s">
        <v>1675</v>
      </c>
      <c r="I42" s="39">
        <f ca="1">IFERROR(__xludf.DUMMYFUNCTION("IF(SUM(COUNTIF(artists!A:A, SPLIT(D42, "",""))) &gt; 0, ""UA"", 0)"),0)</f>
        <v>0</v>
      </c>
      <c r="J42" s="40" t="str">
        <f ca="1">IFERROR(__xludf.DUMMYFUNCTION("IF(SUM(COUNTIF(artists!C:C, SPLIT(D42, "",""))) &gt; 0, ""RU"", 0)"),"RU")</f>
        <v>RU</v>
      </c>
      <c r="K42" s="39">
        <f ca="1">IFERROR(__xludf.DUMMYFUNCTION("IF(SUM(COUNTIF(artists!E:E, SPLIT(D42, "",""))) &gt; 0, ""OTHER"", 0)"),0)</f>
        <v>0</v>
      </c>
    </row>
    <row r="43" spans="1:11" ht="14.25" customHeight="1">
      <c r="A43" s="21">
        <v>42</v>
      </c>
      <c r="B43" s="21">
        <v>36</v>
      </c>
      <c r="C43" s="21" t="s">
        <v>1659</v>
      </c>
      <c r="D43" s="21" t="s">
        <v>1660</v>
      </c>
      <c r="E43" s="21">
        <v>5</v>
      </c>
      <c r="F43" s="21">
        <v>221461</v>
      </c>
      <c r="G43" s="42">
        <v>-3.3000000000000002E-2</v>
      </c>
      <c r="H43" s="21" t="s">
        <v>1661</v>
      </c>
      <c r="I43" s="39">
        <f ca="1">IFERROR(__xludf.DUMMYFUNCTION("IF(SUM(COUNTIF(artists!A:A, SPLIT(D43, "",""))) &gt; 0, ""UA"", 0)"),0)</f>
        <v>0</v>
      </c>
      <c r="J43" s="40" t="str">
        <f ca="1">IFERROR(__xludf.DUMMYFUNCTION("IF(SUM(COUNTIF(artists!C:C, SPLIT(D43, "",""))) &gt; 0, ""RU"", 0)"),"RU")</f>
        <v>RU</v>
      </c>
      <c r="K43" s="39">
        <f ca="1">IFERROR(__xludf.DUMMYFUNCTION("IF(SUM(COUNTIF(artists!E:E, SPLIT(D43, "",""))) &gt; 0, ""OTHER"", 0)"),0)</f>
        <v>0</v>
      </c>
    </row>
    <row r="44" spans="1:11" ht="14.25" customHeight="1">
      <c r="A44" s="21">
        <v>43</v>
      </c>
      <c r="B44" s="21">
        <v>39</v>
      </c>
      <c r="C44" s="21" t="s">
        <v>1849</v>
      </c>
      <c r="D44" s="21" t="s">
        <v>598</v>
      </c>
      <c r="E44" s="21">
        <v>6</v>
      </c>
      <c r="F44" s="21">
        <v>219266</v>
      </c>
      <c r="G44" s="42">
        <v>-2.1999999999999999E-2</v>
      </c>
      <c r="H44" s="21" t="s">
        <v>1850</v>
      </c>
      <c r="I44" s="39" t="str">
        <f ca="1">IFERROR(__xludf.DUMMYFUNCTION("IF(SUM(COUNTIF(artists!A:A, SPLIT(D44, "",""))) &gt; 0, ""UA"", 0)"),"UA")</f>
        <v>UA</v>
      </c>
      <c r="J44" s="40">
        <f ca="1">IFERROR(__xludf.DUMMYFUNCTION("IF(SUM(COUNTIF(artists!C:C, SPLIT(D44, "",""))) &gt; 0, ""RU"", 0)"),0)</f>
        <v>0</v>
      </c>
      <c r="K44" s="39">
        <f ca="1">IFERROR(__xludf.DUMMYFUNCTION("IF(SUM(COUNTIF(artists!E:E, SPLIT(D44, "",""))) &gt; 0, ""OTHER"", 0)"),0)</f>
        <v>0</v>
      </c>
    </row>
    <row r="45" spans="1:11" ht="14.25" customHeight="1">
      <c r="A45" s="21">
        <v>44</v>
      </c>
      <c r="B45" s="21">
        <v>43</v>
      </c>
      <c r="C45" s="21" t="s">
        <v>1726</v>
      </c>
      <c r="D45" s="21" t="s">
        <v>1727</v>
      </c>
      <c r="E45" s="21">
        <v>6</v>
      </c>
      <c r="F45" s="21">
        <v>217082</v>
      </c>
      <c r="G45" s="42">
        <v>6.2E-2</v>
      </c>
      <c r="H45" s="21" t="s">
        <v>1728</v>
      </c>
      <c r="I45" s="39" t="str">
        <f ca="1">IFERROR(__xludf.DUMMYFUNCTION("IF(SUM(COUNTIF(artists!A:A, SPLIT(D45, "",""))) &gt; 0, ""UA"", 0)"),"UA")</f>
        <v>UA</v>
      </c>
      <c r="J45" s="40">
        <f ca="1">IFERROR(__xludf.DUMMYFUNCTION("IF(SUM(COUNTIF(artists!C:C, SPLIT(D45, "",""))) &gt; 0, ""RU"", 0)"),0)</f>
        <v>0</v>
      </c>
      <c r="K45" s="39">
        <f ca="1">IFERROR(__xludf.DUMMYFUNCTION("IF(SUM(COUNTIF(artists!E:E, SPLIT(D45, "",""))) &gt; 0, ""OTHER"", 0)"),0)</f>
        <v>0</v>
      </c>
    </row>
    <row r="46" spans="1:11" ht="14.25" customHeight="1">
      <c r="A46" s="21">
        <v>45</v>
      </c>
      <c r="B46" s="21">
        <v>45</v>
      </c>
      <c r="C46" s="21" t="s">
        <v>1498</v>
      </c>
      <c r="D46" s="21" t="s">
        <v>969</v>
      </c>
      <c r="E46" s="21">
        <v>28</v>
      </c>
      <c r="F46" s="21">
        <v>214901</v>
      </c>
      <c r="G46" s="42">
        <v>6.0999999999999999E-2</v>
      </c>
      <c r="H46" s="21" t="s">
        <v>1499</v>
      </c>
      <c r="I46" s="39" t="str">
        <f ca="1">IFERROR(__xludf.DUMMYFUNCTION("IF(SUM(COUNTIF(artists!A:A, SPLIT(D46, "",""))) &gt; 0, ""UA"", 0)"),"UA")</f>
        <v>UA</v>
      </c>
      <c r="J46" s="40">
        <f ca="1">IFERROR(__xludf.DUMMYFUNCTION("IF(SUM(COUNTIF(artists!C:C, SPLIT(D46, "",""))) &gt; 0, ""RU"", 0)"),0)</f>
        <v>0</v>
      </c>
      <c r="K46" s="39">
        <f ca="1">IFERROR(__xludf.DUMMYFUNCTION("IF(SUM(COUNTIF(artists!E:E, SPLIT(D46, "",""))) &gt; 0, ""OTHER"", 0)"),0)</f>
        <v>0</v>
      </c>
    </row>
    <row r="47" spans="1:11" ht="14.25" customHeight="1">
      <c r="A47" s="21">
        <v>46</v>
      </c>
      <c r="C47" s="21" t="s">
        <v>31</v>
      </c>
      <c r="D47" s="21" t="s">
        <v>32</v>
      </c>
      <c r="E47" s="21">
        <v>1</v>
      </c>
      <c r="F47" s="21">
        <v>213506</v>
      </c>
      <c r="H47" s="21" t="s">
        <v>1630</v>
      </c>
      <c r="I47" s="39" t="s">
        <v>77</v>
      </c>
      <c r="J47" s="40">
        <f ca="1">IFERROR(__xludf.DUMMYFUNCTION("IF(SUM(COUNTIF(artists!C:C, SPLIT(D47, "",""))) &gt; 0, ""RU"", 0)"),0)</f>
        <v>0</v>
      </c>
      <c r="K47" s="39">
        <f ca="1">IFERROR(__xludf.DUMMYFUNCTION("IF(SUM(COUNTIF(artists!E:E, SPLIT(D47, "",""))) &gt; 0, ""OTHER"", 0)"),0)</f>
        <v>0</v>
      </c>
    </row>
    <row r="48" spans="1:11" ht="14.25" customHeight="1">
      <c r="A48" s="21">
        <v>47</v>
      </c>
      <c r="B48" s="21">
        <v>48</v>
      </c>
      <c r="C48" s="21" t="s">
        <v>1477</v>
      </c>
      <c r="D48" s="21" t="s">
        <v>1478</v>
      </c>
      <c r="E48" s="21">
        <v>5</v>
      </c>
      <c r="F48" s="21">
        <v>209278</v>
      </c>
      <c r="G48" s="42">
        <v>6.6000000000000003E-2</v>
      </c>
      <c r="H48" s="21" t="s">
        <v>1479</v>
      </c>
      <c r="I48" s="39" t="str">
        <f ca="1">IFERROR(__xludf.DUMMYFUNCTION("IF(SUM(COUNTIF(artists!A:A, SPLIT(D48, "",""))) &gt; 0, ""UA"", 0)"),"UA")</f>
        <v>UA</v>
      </c>
      <c r="J48" s="40">
        <f ca="1">IFERROR(__xludf.DUMMYFUNCTION("IF(SUM(COUNTIF(artists!C:C, SPLIT(D48, "",""))) &gt; 0, ""RU"", 0)"),0)</f>
        <v>0</v>
      </c>
      <c r="K48" s="39">
        <f ca="1">IFERROR(__xludf.DUMMYFUNCTION("IF(SUM(COUNTIF(artists!E:E, SPLIT(D48, "",""))) &gt; 0, ""OTHER"", 0)"),0)</f>
        <v>0</v>
      </c>
    </row>
    <row r="49" spans="1:11" ht="14.25" customHeight="1">
      <c r="A49" s="21">
        <v>48</v>
      </c>
      <c r="B49" s="21">
        <v>41</v>
      </c>
      <c r="C49" s="21" t="s">
        <v>1502</v>
      </c>
      <c r="D49" s="21" t="s">
        <v>1503</v>
      </c>
      <c r="E49" s="21">
        <v>26</v>
      </c>
      <c r="F49" s="21">
        <v>208913</v>
      </c>
      <c r="G49" s="42">
        <v>-5.1999999999999998E-2</v>
      </c>
      <c r="H49" s="21" t="s">
        <v>1504</v>
      </c>
      <c r="I49" s="39" t="str">
        <f ca="1">IFERROR(__xludf.DUMMYFUNCTION("IF(SUM(COUNTIF(artists!A:A, SPLIT(D49, "",""))) &gt; 0, ""UA"", 0)"),"UA")</f>
        <v>UA</v>
      </c>
      <c r="J49" s="40">
        <f ca="1">IFERROR(__xludf.DUMMYFUNCTION("IF(SUM(COUNTIF(artists!C:C, SPLIT(D49, "",""))) &gt; 0, ""RU"", 0)"),0)</f>
        <v>0</v>
      </c>
      <c r="K49" s="39">
        <f ca="1">IFERROR(__xludf.DUMMYFUNCTION("IF(SUM(COUNTIF(artists!E:E, SPLIT(D49, "",""))) &gt; 0, ""OTHER"", 0)"),0)</f>
        <v>0</v>
      </c>
    </row>
    <row r="50" spans="1:11" ht="14.25" customHeight="1">
      <c r="A50" s="21">
        <v>49</v>
      </c>
      <c r="B50" s="21">
        <v>42</v>
      </c>
      <c r="C50" s="21" t="s">
        <v>748</v>
      </c>
      <c r="D50" s="21" t="s">
        <v>586</v>
      </c>
      <c r="E50" s="21">
        <v>5</v>
      </c>
      <c r="F50" s="21">
        <v>208702</v>
      </c>
      <c r="G50" s="42">
        <v>4.0000000000000001E-3</v>
      </c>
      <c r="H50" s="21" t="s">
        <v>749</v>
      </c>
      <c r="I50" s="39" t="str">
        <f ca="1">IFERROR(__xludf.DUMMYFUNCTION("IF(SUM(COUNTIF(artists!A:A, SPLIT(D50, "",""))) &gt; 0, ""UA"", 0)"),"UA")</f>
        <v>UA</v>
      </c>
      <c r="J50" s="40">
        <f ca="1">IFERROR(__xludf.DUMMYFUNCTION("IF(SUM(COUNTIF(artists!C:C, SPLIT(D50, "",""))) &gt; 0, ""RU"", 0)"),0)</f>
        <v>0</v>
      </c>
      <c r="K50" s="39">
        <f ca="1">IFERROR(__xludf.DUMMYFUNCTION("IF(SUM(COUNTIF(artists!E:E, SPLIT(D50, "",""))) &gt; 0, ""OTHER"", 0)"),0)</f>
        <v>0</v>
      </c>
    </row>
    <row r="51" spans="1:11" ht="14.25" customHeight="1">
      <c r="A51" s="21">
        <v>50</v>
      </c>
      <c r="B51" s="21">
        <v>32</v>
      </c>
      <c r="C51" s="21" t="s">
        <v>1631</v>
      </c>
      <c r="D51" s="21" t="s">
        <v>409</v>
      </c>
      <c r="E51" s="21">
        <v>6</v>
      </c>
      <c r="F51" s="21">
        <v>208429</v>
      </c>
      <c r="G51" s="42">
        <v>-0.155</v>
      </c>
      <c r="H51" s="21" t="s">
        <v>1632</v>
      </c>
      <c r="I51" s="39" t="str">
        <f ca="1">IFERROR(__xludf.DUMMYFUNCTION("IF(SUM(COUNTIF(artists!A:A, SPLIT(D51, "",""))) &gt; 0, ""UA"", 0)"),"UA")</f>
        <v>UA</v>
      </c>
      <c r="J51" s="40">
        <f ca="1">IFERROR(__xludf.DUMMYFUNCTION("IF(SUM(COUNTIF(artists!C:C, SPLIT(D51, "",""))) &gt; 0, ""RU"", 0)"),0)</f>
        <v>0</v>
      </c>
      <c r="K51" s="39">
        <f ca="1">IFERROR(__xludf.DUMMYFUNCTION("IF(SUM(COUNTIF(artists!E:E, SPLIT(D51, "",""))) &gt; 0, ""OTHER"", 0)"),0)</f>
        <v>0</v>
      </c>
    </row>
    <row r="52" spans="1:11" ht="14.25" customHeight="1">
      <c r="A52" s="21">
        <v>51</v>
      </c>
      <c r="B52" s="21">
        <v>63</v>
      </c>
      <c r="C52" s="21" t="s">
        <v>1282</v>
      </c>
      <c r="D52" s="21" t="s">
        <v>108</v>
      </c>
      <c r="E52" s="21">
        <v>23</v>
      </c>
      <c r="F52" s="21">
        <v>207016</v>
      </c>
      <c r="G52" s="42">
        <v>0.27200000000000002</v>
      </c>
      <c r="H52" s="21" t="s">
        <v>1283</v>
      </c>
      <c r="I52" s="39" t="str">
        <f ca="1">IFERROR(__xludf.DUMMYFUNCTION("IF(SUM(COUNTIF(artists!A:A, SPLIT(D52, "",""))) &gt; 0, ""UA"", 0)"),"UA")</f>
        <v>UA</v>
      </c>
      <c r="J52" s="40">
        <f ca="1">IFERROR(__xludf.DUMMYFUNCTION("IF(SUM(COUNTIF(artists!C:C, SPLIT(D52, "",""))) &gt; 0, ""RU"", 0)"),0)</f>
        <v>0</v>
      </c>
      <c r="K52" s="39">
        <f ca="1">IFERROR(__xludf.DUMMYFUNCTION("IF(SUM(COUNTIF(artists!E:E, SPLIT(D52, "",""))) &gt; 0, ""OTHER"", 0)"),0)</f>
        <v>0</v>
      </c>
    </row>
    <row r="53" spans="1:11" ht="14.25" customHeight="1">
      <c r="A53" s="21">
        <v>52</v>
      </c>
      <c r="B53" s="21">
        <v>47</v>
      </c>
      <c r="C53" s="21" t="s">
        <v>1810</v>
      </c>
      <c r="D53" s="21" t="s">
        <v>15</v>
      </c>
      <c r="E53" s="21">
        <v>6</v>
      </c>
      <c r="F53" s="21">
        <v>201253</v>
      </c>
      <c r="G53" s="42">
        <v>1E-3</v>
      </c>
      <c r="H53" s="21" t="s">
        <v>1811</v>
      </c>
      <c r="I53" s="39">
        <f ca="1">IFERROR(__xludf.DUMMYFUNCTION("IF(SUM(COUNTIF(artists!A:A, SPLIT(D53, "",""))) &gt; 0, ""UA"", 0)"),0)</f>
        <v>0</v>
      </c>
      <c r="J53" s="40">
        <f ca="1">IFERROR(__xludf.DUMMYFUNCTION("IF(SUM(COUNTIF(artists!C:C, SPLIT(D53, "",""))) &gt; 0, ""RU"", 0)"),0)</f>
        <v>0</v>
      </c>
      <c r="K53" s="39" t="str">
        <f ca="1">IFERROR(__xludf.DUMMYFUNCTION("IF(SUM(COUNTIF(artists!E:E, SPLIT(D53, "",""))) &gt; 0, ""OTHER"", 0)"),"OTHER")</f>
        <v>OTHER</v>
      </c>
    </row>
    <row r="54" spans="1:11" ht="14.25" customHeight="1">
      <c r="A54" s="21">
        <v>53</v>
      </c>
      <c r="B54" s="21">
        <v>53</v>
      </c>
      <c r="C54" s="21" t="s">
        <v>1447</v>
      </c>
      <c r="D54" s="21" t="s">
        <v>969</v>
      </c>
      <c r="E54" s="21">
        <v>16</v>
      </c>
      <c r="F54" s="21">
        <v>199720</v>
      </c>
      <c r="G54" s="42">
        <v>9.0999999999999998E-2</v>
      </c>
      <c r="H54" s="21" t="s">
        <v>1448</v>
      </c>
      <c r="I54" s="39" t="str">
        <f ca="1">IFERROR(__xludf.DUMMYFUNCTION("IF(SUM(COUNTIF(artists!A:A, SPLIT(D54, "",""))) &gt; 0, ""UA"", 0)"),"UA")</f>
        <v>UA</v>
      </c>
      <c r="J54" s="40">
        <f ca="1">IFERROR(__xludf.DUMMYFUNCTION("IF(SUM(COUNTIF(artists!C:C, SPLIT(D54, "",""))) &gt; 0, ""RU"", 0)"),0)</f>
        <v>0</v>
      </c>
      <c r="K54" s="39">
        <f ca="1">IFERROR(__xludf.DUMMYFUNCTION("IF(SUM(COUNTIF(artists!E:E, SPLIT(D54, "",""))) &gt; 0, ""OTHER"", 0)"),0)</f>
        <v>0</v>
      </c>
    </row>
    <row r="55" spans="1:11" ht="14.25" customHeight="1">
      <c r="A55" s="21">
        <v>54</v>
      </c>
      <c r="B55" s="21">
        <v>49</v>
      </c>
      <c r="C55" s="21" t="s">
        <v>1588</v>
      </c>
      <c r="D55" s="21" t="s">
        <v>776</v>
      </c>
      <c r="E55" s="21">
        <v>9</v>
      </c>
      <c r="F55" s="21">
        <v>198099</v>
      </c>
      <c r="G55" s="42">
        <v>3.6999999999999998E-2</v>
      </c>
      <c r="H55" s="21" t="s">
        <v>1589</v>
      </c>
      <c r="I55" s="39" t="str">
        <f ca="1">IFERROR(__xludf.DUMMYFUNCTION("IF(SUM(COUNTIF(artists!A:A, SPLIT(D55, "",""))) &gt; 0, ""UA"", 0)"),"UA")</f>
        <v>UA</v>
      </c>
      <c r="J55" s="40">
        <f ca="1">IFERROR(__xludf.DUMMYFUNCTION("IF(SUM(COUNTIF(artists!C:C, SPLIT(D55, "",""))) &gt; 0, ""RU"", 0)"),0)</f>
        <v>0</v>
      </c>
      <c r="K55" s="39">
        <f ca="1">IFERROR(__xludf.DUMMYFUNCTION("IF(SUM(COUNTIF(artists!E:E, SPLIT(D55, "",""))) &gt; 0, ""OTHER"", 0)"),0)</f>
        <v>0</v>
      </c>
    </row>
    <row r="56" spans="1:11" ht="14.25" customHeight="1">
      <c r="A56" s="21">
        <v>55</v>
      </c>
      <c r="B56" s="21">
        <v>30</v>
      </c>
      <c r="C56" s="21" t="s">
        <v>1854</v>
      </c>
      <c r="D56" s="21" t="s">
        <v>1503</v>
      </c>
      <c r="E56" s="21">
        <v>3</v>
      </c>
      <c r="F56" s="21">
        <v>198052</v>
      </c>
      <c r="G56" s="42">
        <v>-0.19800000000000001</v>
      </c>
      <c r="H56" s="21" t="s">
        <v>1855</v>
      </c>
      <c r="I56" s="39" t="str">
        <f ca="1">IFERROR(__xludf.DUMMYFUNCTION("IF(SUM(COUNTIF(artists!A:A, SPLIT(D56, "",""))) &gt; 0, ""UA"", 0)"),"UA")</f>
        <v>UA</v>
      </c>
      <c r="J56" s="40">
        <f ca="1">IFERROR(__xludf.DUMMYFUNCTION("IF(SUM(COUNTIF(artists!C:C, SPLIT(D56, "",""))) &gt; 0, ""RU"", 0)"),0)</f>
        <v>0</v>
      </c>
      <c r="K56" s="39">
        <f ca="1">IFERROR(__xludf.DUMMYFUNCTION("IF(SUM(COUNTIF(artists!E:E, SPLIT(D56, "",""))) &gt; 0, ""OTHER"", 0)"),0)</f>
        <v>0</v>
      </c>
    </row>
    <row r="57" spans="1:11" ht="14.25" customHeight="1">
      <c r="A57" s="21">
        <v>56</v>
      </c>
      <c r="B57" s="21">
        <v>52</v>
      </c>
      <c r="C57" s="21" t="s">
        <v>1812</v>
      </c>
      <c r="D57" s="21" t="s">
        <v>133</v>
      </c>
      <c r="E57" s="21">
        <v>6</v>
      </c>
      <c r="F57" s="21">
        <v>188730</v>
      </c>
      <c r="G57" s="42">
        <v>2.4E-2</v>
      </c>
      <c r="H57" s="21" t="s">
        <v>1813</v>
      </c>
      <c r="I57" s="39" t="str">
        <f ca="1">IFERROR(__xludf.DUMMYFUNCTION("IF(SUM(COUNTIF(artists!A:A, SPLIT(D57, "",""))) &gt; 0, ""UA"", 0)"),"UA")</f>
        <v>UA</v>
      </c>
      <c r="J57" s="40">
        <f ca="1">IFERROR(__xludf.DUMMYFUNCTION("IF(SUM(COUNTIF(artists!C:C, SPLIT(D57, "",""))) &gt; 0, ""RU"", 0)"),0)</f>
        <v>0</v>
      </c>
      <c r="K57" s="39">
        <f ca="1">IFERROR(__xludf.DUMMYFUNCTION("IF(SUM(COUNTIF(artists!E:E, SPLIT(D57, "",""))) &gt; 0, ""OTHER"", 0)"),0)</f>
        <v>0</v>
      </c>
    </row>
    <row r="58" spans="1:11" ht="14.25" customHeight="1">
      <c r="A58" s="21">
        <v>57</v>
      </c>
      <c r="B58" s="21">
        <v>17</v>
      </c>
      <c r="C58" s="21" t="s">
        <v>1856</v>
      </c>
      <c r="D58" s="21" t="s">
        <v>125</v>
      </c>
      <c r="E58" s="21">
        <v>2</v>
      </c>
      <c r="F58" s="21">
        <v>183461</v>
      </c>
      <c r="G58" s="42">
        <v>-0.41499999999999998</v>
      </c>
      <c r="H58" s="21" t="s">
        <v>1857</v>
      </c>
      <c r="I58" s="39">
        <f ca="1">IFERROR(__xludf.DUMMYFUNCTION("IF(SUM(COUNTIF(artists!A:A, SPLIT(D58, "",""))) &gt; 0, ""UA"", 0)"),0)</f>
        <v>0</v>
      </c>
      <c r="J58" s="40" t="str">
        <f ca="1">IFERROR(__xludf.DUMMYFUNCTION("IF(SUM(COUNTIF(artists!C:C, SPLIT(D58, "",""))) &gt; 0, ""RU"", 0)"),"RU")</f>
        <v>RU</v>
      </c>
      <c r="K58" s="39">
        <f ca="1">IFERROR(__xludf.DUMMYFUNCTION("IF(SUM(COUNTIF(artists!E:E, SPLIT(D58, "",""))) &gt; 0, ""OTHER"", 0)"),0)</f>
        <v>0</v>
      </c>
    </row>
    <row r="59" spans="1:11" ht="14.25" customHeight="1">
      <c r="A59" s="21">
        <v>58</v>
      </c>
      <c r="B59" s="21">
        <v>51</v>
      </c>
      <c r="C59" s="21" t="s">
        <v>1837</v>
      </c>
      <c r="D59" s="21" t="s">
        <v>380</v>
      </c>
      <c r="E59" s="21">
        <v>3</v>
      </c>
      <c r="F59" s="21">
        <v>182789</v>
      </c>
      <c r="G59" s="42">
        <v>-1.6E-2</v>
      </c>
      <c r="H59" s="21" t="s">
        <v>1838</v>
      </c>
      <c r="I59" s="39" t="str">
        <f ca="1">IFERROR(__xludf.DUMMYFUNCTION("IF(SUM(COUNTIF(artists!A:A, SPLIT(D59, "",""))) &gt; 0, ""UA"", 0)"),"UA")</f>
        <v>UA</v>
      </c>
      <c r="J59" s="40">
        <f ca="1">IFERROR(__xludf.DUMMYFUNCTION("IF(SUM(COUNTIF(artists!C:C, SPLIT(D59, "",""))) &gt; 0, ""RU"", 0)"),0)</f>
        <v>0</v>
      </c>
      <c r="K59" s="39">
        <f ca="1">IFERROR(__xludf.DUMMYFUNCTION("IF(SUM(COUNTIF(artists!E:E, SPLIT(D59, "",""))) &gt; 0, ""OTHER"", 0)"),0)</f>
        <v>0</v>
      </c>
    </row>
    <row r="60" spans="1:11" ht="14.25" customHeight="1">
      <c r="A60" s="21">
        <v>59</v>
      </c>
      <c r="B60" s="21">
        <v>64</v>
      </c>
      <c r="C60" s="21" t="s">
        <v>253</v>
      </c>
      <c r="D60" s="21" t="s">
        <v>89</v>
      </c>
      <c r="E60" s="21">
        <v>5</v>
      </c>
      <c r="F60" s="21">
        <v>181156</v>
      </c>
      <c r="G60" s="42">
        <v>0.14199999999999999</v>
      </c>
      <c r="H60" s="21" t="s">
        <v>254</v>
      </c>
      <c r="I60" s="39" t="str">
        <f ca="1">IFERROR(__xludf.DUMMYFUNCTION("IF(SUM(COUNTIF(artists!A:A, SPLIT(D60, "",""))) &gt; 0, ""UA"", 0)"),"UA")</f>
        <v>UA</v>
      </c>
      <c r="J60" s="40">
        <f ca="1">IFERROR(__xludf.DUMMYFUNCTION("IF(SUM(COUNTIF(artists!C:C, SPLIT(D60, "",""))) &gt; 0, ""RU"", 0)"),0)</f>
        <v>0</v>
      </c>
      <c r="K60" s="39">
        <f ca="1">IFERROR(__xludf.DUMMYFUNCTION("IF(SUM(COUNTIF(artists!E:E, SPLIT(D60, "",""))) &gt; 0, ""OTHER"", 0)"),0)</f>
        <v>0</v>
      </c>
    </row>
    <row r="61" spans="1:11" ht="14.25" customHeight="1">
      <c r="A61" s="21">
        <v>60</v>
      </c>
      <c r="C61" s="21" t="s">
        <v>918</v>
      </c>
      <c r="D61" s="21" t="s">
        <v>108</v>
      </c>
      <c r="E61" s="21">
        <v>32</v>
      </c>
      <c r="F61" s="21">
        <v>177086</v>
      </c>
      <c r="H61" s="21" t="s">
        <v>919</v>
      </c>
      <c r="I61" s="39" t="str">
        <f ca="1">IFERROR(__xludf.DUMMYFUNCTION("IF(SUM(COUNTIF(artists!A:A, SPLIT(D61, "",""))) &gt; 0, ""UA"", 0)"),"UA")</f>
        <v>UA</v>
      </c>
      <c r="J61" s="40">
        <f ca="1">IFERROR(__xludf.DUMMYFUNCTION("IF(SUM(COUNTIF(artists!C:C, SPLIT(D61, "",""))) &gt; 0, ""RU"", 0)"),0)</f>
        <v>0</v>
      </c>
      <c r="K61" s="39">
        <f ca="1">IFERROR(__xludf.DUMMYFUNCTION("IF(SUM(COUNTIF(artists!E:E, SPLIT(D61, "",""))) &gt; 0, ""OTHER"", 0)"),0)</f>
        <v>0</v>
      </c>
    </row>
    <row r="62" spans="1:11" ht="14.25" customHeight="1">
      <c r="A62" s="21">
        <v>61</v>
      </c>
      <c r="B62" s="21">
        <v>54</v>
      </c>
      <c r="C62" s="21" t="s">
        <v>1867</v>
      </c>
      <c r="D62" s="21" t="s">
        <v>1099</v>
      </c>
      <c r="E62" s="21">
        <v>20</v>
      </c>
      <c r="F62" s="21">
        <v>176610</v>
      </c>
      <c r="G62" s="42">
        <v>-2.5999999999999999E-2</v>
      </c>
      <c r="H62" s="21" t="s">
        <v>1868</v>
      </c>
      <c r="I62" s="39">
        <f ca="1">IFERROR(__xludf.DUMMYFUNCTION("IF(SUM(COUNTIF(artists!A:A, SPLIT(D62, "",""))) &gt; 0, ""UA"", 0)"),0)</f>
        <v>0</v>
      </c>
      <c r="J62" s="40" t="str">
        <f ca="1">IFERROR(__xludf.DUMMYFUNCTION("IF(SUM(COUNTIF(artists!C:C, SPLIT(D62, "",""))) &gt; 0, ""RU"", 0)"),"RU")</f>
        <v>RU</v>
      </c>
      <c r="K62" s="39">
        <f ca="1">IFERROR(__xludf.DUMMYFUNCTION("IF(SUM(COUNTIF(artists!E:E, SPLIT(D62, "",""))) &gt; 0, ""OTHER"", 0)"),0)</f>
        <v>0</v>
      </c>
    </row>
    <row r="63" spans="1:11" ht="14.25" customHeight="1">
      <c r="A63" s="21">
        <v>62</v>
      </c>
      <c r="B63" s="21">
        <v>76</v>
      </c>
      <c r="C63" s="21" t="s">
        <v>470</v>
      </c>
      <c r="D63" s="21" t="s">
        <v>598</v>
      </c>
      <c r="E63" s="21">
        <v>18</v>
      </c>
      <c r="F63" s="21">
        <v>175320</v>
      </c>
      <c r="G63" s="42">
        <v>0.20499999999999999</v>
      </c>
      <c r="H63" s="21" t="s">
        <v>1274</v>
      </c>
      <c r="I63" s="39" t="str">
        <f ca="1">IFERROR(__xludf.DUMMYFUNCTION("IF(SUM(COUNTIF(artists!A:A, SPLIT(D63, "",""))) &gt; 0, ""UA"", 0)"),"UA")</f>
        <v>UA</v>
      </c>
      <c r="J63" s="40">
        <f ca="1">IFERROR(__xludf.DUMMYFUNCTION("IF(SUM(COUNTIF(artists!C:C, SPLIT(D63, "",""))) &gt; 0, ""RU"", 0)"),0)</f>
        <v>0</v>
      </c>
      <c r="K63" s="39">
        <f ca="1">IFERROR(__xludf.DUMMYFUNCTION("IF(SUM(COUNTIF(artists!E:E, SPLIT(D63, "",""))) &gt; 0, ""OTHER"", 0)"),0)</f>
        <v>0</v>
      </c>
    </row>
    <row r="64" spans="1:11" ht="14.25" customHeight="1">
      <c r="A64" s="21">
        <v>63</v>
      </c>
      <c r="B64" s="21">
        <v>77</v>
      </c>
      <c r="C64" s="21" t="s">
        <v>1546</v>
      </c>
      <c r="D64" s="21" t="s">
        <v>1429</v>
      </c>
      <c r="E64" s="21">
        <v>2</v>
      </c>
      <c r="F64" s="21">
        <v>171526</v>
      </c>
      <c r="G64" s="42">
        <v>0.18099999999999999</v>
      </c>
      <c r="H64" s="21" t="s">
        <v>1547</v>
      </c>
      <c r="I64" s="39" t="str">
        <f ca="1">IFERROR(__xludf.DUMMYFUNCTION("IF(SUM(COUNTIF(artists!A:A, SPLIT(D64, "",""))) &gt; 0, ""UA"", 0)"),"UA")</f>
        <v>UA</v>
      </c>
      <c r="J64" s="40">
        <f ca="1">IFERROR(__xludf.DUMMYFUNCTION("IF(SUM(COUNTIF(artists!C:C, SPLIT(D64, "",""))) &gt; 0, ""RU"", 0)"),0)</f>
        <v>0</v>
      </c>
      <c r="K64" s="39">
        <f ca="1">IFERROR(__xludf.DUMMYFUNCTION("IF(SUM(COUNTIF(artists!E:E, SPLIT(D64, "",""))) &gt; 0, ""OTHER"", 0)"),0)</f>
        <v>0</v>
      </c>
    </row>
    <row r="65" spans="1:11" ht="14.25" customHeight="1">
      <c r="A65" s="21">
        <v>64</v>
      </c>
      <c r="B65" s="21">
        <v>70</v>
      </c>
      <c r="C65" s="21" t="s">
        <v>1842</v>
      </c>
      <c r="D65" s="21" t="s">
        <v>1843</v>
      </c>
      <c r="E65" s="21">
        <v>6</v>
      </c>
      <c r="F65" s="21">
        <v>171497</v>
      </c>
      <c r="G65" s="43">
        <v>0.09</v>
      </c>
      <c r="H65" s="21" t="s">
        <v>1844</v>
      </c>
      <c r="I65" s="39">
        <f ca="1">IFERROR(__xludf.DUMMYFUNCTION("IF(SUM(COUNTIF(artists!A:A, SPLIT(D65, "",""))) &gt; 0, ""UA"", 0)"),0)</f>
        <v>0</v>
      </c>
      <c r="J65" s="40" t="str">
        <f ca="1">IFERROR(__xludf.DUMMYFUNCTION("IF(SUM(COUNTIF(artists!C:C, SPLIT(D65, "",""))) &gt; 0, ""RU"", 0)"),"RU")</f>
        <v>RU</v>
      </c>
      <c r="K65" s="39">
        <f ca="1">IFERROR(__xludf.DUMMYFUNCTION("IF(SUM(COUNTIF(artists!E:E, SPLIT(D65, "",""))) &gt; 0, ""OTHER"", 0)"),0)</f>
        <v>0</v>
      </c>
    </row>
    <row r="66" spans="1:11" ht="14.25" customHeight="1">
      <c r="A66" s="21">
        <v>65</v>
      </c>
      <c r="B66" s="21">
        <v>74</v>
      </c>
      <c r="C66" s="21" t="s">
        <v>1822</v>
      </c>
      <c r="D66" s="21" t="s">
        <v>1823</v>
      </c>
      <c r="E66" s="21">
        <v>6</v>
      </c>
      <c r="F66" s="21">
        <v>170330</v>
      </c>
      <c r="G66" s="42">
        <v>0.153</v>
      </c>
      <c r="H66" s="21" t="s">
        <v>1824</v>
      </c>
      <c r="I66" s="39" t="str">
        <f ca="1">IFERROR(__xludf.DUMMYFUNCTION("IF(SUM(COUNTIF(artists!A:A, SPLIT(D66, "",""))) &gt; 0, ""UA"", 0)"),"UA")</f>
        <v>UA</v>
      </c>
      <c r="J66" s="40">
        <f ca="1">IFERROR(__xludf.DUMMYFUNCTION("IF(SUM(COUNTIF(artists!C:C, SPLIT(D66, "",""))) &gt; 0, ""RU"", 0)"),0)</f>
        <v>0</v>
      </c>
      <c r="K66" s="39">
        <f ca="1">IFERROR(__xludf.DUMMYFUNCTION("IF(SUM(COUNTIF(artists!E:E, SPLIT(D66, "",""))) &gt; 0, ""OTHER"", 0)"),0)</f>
        <v>0</v>
      </c>
    </row>
    <row r="67" spans="1:11" ht="14.25" customHeight="1">
      <c r="A67" s="21">
        <v>66</v>
      </c>
      <c r="B67" s="21">
        <v>81</v>
      </c>
      <c r="C67" s="21" t="s">
        <v>1518</v>
      </c>
      <c r="D67" s="21" t="s">
        <v>108</v>
      </c>
      <c r="E67" s="21">
        <v>8</v>
      </c>
      <c r="F67" s="21">
        <v>167674</v>
      </c>
      <c r="G67" s="42">
        <v>0.17599999999999999</v>
      </c>
      <c r="H67" s="21" t="s">
        <v>1519</v>
      </c>
      <c r="I67" s="39" t="str">
        <f ca="1">IFERROR(__xludf.DUMMYFUNCTION("IF(SUM(COUNTIF(artists!A:A, SPLIT(D67, "",""))) &gt; 0, ""UA"", 0)"),"UA")</f>
        <v>UA</v>
      </c>
      <c r="J67" s="40">
        <f ca="1">IFERROR(__xludf.DUMMYFUNCTION("IF(SUM(COUNTIF(artists!C:C, SPLIT(D67, "",""))) &gt; 0, ""RU"", 0)"),0)</f>
        <v>0</v>
      </c>
      <c r="K67" s="39">
        <f ca="1">IFERROR(__xludf.DUMMYFUNCTION("IF(SUM(COUNTIF(artists!E:E, SPLIT(D67, "",""))) &gt; 0, ""OTHER"", 0)"),0)</f>
        <v>0</v>
      </c>
    </row>
    <row r="68" spans="1:11" ht="14.25" customHeight="1">
      <c r="A68" s="21">
        <v>67</v>
      </c>
      <c r="B68" s="21">
        <v>79</v>
      </c>
      <c r="C68" s="21" t="s">
        <v>1586</v>
      </c>
      <c r="D68" s="21" t="s">
        <v>969</v>
      </c>
      <c r="E68" s="21">
        <v>9</v>
      </c>
      <c r="F68" s="21">
        <v>166148</v>
      </c>
      <c r="G68" s="42">
        <v>0.14799999999999999</v>
      </c>
      <c r="H68" s="21" t="s">
        <v>1587</v>
      </c>
      <c r="I68" s="39" t="str">
        <f ca="1">IFERROR(__xludf.DUMMYFUNCTION("IF(SUM(COUNTIF(artists!A:A, SPLIT(D68, "",""))) &gt; 0, ""UA"", 0)"),"UA")</f>
        <v>UA</v>
      </c>
      <c r="J68" s="40">
        <f ca="1">IFERROR(__xludf.DUMMYFUNCTION("IF(SUM(COUNTIF(artists!C:C, SPLIT(D68, "",""))) &gt; 0, ""RU"", 0)"),0)</f>
        <v>0</v>
      </c>
      <c r="K68" s="39">
        <f ca="1">IFERROR(__xludf.DUMMYFUNCTION("IF(SUM(COUNTIF(artists!E:E, SPLIT(D68, "",""))) &gt; 0, ""OTHER"", 0)"),0)</f>
        <v>0</v>
      </c>
    </row>
    <row r="69" spans="1:11" ht="14.25" customHeight="1">
      <c r="A69" s="21">
        <v>68</v>
      </c>
      <c r="C69" s="21" t="s">
        <v>1327</v>
      </c>
      <c r="D69" s="21" t="s">
        <v>89</v>
      </c>
      <c r="E69" s="21">
        <v>25</v>
      </c>
      <c r="F69" s="21">
        <v>163730</v>
      </c>
      <c r="H69" s="21" t="s">
        <v>1328</v>
      </c>
      <c r="I69" s="39" t="str">
        <f ca="1">IFERROR(__xludf.DUMMYFUNCTION("IF(SUM(COUNTIF(artists!A:A, SPLIT(D69, "",""))) &gt; 0, ""UA"", 0)"),"UA")</f>
        <v>UA</v>
      </c>
      <c r="J69" s="40">
        <f ca="1">IFERROR(__xludf.DUMMYFUNCTION("IF(SUM(COUNTIF(artists!C:C, SPLIT(D69, "",""))) &gt; 0, ""RU"", 0)"),0)</f>
        <v>0</v>
      </c>
      <c r="K69" s="39">
        <f ca="1">IFERROR(__xludf.DUMMYFUNCTION("IF(SUM(COUNTIF(artists!E:E, SPLIT(D69, "",""))) &gt; 0, ""OTHER"", 0)"),0)</f>
        <v>0</v>
      </c>
    </row>
    <row r="70" spans="1:11" ht="14.25" customHeight="1">
      <c r="A70" s="21">
        <v>69</v>
      </c>
      <c r="B70" s="21">
        <v>72</v>
      </c>
      <c r="C70" s="21" t="s">
        <v>1381</v>
      </c>
      <c r="D70" s="21" t="s">
        <v>969</v>
      </c>
      <c r="E70" s="21">
        <v>7</v>
      </c>
      <c r="F70" s="21">
        <v>161851</v>
      </c>
      <c r="G70" s="42">
        <v>4.7E-2</v>
      </c>
      <c r="H70" s="21" t="s">
        <v>1382</v>
      </c>
      <c r="I70" s="39" t="str">
        <f ca="1">IFERROR(__xludf.DUMMYFUNCTION("IF(SUM(COUNTIF(artists!A:A, SPLIT(D70, "",""))) &gt; 0, ""UA"", 0)"),"UA")</f>
        <v>UA</v>
      </c>
      <c r="J70" s="40">
        <f ca="1">IFERROR(__xludf.DUMMYFUNCTION("IF(SUM(COUNTIF(artists!C:C, SPLIT(D70, "",""))) &gt; 0, ""RU"", 0)"),0)</f>
        <v>0</v>
      </c>
      <c r="K70" s="39">
        <f ca="1">IFERROR(__xludf.DUMMYFUNCTION("IF(SUM(COUNTIF(artists!E:E, SPLIT(D70, "",""))) &gt; 0, ""OTHER"", 0)"),0)</f>
        <v>0</v>
      </c>
    </row>
    <row r="71" spans="1:11" ht="14.25" customHeight="1">
      <c r="A71" s="21">
        <v>70</v>
      </c>
      <c r="B71" s="21">
        <v>69</v>
      </c>
      <c r="C71" s="21" t="s">
        <v>1788</v>
      </c>
      <c r="D71" s="21" t="s">
        <v>1789</v>
      </c>
      <c r="E71" s="21">
        <v>2</v>
      </c>
      <c r="F71" s="21">
        <v>158626</v>
      </c>
      <c r="G71" s="42">
        <v>8.0000000000000002E-3</v>
      </c>
      <c r="H71" s="21" t="s">
        <v>1790</v>
      </c>
      <c r="I71" s="39" t="str">
        <f ca="1">IFERROR(__xludf.DUMMYFUNCTION("IF(SUM(COUNTIF(artists!A:A, SPLIT(D71, "",""))) &gt; 0, ""UA"", 0)"),"UA")</f>
        <v>UA</v>
      </c>
      <c r="J71" s="40">
        <f ca="1">IFERROR(__xludf.DUMMYFUNCTION("IF(SUM(COUNTIF(artists!C:C, SPLIT(D71, "",""))) &gt; 0, ""RU"", 0)"),0)</f>
        <v>0</v>
      </c>
      <c r="K71" s="39">
        <f ca="1">IFERROR(__xludf.DUMMYFUNCTION("IF(SUM(COUNTIF(artists!E:E, SPLIT(D71, "",""))) &gt; 0, ""OTHER"", 0)"),0)</f>
        <v>0</v>
      </c>
    </row>
    <row r="72" spans="1:11" ht="14.25" customHeight="1">
      <c r="A72" s="21">
        <v>71</v>
      </c>
      <c r="B72" s="21">
        <v>71</v>
      </c>
      <c r="C72" s="21" t="s">
        <v>1670</v>
      </c>
      <c r="D72" s="21" t="s">
        <v>969</v>
      </c>
      <c r="E72" s="21">
        <v>16</v>
      </c>
      <c r="F72" s="21">
        <v>157535</v>
      </c>
      <c r="G72" s="42">
        <v>6.0000000000000001E-3</v>
      </c>
      <c r="H72" s="21" t="s">
        <v>1671</v>
      </c>
      <c r="I72" s="39" t="str">
        <f ca="1">IFERROR(__xludf.DUMMYFUNCTION("IF(SUM(COUNTIF(artists!A:A, SPLIT(D72, "",""))) &gt; 0, ""UA"", 0)"),"UA")</f>
        <v>UA</v>
      </c>
      <c r="J72" s="40">
        <f ca="1">IFERROR(__xludf.DUMMYFUNCTION("IF(SUM(COUNTIF(artists!C:C, SPLIT(D72, "",""))) &gt; 0, ""RU"", 0)"),0)</f>
        <v>0</v>
      </c>
      <c r="K72" s="39">
        <f ca="1">IFERROR(__xludf.DUMMYFUNCTION("IF(SUM(COUNTIF(artists!E:E, SPLIT(D72, "",""))) &gt; 0, ""OTHER"", 0)"),0)</f>
        <v>0</v>
      </c>
    </row>
    <row r="73" spans="1:11" ht="14.25" customHeight="1">
      <c r="A73" s="21">
        <v>72</v>
      </c>
      <c r="B73" s="21">
        <v>67</v>
      </c>
      <c r="C73" s="21" t="s">
        <v>229</v>
      </c>
      <c r="D73" s="21" t="s">
        <v>230</v>
      </c>
      <c r="E73" s="21">
        <v>3</v>
      </c>
      <c r="F73" s="21">
        <v>156661</v>
      </c>
      <c r="G73" s="42">
        <v>-1.0999999999999999E-2</v>
      </c>
      <c r="H73" s="21" t="s">
        <v>232</v>
      </c>
      <c r="I73" s="39" t="str">
        <f ca="1">IFERROR(__xludf.DUMMYFUNCTION("IF(SUM(COUNTIF(artists!A:A, SPLIT(D73, "",""))) &gt; 0, ""UA"", 0)"),"UA")</f>
        <v>UA</v>
      </c>
      <c r="J73" s="40">
        <f ca="1">IFERROR(__xludf.DUMMYFUNCTION("IF(SUM(COUNTIF(artists!C:C, SPLIT(D73, "",""))) &gt; 0, ""RU"", 0)"),0)</f>
        <v>0</v>
      </c>
      <c r="K73" s="39">
        <f ca="1">IFERROR(__xludf.DUMMYFUNCTION("IF(SUM(COUNTIF(artists!E:E, SPLIT(D73, "",""))) &gt; 0, ""OTHER"", 0)"),0)</f>
        <v>0</v>
      </c>
    </row>
    <row r="74" spans="1:11" ht="14.25" customHeight="1">
      <c r="A74" s="21">
        <v>73</v>
      </c>
      <c r="B74" s="21">
        <v>73</v>
      </c>
      <c r="C74" s="21" t="s">
        <v>1820</v>
      </c>
      <c r="D74" s="21" t="s">
        <v>1439</v>
      </c>
      <c r="E74" s="21">
        <v>4</v>
      </c>
      <c r="F74" s="21">
        <v>155930</v>
      </c>
      <c r="G74" s="42">
        <v>5.3999999999999999E-2</v>
      </c>
      <c r="H74" s="21" t="s">
        <v>1821</v>
      </c>
      <c r="I74" s="39" t="str">
        <f ca="1">IFERROR(__xludf.DUMMYFUNCTION("IF(SUM(COUNTIF(artists!A:A, SPLIT(D74, "",""))) &gt; 0, ""UA"", 0)"),"UA")</f>
        <v>UA</v>
      </c>
      <c r="J74" s="40">
        <f ca="1">IFERROR(__xludf.DUMMYFUNCTION("IF(SUM(COUNTIF(artists!C:C, SPLIT(D74, "",""))) &gt; 0, ""RU"", 0)"),0)</f>
        <v>0</v>
      </c>
      <c r="K74" s="39">
        <f ca="1">IFERROR(__xludf.DUMMYFUNCTION("IF(SUM(COUNTIF(artists!E:E, SPLIT(D74, "",""))) &gt; 0, ""OTHER"", 0)"),0)</f>
        <v>0</v>
      </c>
    </row>
    <row r="75" spans="1:11" ht="14.25" customHeight="1">
      <c r="A75" s="21">
        <v>74</v>
      </c>
      <c r="B75" s="21">
        <v>60</v>
      </c>
      <c r="C75" s="21" t="s">
        <v>1601</v>
      </c>
      <c r="D75" s="21" t="s">
        <v>1602</v>
      </c>
      <c r="E75" s="21">
        <v>9</v>
      </c>
      <c r="F75" s="21">
        <v>153660</v>
      </c>
      <c r="G75" s="43">
        <v>-7.0000000000000007E-2</v>
      </c>
      <c r="H75" s="21" t="s">
        <v>1603</v>
      </c>
      <c r="I75" s="39">
        <f ca="1">IFERROR(__xludf.DUMMYFUNCTION("IF(SUM(COUNTIF(artists!A:A, SPLIT(D75, "",""))) &gt; 0, ""UA"", 0)"),0)</f>
        <v>0</v>
      </c>
      <c r="J75" s="40" t="str">
        <f ca="1">IFERROR(__xludf.DUMMYFUNCTION("IF(SUM(COUNTIF(artists!C:C, SPLIT(D75, "",""))) &gt; 0, ""RU"", 0)"),"RU")</f>
        <v>RU</v>
      </c>
      <c r="K75" s="39">
        <f ca="1">IFERROR(__xludf.DUMMYFUNCTION("IF(SUM(COUNTIF(artists!E:E, SPLIT(D75, "",""))) &gt; 0, ""OTHER"", 0)"),0)</f>
        <v>0</v>
      </c>
    </row>
    <row r="76" spans="1:11" ht="14.25" customHeight="1">
      <c r="A76" s="21">
        <v>75</v>
      </c>
      <c r="B76" s="21">
        <v>68</v>
      </c>
      <c r="C76" s="21" t="s">
        <v>1007</v>
      </c>
      <c r="D76" s="21" t="s">
        <v>1008</v>
      </c>
      <c r="E76" s="21">
        <v>7</v>
      </c>
      <c r="F76" s="21">
        <v>152152</v>
      </c>
      <c r="G76" s="42">
        <v>-3.5999999999999997E-2</v>
      </c>
      <c r="H76" s="21" t="s">
        <v>1009</v>
      </c>
      <c r="I76" s="39">
        <f ca="1">IFERROR(__xludf.DUMMYFUNCTION("IF(SUM(COUNTIF(artists!A:A, SPLIT(D76, "",""))) &gt; 0, ""UA"", 0)"),0)</f>
        <v>0</v>
      </c>
      <c r="J76" s="40" t="str">
        <f ca="1">IFERROR(__xludf.DUMMYFUNCTION("IF(SUM(COUNTIF(artists!C:C, SPLIT(D76, "",""))) &gt; 0, ""RU"", 0)"),"RU")</f>
        <v>RU</v>
      </c>
      <c r="K76" s="39">
        <f ca="1">IFERROR(__xludf.DUMMYFUNCTION("IF(SUM(COUNTIF(artists!E:E, SPLIT(D76, "",""))) &gt; 0, ""OTHER"", 0)"),0)</f>
        <v>0</v>
      </c>
    </row>
    <row r="77" spans="1:11" ht="14.25" customHeight="1">
      <c r="A77" s="21">
        <v>76</v>
      </c>
      <c r="B77" s="21">
        <v>62</v>
      </c>
      <c r="C77" s="21" t="s">
        <v>1839</v>
      </c>
      <c r="D77" s="21" t="s">
        <v>1840</v>
      </c>
      <c r="E77" s="21">
        <v>12</v>
      </c>
      <c r="F77" s="21">
        <v>150279</v>
      </c>
      <c r="G77" s="42">
        <v>-8.1000000000000003E-2</v>
      </c>
      <c r="H77" s="21" t="s">
        <v>1841</v>
      </c>
      <c r="I77" s="39">
        <f ca="1">IFERROR(__xludf.DUMMYFUNCTION("IF(SUM(COUNTIF(artists!A:A, SPLIT(D77, "",""))) &gt; 0, ""UA"", 0)"),0)</f>
        <v>0</v>
      </c>
      <c r="J77" s="40" t="str">
        <f ca="1">IFERROR(__xludf.DUMMYFUNCTION("IF(SUM(COUNTIF(artists!C:C, SPLIT(D77, "",""))) &gt; 0, ""RU"", 0)"),"RU")</f>
        <v>RU</v>
      </c>
      <c r="K77" s="39">
        <f ca="1">IFERROR(__xludf.DUMMYFUNCTION("IF(SUM(COUNTIF(artists!E:E, SPLIT(D77, "",""))) &gt; 0, ""OTHER"", 0)"),0)</f>
        <v>0</v>
      </c>
    </row>
    <row r="78" spans="1:11" ht="14.25" customHeight="1">
      <c r="A78" s="21">
        <v>77</v>
      </c>
      <c r="B78" s="21">
        <v>61</v>
      </c>
      <c r="C78" s="21" t="s">
        <v>1858</v>
      </c>
      <c r="D78" s="21" t="s">
        <v>1859</v>
      </c>
      <c r="E78" s="21">
        <v>7</v>
      </c>
      <c r="F78" s="21">
        <v>146103</v>
      </c>
      <c r="G78" s="42">
        <v>-0.113</v>
      </c>
      <c r="H78" s="21" t="s">
        <v>1860</v>
      </c>
      <c r="I78" s="39">
        <f ca="1">IFERROR(__xludf.DUMMYFUNCTION("IF(SUM(COUNTIF(artists!A:A, SPLIT(D78, "",""))) &gt; 0, ""UA"", 0)"),0)</f>
        <v>0</v>
      </c>
      <c r="J78" s="40" t="str">
        <f ca="1">IFERROR(__xludf.DUMMYFUNCTION("IF(SUM(COUNTIF(artists!C:C, SPLIT(D78, "",""))) &gt; 0, ""RU"", 0)"),"RU")</f>
        <v>RU</v>
      </c>
      <c r="K78" s="39">
        <f ca="1">IFERROR(__xludf.DUMMYFUNCTION("IF(SUM(COUNTIF(artists!E:E, SPLIT(D78, "",""))) &gt; 0, ""OTHER"", 0)"),0)</f>
        <v>0</v>
      </c>
    </row>
    <row r="79" spans="1:11" ht="14.25" customHeight="1">
      <c r="A79" s="21">
        <v>78</v>
      </c>
      <c r="B79" s="21">
        <v>99</v>
      </c>
      <c r="C79" s="21" t="s">
        <v>1869</v>
      </c>
      <c r="D79" s="21" t="s">
        <v>1870</v>
      </c>
      <c r="E79" s="21">
        <v>2</v>
      </c>
      <c r="F79" s="21">
        <v>140752</v>
      </c>
      <c r="G79" s="43">
        <v>0.21</v>
      </c>
      <c r="H79" s="21" t="s">
        <v>1871</v>
      </c>
      <c r="I79" s="39">
        <f ca="1">IFERROR(__xludf.DUMMYFUNCTION("IF(SUM(COUNTIF(artists!A:A, SPLIT(D79, "",""))) &gt; 0, ""UA"", 0)"),0)</f>
        <v>0</v>
      </c>
      <c r="J79" s="40" t="str">
        <f ca="1">IFERROR(__xludf.DUMMYFUNCTION("IF(SUM(COUNTIF(artists!C:C, SPLIT(D79, "",""))) &gt; 0, ""RU"", 0)"),"RU")</f>
        <v>RU</v>
      </c>
      <c r="K79" s="39">
        <f ca="1">IFERROR(__xludf.DUMMYFUNCTION("IF(SUM(COUNTIF(artists!E:E, SPLIT(D79, "",""))) &gt; 0, ""OTHER"", 0)"),0)</f>
        <v>0</v>
      </c>
    </row>
    <row r="80" spans="1:11" ht="14.25" customHeight="1">
      <c r="A80" s="21">
        <v>79</v>
      </c>
      <c r="B80" s="21">
        <v>84</v>
      </c>
      <c r="C80" s="21" t="s">
        <v>1863</v>
      </c>
      <c r="D80" s="21" t="s">
        <v>1660</v>
      </c>
      <c r="E80" s="21">
        <v>12</v>
      </c>
      <c r="F80" s="21">
        <v>139971</v>
      </c>
      <c r="G80" s="42">
        <v>1.9E-2</v>
      </c>
      <c r="H80" s="21" t="s">
        <v>1864</v>
      </c>
      <c r="I80" s="39">
        <f ca="1">IFERROR(__xludf.DUMMYFUNCTION("IF(SUM(COUNTIF(artists!A:A, SPLIT(D80, "",""))) &gt; 0, ""UA"", 0)"),0)</f>
        <v>0</v>
      </c>
      <c r="J80" s="40" t="str">
        <f ca="1">IFERROR(__xludf.DUMMYFUNCTION("IF(SUM(COUNTIF(artists!C:C, SPLIT(D80, "",""))) &gt; 0, ""RU"", 0)"),"RU")</f>
        <v>RU</v>
      </c>
      <c r="K80" s="39">
        <f ca="1">IFERROR(__xludf.DUMMYFUNCTION("IF(SUM(COUNTIF(artists!E:E, SPLIT(D80, "",""))) &gt; 0, ""OTHER"", 0)"),0)</f>
        <v>0</v>
      </c>
    </row>
    <row r="81" spans="1:11" ht="14.25" customHeight="1">
      <c r="A81" s="21">
        <v>80</v>
      </c>
      <c r="C81" s="21" t="s">
        <v>597</v>
      </c>
      <c r="D81" s="21" t="s">
        <v>598</v>
      </c>
      <c r="E81" s="21">
        <v>1</v>
      </c>
      <c r="F81" s="21">
        <v>138767</v>
      </c>
      <c r="H81" s="21" t="s">
        <v>600</v>
      </c>
      <c r="I81" s="39" t="str">
        <f ca="1">IFERROR(__xludf.DUMMYFUNCTION("IF(SUM(COUNTIF(artists!A:A, SPLIT(D81, "",""))) &gt; 0, ""UA"", 0)"),"UA")</f>
        <v>UA</v>
      </c>
      <c r="J81" s="40">
        <f ca="1">IFERROR(__xludf.DUMMYFUNCTION("IF(SUM(COUNTIF(artists!C:C, SPLIT(D81, "",""))) &gt; 0, ""RU"", 0)"),0)</f>
        <v>0</v>
      </c>
      <c r="K81" s="39">
        <f ca="1">IFERROR(__xludf.DUMMYFUNCTION("IF(SUM(COUNTIF(artists!E:E, SPLIT(D81, "",""))) &gt; 0, ""OTHER"", 0)"),0)</f>
        <v>0</v>
      </c>
    </row>
    <row r="82" spans="1:11" ht="14.25" customHeight="1">
      <c r="A82" s="21">
        <v>81</v>
      </c>
      <c r="B82" s="21">
        <v>78</v>
      </c>
      <c r="C82" s="21" t="s">
        <v>906</v>
      </c>
      <c r="D82" s="21" t="s">
        <v>907</v>
      </c>
      <c r="E82" s="21">
        <v>17</v>
      </c>
      <c r="F82" s="21">
        <v>138562</v>
      </c>
      <c r="G82" s="42">
        <v>-4.5999999999999999E-2</v>
      </c>
      <c r="H82" s="21" t="s">
        <v>908</v>
      </c>
      <c r="I82" s="39">
        <f ca="1">IFERROR(__xludf.DUMMYFUNCTION("IF(SUM(COUNTIF(artists!A:A, SPLIT(D82, "",""))) &gt; 0, ""UA"", 0)"),0)</f>
        <v>0</v>
      </c>
      <c r="J82" s="40" t="str">
        <f ca="1">IFERROR(__xludf.DUMMYFUNCTION("IF(SUM(COUNTIF(artists!C:C, SPLIT(D82, "",""))) &gt; 0, ""RU"", 0)"),"RU")</f>
        <v>RU</v>
      </c>
      <c r="K82" s="39">
        <f ca="1">IFERROR(__xludf.DUMMYFUNCTION("IF(SUM(COUNTIF(artists!E:E, SPLIT(D82, "",""))) &gt; 0, ""OTHER"", 0)"),0)</f>
        <v>0</v>
      </c>
    </row>
    <row r="83" spans="1:11" ht="14.25" customHeight="1">
      <c r="A83" s="21">
        <v>82</v>
      </c>
      <c r="B83" s="21">
        <v>66</v>
      </c>
      <c r="C83" s="21" t="s">
        <v>1392</v>
      </c>
      <c r="D83" s="21" t="s">
        <v>1393</v>
      </c>
      <c r="E83" s="21">
        <v>10</v>
      </c>
      <c r="F83" s="21">
        <v>138415</v>
      </c>
      <c r="G83" s="42">
        <v>-0.126</v>
      </c>
      <c r="H83" s="21" t="s">
        <v>1394</v>
      </c>
      <c r="I83" s="39">
        <f ca="1">IFERROR(__xludf.DUMMYFUNCTION("IF(SUM(COUNTIF(artists!A:A, SPLIT(D83, "",""))) &gt; 0, ""UA"", 0)"),0)</f>
        <v>0</v>
      </c>
      <c r="J83" s="40" t="str">
        <f ca="1">IFERROR(__xludf.DUMMYFUNCTION("IF(SUM(COUNTIF(artists!C:C, SPLIT(D83, "",""))) &gt; 0, ""RU"", 0)"),"RU")</f>
        <v>RU</v>
      </c>
      <c r="K83" s="39">
        <f ca="1">IFERROR(__xludf.DUMMYFUNCTION("IF(SUM(COUNTIF(artists!E:E, SPLIT(D83, "",""))) &gt; 0, ""OTHER"", 0)"),0)</f>
        <v>0</v>
      </c>
    </row>
    <row r="84" spans="1:11" ht="14.25" customHeight="1">
      <c r="A84" s="21">
        <v>83</v>
      </c>
      <c r="B84" s="21">
        <v>85</v>
      </c>
      <c r="C84" s="21" t="s">
        <v>1861</v>
      </c>
      <c r="D84" s="21" t="s">
        <v>409</v>
      </c>
      <c r="E84" s="21">
        <v>6</v>
      </c>
      <c r="F84" s="21">
        <v>136283</v>
      </c>
      <c r="G84" s="42">
        <v>-7.0000000000000001E-3</v>
      </c>
      <c r="H84" s="21" t="s">
        <v>1862</v>
      </c>
      <c r="I84" s="39" t="str">
        <f ca="1">IFERROR(__xludf.DUMMYFUNCTION("IF(SUM(COUNTIF(artists!A:A, SPLIT(D84, "",""))) &gt; 0, ""UA"", 0)"),"UA")</f>
        <v>UA</v>
      </c>
      <c r="J84" s="40">
        <f ca="1">IFERROR(__xludf.DUMMYFUNCTION("IF(SUM(COUNTIF(artists!C:C, SPLIT(D84, "",""))) &gt; 0, ""RU"", 0)"),0)</f>
        <v>0</v>
      </c>
      <c r="K84" s="39">
        <f ca="1">IFERROR(__xludf.DUMMYFUNCTION("IF(SUM(COUNTIF(artists!E:E, SPLIT(D84, "",""))) &gt; 0, ""OTHER"", 0)"),0)</f>
        <v>0</v>
      </c>
    </row>
    <row r="85" spans="1:11" ht="14.25" customHeight="1">
      <c r="A85" s="21">
        <v>84</v>
      </c>
      <c r="B85" s="21">
        <v>94</v>
      </c>
      <c r="C85" s="21" t="s">
        <v>1872</v>
      </c>
      <c r="D85" s="21" t="s">
        <v>1873</v>
      </c>
      <c r="E85" s="21">
        <v>2</v>
      </c>
      <c r="F85" s="21">
        <v>136075</v>
      </c>
      <c r="G85" s="42">
        <v>9.5000000000000001E-2</v>
      </c>
      <c r="H85" s="21" t="s">
        <v>1874</v>
      </c>
      <c r="I85" s="39">
        <f ca="1">IFERROR(__xludf.DUMMYFUNCTION("IF(SUM(COUNTIF(artists!A:A, SPLIT(D85, "",""))) &gt; 0, ""UA"", 0)"),0)</f>
        <v>0</v>
      </c>
      <c r="J85" s="40" t="str">
        <f ca="1">IFERROR(__xludf.DUMMYFUNCTION("IF(SUM(COUNTIF(artists!C:C, SPLIT(D85, "",""))) &gt; 0, ""RU"", 0)"),"RU")</f>
        <v>RU</v>
      </c>
      <c r="K85" s="39">
        <f ca="1">IFERROR(__xludf.DUMMYFUNCTION("IF(SUM(COUNTIF(artists!E:E, SPLIT(D85, "",""))) &gt; 0, ""OTHER"", 0)"),0)</f>
        <v>0</v>
      </c>
    </row>
    <row r="86" spans="1:11" ht="14.25" customHeight="1">
      <c r="A86" s="21">
        <v>85</v>
      </c>
      <c r="B86" s="21">
        <v>93</v>
      </c>
      <c r="C86" s="21" t="s">
        <v>1875</v>
      </c>
      <c r="D86" s="21" t="s">
        <v>1259</v>
      </c>
      <c r="E86" s="21">
        <v>3</v>
      </c>
      <c r="F86" s="21">
        <v>134822</v>
      </c>
      <c r="G86" s="42">
        <v>8.1000000000000003E-2</v>
      </c>
      <c r="H86" s="21" t="s">
        <v>1876</v>
      </c>
      <c r="I86" s="39" t="str">
        <f ca="1">IFERROR(__xludf.DUMMYFUNCTION("IF(SUM(COUNTIF(artists!A:A, SPLIT(D86, "",""))) &gt; 0, ""UA"", 0)"),"UA")</f>
        <v>UA</v>
      </c>
      <c r="J86" s="40">
        <f ca="1">IFERROR(__xludf.DUMMYFUNCTION("IF(SUM(COUNTIF(artists!C:C, SPLIT(D86, "",""))) &gt; 0, ""RU"", 0)"),0)</f>
        <v>0</v>
      </c>
      <c r="K86" s="39">
        <f ca="1">IFERROR(__xludf.DUMMYFUNCTION("IF(SUM(COUNTIF(artists!E:E, SPLIT(D86, "",""))) &gt; 0, ""OTHER"", 0)"),0)</f>
        <v>0</v>
      </c>
    </row>
    <row r="87" spans="1:11" ht="14.25" customHeight="1">
      <c r="A87" s="21">
        <v>86</v>
      </c>
      <c r="C87" s="21" t="s">
        <v>1877</v>
      </c>
      <c r="D87" s="21" t="s">
        <v>133</v>
      </c>
      <c r="E87" s="21">
        <v>3</v>
      </c>
      <c r="F87" s="21">
        <v>134414</v>
      </c>
      <c r="H87" s="21" t="s">
        <v>1878</v>
      </c>
      <c r="I87" s="39" t="str">
        <f ca="1">IFERROR(__xludf.DUMMYFUNCTION("IF(SUM(COUNTIF(artists!A:A, SPLIT(D87, "",""))) &gt; 0, ""UA"", 0)"),"UA")</f>
        <v>UA</v>
      </c>
      <c r="J87" s="40">
        <f ca="1">IFERROR(__xludf.DUMMYFUNCTION("IF(SUM(COUNTIF(artists!C:C, SPLIT(D87, "",""))) &gt; 0, ""RU"", 0)"),0)</f>
        <v>0</v>
      </c>
      <c r="K87" s="39">
        <f ca="1">IFERROR(__xludf.DUMMYFUNCTION("IF(SUM(COUNTIF(artists!E:E, SPLIT(D87, "",""))) &gt; 0, ""OTHER"", 0)"),0)</f>
        <v>0</v>
      </c>
    </row>
    <row r="88" spans="1:11" ht="14.25" customHeight="1">
      <c r="A88" s="21">
        <v>87</v>
      </c>
      <c r="C88" s="21" t="s">
        <v>1879</v>
      </c>
      <c r="D88" s="21" t="s">
        <v>1880</v>
      </c>
      <c r="E88" s="21">
        <v>7</v>
      </c>
      <c r="F88" s="21">
        <v>133898</v>
      </c>
      <c r="H88" s="21" t="s">
        <v>1881</v>
      </c>
      <c r="I88" s="39" t="str">
        <f ca="1">IFERROR(__xludf.DUMMYFUNCTION("IF(SUM(COUNTIF(artists!A:A, SPLIT(D88, "",""))) &gt; 0, ""UA"", 0)"),"UA")</f>
        <v>UA</v>
      </c>
      <c r="J88" s="40">
        <f ca="1">IFERROR(__xludf.DUMMYFUNCTION("IF(SUM(COUNTIF(artists!C:C, SPLIT(D88, "",""))) &gt; 0, ""RU"", 0)"),0)</f>
        <v>0</v>
      </c>
      <c r="K88" s="39">
        <f ca="1">IFERROR(__xludf.DUMMYFUNCTION("IF(SUM(COUNTIF(artists!E:E, SPLIT(D88, "",""))) &gt; 0, ""OTHER"", 0)"),0)</f>
        <v>0</v>
      </c>
    </row>
    <row r="89" spans="1:11" ht="14.25" customHeight="1">
      <c r="A89" s="21">
        <v>88</v>
      </c>
      <c r="B89" s="21">
        <v>82</v>
      </c>
      <c r="C89" s="21" t="s">
        <v>1865</v>
      </c>
      <c r="D89" s="21" t="s">
        <v>1646</v>
      </c>
      <c r="E89" s="21">
        <v>17</v>
      </c>
      <c r="F89" s="21">
        <v>133596</v>
      </c>
      <c r="G89" s="42">
        <v>-6.3E-2</v>
      </c>
      <c r="H89" s="21" t="s">
        <v>1866</v>
      </c>
      <c r="I89" s="39">
        <f ca="1">IFERROR(__xludf.DUMMYFUNCTION("IF(SUM(COUNTIF(artists!A:A, SPLIT(D89, "",""))) &gt; 0, ""UA"", 0)"),0)</f>
        <v>0</v>
      </c>
      <c r="J89" s="40" t="str">
        <f ca="1">IFERROR(__xludf.DUMMYFUNCTION("IF(SUM(COUNTIF(artists!C:C, SPLIT(D89, "",""))) &gt; 0, ""RU"", 0)"),"RU")</f>
        <v>RU</v>
      </c>
      <c r="K89" s="39">
        <f ca="1">IFERROR(__xludf.DUMMYFUNCTION("IF(SUM(COUNTIF(artists!E:E, SPLIT(D89, "",""))) &gt; 0, ""OTHER"", 0)"),0)</f>
        <v>0</v>
      </c>
    </row>
    <row r="90" spans="1:11" ht="14.25" customHeight="1">
      <c r="A90" s="21">
        <v>89</v>
      </c>
      <c r="B90" s="21">
        <v>89</v>
      </c>
      <c r="C90" s="21" t="s">
        <v>489</v>
      </c>
      <c r="D90" s="21" t="s">
        <v>490</v>
      </c>
      <c r="E90" s="21">
        <v>4</v>
      </c>
      <c r="F90" s="21">
        <v>133554</v>
      </c>
      <c r="G90" s="43">
        <v>0.02</v>
      </c>
      <c r="H90" s="21" t="s">
        <v>491</v>
      </c>
      <c r="I90" s="39" t="str">
        <f ca="1">IFERROR(__xludf.DUMMYFUNCTION("IF(SUM(COUNTIF(artists!A:A, SPLIT(D90, "",""))) &gt; 0, ""UA"", 0)"),"UA")</f>
        <v>UA</v>
      </c>
      <c r="J90" s="40">
        <f ca="1">IFERROR(__xludf.DUMMYFUNCTION("IF(SUM(COUNTIF(artists!C:C, SPLIT(D90, "",""))) &gt; 0, ""RU"", 0)"),0)</f>
        <v>0</v>
      </c>
      <c r="K90" s="39">
        <f ca="1">IFERROR(__xludf.DUMMYFUNCTION("IF(SUM(COUNTIF(artists!E:E, SPLIT(D90, "",""))) &gt; 0, ""OTHER"", 0)"),0)</f>
        <v>0</v>
      </c>
    </row>
    <row r="91" spans="1:11" ht="14.25" customHeight="1">
      <c r="A91" s="21">
        <v>90</v>
      </c>
      <c r="C91" s="21" t="s">
        <v>1480</v>
      </c>
      <c r="D91" s="21" t="s">
        <v>1481</v>
      </c>
      <c r="E91" s="21">
        <v>1</v>
      </c>
      <c r="F91" s="21">
        <v>133504</v>
      </c>
      <c r="H91" s="21" t="s">
        <v>1482</v>
      </c>
      <c r="I91" s="39" t="str">
        <f ca="1">IFERROR(__xludf.DUMMYFUNCTION("IF(SUM(COUNTIF(artists!A:A, SPLIT(D91, "",""))) &gt; 0, ""UA"", 0)"),"UA")</f>
        <v>UA</v>
      </c>
      <c r="J91" s="40">
        <f ca="1">IFERROR(__xludf.DUMMYFUNCTION("IF(SUM(COUNTIF(artists!C:C, SPLIT(D91, "",""))) &gt; 0, ""RU"", 0)"),0)</f>
        <v>0</v>
      </c>
      <c r="K91" s="39">
        <f ca="1">IFERROR(__xludf.DUMMYFUNCTION("IF(SUM(COUNTIF(artists!E:E, SPLIT(D91, "",""))) &gt; 0, ""OTHER"", 0)"),0)</f>
        <v>0</v>
      </c>
    </row>
    <row r="92" spans="1:11" ht="14.25" customHeight="1">
      <c r="A92" s="21">
        <v>91</v>
      </c>
      <c r="B92" s="21">
        <v>65</v>
      </c>
      <c r="C92" s="21" t="s">
        <v>1882</v>
      </c>
      <c r="D92" s="21" t="s">
        <v>133</v>
      </c>
      <c r="E92" s="21">
        <v>6</v>
      </c>
      <c r="F92" s="21">
        <v>131852</v>
      </c>
      <c r="G92" s="42">
        <v>-0.16900000000000001</v>
      </c>
      <c r="H92" s="21" t="s">
        <v>1883</v>
      </c>
      <c r="I92" s="39" t="str">
        <f ca="1">IFERROR(__xludf.DUMMYFUNCTION("IF(SUM(COUNTIF(artists!A:A, SPLIT(D92, "",""))) &gt; 0, ""UA"", 0)"),"UA")</f>
        <v>UA</v>
      </c>
      <c r="J92" s="40">
        <f ca="1">IFERROR(__xludf.DUMMYFUNCTION("IF(SUM(COUNTIF(artists!C:C, SPLIT(D92, "",""))) &gt; 0, ""RU"", 0)"),0)</f>
        <v>0</v>
      </c>
      <c r="K92" s="39">
        <f ca="1">IFERROR(__xludf.DUMMYFUNCTION("IF(SUM(COUNTIF(artists!E:E, SPLIT(D92, "",""))) &gt; 0, ""OTHER"", 0)"),0)</f>
        <v>0</v>
      </c>
    </row>
    <row r="93" spans="1:11" ht="14.25" customHeight="1">
      <c r="A93" s="21">
        <v>92</v>
      </c>
      <c r="B93" s="21">
        <v>87</v>
      </c>
      <c r="C93" s="21" t="s">
        <v>613</v>
      </c>
      <c r="D93" s="21" t="s">
        <v>614</v>
      </c>
      <c r="E93" s="21">
        <v>15</v>
      </c>
      <c r="F93" s="21">
        <v>131134</v>
      </c>
      <c r="G93" s="42">
        <v>-2.3E-2</v>
      </c>
      <c r="H93" s="21" t="s">
        <v>615</v>
      </c>
      <c r="I93" s="39">
        <f ca="1">IFERROR(__xludf.DUMMYFUNCTION("IF(SUM(COUNTIF(artists!A:A, SPLIT(D93, "",""))) &gt; 0, ""UA"", 0)"),0)</f>
        <v>0</v>
      </c>
      <c r="J93" s="40" t="str">
        <f ca="1">IFERROR(__xludf.DUMMYFUNCTION("IF(SUM(COUNTIF(artists!C:C, SPLIT(D93, "",""))) &gt; 0, ""RU"", 0)"),"RU")</f>
        <v>RU</v>
      </c>
      <c r="K93" s="39">
        <f ca="1">IFERROR(__xludf.DUMMYFUNCTION("IF(SUM(COUNTIF(artists!E:E, SPLIT(D93, "",""))) &gt; 0, ""OTHER"", 0)"),0)</f>
        <v>0</v>
      </c>
    </row>
    <row r="94" spans="1:11" ht="14.25" customHeight="1">
      <c r="A94" s="21">
        <v>93</v>
      </c>
      <c r="C94" s="21" t="s">
        <v>1690</v>
      </c>
      <c r="D94" s="21" t="s">
        <v>259</v>
      </c>
      <c r="E94" s="21">
        <v>1</v>
      </c>
      <c r="F94" s="21">
        <v>130817</v>
      </c>
      <c r="H94" s="21" t="s">
        <v>1691</v>
      </c>
      <c r="I94" s="39" t="str">
        <f ca="1">IFERROR(__xludf.DUMMYFUNCTION("IF(SUM(COUNTIF(artists!A:A, SPLIT(D94, "",""))) &gt; 0, ""UA"", 0)"),"UA")</f>
        <v>UA</v>
      </c>
      <c r="J94" s="40">
        <f ca="1">IFERROR(__xludf.DUMMYFUNCTION("IF(SUM(COUNTIF(artists!C:C, SPLIT(D94, "",""))) &gt; 0, ""RU"", 0)"),0)</f>
        <v>0</v>
      </c>
      <c r="K94" s="39">
        <f ca="1">IFERROR(__xludf.DUMMYFUNCTION("IF(SUM(COUNTIF(artists!E:E, SPLIT(D94, "",""))) &gt; 0, ""OTHER"", 0)"),0)</f>
        <v>0</v>
      </c>
    </row>
    <row r="95" spans="1:11" ht="14.25" customHeight="1">
      <c r="A95" s="21">
        <v>94</v>
      </c>
      <c r="B95" s="21">
        <v>83</v>
      </c>
      <c r="C95" s="21" t="s">
        <v>1337</v>
      </c>
      <c r="D95" s="21" t="s">
        <v>1338</v>
      </c>
      <c r="E95" s="21">
        <v>14</v>
      </c>
      <c r="F95" s="21">
        <v>130236</v>
      </c>
      <c r="G95" s="43">
        <v>-0.06</v>
      </c>
      <c r="H95" s="21" t="s">
        <v>1339</v>
      </c>
      <c r="I95" s="39">
        <f ca="1">IFERROR(__xludf.DUMMYFUNCTION("IF(SUM(COUNTIF(artists!A:A, SPLIT(D95, "",""))) &gt; 0, ""UA"", 0)"),0)</f>
        <v>0</v>
      </c>
      <c r="J95" s="40">
        <f ca="1">IFERROR(__xludf.DUMMYFUNCTION("IF(SUM(COUNTIF(artists!C:C, SPLIT(D95, "",""))) &gt; 0, ""RU"", 0)"),0)</f>
        <v>0</v>
      </c>
      <c r="K95" s="39" t="str">
        <f ca="1">IFERROR(__xludf.DUMMYFUNCTION("IF(SUM(COUNTIF(artists!E:E, SPLIT(D95, "",""))) &gt; 0, ""OTHER"", 0)"),"OTHER")</f>
        <v>OTHER</v>
      </c>
    </row>
    <row r="96" spans="1:11" ht="14.25" customHeight="1">
      <c r="A96" s="21">
        <v>95</v>
      </c>
      <c r="C96" s="21" t="s">
        <v>1395</v>
      </c>
      <c r="D96" s="21" t="s">
        <v>1396</v>
      </c>
      <c r="E96" s="21">
        <v>22</v>
      </c>
      <c r="F96" s="21">
        <v>128822</v>
      </c>
      <c r="H96" s="21" t="s">
        <v>1397</v>
      </c>
      <c r="I96" s="39" t="str">
        <f ca="1">IFERROR(__xludf.DUMMYFUNCTION("IF(SUM(COUNTIF(artists!A:A, SPLIT(D96, "",""))) &gt; 0, ""UA"", 0)"),"UA")</f>
        <v>UA</v>
      </c>
      <c r="J96" s="40">
        <f ca="1">IFERROR(__xludf.DUMMYFUNCTION("IF(SUM(COUNTIF(artists!C:C, SPLIT(D96, "",""))) &gt; 0, ""RU"", 0)"),0)</f>
        <v>0</v>
      </c>
      <c r="K96" s="39">
        <f ca="1">IFERROR(__xludf.DUMMYFUNCTION("IF(SUM(COUNTIF(artists!E:E, SPLIT(D96, "",""))) &gt; 0, ""OTHER"", 0)"),0)</f>
        <v>0</v>
      </c>
    </row>
    <row r="97" spans="1:11" ht="14.25" customHeight="1">
      <c r="A97" s="21">
        <v>96</v>
      </c>
      <c r="C97" s="21" t="s">
        <v>1884</v>
      </c>
      <c r="D97" s="21" t="s">
        <v>1885</v>
      </c>
      <c r="E97" s="21">
        <v>1</v>
      </c>
      <c r="F97" s="21">
        <v>127558</v>
      </c>
      <c r="H97" s="21" t="s">
        <v>1886</v>
      </c>
      <c r="I97" s="39" t="str">
        <f ca="1">IFERROR(__xludf.DUMMYFUNCTION("IF(SUM(COUNTIF(artists!A:A, SPLIT(D97, "",""))) &gt; 0, ""UA"", 0)"),"UA")</f>
        <v>UA</v>
      </c>
      <c r="J97" s="40">
        <f ca="1">IFERROR(__xludf.DUMMYFUNCTION("IF(SUM(COUNTIF(artists!C:C, SPLIT(D97, "",""))) &gt; 0, ""RU"", 0)"),0)</f>
        <v>0</v>
      </c>
      <c r="K97" s="39">
        <f ca="1">IFERROR(__xludf.DUMMYFUNCTION("IF(SUM(COUNTIF(artists!E:E, SPLIT(D97, "",""))) &gt; 0, ""OTHER"", 0)"),0)</f>
        <v>0</v>
      </c>
    </row>
    <row r="98" spans="1:11" ht="14.25" customHeight="1">
      <c r="A98" s="21">
        <v>97</v>
      </c>
      <c r="B98" s="21">
        <v>90</v>
      </c>
      <c r="C98" s="21" t="s">
        <v>1887</v>
      </c>
      <c r="D98" s="21" t="s">
        <v>1099</v>
      </c>
      <c r="E98" s="21">
        <v>13</v>
      </c>
      <c r="F98" s="21">
        <v>127226</v>
      </c>
      <c r="G98" s="42">
        <v>-1E-3</v>
      </c>
      <c r="H98" s="21" t="s">
        <v>1888</v>
      </c>
      <c r="I98" s="39">
        <f ca="1">IFERROR(__xludf.DUMMYFUNCTION("IF(SUM(COUNTIF(artists!A:A, SPLIT(D98, "",""))) &gt; 0, ""UA"", 0)"),0)</f>
        <v>0</v>
      </c>
      <c r="J98" s="40" t="str">
        <f ca="1">IFERROR(__xludf.DUMMYFUNCTION("IF(SUM(COUNTIF(artists!C:C, SPLIT(D98, "",""))) &gt; 0, ""RU"", 0)"),"RU")</f>
        <v>RU</v>
      </c>
      <c r="K98" s="39">
        <f ca="1">IFERROR(__xludf.DUMMYFUNCTION("IF(SUM(COUNTIF(artists!E:E, SPLIT(D98, "",""))) &gt; 0, ""OTHER"", 0)"),0)</f>
        <v>0</v>
      </c>
    </row>
    <row r="99" spans="1:11" ht="14.25" customHeight="1">
      <c r="A99" s="21">
        <v>98</v>
      </c>
      <c r="B99" s="21">
        <v>91</v>
      </c>
      <c r="C99" s="21" t="s">
        <v>1889</v>
      </c>
      <c r="D99" s="21" t="s">
        <v>1890</v>
      </c>
      <c r="E99" s="21">
        <v>7</v>
      </c>
      <c r="F99" s="21">
        <v>126496</v>
      </c>
      <c r="G99" s="42">
        <v>2E-3</v>
      </c>
      <c r="H99" s="21" t="s">
        <v>1891</v>
      </c>
      <c r="I99" s="39" t="str">
        <f ca="1">IFERROR(__xludf.DUMMYFUNCTION("IF(SUM(COUNTIF(artists!A:A, SPLIT(D99, "",""))) &gt; 0, ""UA"", 0)"),"UA")</f>
        <v>UA</v>
      </c>
      <c r="J99" s="40">
        <f ca="1">IFERROR(__xludf.DUMMYFUNCTION("IF(SUM(COUNTIF(artists!C:C, SPLIT(D99, "",""))) &gt; 0, ""RU"", 0)"),0)</f>
        <v>0</v>
      </c>
      <c r="K99" s="39">
        <f ca="1">IFERROR(__xludf.DUMMYFUNCTION("IF(SUM(COUNTIF(artists!E:E, SPLIT(D99, "",""))) &gt; 0, ""OTHER"", 0)"),0)</f>
        <v>0</v>
      </c>
    </row>
    <row r="100" spans="1:11" ht="14.25" customHeight="1">
      <c r="A100" s="21">
        <v>99</v>
      </c>
      <c r="B100" s="21">
        <v>96</v>
      </c>
      <c r="C100" s="21" t="s">
        <v>414</v>
      </c>
      <c r="D100" s="21" t="s">
        <v>1892</v>
      </c>
      <c r="E100" s="21">
        <v>2</v>
      </c>
      <c r="F100" s="21">
        <v>125558</v>
      </c>
      <c r="G100" s="42">
        <v>3.7999999999999999E-2</v>
      </c>
      <c r="H100" s="21" t="s">
        <v>417</v>
      </c>
      <c r="I100" s="39" t="str">
        <f ca="1">IFERROR(__xludf.DUMMYFUNCTION("IF(SUM(COUNTIF(artists!A:A, SPLIT(D100, "",""))) &gt; 0, ""UA"", 0)"),"UA")</f>
        <v>UA</v>
      </c>
      <c r="J100" s="40">
        <f ca="1">IFERROR(__xludf.DUMMYFUNCTION("IF(SUM(COUNTIF(artists!C:C, SPLIT(D100, "",""))) &gt; 0, ""RU"", 0)"),0)</f>
        <v>0</v>
      </c>
      <c r="K100" s="39">
        <f ca="1">IFERROR(__xludf.DUMMYFUNCTION("IF(SUM(COUNTIF(artists!E:E, SPLIT(D100, "",""))) &gt; 0, ""OTHER"", 0)"),0)</f>
        <v>0</v>
      </c>
    </row>
    <row r="101" spans="1:11" ht="14.25" customHeight="1">
      <c r="A101" s="21">
        <v>100</v>
      </c>
      <c r="C101" s="21" t="s">
        <v>316</v>
      </c>
      <c r="D101" s="21" t="s">
        <v>317</v>
      </c>
      <c r="E101" s="21">
        <v>1</v>
      </c>
      <c r="F101" s="21">
        <v>124970</v>
      </c>
      <c r="H101" s="21" t="s">
        <v>319</v>
      </c>
      <c r="I101" s="39" t="str">
        <f ca="1">IFERROR(__xludf.DUMMYFUNCTION("IF(SUM(COUNTIF(artists!A:A, SPLIT(D101, "",""))) &gt; 0, ""UA"", 0)"),"UA")</f>
        <v>UA</v>
      </c>
      <c r="J101" s="40">
        <f ca="1">IFERROR(__xludf.DUMMYFUNCTION("IF(SUM(COUNTIF(artists!C:C, SPLIT(D101, "",""))) &gt; 0, ""RU"", 0)"),0)</f>
        <v>0</v>
      </c>
      <c r="K101" s="39">
        <f ca="1">IFERROR(__xludf.DUMMYFUNCTION("IF(SUM(COUNTIF(artists!E:E, SPLIT(D101, "",""))) &gt; 0, ""OTHER"", 0)"),0)</f>
        <v>0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27" priority="1">
      <formula>AND($I2=0, $J2=0, $K2=0)</formula>
    </cfRule>
    <cfRule type="expression" dxfId="26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Аркуш5">
    <tabColor rgb="FF38761D"/>
    <outlinePr summaryBelow="0" summaryRight="0"/>
  </sheetPr>
  <dimension ref="A1:K101"/>
  <sheetViews>
    <sheetView workbookViewId="0"/>
  </sheetViews>
  <sheetFormatPr defaultColWidth="14.44140625" defaultRowHeight="15.75" customHeight="1"/>
  <cols>
    <col min="1" max="1" width="5" customWidth="1"/>
    <col min="2" max="2" width="14.44140625" hidden="1"/>
    <col min="5" max="5" width="14.44140625" hidden="1"/>
    <col min="8" max="8" width="14.44140625" hidden="1"/>
  </cols>
  <sheetData>
    <row r="1" spans="1:1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>
      <c r="A2" s="21">
        <v>1</v>
      </c>
      <c r="B2" s="21">
        <v>1</v>
      </c>
      <c r="C2" s="21" t="s">
        <v>91</v>
      </c>
      <c r="D2" s="21" t="s">
        <v>92</v>
      </c>
      <c r="E2" s="21">
        <v>4</v>
      </c>
      <c r="F2" s="21">
        <v>1217264</v>
      </c>
      <c r="G2" s="21" t="s">
        <v>549</v>
      </c>
      <c r="H2" s="38" t="s">
        <v>94</v>
      </c>
      <c r="I2" s="39">
        <f ca="1">IFERROR(__xludf.DUMMYFUNCTION("IF(SUM(COUNTIF(artists!A:A, SPLIT(D2, "",""))) &gt; 0, ""UA"", 0)"),0)</f>
        <v>0</v>
      </c>
      <c r="J2" s="40">
        <f ca="1">IFERROR(__xludf.DUMMYFUNCTION("IF(SUM(COUNTIF(artists!C:C, SPLIT(D2, "",""))) &gt; 0, ""RU"", 0)"),0)</f>
        <v>0</v>
      </c>
      <c r="K2" s="39" t="str">
        <f ca="1">IFERROR(__xludf.DUMMYFUNCTION("IF(SUM(COUNTIF(artists!E:E, SPLIT(D2, "",""))) &gt; 0, ""OTHER"", 0)"),"OTHER")</f>
        <v>OTHER</v>
      </c>
    </row>
    <row r="3" spans="1:11">
      <c r="A3" s="21">
        <v>2</v>
      </c>
      <c r="B3" s="21">
        <v>3</v>
      </c>
      <c r="C3" s="21" t="s">
        <v>88</v>
      </c>
      <c r="D3" s="21" t="s">
        <v>89</v>
      </c>
      <c r="E3" s="21">
        <v>28</v>
      </c>
      <c r="F3" s="21">
        <v>818391</v>
      </c>
      <c r="G3" s="21" t="s">
        <v>360</v>
      </c>
      <c r="H3" s="38" t="s">
        <v>90</v>
      </c>
      <c r="I3" s="39" t="str">
        <f ca="1">IFERROR(__xludf.DUMMYFUNCTION("IF(SUM(COUNTIF(artists!A:A, SPLIT(D3, "",""))) &gt; 0, ""UA"", 0)"),"UA")</f>
        <v>UA</v>
      </c>
      <c r="J3" s="40">
        <f ca="1">IFERROR(__xludf.DUMMYFUNCTION("IF(SUM(COUNTIF(artists!C:C, SPLIT(D3, "",""))) &gt; 0, ""RU"", 0)"),0)</f>
        <v>0</v>
      </c>
      <c r="K3" s="39">
        <f ca="1">IFERROR(__xludf.DUMMYFUNCTION("IF(SUM(COUNTIF(artists!E:E, SPLIT(D3, "",""))) &gt; 0, ""OTHER"", 0)"),0)</f>
        <v>0</v>
      </c>
    </row>
    <row r="4" spans="1:11">
      <c r="A4" s="21">
        <v>3</v>
      </c>
      <c r="B4" s="21">
        <v>8</v>
      </c>
      <c r="C4" s="21" t="s">
        <v>84</v>
      </c>
      <c r="D4" s="21" t="s">
        <v>85</v>
      </c>
      <c r="E4" s="21">
        <v>7</v>
      </c>
      <c r="F4" s="21">
        <v>807848</v>
      </c>
      <c r="G4" s="21" t="s">
        <v>550</v>
      </c>
      <c r="H4" s="38" t="s">
        <v>87</v>
      </c>
      <c r="I4" s="39" t="str">
        <f ca="1">IFERROR(__xludf.DUMMYFUNCTION("IF(SUM(COUNTIF(artists!A:A, SPLIT(D4, "",""))) &gt; 0, ""UA"", 0)"),"UA")</f>
        <v>UA</v>
      </c>
      <c r="J4" s="40">
        <f ca="1">IFERROR(__xludf.DUMMYFUNCTION("IF(SUM(COUNTIF(artists!C:C, SPLIT(D4, "",""))) &gt; 0, ""RU"", 0)"),0)</f>
        <v>0</v>
      </c>
      <c r="K4" s="39">
        <f ca="1">IFERROR(__xludf.DUMMYFUNCTION("IF(SUM(COUNTIF(artists!E:E, SPLIT(D4, "",""))) &gt; 0, ""OTHER"", 0)"),0)</f>
        <v>0</v>
      </c>
    </row>
    <row r="5" spans="1:11">
      <c r="A5" s="21">
        <v>4</v>
      </c>
      <c r="B5" s="21">
        <v>4</v>
      </c>
      <c r="C5" s="21" t="s">
        <v>95</v>
      </c>
      <c r="D5" s="21" t="s">
        <v>96</v>
      </c>
      <c r="E5" s="21">
        <v>13</v>
      </c>
      <c r="F5" s="21">
        <v>773399</v>
      </c>
      <c r="G5" s="21" t="s">
        <v>200</v>
      </c>
      <c r="H5" s="38" t="s">
        <v>98</v>
      </c>
      <c r="I5" s="39" t="str">
        <f ca="1">IFERROR(__xludf.DUMMYFUNCTION("IF(SUM(COUNTIF(artists!A:A, SPLIT(D5, "",""))) &gt; 0, ""UA"", 0)"),"UA")</f>
        <v>UA</v>
      </c>
      <c r="J5" s="40">
        <f ca="1">IFERROR(__xludf.DUMMYFUNCTION("IF(SUM(COUNTIF(artists!C:C, SPLIT(D5, "",""))) &gt; 0, ""RU"", 0)"),0)</f>
        <v>0</v>
      </c>
      <c r="K5" s="39">
        <f ca="1">IFERROR(__xludf.DUMMYFUNCTION("IF(SUM(COUNTIF(artists!E:E, SPLIT(D5, "",""))) &gt; 0, ""OTHER"", 0)"),0)</f>
        <v>0</v>
      </c>
    </row>
    <row r="6" spans="1:11">
      <c r="A6" s="21">
        <v>5</v>
      </c>
      <c r="B6" s="21">
        <v>6</v>
      </c>
      <c r="C6" s="21" t="s">
        <v>124</v>
      </c>
      <c r="D6" s="21" t="s">
        <v>125</v>
      </c>
      <c r="E6" s="21">
        <v>11</v>
      </c>
      <c r="F6" s="21">
        <v>762104</v>
      </c>
      <c r="G6" s="21" t="s">
        <v>551</v>
      </c>
      <c r="H6" s="38" t="s">
        <v>127</v>
      </c>
      <c r="I6" s="39">
        <f ca="1">IFERROR(__xludf.DUMMYFUNCTION("IF(SUM(COUNTIF(artists!A:A, SPLIT(D6, "",""))) &gt; 0, ""UA"", 0)"),0)</f>
        <v>0</v>
      </c>
      <c r="J6" s="40" t="str">
        <f ca="1">IFERROR(__xludf.DUMMYFUNCTION("IF(SUM(COUNTIF(artists!C:C, SPLIT(D6, "",""))) &gt; 0, ""RU"", 0)"),"RU")</f>
        <v>RU</v>
      </c>
      <c r="K6" s="39">
        <f ca="1">IFERROR(__xludf.DUMMYFUNCTION("IF(SUM(COUNTIF(artists!E:E, SPLIT(D6, "",""))) &gt; 0, ""OTHER"", 0)"),0)</f>
        <v>0</v>
      </c>
    </row>
    <row r="7" spans="1:11">
      <c r="A7" s="21">
        <v>6</v>
      </c>
      <c r="B7" s="21">
        <v>5</v>
      </c>
      <c r="C7" s="21" t="s">
        <v>111</v>
      </c>
      <c r="D7" s="21" t="s">
        <v>112</v>
      </c>
      <c r="E7" s="21">
        <v>9</v>
      </c>
      <c r="F7" s="21">
        <v>728824</v>
      </c>
      <c r="G7" s="21" t="s">
        <v>552</v>
      </c>
      <c r="H7" s="38" t="s">
        <v>114</v>
      </c>
      <c r="I7" s="39" t="str">
        <f ca="1">IFERROR(__xludf.DUMMYFUNCTION("IF(SUM(COUNTIF(artists!A:A, SPLIT(D7, "",""))) &gt; 0, ""UA"", 0)"),"UA")</f>
        <v>UA</v>
      </c>
      <c r="J7" s="40">
        <f ca="1">IFERROR(__xludf.DUMMYFUNCTION("IF(SUM(COUNTIF(artists!C:C, SPLIT(D7, "",""))) &gt; 0, ""RU"", 0)"),0)</f>
        <v>0</v>
      </c>
      <c r="K7" s="39">
        <f ca="1">IFERROR(__xludf.DUMMYFUNCTION("IF(SUM(COUNTIF(artists!E:E, SPLIT(D7, "",""))) &gt; 0, ""OTHER"", 0)"),0)</f>
        <v>0</v>
      </c>
    </row>
    <row r="8" spans="1:11">
      <c r="A8" s="21">
        <v>7</v>
      </c>
      <c r="B8" s="21">
        <v>2</v>
      </c>
      <c r="C8" s="21" t="s">
        <v>142</v>
      </c>
      <c r="D8" s="21" t="s">
        <v>104</v>
      </c>
      <c r="E8" s="21">
        <v>2</v>
      </c>
      <c r="F8" s="21">
        <v>717616</v>
      </c>
      <c r="G8" s="21" t="s">
        <v>553</v>
      </c>
      <c r="H8" s="38" t="s">
        <v>144</v>
      </c>
      <c r="I8" s="39" t="str">
        <f ca="1">IFERROR(__xludf.DUMMYFUNCTION("IF(SUM(COUNTIF(artists!A:A, SPLIT(D8, "",""))) &gt; 0, ""UA"", 0)"),"UA")</f>
        <v>UA</v>
      </c>
      <c r="J8" s="40">
        <f ca="1">IFERROR(__xludf.DUMMYFUNCTION("IF(SUM(COUNTIF(artists!C:C, SPLIT(D8, "",""))) &gt; 0, ""RU"", 0)"),0)</f>
        <v>0</v>
      </c>
      <c r="K8" s="39">
        <f ca="1">IFERROR(__xludf.DUMMYFUNCTION("IF(SUM(COUNTIF(artists!E:E, SPLIT(D8, "",""))) &gt; 0, ""OTHER"", 0)"),0)</f>
        <v>0</v>
      </c>
    </row>
    <row r="9" spans="1:11">
      <c r="A9" s="21">
        <v>8</v>
      </c>
      <c r="C9" s="21" t="s">
        <v>80</v>
      </c>
      <c r="D9" s="21" t="s">
        <v>81</v>
      </c>
      <c r="E9" s="21">
        <v>1</v>
      </c>
      <c r="F9" s="21">
        <v>701188</v>
      </c>
      <c r="H9" s="38" t="s">
        <v>83</v>
      </c>
      <c r="I9" s="39" t="str">
        <f ca="1">IFERROR(__xludf.DUMMYFUNCTION("IF(SUM(COUNTIF(artists!A:A, SPLIT(D9, "",""))) &gt; 0, ""UA"", 0)"),"UA")</f>
        <v>UA</v>
      </c>
      <c r="J9" s="40">
        <f ca="1">IFERROR(__xludf.DUMMYFUNCTION("IF(SUM(COUNTIF(artists!C:C, SPLIT(D9, "",""))) &gt; 0, ""RU"", 0)"),0)</f>
        <v>0</v>
      </c>
      <c r="K9" s="39">
        <f ca="1">IFERROR(__xludf.DUMMYFUNCTION("IF(SUM(COUNTIF(artists!E:E, SPLIT(D9, "",""))) &gt; 0, ""OTHER"", 0)"),0)</f>
        <v>0</v>
      </c>
    </row>
    <row r="10" spans="1:11">
      <c r="A10" s="21">
        <v>9</v>
      </c>
      <c r="B10" s="21">
        <v>7</v>
      </c>
      <c r="C10" s="21" t="s">
        <v>103</v>
      </c>
      <c r="D10" s="21" t="s">
        <v>104</v>
      </c>
      <c r="E10" s="21">
        <v>9</v>
      </c>
      <c r="F10" s="21">
        <v>685841</v>
      </c>
      <c r="G10" s="21" t="s">
        <v>430</v>
      </c>
      <c r="H10" s="38" t="s">
        <v>106</v>
      </c>
      <c r="I10" s="39" t="str">
        <f ca="1">IFERROR(__xludf.DUMMYFUNCTION("IF(SUM(COUNTIF(artists!A:A, SPLIT(D10, "",""))) &gt; 0, ""UA"", 0)"),"UA")</f>
        <v>UA</v>
      </c>
      <c r="J10" s="40">
        <f ca="1">IFERROR(__xludf.DUMMYFUNCTION("IF(SUM(COUNTIF(artists!C:C, SPLIT(D10, "",""))) &gt; 0, ""RU"", 0)"),0)</f>
        <v>0</v>
      </c>
      <c r="K10" s="39">
        <f ca="1">IFERROR(__xludf.DUMMYFUNCTION("IF(SUM(COUNTIF(artists!E:E, SPLIT(D10, "",""))) &gt; 0, ""OTHER"", 0)"),0)</f>
        <v>0</v>
      </c>
    </row>
    <row r="11" spans="1:11">
      <c r="A11" s="21">
        <v>10</v>
      </c>
      <c r="B11" s="21">
        <v>11</v>
      </c>
      <c r="C11" s="21" t="s">
        <v>99</v>
      </c>
      <c r="D11" s="21" t="s">
        <v>100</v>
      </c>
      <c r="E11" s="21">
        <v>10</v>
      </c>
      <c r="F11" s="21">
        <v>671579</v>
      </c>
      <c r="G11" s="21" t="s">
        <v>554</v>
      </c>
      <c r="H11" s="38" t="s">
        <v>102</v>
      </c>
      <c r="I11" s="39" t="str">
        <f ca="1">IFERROR(__xludf.DUMMYFUNCTION("IF(SUM(COUNTIF(artists!A:A, SPLIT(D11, "",""))) &gt; 0, ""UA"", 0)"),"UA")</f>
        <v>UA</v>
      </c>
      <c r="J11" s="40">
        <f ca="1">IFERROR(__xludf.DUMMYFUNCTION("IF(SUM(COUNTIF(artists!C:C, SPLIT(D11, "",""))) &gt; 0, ""RU"", 0)"),0)</f>
        <v>0</v>
      </c>
      <c r="K11" s="39">
        <f ca="1">IFERROR(__xludf.DUMMYFUNCTION("IF(SUM(COUNTIF(artists!E:E, SPLIT(D11, "",""))) &gt; 0, ""OTHER"", 0)"),0)</f>
        <v>0</v>
      </c>
    </row>
    <row r="12" spans="1:11">
      <c r="A12" s="21">
        <v>11</v>
      </c>
      <c r="B12" s="21">
        <v>9</v>
      </c>
      <c r="C12" s="21" t="s">
        <v>121</v>
      </c>
      <c r="D12" s="21" t="s">
        <v>122</v>
      </c>
      <c r="E12" s="21">
        <v>8</v>
      </c>
      <c r="F12" s="21">
        <v>635147</v>
      </c>
      <c r="G12" s="21" t="s">
        <v>215</v>
      </c>
      <c r="H12" s="38" t="s">
        <v>123</v>
      </c>
      <c r="I12" s="39" t="str">
        <f ca="1">IFERROR(__xludf.DUMMYFUNCTION("IF(SUM(COUNTIF(artists!A:A, SPLIT(D12, "",""))) &gt; 0, ""UA"", 0)"),"UA")</f>
        <v>UA</v>
      </c>
      <c r="J12" s="40">
        <f ca="1">IFERROR(__xludf.DUMMYFUNCTION("IF(SUM(COUNTIF(artists!C:C, SPLIT(D12, "",""))) &gt; 0, ""RU"", 0)"),0)</f>
        <v>0</v>
      </c>
      <c r="K12" s="39">
        <f ca="1">IFERROR(__xludf.DUMMYFUNCTION("IF(SUM(COUNTIF(artists!E:E, SPLIT(D12, "",""))) &gt; 0, ""OTHER"", 0)"),0)</f>
        <v>0</v>
      </c>
    </row>
    <row r="13" spans="1:11">
      <c r="A13" s="21">
        <v>12</v>
      </c>
      <c r="B13" s="21">
        <v>13</v>
      </c>
      <c r="C13" s="21" t="s">
        <v>107</v>
      </c>
      <c r="D13" s="21" t="s">
        <v>108</v>
      </c>
      <c r="E13" s="21">
        <v>8</v>
      </c>
      <c r="F13" s="21">
        <v>597762</v>
      </c>
      <c r="G13" s="21" t="s">
        <v>555</v>
      </c>
      <c r="H13" s="38" t="s">
        <v>110</v>
      </c>
      <c r="I13" s="39" t="str">
        <f ca="1">IFERROR(__xludf.DUMMYFUNCTION("IF(SUM(COUNTIF(artists!A:A, SPLIT(D13, "",""))) &gt; 0, ""UA"", 0)"),"UA")</f>
        <v>UA</v>
      </c>
      <c r="J13" s="40">
        <f ca="1">IFERROR(__xludf.DUMMYFUNCTION("IF(SUM(COUNTIF(artists!C:C, SPLIT(D13, "",""))) &gt; 0, ""RU"", 0)"),0)</f>
        <v>0</v>
      </c>
      <c r="K13" s="39">
        <f ca="1">IFERROR(__xludf.DUMMYFUNCTION("IF(SUM(COUNTIF(artists!E:E, SPLIT(D13, "",""))) &gt; 0, ""OTHER"", 0)"),0)</f>
        <v>0</v>
      </c>
    </row>
    <row r="14" spans="1:11">
      <c r="A14" s="21">
        <v>13</v>
      </c>
      <c r="B14" s="21">
        <v>10</v>
      </c>
      <c r="C14" s="21" t="s">
        <v>153</v>
      </c>
      <c r="D14" s="21" t="s">
        <v>154</v>
      </c>
      <c r="E14" s="21">
        <v>8</v>
      </c>
      <c r="F14" s="21">
        <v>580663</v>
      </c>
      <c r="G14" s="21" t="s">
        <v>556</v>
      </c>
      <c r="H14" s="38" t="s">
        <v>156</v>
      </c>
      <c r="I14" s="39">
        <f ca="1">IFERROR(__xludf.DUMMYFUNCTION("IF(SUM(COUNTIF(artists!A:A, SPLIT(D14, "",""))) &gt; 0, ""UA"", 0)"),0)</f>
        <v>0</v>
      </c>
      <c r="J14" s="40" t="str">
        <f ca="1">IFERROR(__xludf.DUMMYFUNCTION("IF(SUM(COUNTIF(artists!C:C, SPLIT(D14, "",""))) &gt; 0, ""RU"", 0)"),"RU")</f>
        <v>RU</v>
      </c>
      <c r="K14" s="39">
        <f ca="1">IFERROR(__xludf.DUMMYFUNCTION("IF(SUM(COUNTIF(artists!E:E, SPLIT(D14, "",""))) &gt; 0, ""OTHER"", 0)"),0)</f>
        <v>0</v>
      </c>
    </row>
    <row r="15" spans="1:11">
      <c r="A15" s="21">
        <v>14</v>
      </c>
      <c r="B15" s="21">
        <v>12</v>
      </c>
      <c r="C15" s="21" t="s">
        <v>128</v>
      </c>
      <c r="D15" s="21" t="s">
        <v>129</v>
      </c>
      <c r="E15" s="21">
        <v>36</v>
      </c>
      <c r="F15" s="21">
        <v>549336</v>
      </c>
      <c r="G15" s="21" t="s">
        <v>557</v>
      </c>
      <c r="H15" s="38" t="s">
        <v>131</v>
      </c>
      <c r="I15" s="39" t="str">
        <f ca="1">IFERROR(__xludf.DUMMYFUNCTION("IF(SUM(COUNTIF(artists!A:A, SPLIT(D15, "",""))) &gt; 0, ""UA"", 0)"),"UA")</f>
        <v>UA</v>
      </c>
      <c r="J15" s="40">
        <f ca="1">IFERROR(__xludf.DUMMYFUNCTION("IF(SUM(COUNTIF(artists!C:C, SPLIT(D15, "",""))) &gt; 0, ""RU"", 0)"),0)</f>
        <v>0</v>
      </c>
      <c r="K15" s="39">
        <f ca="1">IFERROR(__xludf.DUMMYFUNCTION("IF(SUM(COUNTIF(artists!E:E, SPLIT(D15, "",""))) &gt; 0, ""OTHER"", 0)"),0)</f>
        <v>0</v>
      </c>
    </row>
    <row r="16" spans="1:11">
      <c r="A16" s="21">
        <v>15</v>
      </c>
      <c r="B16" s="21">
        <v>15</v>
      </c>
      <c r="C16" s="21" t="s">
        <v>115</v>
      </c>
      <c r="D16" s="21" t="s">
        <v>116</v>
      </c>
      <c r="E16" s="21">
        <v>30</v>
      </c>
      <c r="F16" s="21">
        <v>514175</v>
      </c>
      <c r="G16" s="21" t="s">
        <v>558</v>
      </c>
      <c r="H16" s="38" t="s">
        <v>117</v>
      </c>
      <c r="I16" s="39" t="str">
        <f ca="1">IFERROR(__xludf.DUMMYFUNCTION("IF(SUM(COUNTIF(artists!A:A, SPLIT(D16, "",""))) &gt; 0, ""UA"", 0)"),"UA")</f>
        <v>UA</v>
      </c>
      <c r="J16" s="40">
        <f ca="1">IFERROR(__xludf.DUMMYFUNCTION("IF(SUM(COUNTIF(artists!C:C, SPLIT(D16, "",""))) &gt; 0, ""RU"", 0)"),0)</f>
        <v>0</v>
      </c>
      <c r="K16" s="39">
        <f ca="1">IFERROR(__xludf.DUMMYFUNCTION("IF(SUM(COUNTIF(artists!E:E, SPLIT(D16, "",""))) &gt; 0, ""OTHER"", 0)"),0)</f>
        <v>0</v>
      </c>
    </row>
    <row r="17" spans="1:11">
      <c r="A17" s="21">
        <v>16</v>
      </c>
      <c r="B17" s="21">
        <v>18</v>
      </c>
      <c r="C17" s="21" t="s">
        <v>132</v>
      </c>
      <c r="D17" s="21" t="s">
        <v>133</v>
      </c>
      <c r="E17" s="21">
        <v>40</v>
      </c>
      <c r="F17" s="21">
        <v>497268</v>
      </c>
      <c r="G17" s="21" t="s">
        <v>559</v>
      </c>
      <c r="H17" s="38" t="s">
        <v>135</v>
      </c>
      <c r="I17" s="39" t="str">
        <f ca="1">IFERROR(__xludf.DUMMYFUNCTION("IF(SUM(COUNTIF(artists!A:A, SPLIT(D17, "",""))) &gt; 0, ""UA"", 0)"),"UA")</f>
        <v>UA</v>
      </c>
      <c r="J17" s="40">
        <f ca="1">IFERROR(__xludf.DUMMYFUNCTION("IF(SUM(COUNTIF(artists!C:C, SPLIT(D17, "",""))) &gt; 0, ""RU"", 0)"),0)</f>
        <v>0</v>
      </c>
      <c r="K17" s="39">
        <f ca="1">IFERROR(__xludf.DUMMYFUNCTION("IF(SUM(COUNTIF(artists!E:E, SPLIT(D17, "",""))) &gt; 0, ""OTHER"", 0)"),0)</f>
        <v>0</v>
      </c>
    </row>
    <row r="18" spans="1:11">
      <c r="A18" s="21">
        <v>17</v>
      </c>
      <c r="B18" s="21">
        <v>16</v>
      </c>
      <c r="C18" s="21" t="s">
        <v>136</v>
      </c>
      <c r="D18" s="21" t="s">
        <v>137</v>
      </c>
      <c r="E18" s="21">
        <v>6</v>
      </c>
      <c r="F18" s="21">
        <v>465496</v>
      </c>
      <c r="G18" s="21" t="s">
        <v>560</v>
      </c>
      <c r="H18" s="38" t="s">
        <v>138</v>
      </c>
      <c r="I18" s="39" t="str">
        <f ca="1">IFERROR(__xludf.DUMMYFUNCTION("IF(SUM(COUNTIF(artists!A:A, SPLIT(D18, "",""))) &gt; 0, ""UA"", 0)"),"UA")</f>
        <v>UA</v>
      </c>
      <c r="J18" s="40">
        <f ca="1">IFERROR(__xludf.DUMMYFUNCTION("IF(SUM(COUNTIF(artists!C:C, SPLIT(D18, "",""))) &gt; 0, ""RU"", 0)"),0)</f>
        <v>0</v>
      </c>
      <c r="K18" s="39">
        <f ca="1">IFERROR(__xludf.DUMMYFUNCTION("IF(SUM(COUNTIF(artists!E:E, SPLIT(D18, "",""))) &gt; 0, ""OTHER"", 0)"),0)</f>
        <v>0</v>
      </c>
    </row>
    <row r="19" spans="1:11">
      <c r="A19" s="21">
        <v>18</v>
      </c>
      <c r="B19" s="21">
        <v>20</v>
      </c>
      <c r="C19" s="21" t="s">
        <v>149</v>
      </c>
      <c r="D19" s="21" t="s">
        <v>150</v>
      </c>
      <c r="E19" s="21">
        <v>33</v>
      </c>
      <c r="F19" s="21">
        <v>456641</v>
      </c>
      <c r="G19" s="21" t="s">
        <v>443</v>
      </c>
      <c r="H19" s="38" t="s">
        <v>152</v>
      </c>
      <c r="I19" s="39" t="str">
        <f ca="1">IFERROR(__xludf.DUMMYFUNCTION("IF(SUM(COUNTIF(artists!A:A, SPLIT(D19, "",""))) &gt; 0, ""UA"", 0)"),"UA")</f>
        <v>UA</v>
      </c>
      <c r="J19" s="40">
        <f ca="1">IFERROR(__xludf.DUMMYFUNCTION("IF(SUM(COUNTIF(artists!C:C, SPLIT(D19, "",""))) &gt; 0, ""RU"", 0)"),0)</f>
        <v>0</v>
      </c>
      <c r="K19" s="39">
        <f ca="1">IFERROR(__xludf.DUMMYFUNCTION("IF(SUM(COUNTIF(artists!E:E, SPLIT(D19, "",""))) &gt; 0, ""OTHER"", 0)"),0)</f>
        <v>0</v>
      </c>
    </row>
    <row r="20" spans="1:11">
      <c r="A20" s="21">
        <v>19</v>
      </c>
      <c r="B20" s="21">
        <v>21</v>
      </c>
      <c r="C20" s="21" t="s">
        <v>160</v>
      </c>
      <c r="D20" s="21" t="s">
        <v>161</v>
      </c>
      <c r="E20" s="21">
        <v>34</v>
      </c>
      <c r="F20" s="21">
        <v>440290</v>
      </c>
      <c r="G20" s="21" t="s">
        <v>561</v>
      </c>
      <c r="H20" s="38" t="s">
        <v>163</v>
      </c>
      <c r="I20" s="39" t="str">
        <f ca="1">IFERROR(__xludf.DUMMYFUNCTION("IF(SUM(COUNTIF(artists!A:A, SPLIT(D20, "",""))) &gt; 0, ""UA"", 0)"),"UA")</f>
        <v>UA</v>
      </c>
      <c r="J20" s="40">
        <f ca="1">IFERROR(__xludf.DUMMYFUNCTION("IF(SUM(COUNTIF(artists!C:C, SPLIT(D20, "",""))) &gt; 0, ""RU"", 0)"),0)</f>
        <v>0</v>
      </c>
      <c r="K20" s="39">
        <f ca="1">IFERROR(__xludf.DUMMYFUNCTION("IF(SUM(COUNTIF(artists!E:E, SPLIT(D20, "",""))) &gt; 0, ""OTHER"", 0)"),0)</f>
        <v>0</v>
      </c>
    </row>
    <row r="21" spans="1:11">
      <c r="A21" s="21">
        <v>20</v>
      </c>
      <c r="B21" s="21">
        <v>19</v>
      </c>
      <c r="C21" s="21" t="s">
        <v>145</v>
      </c>
      <c r="D21" s="21" t="s">
        <v>146</v>
      </c>
      <c r="E21" s="21">
        <v>34</v>
      </c>
      <c r="F21" s="21">
        <v>439127</v>
      </c>
      <c r="G21" s="21" t="s">
        <v>562</v>
      </c>
      <c r="H21" s="38" t="s">
        <v>148</v>
      </c>
      <c r="I21" s="39" t="str">
        <f ca="1">IFERROR(__xludf.DUMMYFUNCTION("IF(SUM(COUNTIF(artists!A:A, SPLIT(D21, "",""))) &gt; 0, ""UA"", 0)"),"UA")</f>
        <v>UA</v>
      </c>
      <c r="J21" s="40">
        <f ca="1">IFERROR(__xludf.DUMMYFUNCTION("IF(SUM(COUNTIF(artists!C:C, SPLIT(D21, "",""))) &gt; 0, ""RU"", 0)"),0)</f>
        <v>0</v>
      </c>
      <c r="K21" s="39">
        <f ca="1">IFERROR(__xludf.DUMMYFUNCTION("IF(SUM(COUNTIF(artists!E:E, SPLIT(D21, "",""))) &gt; 0, ""OTHER"", 0)"),0)</f>
        <v>0</v>
      </c>
    </row>
    <row r="22" spans="1:11">
      <c r="A22" s="21">
        <v>21</v>
      </c>
      <c r="B22" s="21">
        <v>17</v>
      </c>
      <c r="C22" s="21" t="s">
        <v>168</v>
      </c>
      <c r="D22" s="21" t="s">
        <v>137</v>
      </c>
      <c r="E22" s="21">
        <v>31</v>
      </c>
      <c r="F22" s="21">
        <v>428393</v>
      </c>
      <c r="G22" s="41">
        <v>-0.01</v>
      </c>
      <c r="H22" s="38" t="s">
        <v>170</v>
      </c>
      <c r="I22" s="39" t="str">
        <f ca="1">IFERROR(__xludf.DUMMYFUNCTION("IF(SUM(COUNTIF(artists!A:A, SPLIT(D22, "",""))) &gt; 0, ""UA"", 0)"),"UA")</f>
        <v>UA</v>
      </c>
      <c r="J22" s="40">
        <f ca="1">IFERROR(__xludf.DUMMYFUNCTION("IF(SUM(COUNTIF(artists!C:C, SPLIT(D22, "",""))) &gt; 0, ""RU"", 0)"),0)</f>
        <v>0</v>
      </c>
      <c r="K22" s="39">
        <f ca="1">IFERROR(__xludf.DUMMYFUNCTION("IF(SUM(COUNTIF(artists!E:E, SPLIT(D22, "",""))) &gt; 0, ""OTHER"", 0)"),0)</f>
        <v>0</v>
      </c>
    </row>
    <row r="23" spans="1:11">
      <c r="A23" s="21">
        <v>22</v>
      </c>
      <c r="B23" s="21">
        <v>22</v>
      </c>
      <c r="C23" s="21" t="s">
        <v>171</v>
      </c>
      <c r="D23" s="21" t="s">
        <v>172</v>
      </c>
      <c r="E23" s="21">
        <v>35</v>
      </c>
      <c r="F23" s="21">
        <v>418736</v>
      </c>
      <c r="G23" s="21" t="s">
        <v>563</v>
      </c>
      <c r="H23" s="38" t="s">
        <v>174</v>
      </c>
      <c r="I23" s="39">
        <f ca="1">IFERROR(__xludf.DUMMYFUNCTION("IF(SUM(COUNTIF(artists!A:A, SPLIT(D23, "",""))) &gt; 0, ""UA"", 0)"),0)</f>
        <v>0</v>
      </c>
      <c r="J23" s="40" t="str">
        <f ca="1">IFERROR(__xludf.DUMMYFUNCTION("IF(SUM(COUNTIF(artists!C:C, SPLIT(D23, "",""))) &gt; 0, ""RU"", 0)"),"RU")</f>
        <v>RU</v>
      </c>
      <c r="K23" s="39">
        <f ca="1">IFERROR(__xludf.DUMMYFUNCTION("IF(SUM(COUNTIF(artists!E:E, SPLIT(D23, "",""))) &gt; 0, ""OTHER"", 0)"),0)</f>
        <v>0</v>
      </c>
    </row>
    <row r="24" spans="1:11">
      <c r="A24" s="21">
        <v>23</v>
      </c>
      <c r="B24" s="21">
        <v>30</v>
      </c>
      <c r="C24" s="21" t="s">
        <v>164</v>
      </c>
      <c r="D24" s="21" t="s">
        <v>165</v>
      </c>
      <c r="E24" s="21">
        <v>7</v>
      </c>
      <c r="F24" s="21">
        <v>393623</v>
      </c>
      <c r="G24" s="21" t="s">
        <v>564</v>
      </c>
      <c r="H24" s="38" t="s">
        <v>167</v>
      </c>
      <c r="I24" s="39" t="str">
        <f ca="1">IFERROR(__xludf.DUMMYFUNCTION("IF(SUM(COUNTIF(artists!A:A, SPLIT(D24, "",""))) &gt; 0, ""UA"", 0)"),"UA")</f>
        <v>UA</v>
      </c>
      <c r="J24" s="40">
        <f ca="1">IFERROR(__xludf.DUMMYFUNCTION("IF(SUM(COUNTIF(artists!C:C, SPLIT(D24, "",""))) &gt; 0, ""RU"", 0)"),0)</f>
        <v>0</v>
      </c>
      <c r="K24" s="39">
        <f ca="1">IFERROR(__xludf.DUMMYFUNCTION("IF(SUM(COUNTIF(artists!E:E, SPLIT(D24, "",""))) &gt; 0, ""OTHER"", 0)"),0)</f>
        <v>0</v>
      </c>
    </row>
    <row r="25" spans="1:11">
      <c r="A25" s="21">
        <v>24</v>
      </c>
      <c r="B25" s="21">
        <v>24</v>
      </c>
      <c r="C25" s="21" t="s">
        <v>175</v>
      </c>
      <c r="D25" s="21" t="s">
        <v>89</v>
      </c>
      <c r="E25" s="21">
        <v>40</v>
      </c>
      <c r="F25" s="21">
        <v>380140</v>
      </c>
      <c r="G25" s="21" t="s">
        <v>565</v>
      </c>
      <c r="H25" s="38" t="s">
        <v>177</v>
      </c>
      <c r="I25" s="39" t="str">
        <f ca="1">IFERROR(__xludf.DUMMYFUNCTION("IF(SUM(COUNTIF(artists!A:A, SPLIT(D25, "",""))) &gt; 0, ""UA"", 0)"),"UA")</f>
        <v>UA</v>
      </c>
      <c r="J25" s="40">
        <f ca="1">IFERROR(__xludf.DUMMYFUNCTION("IF(SUM(COUNTIF(artists!C:C, SPLIT(D25, "",""))) &gt; 0, ""RU"", 0)"),0)</f>
        <v>0</v>
      </c>
      <c r="K25" s="39">
        <f ca="1">IFERROR(__xludf.DUMMYFUNCTION("IF(SUM(COUNTIF(artists!E:E, SPLIT(D25, "",""))) &gt; 0, ""OTHER"", 0)"),0)</f>
        <v>0</v>
      </c>
    </row>
    <row r="26" spans="1:11">
      <c r="A26" s="21">
        <v>25</v>
      </c>
      <c r="B26" s="21">
        <v>25</v>
      </c>
      <c r="C26" s="21" t="s">
        <v>182</v>
      </c>
      <c r="D26" s="21" t="s">
        <v>183</v>
      </c>
      <c r="E26" s="21">
        <v>36</v>
      </c>
      <c r="F26" s="21">
        <v>374476</v>
      </c>
      <c r="G26" s="21" t="s">
        <v>566</v>
      </c>
      <c r="H26" s="38" t="s">
        <v>185</v>
      </c>
      <c r="I26" s="39" t="str">
        <f ca="1">IFERROR(__xludf.DUMMYFUNCTION("IF(SUM(COUNTIF(artists!A:A, SPLIT(D26, "",""))) &gt; 0, ""UA"", 0)"),"UA")</f>
        <v>UA</v>
      </c>
      <c r="J26" s="40">
        <f ca="1">IFERROR(__xludf.DUMMYFUNCTION("IF(SUM(COUNTIF(artists!C:C, SPLIT(D26, "",""))) &gt; 0, ""RU"", 0)"),0)</f>
        <v>0</v>
      </c>
      <c r="K26" s="39">
        <f ca="1">IFERROR(__xludf.DUMMYFUNCTION("IF(SUM(COUNTIF(artists!E:E, SPLIT(D26, "",""))) &gt; 0, ""OTHER"", 0)"),0)</f>
        <v>0</v>
      </c>
    </row>
    <row r="27" spans="1:11">
      <c r="A27" s="21">
        <v>26</v>
      </c>
      <c r="B27" s="21">
        <v>33</v>
      </c>
      <c r="C27" s="21" t="s">
        <v>178</v>
      </c>
      <c r="D27" s="21" t="s">
        <v>179</v>
      </c>
      <c r="E27" s="21">
        <v>44</v>
      </c>
      <c r="F27" s="21">
        <v>357760</v>
      </c>
      <c r="G27" s="21" t="s">
        <v>567</v>
      </c>
      <c r="H27" s="38" t="s">
        <v>181</v>
      </c>
      <c r="I27" s="39" t="str">
        <f ca="1">IFERROR(__xludf.DUMMYFUNCTION("IF(SUM(COUNTIF(artists!A:A, SPLIT(D27, "",""))) &gt; 0, ""UA"", 0)"),"UA")</f>
        <v>UA</v>
      </c>
      <c r="J27" s="40">
        <f ca="1">IFERROR(__xludf.DUMMYFUNCTION("IF(SUM(COUNTIF(artists!C:C, SPLIT(D27, "",""))) &gt; 0, ""RU"", 0)"),0)</f>
        <v>0</v>
      </c>
      <c r="K27" s="39">
        <f ca="1">IFERROR(__xludf.DUMMYFUNCTION("IF(SUM(COUNTIF(artists!E:E, SPLIT(D27, "",""))) &gt; 0, ""OTHER"", 0)"),0)</f>
        <v>0</v>
      </c>
    </row>
    <row r="28" spans="1:11">
      <c r="A28" s="21">
        <v>27</v>
      </c>
      <c r="B28" s="21">
        <v>29</v>
      </c>
      <c r="C28" s="21" t="s">
        <v>217</v>
      </c>
      <c r="D28" s="21" t="s">
        <v>218</v>
      </c>
      <c r="E28" s="21">
        <v>4</v>
      </c>
      <c r="F28" s="21">
        <v>354095</v>
      </c>
      <c r="G28" s="21" t="s">
        <v>568</v>
      </c>
      <c r="H28" s="38" t="s">
        <v>220</v>
      </c>
      <c r="I28" s="39" t="str">
        <f ca="1">IFERROR(__xludf.DUMMYFUNCTION("IF(SUM(COUNTIF(artists!A:A, SPLIT(D28, "",""))) &gt; 0, ""UA"", 0)"),"UA")</f>
        <v>UA</v>
      </c>
      <c r="J28" s="40">
        <f ca="1">IFERROR(__xludf.DUMMYFUNCTION("IF(SUM(COUNTIF(artists!C:C, SPLIT(D28, "",""))) &gt; 0, ""RU"", 0)"),0)</f>
        <v>0</v>
      </c>
      <c r="K28" s="39">
        <f ca="1">IFERROR(__xludf.DUMMYFUNCTION("IF(SUM(COUNTIF(artists!E:E, SPLIT(D28, "",""))) &gt; 0, ""OTHER"", 0)"),0)</f>
        <v>0</v>
      </c>
    </row>
    <row r="29" spans="1:11">
      <c r="A29" s="21">
        <v>28</v>
      </c>
      <c r="B29" s="21">
        <v>31</v>
      </c>
      <c r="C29" s="21" t="s">
        <v>202</v>
      </c>
      <c r="D29" s="21" t="s">
        <v>203</v>
      </c>
      <c r="E29" s="21">
        <v>30</v>
      </c>
      <c r="F29" s="21">
        <v>344480</v>
      </c>
      <c r="G29" s="21" t="s">
        <v>569</v>
      </c>
      <c r="H29" s="38" t="s">
        <v>204</v>
      </c>
      <c r="I29" s="39" t="str">
        <f ca="1">IFERROR(__xludf.DUMMYFUNCTION("IF(SUM(COUNTIF(artists!A:A, SPLIT(D29, "",""))) &gt; 0, ""UA"", 0)"),"UA")</f>
        <v>UA</v>
      </c>
      <c r="J29" s="40">
        <f ca="1">IFERROR(__xludf.DUMMYFUNCTION("IF(SUM(COUNTIF(artists!C:C, SPLIT(D29, "",""))) &gt; 0, ""RU"", 0)"),0)</f>
        <v>0</v>
      </c>
      <c r="K29" s="39">
        <f ca="1">IFERROR(__xludf.DUMMYFUNCTION("IF(SUM(COUNTIF(artists!E:E, SPLIT(D29, "",""))) &gt; 0, ""OTHER"", 0)"),0)</f>
        <v>0</v>
      </c>
    </row>
    <row r="30" spans="1:11">
      <c r="A30" s="21">
        <v>29</v>
      </c>
      <c r="B30" s="21">
        <v>27</v>
      </c>
      <c r="C30" s="21" t="s">
        <v>221</v>
      </c>
      <c r="D30" s="21" t="s">
        <v>222</v>
      </c>
      <c r="E30" s="21">
        <v>9</v>
      </c>
      <c r="F30" s="21">
        <v>327016</v>
      </c>
      <c r="G30" s="21" t="s">
        <v>570</v>
      </c>
      <c r="H30" s="38" t="s">
        <v>224</v>
      </c>
      <c r="I30" s="39">
        <f ca="1">IFERROR(__xludf.DUMMYFUNCTION("IF(SUM(COUNTIF(artists!A:A, SPLIT(D30, "",""))) &gt; 0, ""UA"", 0)"),0)</f>
        <v>0</v>
      </c>
      <c r="J30" s="40">
        <f ca="1">IFERROR(__xludf.DUMMYFUNCTION("IF(SUM(COUNTIF(artists!C:C, SPLIT(D30, "",""))) &gt; 0, ""RU"", 0)"),0)</f>
        <v>0</v>
      </c>
      <c r="K30" s="39" t="str">
        <f ca="1">IFERROR(__xludf.DUMMYFUNCTION("IF(SUM(COUNTIF(artists!E:E, SPLIT(D30, "",""))) &gt; 0, ""OTHER"", 0)"),"OTHER")</f>
        <v>OTHER</v>
      </c>
    </row>
    <row r="31" spans="1:11">
      <c r="A31" s="21">
        <v>30</v>
      </c>
      <c r="B31" s="21">
        <v>34</v>
      </c>
      <c r="C31" s="21" t="s">
        <v>277</v>
      </c>
      <c r="D31" s="21" t="s">
        <v>125</v>
      </c>
      <c r="E31" s="21">
        <v>7</v>
      </c>
      <c r="F31" s="21">
        <v>318253</v>
      </c>
      <c r="G31" s="21" t="s">
        <v>496</v>
      </c>
      <c r="H31" s="38" t="s">
        <v>279</v>
      </c>
      <c r="I31" s="39">
        <f ca="1">IFERROR(__xludf.DUMMYFUNCTION("IF(SUM(COUNTIF(artists!A:A, SPLIT(D31, "",""))) &gt; 0, ""UA"", 0)"),0)</f>
        <v>0</v>
      </c>
      <c r="J31" s="40" t="str">
        <f ca="1">IFERROR(__xludf.DUMMYFUNCTION("IF(SUM(COUNTIF(artists!C:C, SPLIT(D31, "",""))) &gt; 0, ""RU"", 0)"),"RU")</f>
        <v>RU</v>
      </c>
      <c r="K31" s="39">
        <f ca="1">IFERROR(__xludf.DUMMYFUNCTION("IF(SUM(COUNTIF(artists!E:E, SPLIT(D31, "",""))) &gt; 0, ""OTHER"", 0)"),0)</f>
        <v>0</v>
      </c>
    </row>
    <row r="32" spans="1:11">
      <c r="A32" s="21">
        <v>31</v>
      </c>
      <c r="B32" s="21">
        <v>41</v>
      </c>
      <c r="C32" s="21" t="s">
        <v>247</v>
      </c>
      <c r="D32" s="21" t="s">
        <v>454</v>
      </c>
      <c r="E32" s="21">
        <v>17</v>
      </c>
      <c r="F32" s="21">
        <v>306819</v>
      </c>
      <c r="G32" s="21" t="s">
        <v>571</v>
      </c>
      <c r="H32" s="38" t="s">
        <v>250</v>
      </c>
      <c r="I32" s="39" t="str">
        <f ca="1">IFERROR(__xludf.DUMMYFUNCTION("IF(SUM(COUNTIF(artists!A:A, SPLIT(D32, "",""))) &gt; 0, ""UA"", 0)"),"UA")</f>
        <v>UA</v>
      </c>
      <c r="J32" s="40">
        <f ca="1">IFERROR(__xludf.DUMMYFUNCTION("IF(SUM(COUNTIF(artists!C:C, SPLIT(D32, "",""))) &gt; 0, ""RU"", 0)"),0)</f>
        <v>0</v>
      </c>
      <c r="K32" s="39">
        <f ca="1">IFERROR(__xludf.DUMMYFUNCTION("IF(SUM(COUNTIF(artists!E:E, SPLIT(D32, "",""))) &gt; 0, ""OTHER"", 0)"),0)</f>
        <v>0</v>
      </c>
    </row>
    <row r="33" spans="1:11">
      <c r="A33" s="21">
        <v>32</v>
      </c>
      <c r="B33" s="21">
        <v>37</v>
      </c>
      <c r="C33" s="21" t="s">
        <v>194</v>
      </c>
      <c r="D33" s="21" t="s">
        <v>195</v>
      </c>
      <c r="E33" s="21">
        <v>43</v>
      </c>
      <c r="F33" s="21">
        <v>305939</v>
      </c>
      <c r="G33" s="21" t="s">
        <v>551</v>
      </c>
      <c r="H33" s="38" t="s">
        <v>197</v>
      </c>
      <c r="I33" s="39" t="str">
        <f ca="1">IFERROR(__xludf.DUMMYFUNCTION("IF(SUM(COUNTIF(artists!A:A, SPLIT(D33, "",""))) &gt; 0, ""UA"", 0)"),"UA")</f>
        <v>UA</v>
      </c>
      <c r="J33" s="40">
        <f ca="1">IFERROR(__xludf.DUMMYFUNCTION("IF(SUM(COUNTIF(artists!C:C, SPLIT(D33, "",""))) &gt; 0, ""RU"", 0)"),0)</f>
        <v>0</v>
      </c>
      <c r="K33" s="39">
        <f ca="1">IFERROR(__xludf.DUMMYFUNCTION("IF(SUM(COUNTIF(artists!E:E, SPLIT(D33, "",""))) &gt; 0, ""OTHER"", 0)"),0)</f>
        <v>0</v>
      </c>
    </row>
    <row r="34" spans="1:11">
      <c r="A34" s="21">
        <v>33</v>
      </c>
      <c r="B34" s="21">
        <v>38</v>
      </c>
      <c r="C34" s="21" t="s">
        <v>198</v>
      </c>
      <c r="D34" s="21" t="s">
        <v>199</v>
      </c>
      <c r="E34" s="21">
        <v>21</v>
      </c>
      <c r="F34" s="21">
        <v>304000</v>
      </c>
      <c r="G34" s="21" t="s">
        <v>568</v>
      </c>
      <c r="H34" s="38" t="s">
        <v>201</v>
      </c>
      <c r="I34" s="39" t="str">
        <f ca="1">IFERROR(__xludf.DUMMYFUNCTION("IF(SUM(COUNTIF(artists!A:A, SPLIT(D34, "",""))) &gt; 0, ""UA"", 0)"),"UA")</f>
        <v>UA</v>
      </c>
      <c r="J34" s="40">
        <f ca="1">IFERROR(__xludf.DUMMYFUNCTION("IF(SUM(COUNTIF(artists!C:C, SPLIT(D34, "",""))) &gt; 0, ""RU"", 0)"),0)</f>
        <v>0</v>
      </c>
      <c r="K34" s="39">
        <f ca="1">IFERROR(__xludf.DUMMYFUNCTION("IF(SUM(COUNTIF(artists!E:E, SPLIT(D34, "",""))) &gt; 0, ""OTHER"", 0)"),0)</f>
        <v>0</v>
      </c>
    </row>
    <row r="35" spans="1:11">
      <c r="A35" s="21">
        <v>34</v>
      </c>
      <c r="B35" s="21">
        <v>32</v>
      </c>
      <c r="C35" s="21" t="s">
        <v>190</v>
      </c>
      <c r="D35" s="21" t="s">
        <v>191</v>
      </c>
      <c r="E35" s="21">
        <v>15</v>
      </c>
      <c r="F35" s="21">
        <v>303979</v>
      </c>
      <c r="G35" s="21" t="s">
        <v>196</v>
      </c>
      <c r="H35" s="38" t="s">
        <v>193</v>
      </c>
      <c r="I35" s="39" t="str">
        <f ca="1">IFERROR(__xludf.DUMMYFUNCTION("IF(SUM(COUNTIF(artists!A:A, SPLIT(D35, "",""))) &gt; 0, ""UA"", 0)"),"UA")</f>
        <v>UA</v>
      </c>
      <c r="J35" s="40">
        <f ca="1">IFERROR(__xludf.DUMMYFUNCTION("IF(SUM(COUNTIF(artists!C:C, SPLIT(D35, "",""))) &gt; 0, ""RU"", 0)"),0)</f>
        <v>0</v>
      </c>
      <c r="K35" s="39">
        <f ca="1">IFERROR(__xludf.DUMMYFUNCTION("IF(SUM(COUNTIF(artists!E:E, SPLIT(D35, "",""))) &gt; 0, ""OTHER"", 0)"),0)</f>
        <v>0</v>
      </c>
    </row>
    <row r="36" spans="1:11">
      <c r="A36" s="21">
        <v>35</v>
      </c>
      <c r="B36" s="21">
        <v>35</v>
      </c>
      <c r="C36" s="21" t="s">
        <v>209</v>
      </c>
      <c r="D36" s="21" t="s">
        <v>210</v>
      </c>
      <c r="E36" s="21">
        <v>33</v>
      </c>
      <c r="F36" s="21">
        <v>299291</v>
      </c>
      <c r="G36" s="21" t="s">
        <v>572</v>
      </c>
      <c r="H36" s="38" t="s">
        <v>212</v>
      </c>
      <c r="I36" s="39" t="str">
        <f ca="1">IFERROR(__xludf.DUMMYFUNCTION("IF(SUM(COUNTIF(artists!A:A, SPLIT(D36, "",""))) &gt; 0, ""UA"", 0)"),"UA")</f>
        <v>UA</v>
      </c>
      <c r="J36" s="40">
        <f ca="1">IFERROR(__xludf.DUMMYFUNCTION("IF(SUM(COUNTIF(artists!C:C, SPLIT(D36, "",""))) &gt; 0, ""RU"", 0)"),0)</f>
        <v>0</v>
      </c>
      <c r="K36" s="39">
        <f ca="1">IFERROR(__xludf.DUMMYFUNCTION("IF(SUM(COUNTIF(artists!E:E, SPLIT(D36, "",""))) &gt; 0, ""OTHER"", 0)"),0)</f>
        <v>0</v>
      </c>
    </row>
    <row r="37" spans="1:11">
      <c r="A37" s="21">
        <v>36</v>
      </c>
      <c r="C37" s="21" t="s">
        <v>139</v>
      </c>
      <c r="D37" s="21" t="s">
        <v>140</v>
      </c>
      <c r="E37" s="21">
        <v>1</v>
      </c>
      <c r="F37" s="21">
        <v>296231</v>
      </c>
      <c r="H37" s="38" t="s">
        <v>141</v>
      </c>
      <c r="I37" s="39" t="str">
        <f ca="1">IFERROR(__xludf.DUMMYFUNCTION("IF(SUM(COUNTIF(artists!A:A, SPLIT(D37, "",""))) &gt; 0, ""UA"", 0)"),"UA")</f>
        <v>UA</v>
      </c>
      <c r="J37" s="40">
        <f ca="1">IFERROR(__xludf.DUMMYFUNCTION("IF(SUM(COUNTIF(artists!C:C, SPLIT(D37, "",""))) &gt; 0, ""RU"", 0)"),0)</f>
        <v>0</v>
      </c>
      <c r="K37" s="39">
        <f ca="1">IFERROR(__xludf.DUMMYFUNCTION("IF(SUM(COUNTIF(artists!E:E, SPLIT(D37, "",""))) &gt; 0, ""OTHER"", 0)"),0)</f>
        <v>0</v>
      </c>
    </row>
    <row r="38" spans="1:11">
      <c r="A38" s="21">
        <v>37</v>
      </c>
      <c r="B38" s="21">
        <v>39</v>
      </c>
      <c r="C38" s="21" t="s">
        <v>237</v>
      </c>
      <c r="D38" s="21" t="s">
        <v>238</v>
      </c>
      <c r="E38" s="21">
        <v>9</v>
      </c>
      <c r="F38" s="21">
        <v>291991</v>
      </c>
      <c r="G38" s="41">
        <v>0.06</v>
      </c>
      <c r="H38" s="38" t="s">
        <v>240</v>
      </c>
      <c r="I38" s="39" t="str">
        <f ca="1">IFERROR(__xludf.DUMMYFUNCTION("IF(SUM(COUNTIF(artists!A:A, SPLIT(D38, "",""))) &gt; 0, ""UA"", 0)"),"UA")</f>
        <v>UA</v>
      </c>
      <c r="J38" s="40">
        <f ca="1">IFERROR(__xludf.DUMMYFUNCTION("IF(SUM(COUNTIF(artists!C:C, SPLIT(D38, "",""))) &gt; 0, ""RU"", 0)"),0)</f>
        <v>0</v>
      </c>
      <c r="K38" s="39">
        <f ca="1">IFERROR(__xludf.DUMMYFUNCTION("IF(SUM(COUNTIF(artists!E:E, SPLIT(D38, "",""))) &gt; 0, ""OTHER"", 0)"),0)</f>
        <v>0</v>
      </c>
    </row>
    <row r="39" spans="1:11">
      <c r="A39" s="21">
        <v>38</v>
      </c>
      <c r="B39" s="21">
        <v>26</v>
      </c>
      <c r="C39" s="21" t="s">
        <v>186</v>
      </c>
      <c r="D39" s="21" t="s">
        <v>187</v>
      </c>
      <c r="E39" s="21">
        <v>44</v>
      </c>
      <c r="F39" s="21">
        <v>287150</v>
      </c>
      <c r="G39" s="21" t="s">
        <v>573</v>
      </c>
      <c r="H39" s="38" t="s">
        <v>189</v>
      </c>
      <c r="I39" s="39" t="str">
        <f ca="1">IFERROR(__xludf.DUMMYFUNCTION("IF(SUM(COUNTIF(artists!A:A, SPLIT(D39, "",""))) &gt; 0, ""UA"", 0)"),"UA")</f>
        <v>UA</v>
      </c>
      <c r="J39" s="40">
        <f ca="1">IFERROR(__xludf.DUMMYFUNCTION("IF(SUM(COUNTIF(artists!C:C, SPLIT(D39, "",""))) &gt; 0, ""RU"", 0)"),0)</f>
        <v>0</v>
      </c>
      <c r="K39" s="39">
        <f ca="1">IFERROR(__xludf.DUMMYFUNCTION("IF(SUM(COUNTIF(artists!E:E, SPLIT(D39, "",""))) &gt; 0, ""OTHER"", 0)"),0)</f>
        <v>0</v>
      </c>
    </row>
    <row r="40" spans="1:11">
      <c r="A40" s="21">
        <v>39</v>
      </c>
      <c r="B40" s="21">
        <v>28</v>
      </c>
      <c r="C40" s="21" t="s">
        <v>290</v>
      </c>
      <c r="D40" s="21" t="s">
        <v>291</v>
      </c>
      <c r="E40" s="21">
        <v>5</v>
      </c>
      <c r="F40" s="21">
        <v>266265</v>
      </c>
      <c r="G40" s="21" t="s">
        <v>574</v>
      </c>
      <c r="H40" s="38" t="s">
        <v>293</v>
      </c>
      <c r="I40" s="39" t="str">
        <f ca="1">IFERROR(__xludf.DUMMYFUNCTION("IF(SUM(COUNTIF(artists!A:A, SPLIT(D40, "",""))) &gt; 0, ""UA"", 0)"),"UA")</f>
        <v>UA</v>
      </c>
      <c r="J40" s="40">
        <f ca="1">IFERROR(__xludf.DUMMYFUNCTION("IF(SUM(COUNTIF(artists!C:C, SPLIT(D40, "",""))) &gt; 0, ""RU"", 0)"),0)</f>
        <v>0</v>
      </c>
      <c r="K40" s="39">
        <f ca="1">IFERROR(__xludf.DUMMYFUNCTION("IF(SUM(COUNTIF(artists!E:E, SPLIT(D40, "",""))) &gt; 0, ""OTHER"", 0)"),0)</f>
        <v>0</v>
      </c>
    </row>
    <row r="41" spans="1:11">
      <c r="A41" s="21">
        <v>40</v>
      </c>
      <c r="B41" s="21">
        <v>43</v>
      </c>
      <c r="C41" s="21" t="s">
        <v>229</v>
      </c>
      <c r="D41" s="21" t="s">
        <v>230</v>
      </c>
      <c r="E41" s="21">
        <v>47</v>
      </c>
      <c r="F41" s="21">
        <v>265507</v>
      </c>
      <c r="G41" s="21" t="s">
        <v>575</v>
      </c>
      <c r="H41" s="38" t="s">
        <v>232</v>
      </c>
      <c r="I41" s="39" t="str">
        <f ca="1">IFERROR(__xludf.DUMMYFUNCTION("IF(SUM(COUNTIF(artists!A:A, SPLIT(D41, "",""))) &gt; 0, ""UA"", 0)"),"UA")</f>
        <v>UA</v>
      </c>
      <c r="J41" s="40">
        <f ca="1">IFERROR(__xludf.DUMMYFUNCTION("IF(SUM(COUNTIF(artists!C:C, SPLIT(D41, "",""))) &gt; 0, ""RU"", 0)"),0)</f>
        <v>0</v>
      </c>
      <c r="K41" s="39">
        <f ca="1">IFERROR(__xludf.DUMMYFUNCTION("IF(SUM(COUNTIF(artists!E:E, SPLIT(D41, "",""))) &gt; 0, ""OTHER"", 0)"),0)</f>
        <v>0</v>
      </c>
    </row>
    <row r="42" spans="1:11">
      <c r="A42" s="21">
        <v>41</v>
      </c>
      <c r="B42" s="21">
        <v>59</v>
      </c>
      <c r="C42" s="21" t="s">
        <v>213</v>
      </c>
      <c r="D42" s="21" t="s">
        <v>214</v>
      </c>
      <c r="E42" s="21">
        <v>2</v>
      </c>
      <c r="F42" s="21">
        <v>263809</v>
      </c>
      <c r="G42" s="21" t="s">
        <v>576</v>
      </c>
      <c r="H42" s="38" t="s">
        <v>216</v>
      </c>
      <c r="I42" s="39" t="str">
        <f ca="1">IFERROR(__xludf.DUMMYFUNCTION("IF(SUM(COUNTIF(artists!A:A, SPLIT(D42, "",""))) &gt; 0, ""UA"", 0)"),"UA")</f>
        <v>UA</v>
      </c>
      <c r="J42" s="40">
        <f ca="1">IFERROR(__xludf.DUMMYFUNCTION("IF(SUM(COUNTIF(artists!C:C, SPLIT(D42, "",""))) &gt; 0, ""RU"", 0)"),0)</f>
        <v>0</v>
      </c>
      <c r="K42" s="39">
        <f ca="1">IFERROR(__xludf.DUMMYFUNCTION("IF(SUM(COUNTIF(artists!E:E, SPLIT(D42, "",""))) &gt; 0, ""OTHER"", 0)"),0)</f>
        <v>0</v>
      </c>
    </row>
    <row r="43" spans="1:11">
      <c r="A43" s="21">
        <v>42</v>
      </c>
      <c r="B43" s="21">
        <v>46</v>
      </c>
      <c r="C43" s="21" t="s">
        <v>456</v>
      </c>
      <c r="D43" s="21" t="s">
        <v>457</v>
      </c>
      <c r="E43" s="21">
        <v>20</v>
      </c>
      <c r="F43" s="21">
        <v>258832</v>
      </c>
      <c r="G43" s="21" t="s">
        <v>577</v>
      </c>
      <c r="H43" s="38" t="s">
        <v>459</v>
      </c>
      <c r="I43" s="39">
        <f ca="1">IFERROR(__xludf.DUMMYFUNCTION("IF(SUM(COUNTIF(artists!A:A, SPLIT(D43, "",""))) &gt; 0, ""UA"", 0)"),0)</f>
        <v>0</v>
      </c>
      <c r="J43" s="40">
        <f ca="1">IFERROR(__xludf.DUMMYFUNCTION("IF(SUM(COUNTIF(artists!C:C, SPLIT(D43, "",""))) &gt; 0, ""RU"", 0)"),0)</f>
        <v>0</v>
      </c>
      <c r="K43" s="39" t="str">
        <f ca="1">IFERROR(__xludf.DUMMYFUNCTION("IF(SUM(COUNTIF(artists!E:E, SPLIT(D43, "",""))) &gt; 0, ""OTHER"", 0)"),"OTHER")</f>
        <v>OTHER</v>
      </c>
    </row>
    <row r="44" spans="1:11">
      <c r="A44" s="21">
        <v>43</v>
      </c>
      <c r="B44" s="21">
        <v>36</v>
      </c>
      <c r="C44" s="21" t="s">
        <v>268</v>
      </c>
      <c r="D44" s="21" t="s">
        <v>466</v>
      </c>
      <c r="E44" s="21">
        <v>13</v>
      </c>
      <c r="F44" s="21">
        <v>250237</v>
      </c>
      <c r="G44" s="21" t="s">
        <v>578</v>
      </c>
      <c r="H44" s="38" t="s">
        <v>270</v>
      </c>
      <c r="I44" s="39" t="str">
        <f ca="1">IFERROR(__xludf.DUMMYFUNCTION("IF(SUM(COUNTIF(artists!A:A, SPLIT(D44, "",""))) &gt; 0, ""UA"", 0)"),"UA")</f>
        <v>UA</v>
      </c>
      <c r="J44" s="40">
        <f ca="1">IFERROR(__xludf.DUMMYFUNCTION("IF(SUM(COUNTIF(artists!C:C, SPLIT(D44, "",""))) &gt; 0, ""RU"", 0)"),0)</f>
        <v>0</v>
      </c>
      <c r="K44" s="39">
        <f ca="1">IFERROR(__xludf.DUMMYFUNCTION("IF(SUM(COUNTIF(artists!E:E, SPLIT(D44, "",""))) &gt; 0, ""OTHER"", 0)"),0)</f>
        <v>0</v>
      </c>
    </row>
    <row r="45" spans="1:11">
      <c r="A45" s="21">
        <v>44</v>
      </c>
      <c r="B45" s="21">
        <v>40</v>
      </c>
      <c r="C45" s="21" t="s">
        <v>462</v>
      </c>
      <c r="D45" s="21" t="s">
        <v>463</v>
      </c>
      <c r="E45" s="21">
        <v>25</v>
      </c>
      <c r="F45" s="21">
        <v>245659</v>
      </c>
      <c r="G45" s="21" t="s">
        <v>557</v>
      </c>
      <c r="H45" s="38" t="s">
        <v>465</v>
      </c>
      <c r="I45" s="39" t="str">
        <f ca="1">IFERROR(__xludf.DUMMYFUNCTION("IF(SUM(COUNTIF(artists!A:A, SPLIT(D45, "",""))) &gt; 0, ""UA"", 0)"),"UA")</f>
        <v>UA</v>
      </c>
      <c r="J45" s="40">
        <f ca="1">IFERROR(__xludf.DUMMYFUNCTION("IF(SUM(COUNTIF(artists!C:C, SPLIT(D45, "",""))) &gt; 0, ""RU"", 0)"),0)</f>
        <v>0</v>
      </c>
      <c r="K45" s="39">
        <f ca="1">IFERROR(__xludf.DUMMYFUNCTION("IF(SUM(COUNTIF(artists!E:E, SPLIT(D45, "",""))) &gt; 0, ""OTHER"", 0)"),0)</f>
        <v>0</v>
      </c>
    </row>
    <row r="46" spans="1:11">
      <c r="A46" s="21">
        <v>45</v>
      </c>
      <c r="C46" s="21" t="s">
        <v>579</v>
      </c>
      <c r="D46" s="21" t="s">
        <v>183</v>
      </c>
      <c r="E46" s="21">
        <v>25</v>
      </c>
      <c r="F46" s="21">
        <v>242932</v>
      </c>
      <c r="H46" s="38" t="s">
        <v>580</v>
      </c>
      <c r="I46" s="39" t="str">
        <f ca="1">IFERROR(__xludf.DUMMYFUNCTION("IF(SUM(COUNTIF(artists!A:A, SPLIT(D46, "",""))) &gt; 0, ""UA"", 0)"),"UA")</f>
        <v>UA</v>
      </c>
      <c r="J46" s="40">
        <f ca="1">IFERROR(__xludf.DUMMYFUNCTION("IF(SUM(COUNTIF(artists!C:C, SPLIT(D46, "",""))) &gt; 0, ""RU"", 0)"),0)</f>
        <v>0</v>
      </c>
      <c r="K46" s="39">
        <f ca="1">IFERROR(__xludf.DUMMYFUNCTION("IF(SUM(COUNTIF(artists!E:E, SPLIT(D46, "",""))) &gt; 0, ""OTHER"", 0)"),0)</f>
        <v>0</v>
      </c>
    </row>
    <row r="47" spans="1:11">
      <c r="A47" s="21">
        <v>46</v>
      </c>
      <c r="B47" s="21">
        <v>42</v>
      </c>
      <c r="C47" s="21" t="s">
        <v>251</v>
      </c>
      <c r="D47" s="21" t="s">
        <v>133</v>
      </c>
      <c r="E47" s="21">
        <v>25</v>
      </c>
      <c r="F47" s="21">
        <v>234217</v>
      </c>
      <c r="G47" s="41">
        <v>-0.04</v>
      </c>
      <c r="H47" s="38" t="s">
        <v>252</v>
      </c>
      <c r="I47" s="39" t="str">
        <f ca="1">IFERROR(__xludf.DUMMYFUNCTION("IF(SUM(COUNTIF(artists!A:A, SPLIT(D47, "",""))) &gt; 0, ""UA"", 0)"),"UA")</f>
        <v>UA</v>
      </c>
      <c r="J47" s="40">
        <f ca="1">IFERROR(__xludf.DUMMYFUNCTION("IF(SUM(COUNTIF(artists!C:C, SPLIT(D47, "",""))) &gt; 0, ""RU"", 0)"),0)</f>
        <v>0</v>
      </c>
      <c r="K47" s="39">
        <f ca="1">IFERROR(__xludf.DUMMYFUNCTION("IF(SUM(COUNTIF(artists!E:E, SPLIT(D47, "",""))) &gt; 0, ""OTHER"", 0)"),0)</f>
        <v>0</v>
      </c>
    </row>
    <row r="48" spans="1:11">
      <c r="A48" s="21">
        <v>47</v>
      </c>
      <c r="B48" s="21">
        <v>44</v>
      </c>
      <c r="C48" s="21" t="s">
        <v>286</v>
      </c>
      <c r="D48" s="21" t="s">
        <v>287</v>
      </c>
      <c r="E48" s="21">
        <v>15</v>
      </c>
      <c r="F48" s="21">
        <v>230116</v>
      </c>
      <c r="G48" s="21" t="s">
        <v>581</v>
      </c>
      <c r="H48" s="38" t="s">
        <v>289</v>
      </c>
      <c r="I48" s="39">
        <f ca="1">IFERROR(__xludf.DUMMYFUNCTION("IF(SUM(COUNTIF(artists!A:A, SPLIT(D48, "",""))) &gt; 0, ""UA"", 0)"),0)</f>
        <v>0</v>
      </c>
      <c r="J48" s="40" t="str">
        <f ca="1">IFERROR(__xludf.DUMMYFUNCTION("IF(SUM(COUNTIF(artists!C:C, SPLIT(D48, "",""))) &gt; 0, ""RU"", 0)"),"RU")</f>
        <v>RU</v>
      </c>
      <c r="K48" s="39">
        <f ca="1">IFERROR(__xludf.DUMMYFUNCTION("IF(SUM(COUNTIF(artists!E:E, SPLIT(D48, "",""))) &gt; 0, ""OTHER"", 0)"),0)</f>
        <v>0</v>
      </c>
    </row>
    <row r="49" spans="1:11">
      <c r="A49" s="21">
        <v>48</v>
      </c>
      <c r="B49" s="21">
        <v>47</v>
      </c>
      <c r="C49" s="21" t="s">
        <v>261</v>
      </c>
      <c r="D49" s="21" t="s">
        <v>262</v>
      </c>
      <c r="E49" s="21">
        <v>10</v>
      </c>
      <c r="F49" s="21">
        <v>227643</v>
      </c>
      <c r="G49" s="21" t="s">
        <v>245</v>
      </c>
      <c r="H49" s="38" t="s">
        <v>263</v>
      </c>
      <c r="I49" s="39" t="str">
        <f ca="1">IFERROR(__xludf.DUMMYFUNCTION("IF(SUM(COUNTIF(artists!A:A, SPLIT(D49, "",""))) &gt; 0, ""UA"", 0)"),"UA")</f>
        <v>UA</v>
      </c>
      <c r="J49" s="40">
        <f ca="1">IFERROR(__xludf.DUMMYFUNCTION("IF(SUM(COUNTIF(artists!C:C, SPLIT(D49, "",""))) &gt; 0, ""RU"", 0)"),0)</f>
        <v>0</v>
      </c>
      <c r="K49" s="39">
        <f ca="1">IFERROR(__xludf.DUMMYFUNCTION("IF(SUM(COUNTIF(artists!E:E, SPLIT(D49, "",""))) &gt; 0, ""OTHER"", 0)"),0)</f>
        <v>0</v>
      </c>
    </row>
    <row r="50" spans="1:11">
      <c r="A50" s="21">
        <v>49</v>
      </c>
      <c r="B50" s="21">
        <v>50</v>
      </c>
      <c r="C50" s="21" t="s">
        <v>244</v>
      </c>
      <c r="D50" s="21" t="s">
        <v>161</v>
      </c>
      <c r="E50" s="21">
        <v>9</v>
      </c>
      <c r="F50" s="21">
        <v>223029</v>
      </c>
      <c r="G50" s="21" t="s">
        <v>464</v>
      </c>
      <c r="H50" s="38" t="s">
        <v>246</v>
      </c>
      <c r="I50" s="39" t="str">
        <f ca="1">IFERROR(__xludf.DUMMYFUNCTION("IF(SUM(COUNTIF(artists!A:A, SPLIT(D50, "",""))) &gt; 0, ""UA"", 0)"),"UA")</f>
        <v>UA</v>
      </c>
      <c r="J50" s="40">
        <f ca="1">IFERROR(__xludf.DUMMYFUNCTION("IF(SUM(COUNTIF(artists!C:C, SPLIT(D50, "",""))) &gt; 0, ""RU"", 0)"),0)</f>
        <v>0</v>
      </c>
      <c r="K50" s="39">
        <f ca="1">IFERROR(__xludf.DUMMYFUNCTION("IF(SUM(COUNTIF(artists!E:E, SPLIT(D50, "",""))) &gt; 0, ""OTHER"", 0)"),0)</f>
        <v>0</v>
      </c>
    </row>
    <row r="51" spans="1:11">
      <c r="A51" s="21">
        <v>50</v>
      </c>
      <c r="B51" s="21">
        <v>48</v>
      </c>
      <c r="C51" s="21" t="s">
        <v>264</v>
      </c>
      <c r="D51" s="21" t="s">
        <v>265</v>
      </c>
      <c r="E51" s="21">
        <v>18</v>
      </c>
      <c r="F51" s="21">
        <v>221078</v>
      </c>
      <c r="G51" s="21" t="s">
        <v>582</v>
      </c>
      <c r="H51" s="38" t="s">
        <v>267</v>
      </c>
      <c r="I51" s="39">
        <f ca="1">IFERROR(__xludf.DUMMYFUNCTION("IF(SUM(COUNTIF(artists!A:A, SPLIT(D51, "",""))) &gt; 0, ""UA"", 0)"),0)</f>
        <v>0</v>
      </c>
      <c r="J51" s="40">
        <f ca="1">IFERROR(__xludf.DUMMYFUNCTION("IF(SUM(COUNTIF(artists!C:C, SPLIT(D51, "",""))) &gt; 0, ""RU"", 0)"),0)</f>
        <v>0</v>
      </c>
      <c r="K51" s="39" t="str">
        <f ca="1">IFERROR(__xludf.DUMMYFUNCTION("IF(SUM(COUNTIF(artists!E:E, SPLIT(D51, "",""))) &gt; 0, ""OTHER"", 0)"),"OTHER")</f>
        <v>OTHER</v>
      </c>
    </row>
    <row r="52" spans="1:11">
      <c r="A52" s="21">
        <v>51</v>
      </c>
      <c r="B52" s="21">
        <v>49</v>
      </c>
      <c r="C52" s="21" t="s">
        <v>294</v>
      </c>
      <c r="D52" s="21" t="s">
        <v>295</v>
      </c>
      <c r="E52" s="21">
        <v>12</v>
      </c>
      <c r="F52" s="21">
        <v>218577</v>
      </c>
      <c r="G52" s="21" t="s">
        <v>211</v>
      </c>
      <c r="H52" s="38" t="s">
        <v>297</v>
      </c>
      <c r="I52" s="39">
        <f ca="1">IFERROR(__xludf.DUMMYFUNCTION("IF(SUM(COUNTIF(artists!A:A, SPLIT(D52, "",""))) &gt; 0, ""UA"", 0)"),0)</f>
        <v>0</v>
      </c>
      <c r="J52" s="40" t="str">
        <f ca="1">IFERROR(__xludf.DUMMYFUNCTION("IF(SUM(COUNTIF(artists!C:C, SPLIT(D52, "",""))) &gt; 0, ""RU"", 0)"),"RU")</f>
        <v>RU</v>
      </c>
      <c r="K52" s="39">
        <f ca="1">IFERROR(__xludf.DUMMYFUNCTION("IF(SUM(COUNTIF(artists!E:E, SPLIT(D52, "",""))) &gt; 0, ""OTHER"", 0)"),0)</f>
        <v>0</v>
      </c>
    </row>
    <row r="53" spans="1:11">
      <c r="A53" s="21">
        <v>52</v>
      </c>
      <c r="C53" s="21" t="s">
        <v>470</v>
      </c>
      <c r="D53" s="21" t="s">
        <v>81</v>
      </c>
      <c r="E53" s="21">
        <v>24</v>
      </c>
      <c r="F53" s="21">
        <v>216850</v>
      </c>
      <c r="H53" s="38" t="s">
        <v>472</v>
      </c>
      <c r="I53" s="39" t="str">
        <f ca="1">IFERROR(__xludf.DUMMYFUNCTION("IF(SUM(COUNTIF(artists!A:A, SPLIT(D53, "",""))) &gt; 0, ""UA"", 0)"),"UA")</f>
        <v>UA</v>
      </c>
      <c r="J53" s="40">
        <f ca="1">IFERROR(__xludf.DUMMYFUNCTION("IF(SUM(COUNTIF(artists!C:C, SPLIT(D53, "",""))) &gt; 0, ""RU"", 0)"),0)</f>
        <v>0</v>
      </c>
      <c r="K53" s="39">
        <f ca="1">IFERROR(__xludf.DUMMYFUNCTION("IF(SUM(COUNTIF(artists!E:E, SPLIT(D53, "",""))) &gt; 0, ""OTHER"", 0)"),0)</f>
        <v>0</v>
      </c>
    </row>
    <row r="54" spans="1:11">
      <c r="A54" s="21">
        <v>53</v>
      </c>
      <c r="B54" s="21">
        <v>63</v>
      </c>
      <c r="C54" s="21" t="s">
        <v>233</v>
      </c>
      <c r="D54" s="21" t="s">
        <v>234</v>
      </c>
      <c r="E54" s="21">
        <v>4</v>
      </c>
      <c r="F54" s="21">
        <v>215144</v>
      </c>
      <c r="G54" s="41">
        <v>0.33</v>
      </c>
      <c r="H54" s="38" t="s">
        <v>236</v>
      </c>
      <c r="I54" s="39">
        <f ca="1">IFERROR(__xludf.DUMMYFUNCTION("IF(SUM(COUNTIF(artists!A:A, SPLIT(D54, "",""))) &gt; 0, ""UA"", 0)"),0)</f>
        <v>0</v>
      </c>
      <c r="J54" s="40">
        <f ca="1">IFERROR(__xludf.DUMMYFUNCTION("IF(SUM(COUNTIF(artists!C:C, SPLIT(D54, "",""))) &gt; 0, ""RU"", 0)"),0)</f>
        <v>0</v>
      </c>
      <c r="K54" s="39" t="str">
        <f ca="1">IFERROR(__xludf.DUMMYFUNCTION("IF(SUM(COUNTIF(artists!E:E, SPLIT(D54, "",""))) &gt; 0, ""OTHER"", 0)"),"OTHER")</f>
        <v>OTHER</v>
      </c>
    </row>
    <row r="55" spans="1:11">
      <c r="A55" s="21">
        <v>54</v>
      </c>
      <c r="C55" s="21" t="s">
        <v>583</v>
      </c>
      <c r="D55" s="21" t="s">
        <v>584</v>
      </c>
      <c r="E55" s="21">
        <v>1</v>
      </c>
      <c r="F55" s="21">
        <v>213964</v>
      </c>
      <c r="H55" s="38" t="s">
        <v>585</v>
      </c>
      <c r="I55" s="39">
        <f ca="1">IFERROR(__xludf.DUMMYFUNCTION("IF(SUM(COUNTIF(artists!A:A, SPLIT(D55, "",""))) &gt; 0, ""UA"", 0)"),0)</f>
        <v>0</v>
      </c>
      <c r="J55" s="40" t="str">
        <f ca="1">IFERROR(__xludf.DUMMYFUNCTION("IF(SUM(COUNTIF(artists!C:C, SPLIT(D55, "",""))) &gt; 0, ""RU"", 0)"),"RU")</f>
        <v>RU</v>
      </c>
      <c r="K55" s="39">
        <f ca="1">IFERROR(__xludf.DUMMYFUNCTION("IF(SUM(COUNTIF(artists!E:E, SPLIT(D55, "",""))) &gt; 0, ""OTHER"", 0)"),0)</f>
        <v>0</v>
      </c>
    </row>
    <row r="56" spans="1:11">
      <c r="A56" s="21">
        <v>55</v>
      </c>
      <c r="C56" s="21" t="s">
        <v>362</v>
      </c>
      <c r="D56" s="21" t="s">
        <v>165</v>
      </c>
      <c r="E56" s="21">
        <v>1</v>
      </c>
      <c r="F56" s="21">
        <v>211014</v>
      </c>
      <c r="H56" s="38" t="s">
        <v>363</v>
      </c>
      <c r="I56" s="39" t="str">
        <f ca="1">IFERROR(__xludf.DUMMYFUNCTION("IF(SUM(COUNTIF(artists!A:A, SPLIT(D56, "",""))) &gt; 0, ""UA"", 0)"),"UA")</f>
        <v>UA</v>
      </c>
      <c r="J56" s="40">
        <f ca="1">IFERROR(__xludf.DUMMYFUNCTION("IF(SUM(COUNTIF(artists!C:C, SPLIT(D56, "",""))) &gt; 0, ""RU"", 0)"),0)</f>
        <v>0</v>
      </c>
      <c r="K56" s="39">
        <f ca="1">IFERROR(__xludf.DUMMYFUNCTION("IF(SUM(COUNTIF(artists!E:E, SPLIT(D56, "",""))) &gt; 0, ""OTHER"", 0)"),0)</f>
        <v>0</v>
      </c>
    </row>
    <row r="57" spans="1:11">
      <c r="A57" s="21">
        <v>56</v>
      </c>
      <c r="C57" s="21" t="s">
        <v>118</v>
      </c>
      <c r="D57" s="21" t="s">
        <v>586</v>
      </c>
      <c r="E57" s="21">
        <v>28</v>
      </c>
      <c r="F57" s="21">
        <v>210772</v>
      </c>
      <c r="H57" s="38" t="s">
        <v>587</v>
      </c>
      <c r="I57" s="39" t="str">
        <f ca="1">IFERROR(__xludf.DUMMYFUNCTION("IF(SUM(COUNTIF(artists!A:A, SPLIT(D57, "",""))) &gt; 0, ""UA"", 0)"),"UA")</f>
        <v>UA</v>
      </c>
      <c r="J57" s="40">
        <f ca="1">IFERROR(__xludf.DUMMYFUNCTION("IF(SUM(COUNTIF(artists!C:C, SPLIT(D57, "",""))) &gt; 0, ""RU"", 0)"),0)</f>
        <v>0</v>
      </c>
      <c r="K57" s="39">
        <f ca="1">IFERROR(__xludf.DUMMYFUNCTION("IF(SUM(COUNTIF(artists!E:E, SPLIT(D57, "",""))) &gt; 0, ""OTHER"", 0)"),0)</f>
        <v>0</v>
      </c>
    </row>
    <row r="58" spans="1:11">
      <c r="A58" s="21">
        <v>57</v>
      </c>
      <c r="B58" s="21">
        <v>52</v>
      </c>
      <c r="C58" s="21" t="s">
        <v>298</v>
      </c>
      <c r="D58" s="21" t="s">
        <v>299</v>
      </c>
      <c r="E58" s="21">
        <v>17</v>
      </c>
      <c r="F58" s="21">
        <v>209952</v>
      </c>
      <c r="G58" s="21" t="s">
        <v>588</v>
      </c>
      <c r="H58" s="38" t="s">
        <v>300</v>
      </c>
      <c r="I58" s="39">
        <f ca="1">IFERROR(__xludf.DUMMYFUNCTION("IF(SUM(COUNTIF(artists!A:A, SPLIT(D58, "",""))) &gt; 0, ""UA"", 0)"),0)</f>
        <v>0</v>
      </c>
      <c r="J58" s="40">
        <f ca="1">IFERROR(__xludf.DUMMYFUNCTION("IF(SUM(COUNTIF(artists!C:C, SPLIT(D58, "",""))) &gt; 0, ""RU"", 0)"),0)</f>
        <v>0</v>
      </c>
      <c r="K58" s="39" t="str">
        <f ca="1">IFERROR(__xludf.DUMMYFUNCTION("IF(SUM(COUNTIF(artists!E:E, SPLIT(D58, "",""))) &gt; 0, ""OTHER"", 0)"),"OTHER")</f>
        <v>OTHER</v>
      </c>
    </row>
    <row r="59" spans="1:11">
      <c r="A59" s="21">
        <v>58</v>
      </c>
      <c r="C59" s="21" t="s">
        <v>589</v>
      </c>
      <c r="D59" s="21" t="s">
        <v>590</v>
      </c>
      <c r="E59" s="21">
        <v>24</v>
      </c>
      <c r="F59" s="21">
        <v>209415</v>
      </c>
      <c r="H59" s="38" t="s">
        <v>591</v>
      </c>
      <c r="I59" s="39" t="str">
        <f ca="1">IFERROR(__xludf.DUMMYFUNCTION("IF(SUM(COUNTIF(artists!A:A, SPLIT(D59, "",""))) &gt; 0, ""UA"", 0)"),"UA")</f>
        <v>UA</v>
      </c>
      <c r="J59" s="40">
        <f ca="1">IFERROR(__xludf.DUMMYFUNCTION("IF(SUM(COUNTIF(artists!C:C, SPLIT(D59, "",""))) &gt; 0, ""RU"", 0)"),0)</f>
        <v>0</v>
      </c>
      <c r="K59" s="39">
        <f ca="1">IFERROR(__xludf.DUMMYFUNCTION("IF(SUM(COUNTIF(artists!E:E, SPLIT(D59, "",""))) &gt; 0, ""OTHER"", 0)"),0)</f>
        <v>0</v>
      </c>
    </row>
    <row r="60" spans="1:11">
      <c r="A60" s="21">
        <v>59</v>
      </c>
      <c r="B60" s="21">
        <v>56</v>
      </c>
      <c r="C60" s="21" t="s">
        <v>258</v>
      </c>
      <c r="D60" s="21" t="s">
        <v>259</v>
      </c>
      <c r="E60" s="21">
        <v>7</v>
      </c>
      <c r="F60" s="21">
        <v>204388</v>
      </c>
      <c r="G60" s="21" t="s">
        <v>560</v>
      </c>
      <c r="H60" s="38" t="s">
        <v>260</v>
      </c>
      <c r="I60" s="39" t="str">
        <f ca="1">IFERROR(__xludf.DUMMYFUNCTION("IF(SUM(COUNTIF(artists!A:A, SPLIT(D60, "",""))) &gt; 0, ""UA"", 0)"),"UA")</f>
        <v>UA</v>
      </c>
      <c r="J60" s="40">
        <f ca="1">IFERROR(__xludf.DUMMYFUNCTION("IF(SUM(COUNTIF(artists!C:C, SPLIT(D60, "",""))) &gt; 0, ""RU"", 0)"),0)</f>
        <v>0</v>
      </c>
      <c r="K60" s="39">
        <f ca="1">IFERROR(__xludf.DUMMYFUNCTION("IF(SUM(COUNTIF(artists!E:E, SPLIT(D60, "",""))) &gt; 0, ""OTHER"", 0)"),0)</f>
        <v>0</v>
      </c>
    </row>
    <row r="61" spans="1:11">
      <c r="A61" s="21">
        <v>60</v>
      </c>
      <c r="C61" s="21" t="s">
        <v>473</v>
      </c>
      <c r="D61" s="21" t="s">
        <v>474</v>
      </c>
      <c r="E61" s="21">
        <v>25</v>
      </c>
      <c r="F61" s="21">
        <v>202105</v>
      </c>
      <c r="H61" s="38" t="s">
        <v>476</v>
      </c>
      <c r="I61" s="39">
        <f ca="1">IFERROR(__xludf.DUMMYFUNCTION("IF(SUM(COUNTIF(artists!A:A, SPLIT(D61, "",""))) &gt; 0, ""UA"", 0)"),0)</f>
        <v>0</v>
      </c>
      <c r="J61" s="40">
        <f ca="1">IFERROR(__xludf.DUMMYFUNCTION("IF(SUM(COUNTIF(artists!C:C, SPLIT(D61, "",""))) &gt; 0, ""RU"", 0)"),0)</f>
        <v>0</v>
      </c>
      <c r="K61" s="39" t="str">
        <f ca="1">IFERROR(__xludf.DUMMYFUNCTION("IF(SUM(COUNTIF(artists!E:E, SPLIT(D61, "",""))) &gt; 0, ""OTHER"", 0)"),"OTHER")</f>
        <v>OTHER</v>
      </c>
    </row>
    <row r="62" spans="1:11">
      <c r="A62" s="21">
        <v>61</v>
      </c>
      <c r="B62" s="21">
        <v>51</v>
      </c>
      <c r="C62" s="21" t="s">
        <v>339</v>
      </c>
      <c r="D62" s="21" t="s">
        <v>340</v>
      </c>
      <c r="E62" s="21">
        <v>16</v>
      </c>
      <c r="F62" s="21">
        <v>198622</v>
      </c>
      <c r="G62" s="21" t="s">
        <v>592</v>
      </c>
      <c r="H62" s="38" t="s">
        <v>342</v>
      </c>
      <c r="I62" s="39" t="str">
        <f ca="1">IFERROR(__xludf.DUMMYFUNCTION("IF(SUM(COUNTIF(artists!A:A, SPLIT(D62, "",""))) &gt; 0, ""UA"", 0)"),"UA")</f>
        <v>UA</v>
      </c>
      <c r="J62" s="40">
        <f ca="1">IFERROR(__xludf.DUMMYFUNCTION("IF(SUM(COUNTIF(artists!C:C, SPLIT(D62, "",""))) &gt; 0, ""RU"", 0)"),0)</f>
        <v>0</v>
      </c>
      <c r="K62" s="39">
        <f ca="1">IFERROR(__xludf.DUMMYFUNCTION("IF(SUM(COUNTIF(artists!E:E, SPLIT(D62, "",""))) &gt; 0, ""OTHER"", 0)"),0)</f>
        <v>0</v>
      </c>
    </row>
    <row r="63" spans="1:11">
      <c r="A63" s="21">
        <v>62</v>
      </c>
      <c r="B63" s="21">
        <v>77</v>
      </c>
      <c r="C63" s="21" t="s">
        <v>225</v>
      </c>
      <c r="D63" s="21" t="s">
        <v>226</v>
      </c>
      <c r="E63" s="21">
        <v>2</v>
      </c>
      <c r="F63" s="21">
        <v>197242</v>
      </c>
      <c r="G63" s="21" t="s">
        <v>593</v>
      </c>
      <c r="H63" s="38" t="s">
        <v>228</v>
      </c>
      <c r="I63" s="39" t="str">
        <f ca="1">IFERROR(__xludf.DUMMYFUNCTION("IF(SUM(COUNTIF(artists!A:A, SPLIT(D63, "",""))) &gt; 0, ""UA"", 0)"),"UA")</f>
        <v>UA</v>
      </c>
      <c r="J63" s="40">
        <f ca="1">IFERROR(__xludf.DUMMYFUNCTION("IF(SUM(COUNTIF(artists!C:C, SPLIT(D63, "",""))) &gt; 0, ""RU"", 0)"),0)</f>
        <v>0</v>
      </c>
      <c r="K63" s="39">
        <f ca="1">IFERROR(__xludf.DUMMYFUNCTION("IF(SUM(COUNTIF(artists!E:E, SPLIT(D63, "",""))) &gt; 0, ""OTHER"", 0)"),0)</f>
        <v>0</v>
      </c>
    </row>
    <row r="64" spans="1:11">
      <c r="A64" s="21">
        <v>63</v>
      </c>
      <c r="C64" s="21" t="s">
        <v>594</v>
      </c>
      <c r="D64" s="21" t="s">
        <v>595</v>
      </c>
      <c r="E64" s="21">
        <v>23</v>
      </c>
      <c r="F64" s="21">
        <v>196832</v>
      </c>
      <c r="H64" s="38" t="s">
        <v>596</v>
      </c>
      <c r="I64" s="39" t="str">
        <f ca="1">IFERROR(__xludf.DUMMYFUNCTION("IF(SUM(COUNTIF(artists!A:A, SPLIT(D64, "",""))) &gt; 0, ""UA"", 0)"),"UA")</f>
        <v>UA</v>
      </c>
      <c r="J64" s="40">
        <f ca="1">IFERROR(__xludf.DUMMYFUNCTION("IF(SUM(COUNTIF(artists!C:C, SPLIT(D64, "",""))) &gt; 0, ""RU"", 0)"),0)</f>
        <v>0</v>
      </c>
      <c r="K64" s="39">
        <f ca="1">IFERROR(__xludf.DUMMYFUNCTION("IF(SUM(COUNTIF(artists!E:E, SPLIT(D64, "",""))) &gt; 0, ""OTHER"", 0)"),0)</f>
        <v>0</v>
      </c>
    </row>
    <row r="65" spans="1:11">
      <c r="A65" s="21">
        <v>64</v>
      </c>
      <c r="B65" s="21">
        <v>53</v>
      </c>
      <c r="C65" s="21" t="s">
        <v>351</v>
      </c>
      <c r="D65" s="21" t="s">
        <v>352</v>
      </c>
      <c r="E65" s="21">
        <v>16</v>
      </c>
      <c r="F65" s="21">
        <v>184667</v>
      </c>
      <c r="G65" s="21" t="s">
        <v>155</v>
      </c>
      <c r="H65" s="38" t="s">
        <v>354</v>
      </c>
      <c r="I65" s="39" t="str">
        <f ca="1">IFERROR(__xludf.DUMMYFUNCTION("IF(SUM(COUNTIF(artists!A:A, SPLIT(D65, "",""))) &gt; 0, ""UA"", 0)"),"UA")</f>
        <v>UA</v>
      </c>
      <c r="J65" s="40">
        <f ca="1">IFERROR(__xludf.DUMMYFUNCTION("IF(SUM(COUNTIF(artists!C:C, SPLIT(D65, "",""))) &gt; 0, ""RU"", 0)"),0)</f>
        <v>0</v>
      </c>
      <c r="K65" s="39">
        <f ca="1">IFERROR(__xludf.DUMMYFUNCTION("IF(SUM(COUNTIF(artists!E:E, SPLIT(D65, "",""))) &gt; 0, ""OTHER"", 0)"),0)</f>
        <v>0</v>
      </c>
    </row>
    <row r="66" spans="1:11">
      <c r="A66" s="21">
        <v>65</v>
      </c>
      <c r="C66" s="21" t="s">
        <v>284</v>
      </c>
      <c r="D66" s="21" t="s">
        <v>15</v>
      </c>
      <c r="E66" s="21">
        <v>23</v>
      </c>
      <c r="F66" s="21">
        <v>181500</v>
      </c>
      <c r="H66" s="38" t="s">
        <v>285</v>
      </c>
      <c r="I66" s="39">
        <f ca="1">IFERROR(__xludf.DUMMYFUNCTION("IF(SUM(COUNTIF(artists!A:A, SPLIT(D66, "",""))) &gt; 0, ""UA"", 0)"),0)</f>
        <v>0</v>
      </c>
      <c r="J66" s="40">
        <f ca="1">IFERROR(__xludf.DUMMYFUNCTION("IF(SUM(COUNTIF(artists!C:C, SPLIT(D66, "",""))) &gt; 0, ""RU"", 0)"),0)</f>
        <v>0</v>
      </c>
      <c r="K66" s="39" t="str">
        <f ca="1">IFERROR(__xludf.DUMMYFUNCTION("IF(SUM(COUNTIF(artists!E:E, SPLIT(D66, "",""))) &gt; 0, ""OTHER"", 0)"),"OTHER")</f>
        <v>OTHER</v>
      </c>
    </row>
    <row r="67" spans="1:11">
      <c r="A67" s="21">
        <v>66</v>
      </c>
      <c r="B67" s="21">
        <v>57</v>
      </c>
      <c r="C67" s="21" t="s">
        <v>482</v>
      </c>
      <c r="D67" s="21" t="s">
        <v>210</v>
      </c>
      <c r="E67" s="21">
        <v>19</v>
      </c>
      <c r="F67" s="21">
        <v>180822</v>
      </c>
      <c r="G67" s="41">
        <v>-0.01</v>
      </c>
      <c r="H67" s="38" t="s">
        <v>484</v>
      </c>
      <c r="I67" s="39" t="str">
        <f ca="1">IFERROR(__xludf.DUMMYFUNCTION("IF(SUM(COUNTIF(artists!A:A, SPLIT(D67, "",""))) &gt; 0, ""UA"", 0)"),"UA")</f>
        <v>UA</v>
      </c>
      <c r="J67" s="40">
        <f ca="1">IFERROR(__xludf.DUMMYFUNCTION("IF(SUM(COUNTIF(artists!C:C, SPLIT(D67, "",""))) &gt; 0, ""RU"", 0)"),0)</f>
        <v>0</v>
      </c>
      <c r="K67" s="39">
        <f ca="1">IFERROR(__xludf.DUMMYFUNCTION("IF(SUM(COUNTIF(artists!E:E, SPLIT(D67, "",""))) &gt; 0, ""OTHER"", 0)"),0)</f>
        <v>0</v>
      </c>
    </row>
    <row r="68" spans="1:11">
      <c r="A68" s="21">
        <v>67</v>
      </c>
      <c r="B68" s="21">
        <v>79</v>
      </c>
      <c r="C68" s="21" t="s">
        <v>597</v>
      </c>
      <c r="D68" s="21" t="s">
        <v>598</v>
      </c>
      <c r="E68" s="21">
        <v>24</v>
      </c>
      <c r="F68" s="21">
        <v>179455</v>
      </c>
      <c r="G68" s="21" t="s">
        <v>599</v>
      </c>
      <c r="H68" s="38" t="s">
        <v>600</v>
      </c>
      <c r="I68" s="39" t="str">
        <f ca="1">IFERROR(__xludf.DUMMYFUNCTION("IF(SUM(COUNTIF(artists!A:A, SPLIT(D68, "",""))) &gt; 0, ""UA"", 0)"),"UA")</f>
        <v>UA</v>
      </c>
      <c r="J68" s="40">
        <f ca="1">IFERROR(__xludf.DUMMYFUNCTION("IF(SUM(COUNTIF(artists!C:C, SPLIT(D68, "",""))) &gt; 0, ""RU"", 0)"),0)</f>
        <v>0</v>
      </c>
      <c r="K68" s="39">
        <f ca="1">IFERROR(__xludf.DUMMYFUNCTION("IF(SUM(COUNTIF(artists!E:E, SPLIT(D68, "",""))) &gt; 0, ""OTHER"", 0)"),0)</f>
        <v>0</v>
      </c>
    </row>
    <row r="69" spans="1:11">
      <c r="A69" s="21">
        <v>68</v>
      </c>
      <c r="B69" s="21">
        <v>61</v>
      </c>
      <c r="C69" s="21" t="s">
        <v>500</v>
      </c>
      <c r="D69" s="21" t="s">
        <v>501</v>
      </c>
      <c r="E69" s="21">
        <v>19</v>
      </c>
      <c r="F69" s="21">
        <v>178422</v>
      </c>
      <c r="G69" s="21" t="s">
        <v>601</v>
      </c>
      <c r="H69" s="38" t="s">
        <v>503</v>
      </c>
      <c r="I69" s="39">
        <f ca="1">IFERROR(__xludf.DUMMYFUNCTION("IF(SUM(COUNTIF(artists!A:A, SPLIT(D69, "",""))) &gt; 0, ""UA"", 0)"),0)</f>
        <v>0</v>
      </c>
      <c r="J69" s="40" t="str">
        <f ca="1">IFERROR(__xludf.DUMMYFUNCTION("IF(SUM(COUNTIF(artists!C:C, SPLIT(D69, "",""))) &gt; 0, ""RU"", 0)"),"RU")</f>
        <v>RU</v>
      </c>
      <c r="K69" s="39">
        <f ca="1">IFERROR(__xludf.DUMMYFUNCTION("IF(SUM(COUNTIF(artists!E:E, SPLIT(D69, "",""))) &gt; 0, ""OTHER"", 0)"),0)</f>
        <v>0</v>
      </c>
    </row>
    <row r="70" spans="1:11">
      <c r="A70" s="21">
        <v>69</v>
      </c>
      <c r="B70" s="21">
        <v>62</v>
      </c>
      <c r="C70" s="21" t="s">
        <v>332</v>
      </c>
      <c r="D70" s="21" t="s">
        <v>333</v>
      </c>
      <c r="E70" s="21">
        <v>2</v>
      </c>
      <c r="F70" s="21">
        <v>178204</v>
      </c>
      <c r="G70" s="41">
        <v>0.09</v>
      </c>
      <c r="H70" s="38" t="s">
        <v>335</v>
      </c>
      <c r="I70" s="39" t="str">
        <f ca="1">IFERROR(__xludf.DUMMYFUNCTION("IF(SUM(COUNTIF(artists!A:A, SPLIT(D70, "",""))) &gt; 0, ""UA"", 0)"),"UA")</f>
        <v>UA</v>
      </c>
      <c r="J70" s="40">
        <f ca="1">IFERROR(__xludf.DUMMYFUNCTION("IF(SUM(COUNTIF(artists!C:C, SPLIT(D70, "",""))) &gt; 0, ""RU"", 0)"),0)</f>
        <v>0</v>
      </c>
      <c r="K70" s="39">
        <f ca="1">IFERROR(__xludf.DUMMYFUNCTION("IF(SUM(COUNTIF(artists!E:E, SPLIT(D70, "",""))) &gt; 0, ""OTHER"", 0)"),0)</f>
        <v>0</v>
      </c>
    </row>
    <row r="71" spans="1:11">
      <c r="A71" s="21">
        <v>70</v>
      </c>
      <c r="B71" s="21">
        <v>67</v>
      </c>
      <c r="C71" s="21" t="s">
        <v>602</v>
      </c>
      <c r="D71" s="21" t="s">
        <v>299</v>
      </c>
      <c r="E71" s="21">
        <v>21</v>
      </c>
      <c r="F71" s="21">
        <v>175667</v>
      </c>
      <c r="G71" s="21" t="s">
        <v>603</v>
      </c>
      <c r="H71" s="38" t="s">
        <v>604</v>
      </c>
      <c r="I71" s="39">
        <f ca="1">IFERROR(__xludf.DUMMYFUNCTION("IF(SUM(COUNTIF(artists!A:A, SPLIT(D71, "",""))) &gt; 0, ""UA"", 0)"),0)</f>
        <v>0</v>
      </c>
      <c r="J71" s="40">
        <f ca="1">IFERROR(__xludf.DUMMYFUNCTION("IF(SUM(COUNTIF(artists!C:C, SPLIT(D71, "",""))) &gt; 0, ""RU"", 0)"),0)</f>
        <v>0</v>
      </c>
      <c r="K71" s="39" t="str">
        <f ca="1">IFERROR(__xludf.DUMMYFUNCTION("IF(SUM(COUNTIF(artists!E:E, SPLIT(D71, "",""))) &gt; 0, ""OTHER"", 0)"),"OTHER")</f>
        <v>OTHER</v>
      </c>
    </row>
    <row r="72" spans="1:11">
      <c r="A72" s="21">
        <v>71</v>
      </c>
      <c r="B72" s="21">
        <v>60</v>
      </c>
      <c r="C72" s="21" t="s">
        <v>324</v>
      </c>
      <c r="D72" s="21" t="s">
        <v>325</v>
      </c>
      <c r="E72" s="21">
        <v>10</v>
      </c>
      <c r="F72" s="21">
        <v>174126</v>
      </c>
      <c r="G72" s="21" t="s">
        <v>381</v>
      </c>
      <c r="H72" s="38" t="s">
        <v>327</v>
      </c>
      <c r="I72" s="39" t="str">
        <f ca="1">IFERROR(__xludf.DUMMYFUNCTION("IF(SUM(COUNTIF(artists!A:A, SPLIT(D72, "",""))) &gt; 0, ""UA"", 0)"),"UA")</f>
        <v>UA</v>
      </c>
      <c r="J72" s="40">
        <f ca="1">IFERROR(__xludf.DUMMYFUNCTION("IF(SUM(COUNTIF(artists!C:C, SPLIT(D72, "",""))) &gt; 0, ""RU"", 0)"),0)</f>
        <v>0</v>
      </c>
      <c r="K72" s="39">
        <f ca="1">IFERROR(__xludf.DUMMYFUNCTION("IF(SUM(COUNTIF(artists!E:E, SPLIT(D72, "",""))) &gt; 0, ""OTHER"", 0)"),0)</f>
        <v>0</v>
      </c>
    </row>
    <row r="73" spans="1:11">
      <c r="A73" s="21">
        <v>72</v>
      </c>
      <c r="B73" s="21">
        <v>69</v>
      </c>
      <c r="C73" s="21" t="s">
        <v>605</v>
      </c>
      <c r="D73" s="21" t="s">
        <v>299</v>
      </c>
      <c r="E73" s="21">
        <v>20</v>
      </c>
      <c r="F73" s="21">
        <v>173941</v>
      </c>
      <c r="G73" s="21" t="s">
        <v>606</v>
      </c>
      <c r="H73" s="38" t="s">
        <v>607</v>
      </c>
      <c r="I73" s="39">
        <f ca="1">IFERROR(__xludf.DUMMYFUNCTION("IF(SUM(COUNTIF(artists!A:A, SPLIT(D73, "",""))) &gt; 0, ""UA"", 0)"),0)</f>
        <v>0</v>
      </c>
      <c r="J73" s="40">
        <f ca="1">IFERROR(__xludf.DUMMYFUNCTION("IF(SUM(COUNTIF(artists!C:C, SPLIT(D73, "",""))) &gt; 0, ""RU"", 0)"),0)</f>
        <v>0</v>
      </c>
      <c r="K73" s="39" t="str">
        <f ca="1">IFERROR(__xludf.DUMMYFUNCTION("IF(SUM(COUNTIF(artists!E:E, SPLIT(D73, "",""))) &gt; 0, ""OTHER"", 0)"),"OTHER")</f>
        <v>OTHER</v>
      </c>
    </row>
    <row r="74" spans="1:11">
      <c r="A74" s="21">
        <v>73</v>
      </c>
      <c r="B74" s="21">
        <v>82</v>
      </c>
      <c r="C74" s="21" t="s">
        <v>497</v>
      </c>
      <c r="D74" s="21" t="s">
        <v>498</v>
      </c>
      <c r="E74" s="21">
        <v>20</v>
      </c>
      <c r="F74" s="21">
        <v>165461</v>
      </c>
      <c r="G74" s="21" t="s">
        <v>571</v>
      </c>
      <c r="H74" s="38" t="s">
        <v>499</v>
      </c>
      <c r="I74" s="39" t="str">
        <f ca="1">IFERROR(__xludf.DUMMYFUNCTION("IF(SUM(COUNTIF(artists!A:A, SPLIT(D74, "",""))) &gt; 0, ""UA"", 0)"),"UA")</f>
        <v>UA</v>
      </c>
      <c r="J74" s="40">
        <f ca="1">IFERROR(__xludf.DUMMYFUNCTION("IF(SUM(COUNTIF(artists!C:C, SPLIT(D74, "",""))) &gt; 0, ""RU"", 0)"),0)</f>
        <v>0</v>
      </c>
      <c r="K74" s="39">
        <f ca="1">IFERROR(__xludf.DUMMYFUNCTION("IF(SUM(COUNTIF(artists!E:E, SPLIT(D74, "",""))) &gt; 0, ""OTHER"", 0)"),0)</f>
        <v>0</v>
      </c>
    </row>
    <row r="75" spans="1:11">
      <c r="A75" s="21">
        <v>74</v>
      </c>
      <c r="B75" s="21">
        <v>68</v>
      </c>
      <c r="C75" s="21" t="s">
        <v>306</v>
      </c>
      <c r="D75" s="21" t="s">
        <v>307</v>
      </c>
      <c r="E75" s="21">
        <v>6</v>
      </c>
      <c r="F75" s="21">
        <v>163063</v>
      </c>
      <c r="G75" s="21" t="s">
        <v>608</v>
      </c>
      <c r="H75" s="38" t="s">
        <v>308</v>
      </c>
      <c r="I75" s="39">
        <f ca="1">IFERROR(__xludf.DUMMYFUNCTION("IF(SUM(COUNTIF(artists!A:A, SPLIT(D75, "",""))) &gt; 0, ""UA"", 0)"),0)</f>
        <v>0</v>
      </c>
      <c r="J75" s="40">
        <f ca="1">IFERROR(__xludf.DUMMYFUNCTION("IF(SUM(COUNTIF(artists!C:C, SPLIT(D75, "",""))) &gt; 0, ""RU"", 0)"),0)</f>
        <v>0</v>
      </c>
      <c r="K75" s="39" t="str">
        <f ca="1">IFERROR(__xludf.DUMMYFUNCTION("IF(SUM(COUNTIF(artists!E:E, SPLIT(D75, "",""))) &gt; 0, ""OTHER"", 0)"),"OTHER")</f>
        <v>OTHER</v>
      </c>
    </row>
    <row r="76" spans="1:11">
      <c r="A76" s="21">
        <v>75</v>
      </c>
      <c r="B76" s="21">
        <v>71</v>
      </c>
      <c r="C76" s="21" t="s">
        <v>402</v>
      </c>
      <c r="D76" s="21" t="s">
        <v>403</v>
      </c>
      <c r="E76" s="21">
        <v>12</v>
      </c>
      <c r="F76" s="21">
        <v>162000</v>
      </c>
      <c r="G76" s="21" t="s">
        <v>609</v>
      </c>
      <c r="H76" s="38" t="s">
        <v>404</v>
      </c>
      <c r="I76" s="39">
        <f ca="1">IFERROR(__xludf.DUMMYFUNCTION("IF(SUM(COUNTIF(artists!A:A, SPLIT(D76, "",""))) &gt; 0, ""UA"", 0)"),0)</f>
        <v>0</v>
      </c>
      <c r="J76" s="40">
        <f ca="1">IFERROR(__xludf.DUMMYFUNCTION("IF(SUM(COUNTIF(artists!C:C, SPLIT(D76, "",""))) &gt; 0, ""RU"", 0)"),0)</f>
        <v>0</v>
      </c>
      <c r="K76" s="39" t="str">
        <f ca="1">IFERROR(__xludf.DUMMYFUNCTION("IF(SUM(COUNTIF(artists!E:E, SPLIT(D76, "",""))) &gt; 0, ""OTHER"", 0)"),"OTHER")</f>
        <v>OTHER</v>
      </c>
    </row>
    <row r="77" spans="1:11">
      <c r="A77" s="21">
        <v>76</v>
      </c>
      <c r="B77" s="21">
        <v>70</v>
      </c>
      <c r="C77" s="21" t="s">
        <v>309</v>
      </c>
      <c r="D77" s="21" t="s">
        <v>310</v>
      </c>
      <c r="E77" s="21">
        <v>15</v>
      </c>
      <c r="F77" s="21">
        <v>161205</v>
      </c>
      <c r="G77" s="21" t="s">
        <v>469</v>
      </c>
      <c r="H77" s="38" t="s">
        <v>312</v>
      </c>
      <c r="I77" s="39">
        <f ca="1">IFERROR(__xludf.DUMMYFUNCTION("IF(SUM(COUNTIF(artists!A:A, SPLIT(D77, "",""))) &gt; 0, ""UA"", 0)"),0)</f>
        <v>0</v>
      </c>
      <c r="J77" s="40">
        <f ca="1">IFERROR(__xludf.DUMMYFUNCTION("IF(SUM(COUNTIF(artists!C:C, SPLIT(D77, "",""))) &gt; 0, ""RU"", 0)"),0)</f>
        <v>0</v>
      </c>
      <c r="K77" s="39" t="str">
        <f ca="1">IFERROR(__xludf.DUMMYFUNCTION("IF(SUM(COUNTIF(artists!E:E, SPLIT(D77, "",""))) &gt; 0, ""OTHER"", 0)"),"OTHER")</f>
        <v>OTHER</v>
      </c>
    </row>
    <row r="78" spans="1:11">
      <c r="A78" s="21">
        <v>77</v>
      </c>
      <c r="B78" s="21">
        <v>72</v>
      </c>
      <c r="C78" s="21" t="s">
        <v>373</v>
      </c>
      <c r="D78" s="21" t="s">
        <v>172</v>
      </c>
      <c r="E78" s="21">
        <v>16</v>
      </c>
      <c r="F78" s="21">
        <v>154462</v>
      </c>
      <c r="G78" s="21" t="s">
        <v>610</v>
      </c>
      <c r="H78" s="38" t="s">
        <v>375</v>
      </c>
      <c r="I78" s="39">
        <f ca="1">IFERROR(__xludf.DUMMYFUNCTION("IF(SUM(COUNTIF(artists!A:A, SPLIT(D78, "",""))) &gt; 0, ""UA"", 0)"),0)</f>
        <v>0</v>
      </c>
      <c r="J78" s="40" t="str">
        <f ca="1">IFERROR(__xludf.DUMMYFUNCTION("IF(SUM(COUNTIF(artists!C:C, SPLIT(D78, "",""))) &gt; 0, ""RU"", 0)"),"RU")</f>
        <v>RU</v>
      </c>
      <c r="K78" s="39">
        <f ca="1">IFERROR(__xludf.DUMMYFUNCTION("IF(SUM(COUNTIF(artists!E:E, SPLIT(D78, "",""))) &gt; 0, ""OTHER"", 0)"),0)</f>
        <v>0</v>
      </c>
    </row>
    <row r="79" spans="1:11">
      <c r="A79" s="21">
        <v>78</v>
      </c>
      <c r="B79" s="21">
        <v>65</v>
      </c>
      <c r="C79" s="21" t="s">
        <v>527</v>
      </c>
      <c r="D79" s="21" t="s">
        <v>528</v>
      </c>
      <c r="E79" s="21">
        <v>19</v>
      </c>
      <c r="F79" s="21">
        <v>151901</v>
      </c>
      <c r="G79" s="21" t="s">
        <v>611</v>
      </c>
      <c r="H79" s="38" t="s">
        <v>529</v>
      </c>
      <c r="I79" s="39" t="str">
        <f ca="1">IFERROR(__xludf.DUMMYFUNCTION("IF(SUM(COUNTIF(artists!A:A, SPLIT(D79, "",""))) &gt; 0, ""UA"", 0)"),"UA")</f>
        <v>UA</v>
      </c>
      <c r="J79" s="40">
        <f ca="1">IFERROR(__xludf.DUMMYFUNCTION("IF(SUM(COUNTIF(artists!C:C, SPLIT(D79, "",""))) &gt; 0, ""RU"", 0)"),0)</f>
        <v>0</v>
      </c>
      <c r="K79" s="39">
        <f ca="1">IFERROR(__xludf.DUMMYFUNCTION("IF(SUM(COUNTIF(artists!E:E, SPLIT(D79, "",""))) &gt; 0, ""OTHER"", 0)"),0)</f>
        <v>0</v>
      </c>
    </row>
    <row r="80" spans="1:11">
      <c r="A80" s="21">
        <v>79</v>
      </c>
      <c r="B80" s="21">
        <v>76</v>
      </c>
      <c r="C80" s="21" t="s">
        <v>545</v>
      </c>
      <c r="D80" s="21" t="s">
        <v>546</v>
      </c>
      <c r="E80" s="21">
        <v>13</v>
      </c>
      <c r="F80" s="21">
        <v>150701</v>
      </c>
      <c r="G80" s="21" t="s">
        <v>612</v>
      </c>
      <c r="H80" s="38" t="s">
        <v>548</v>
      </c>
      <c r="I80" s="39">
        <f ca="1">IFERROR(__xludf.DUMMYFUNCTION("IF(SUM(COUNTIF(artists!A:A, SPLIT(D80, "",""))) &gt; 0, ""UA"", 0)"),0)</f>
        <v>0</v>
      </c>
      <c r="J80" s="40" t="str">
        <f ca="1">IFERROR(__xludf.DUMMYFUNCTION("IF(SUM(COUNTIF(artists!C:C, SPLIT(D80, "",""))) &gt; 0, ""RU"", 0)"),"RU")</f>
        <v>RU</v>
      </c>
      <c r="K80" s="39">
        <f ca="1">IFERROR(__xludf.DUMMYFUNCTION("IF(SUM(COUNTIF(artists!E:E, SPLIT(D80, "",""))) &gt; 0, ""OTHER"", 0)"),0)</f>
        <v>0</v>
      </c>
    </row>
    <row r="81" spans="1:11">
      <c r="A81" s="21">
        <v>80</v>
      </c>
      <c r="C81" s="21" t="s">
        <v>613</v>
      </c>
      <c r="D81" s="21" t="s">
        <v>614</v>
      </c>
      <c r="E81" s="21">
        <v>22</v>
      </c>
      <c r="F81" s="21">
        <v>148986</v>
      </c>
      <c r="H81" s="38" t="s">
        <v>615</v>
      </c>
      <c r="I81" s="39">
        <f ca="1">IFERROR(__xludf.DUMMYFUNCTION("IF(SUM(COUNTIF(artists!A:A, SPLIT(D81, "",""))) &gt; 0, ""UA"", 0)"),0)</f>
        <v>0</v>
      </c>
      <c r="J81" s="40" t="str">
        <f ca="1">IFERROR(__xludf.DUMMYFUNCTION("IF(SUM(COUNTIF(artists!C:C, SPLIT(D81, "",""))) &gt; 0, ""RU"", 0)"),"RU")</f>
        <v>RU</v>
      </c>
      <c r="K81" s="39">
        <f ca="1">IFERROR(__xludf.DUMMYFUNCTION("IF(SUM(COUNTIF(artists!E:E, SPLIT(D81, "",""))) &gt; 0, ""OTHER"", 0)"),0)</f>
        <v>0</v>
      </c>
    </row>
    <row r="82" spans="1:11">
      <c r="A82" s="21">
        <v>81</v>
      </c>
      <c r="C82" s="21" t="s">
        <v>394</v>
      </c>
      <c r="D82" s="21" t="s">
        <v>395</v>
      </c>
      <c r="E82" s="21">
        <v>1</v>
      </c>
      <c r="F82" s="21">
        <v>148893</v>
      </c>
      <c r="H82" s="38" t="s">
        <v>397</v>
      </c>
      <c r="I82" s="39">
        <f ca="1">IFERROR(__xludf.DUMMYFUNCTION("IF(SUM(COUNTIF(artists!A:A, SPLIT(D82, "",""))) &gt; 0, ""UA"", 0)"),0)</f>
        <v>0</v>
      </c>
      <c r="J82" s="40" t="str">
        <f ca="1">IFERROR(__xludf.DUMMYFUNCTION("IF(SUM(COUNTIF(artists!C:C, SPLIT(D82, "",""))) &gt; 0, ""RU"", 0)"),"RU")</f>
        <v>RU</v>
      </c>
      <c r="K82" s="39">
        <f ca="1">IFERROR(__xludf.DUMMYFUNCTION("IF(SUM(COUNTIF(artists!E:E, SPLIT(D82, "",""))) &gt; 0, ""OTHER"", 0)"),0)</f>
        <v>0</v>
      </c>
    </row>
    <row r="83" spans="1:11">
      <c r="A83" s="21">
        <v>82</v>
      </c>
      <c r="C83" s="21" t="s">
        <v>616</v>
      </c>
      <c r="D83" s="21" t="s">
        <v>617</v>
      </c>
      <c r="E83" s="21">
        <v>21</v>
      </c>
      <c r="F83" s="21">
        <v>146332</v>
      </c>
      <c r="H83" s="38" t="s">
        <v>618</v>
      </c>
      <c r="I83" s="39">
        <f ca="1">IFERROR(__xludf.DUMMYFUNCTION("IF(SUM(COUNTIF(artists!A:A, SPLIT(D83, "",""))) &gt; 0, ""UA"", 0)"),0)</f>
        <v>0</v>
      </c>
      <c r="J83" s="40">
        <f ca="1">IFERROR(__xludf.DUMMYFUNCTION("IF(SUM(COUNTIF(artists!C:C, SPLIT(D83, "",""))) &gt; 0, ""RU"", 0)"),0)</f>
        <v>0</v>
      </c>
      <c r="K83" s="39" t="str">
        <f ca="1">IFERROR(__xludf.DUMMYFUNCTION("IF(SUM(COUNTIF(artists!E:E, SPLIT(D83, "",""))) &gt; 0, ""OTHER"", 0)"),"OTHER")</f>
        <v>OTHER</v>
      </c>
    </row>
    <row r="84" spans="1:11">
      <c r="A84" s="21">
        <v>83</v>
      </c>
      <c r="B84" s="21">
        <v>100</v>
      </c>
      <c r="C84" s="21" t="s">
        <v>316</v>
      </c>
      <c r="D84" s="21" t="s">
        <v>317</v>
      </c>
      <c r="E84" s="21">
        <v>14</v>
      </c>
      <c r="F84" s="21">
        <v>145682</v>
      </c>
      <c r="G84" s="21" t="s">
        <v>619</v>
      </c>
      <c r="H84" s="38" t="s">
        <v>319</v>
      </c>
      <c r="I84" s="39" t="str">
        <f ca="1">IFERROR(__xludf.DUMMYFUNCTION("IF(SUM(COUNTIF(artists!A:A, SPLIT(D84, "",""))) &gt; 0, ""UA"", 0)"),"UA")</f>
        <v>UA</v>
      </c>
      <c r="J84" s="40">
        <f ca="1">IFERROR(__xludf.DUMMYFUNCTION("IF(SUM(COUNTIF(artists!C:C, SPLIT(D84, "",""))) &gt; 0, ""RU"", 0)"),0)</f>
        <v>0</v>
      </c>
      <c r="K84" s="39">
        <f ca="1">IFERROR(__xludf.DUMMYFUNCTION("IF(SUM(COUNTIF(artists!E:E, SPLIT(D84, "",""))) &gt; 0, ""OTHER"", 0)"),0)</f>
        <v>0</v>
      </c>
    </row>
    <row r="85" spans="1:11">
      <c r="A85" s="21">
        <v>84</v>
      </c>
      <c r="C85" s="21" t="s">
        <v>343</v>
      </c>
      <c r="D85" s="21" t="s">
        <v>344</v>
      </c>
      <c r="E85" s="21">
        <v>11</v>
      </c>
      <c r="F85" s="21">
        <v>144443</v>
      </c>
      <c r="H85" s="38" t="s">
        <v>346</v>
      </c>
      <c r="I85" s="39" t="str">
        <f ca="1">IFERROR(__xludf.DUMMYFUNCTION("IF(SUM(COUNTIF(artists!A:A, SPLIT(D85, "",""))) &gt; 0, ""UA"", 0)"),"UA")</f>
        <v>UA</v>
      </c>
      <c r="J85" s="40">
        <f ca="1">IFERROR(__xludf.DUMMYFUNCTION("IF(SUM(COUNTIF(artists!C:C, SPLIT(D85, "",""))) &gt; 0, ""RU"", 0)"),0)</f>
        <v>0</v>
      </c>
      <c r="K85" s="39">
        <f ca="1">IFERROR(__xludf.DUMMYFUNCTION("IF(SUM(COUNTIF(artists!E:E, SPLIT(D85, "",""))) &gt; 0, ""OTHER"", 0)"),0)</f>
        <v>0</v>
      </c>
    </row>
    <row r="86" spans="1:11">
      <c r="A86" s="21">
        <v>85</v>
      </c>
      <c r="C86" s="21" t="s">
        <v>620</v>
      </c>
      <c r="D86" s="21" t="s">
        <v>487</v>
      </c>
      <c r="E86" s="21">
        <v>36</v>
      </c>
      <c r="F86" s="21">
        <v>144382</v>
      </c>
      <c r="H86" s="38" t="s">
        <v>621</v>
      </c>
      <c r="I86" s="39">
        <f ca="1">IFERROR(__xludf.DUMMYFUNCTION("IF(SUM(COUNTIF(artists!A:A, SPLIT(D86, "",""))) &gt; 0, ""UA"", 0)"),0)</f>
        <v>0</v>
      </c>
      <c r="J86" s="40">
        <f ca="1">IFERROR(__xludf.DUMMYFUNCTION("IF(SUM(COUNTIF(artists!C:C, SPLIT(D86, "",""))) &gt; 0, ""RU"", 0)"),0)</f>
        <v>0</v>
      </c>
      <c r="K86" s="39" t="str">
        <f ca="1">IFERROR(__xludf.DUMMYFUNCTION("IF(SUM(COUNTIF(artists!E:E, SPLIT(D86, "",""))) &gt; 0, ""OTHER"", 0)"),"OTHER")</f>
        <v>OTHER</v>
      </c>
    </row>
    <row r="87" spans="1:11">
      <c r="A87" s="21">
        <v>86</v>
      </c>
      <c r="B87" s="21">
        <v>74</v>
      </c>
      <c r="C87" s="21" t="s">
        <v>383</v>
      </c>
      <c r="D87" s="21" t="s">
        <v>384</v>
      </c>
      <c r="E87" s="21">
        <v>10</v>
      </c>
      <c r="F87" s="21">
        <v>143805</v>
      </c>
      <c r="G87" s="21" t="s">
        <v>211</v>
      </c>
      <c r="H87" s="38" t="s">
        <v>386</v>
      </c>
      <c r="I87" s="39">
        <f ca="1">IFERROR(__xludf.DUMMYFUNCTION("IF(SUM(COUNTIF(artists!A:A, SPLIT(D87, "",""))) &gt; 0, ""UA"", 0)"),0)</f>
        <v>0</v>
      </c>
      <c r="J87" s="40">
        <f ca="1">IFERROR(__xludf.DUMMYFUNCTION("IF(SUM(COUNTIF(artists!C:C, SPLIT(D87, "",""))) &gt; 0, ""RU"", 0)"),0)</f>
        <v>0</v>
      </c>
      <c r="K87" s="39" t="str">
        <f ca="1">IFERROR(__xludf.DUMMYFUNCTION("IF(SUM(COUNTIF(artists!E:E, SPLIT(D87, "",""))) &gt; 0, ""OTHER"", 0)"),"OTHER")</f>
        <v>OTHER</v>
      </c>
    </row>
    <row r="88" spans="1:11">
      <c r="A88" s="21">
        <v>87</v>
      </c>
      <c r="B88" s="21">
        <v>84</v>
      </c>
      <c r="C88" s="21" t="s">
        <v>622</v>
      </c>
      <c r="D88" s="21" t="s">
        <v>108</v>
      </c>
      <c r="E88" s="21">
        <v>10</v>
      </c>
      <c r="F88" s="21">
        <v>143236</v>
      </c>
      <c r="G88" s="21" t="s">
        <v>450</v>
      </c>
      <c r="H88" s="38" t="s">
        <v>623</v>
      </c>
      <c r="I88" s="39" t="str">
        <f ca="1">IFERROR(__xludf.DUMMYFUNCTION("IF(SUM(COUNTIF(artists!A:A, SPLIT(D88, "",""))) &gt; 0, ""UA"", 0)"),"UA")</f>
        <v>UA</v>
      </c>
      <c r="J88" s="40">
        <f ca="1">IFERROR(__xludf.DUMMYFUNCTION("IF(SUM(COUNTIF(artists!C:C, SPLIT(D88, "",""))) &gt; 0, ""RU"", 0)"),0)</f>
        <v>0</v>
      </c>
      <c r="K88" s="39">
        <f ca="1">IFERROR(__xludf.DUMMYFUNCTION("IF(SUM(COUNTIF(artists!E:E, SPLIT(D88, "",""))) &gt; 0, ""OTHER"", 0)"),0)</f>
        <v>0</v>
      </c>
    </row>
    <row r="89" spans="1:11">
      <c r="A89" s="21">
        <v>88</v>
      </c>
      <c r="B89" s="21">
        <v>94</v>
      </c>
      <c r="C89" s="21" t="s">
        <v>624</v>
      </c>
      <c r="D89" s="21" t="s">
        <v>625</v>
      </c>
      <c r="E89" s="21">
        <v>2</v>
      </c>
      <c r="F89" s="21">
        <v>141348</v>
      </c>
      <c r="G89" s="21" t="s">
        <v>626</v>
      </c>
      <c r="H89" s="38" t="s">
        <v>627</v>
      </c>
      <c r="I89" s="39" t="str">
        <f ca="1">IFERROR(__xludf.DUMMYFUNCTION("IF(SUM(COUNTIF(artists!A:A, SPLIT(D89, "",""))) &gt; 0, ""UA"", 0)"),"UA")</f>
        <v>UA</v>
      </c>
      <c r="J89" s="40">
        <f ca="1">IFERROR(__xludf.DUMMYFUNCTION("IF(SUM(COUNTIF(artists!C:C, SPLIT(D89, "",""))) &gt; 0, ""RU"", 0)"),0)</f>
        <v>0</v>
      </c>
      <c r="K89" s="39">
        <f ca="1">IFERROR(__xludf.DUMMYFUNCTION("IF(SUM(COUNTIF(artists!E:E, SPLIT(D89, "",""))) &gt; 0, ""OTHER"", 0)"),0)</f>
        <v>0</v>
      </c>
    </row>
    <row r="90" spans="1:11">
      <c r="A90" s="21">
        <v>89</v>
      </c>
      <c r="B90" s="21">
        <v>81</v>
      </c>
      <c r="C90" s="21" t="s">
        <v>358</v>
      </c>
      <c r="D90" s="21" t="s">
        <v>359</v>
      </c>
      <c r="E90" s="21">
        <v>16</v>
      </c>
      <c r="F90" s="21">
        <v>140681</v>
      </c>
      <c r="G90" s="21" t="s">
        <v>562</v>
      </c>
      <c r="H90" s="38" t="s">
        <v>361</v>
      </c>
      <c r="I90" s="39">
        <f ca="1">IFERROR(__xludf.DUMMYFUNCTION("IF(SUM(COUNTIF(artists!A:A, SPLIT(D90, "",""))) &gt; 0, ""UA"", 0)"),0)</f>
        <v>0</v>
      </c>
      <c r="J90" s="40">
        <f ca="1">IFERROR(__xludf.DUMMYFUNCTION("IF(SUM(COUNTIF(artists!C:C, SPLIT(D90, "",""))) &gt; 0, ""RU"", 0)"),0)</f>
        <v>0</v>
      </c>
      <c r="K90" s="39" t="str">
        <f ca="1">IFERROR(__xludf.DUMMYFUNCTION("IF(SUM(COUNTIF(artists!E:E, SPLIT(D90, "",""))) &gt; 0, ""OTHER"", 0)"),"OTHER")</f>
        <v>OTHER</v>
      </c>
    </row>
    <row r="91" spans="1:11">
      <c r="A91" s="21">
        <v>90</v>
      </c>
      <c r="B91" s="21">
        <v>86</v>
      </c>
      <c r="C91" s="21" t="s">
        <v>313</v>
      </c>
      <c r="D91" s="21" t="s">
        <v>310</v>
      </c>
      <c r="E91" s="21">
        <v>13</v>
      </c>
      <c r="F91" s="21">
        <v>140643</v>
      </c>
      <c r="G91" s="21" t="s">
        <v>628</v>
      </c>
      <c r="H91" s="38" t="s">
        <v>398</v>
      </c>
      <c r="I91" s="39">
        <f ca="1">IFERROR(__xludf.DUMMYFUNCTION("IF(SUM(COUNTIF(artists!A:A, SPLIT(D91, "",""))) &gt; 0, ""UA"", 0)"),0)</f>
        <v>0</v>
      </c>
      <c r="J91" s="40">
        <f ca="1">IFERROR(__xludf.DUMMYFUNCTION("IF(SUM(COUNTIF(artists!C:C, SPLIT(D91, "",""))) &gt; 0, ""RU"", 0)"),0)</f>
        <v>0</v>
      </c>
      <c r="K91" s="39" t="str">
        <f ca="1">IFERROR(__xludf.DUMMYFUNCTION("IF(SUM(COUNTIF(artists!E:E, SPLIT(D91, "",""))) &gt; 0, ""OTHER"", 0)"),"OTHER")</f>
        <v>OTHER</v>
      </c>
    </row>
    <row r="92" spans="1:11">
      <c r="A92" s="21">
        <v>91</v>
      </c>
      <c r="C92" s="21" t="s">
        <v>320</v>
      </c>
      <c r="D92" s="21" t="s">
        <v>321</v>
      </c>
      <c r="E92" s="21">
        <v>9</v>
      </c>
      <c r="F92" s="21">
        <v>137781</v>
      </c>
      <c r="H92" s="38" t="s">
        <v>323</v>
      </c>
      <c r="I92" s="39">
        <f ca="1">IFERROR(__xludf.DUMMYFUNCTION("IF(SUM(COUNTIF(artists!A:A, SPLIT(D92, "",""))) &gt; 0, ""UA"", 0)"),0)</f>
        <v>0</v>
      </c>
      <c r="J92" s="40">
        <f ca="1">IFERROR(__xludf.DUMMYFUNCTION("IF(SUM(COUNTIF(artists!C:C, SPLIT(D92, "",""))) &gt; 0, ""RU"", 0)"),0)</f>
        <v>0</v>
      </c>
      <c r="K92" s="39" t="str">
        <f ca="1">IFERROR(__xludf.DUMMYFUNCTION("IF(SUM(COUNTIF(artists!E:E, SPLIT(D92, "",""))) &gt; 0, ""OTHER"", 0)"),"OTHER")</f>
        <v>OTHER</v>
      </c>
    </row>
    <row r="93" spans="1:11">
      <c r="A93" s="21">
        <v>92</v>
      </c>
      <c r="B93" s="21">
        <v>97</v>
      </c>
      <c r="C93" s="21" t="s">
        <v>355</v>
      </c>
      <c r="D93" s="21" t="s">
        <v>356</v>
      </c>
      <c r="E93" s="21">
        <v>14</v>
      </c>
      <c r="F93" s="21">
        <v>137768</v>
      </c>
      <c r="G93" s="41">
        <v>0.13</v>
      </c>
      <c r="H93" s="38" t="s">
        <v>357</v>
      </c>
      <c r="I93" s="39">
        <f ca="1">IFERROR(__xludf.DUMMYFUNCTION("IF(SUM(COUNTIF(artists!A:A, SPLIT(D93, "",""))) &gt; 0, ""UA"", 0)"),0)</f>
        <v>0</v>
      </c>
      <c r="J93" s="40">
        <f ca="1">IFERROR(__xludf.DUMMYFUNCTION("IF(SUM(COUNTIF(artists!C:C, SPLIT(D93, "",""))) &gt; 0, ""RU"", 0)"),0)</f>
        <v>0</v>
      </c>
      <c r="K93" s="39" t="str">
        <f ca="1">IFERROR(__xludf.DUMMYFUNCTION("IF(SUM(COUNTIF(artists!E:E, SPLIT(D93, "",""))) &gt; 0, ""OTHER"", 0)"),"OTHER")</f>
        <v>OTHER</v>
      </c>
    </row>
    <row r="94" spans="1:11">
      <c r="A94" s="21">
        <v>93</v>
      </c>
      <c r="C94" s="21" t="s">
        <v>534</v>
      </c>
      <c r="D94" s="21" t="s">
        <v>535</v>
      </c>
      <c r="E94" s="21">
        <v>4</v>
      </c>
      <c r="F94" s="21">
        <v>136422</v>
      </c>
      <c r="H94" s="38" t="s">
        <v>536</v>
      </c>
      <c r="I94" s="39">
        <f ca="1">IFERROR(__xludf.DUMMYFUNCTION("IF(SUM(COUNTIF(artists!A:A, SPLIT(D94, "",""))) &gt; 0, ""UA"", 0)"),0)</f>
        <v>0</v>
      </c>
      <c r="J94" s="40" t="str">
        <f ca="1">IFERROR(__xludf.DUMMYFUNCTION("IF(SUM(COUNTIF(artists!C:C, SPLIT(D94, "",""))) &gt; 0, ""RU"", 0)"),"RU")</f>
        <v>RU</v>
      </c>
      <c r="K94" s="39">
        <f ca="1">IFERROR(__xludf.DUMMYFUNCTION("IF(SUM(COUNTIF(artists!E:E, SPLIT(D94, "",""))) &gt; 0, ""OTHER"", 0)"),0)</f>
        <v>0</v>
      </c>
    </row>
    <row r="95" spans="1:11">
      <c r="A95" s="21">
        <v>94</v>
      </c>
      <c r="B95" s="21">
        <v>73</v>
      </c>
      <c r="C95" s="21" t="s">
        <v>411</v>
      </c>
      <c r="D95" s="21" t="s">
        <v>412</v>
      </c>
      <c r="E95" s="21">
        <v>4</v>
      </c>
      <c r="F95" s="21">
        <v>136248</v>
      </c>
      <c r="G95" s="21" t="s">
        <v>581</v>
      </c>
      <c r="H95" s="38" t="s">
        <v>413</v>
      </c>
      <c r="I95" s="39" t="str">
        <f ca="1">IFERROR(__xludf.DUMMYFUNCTION("IF(SUM(COUNTIF(artists!A:A, SPLIT(D95, "",""))) &gt; 0, ""UA"", 0)"),"UA")</f>
        <v>UA</v>
      </c>
      <c r="J95" s="40">
        <f ca="1">IFERROR(__xludf.DUMMYFUNCTION("IF(SUM(COUNTIF(artists!C:C, SPLIT(D95, "",""))) &gt; 0, ""RU"", 0)"),0)</f>
        <v>0</v>
      </c>
      <c r="K95" s="39">
        <f ca="1">IFERROR(__xludf.DUMMYFUNCTION("IF(SUM(COUNTIF(artists!E:E, SPLIT(D95, "",""))) &gt; 0, ""OTHER"", 0)"),0)</f>
        <v>0</v>
      </c>
    </row>
    <row r="96" spans="1:11">
      <c r="A96" s="21">
        <v>95</v>
      </c>
      <c r="B96" s="21">
        <v>75</v>
      </c>
      <c r="C96" s="21" t="s">
        <v>418</v>
      </c>
      <c r="D96" s="21" t="s">
        <v>419</v>
      </c>
      <c r="E96" s="21">
        <v>13</v>
      </c>
      <c r="F96" s="21">
        <v>136027</v>
      </c>
      <c r="G96" s="21" t="s">
        <v>547</v>
      </c>
      <c r="H96" s="38" t="s">
        <v>420</v>
      </c>
      <c r="I96" s="39">
        <f ca="1">IFERROR(__xludf.DUMMYFUNCTION("IF(SUM(COUNTIF(artists!A:A, SPLIT(D96, "",""))) &gt; 0, ""UA"", 0)"),0)</f>
        <v>0</v>
      </c>
      <c r="J96" s="40">
        <f ca="1">IFERROR(__xludf.DUMMYFUNCTION("IF(SUM(COUNTIF(artists!C:C, SPLIT(D96, "",""))) &gt; 0, ""RU"", 0)"),0)</f>
        <v>0</v>
      </c>
      <c r="K96" s="39" t="str">
        <f ca="1">IFERROR(__xludf.DUMMYFUNCTION("IF(SUM(COUNTIF(artists!E:E, SPLIT(D96, "",""))) &gt; 0, ""OTHER"", 0)"),"OTHER")</f>
        <v>OTHER</v>
      </c>
    </row>
    <row r="97" spans="1:11">
      <c r="A97" s="21">
        <v>96</v>
      </c>
      <c r="C97" s="21" t="s">
        <v>629</v>
      </c>
      <c r="D97" s="21" t="s">
        <v>630</v>
      </c>
      <c r="E97" s="21">
        <v>9</v>
      </c>
      <c r="F97" s="21">
        <v>135756</v>
      </c>
      <c r="H97" s="38" t="s">
        <v>631</v>
      </c>
      <c r="I97" s="39" t="str">
        <f ca="1">IFERROR(__xludf.DUMMYFUNCTION("IF(SUM(COUNTIF(artists!A:A, SPLIT(D97, "",""))) &gt; 0, ""UA"", 0)"),"UA")</f>
        <v>UA</v>
      </c>
      <c r="J97" s="40">
        <f ca="1">IFERROR(__xludf.DUMMYFUNCTION("IF(SUM(COUNTIF(artists!C:C, SPLIT(D97, "",""))) &gt; 0, ""RU"", 0)"),0)</f>
        <v>0</v>
      </c>
      <c r="K97" s="39">
        <f ca="1">IFERROR(__xludf.DUMMYFUNCTION("IF(SUM(COUNTIF(artists!E:E, SPLIT(D97, "",""))) &gt; 0, ""OTHER"", 0)"),0)</f>
        <v>0</v>
      </c>
    </row>
    <row r="98" spans="1:11">
      <c r="A98" s="21">
        <v>97</v>
      </c>
      <c r="C98" s="21" t="s">
        <v>632</v>
      </c>
      <c r="D98" s="21" t="s">
        <v>633</v>
      </c>
      <c r="E98" s="21">
        <v>23</v>
      </c>
      <c r="F98" s="21">
        <v>135011</v>
      </c>
      <c r="H98" s="38" t="s">
        <v>634</v>
      </c>
      <c r="I98" s="39" t="str">
        <f ca="1">IFERROR(__xludf.DUMMYFUNCTION("IF(SUM(COUNTIF(artists!A:A, SPLIT(D98, "",""))) &gt; 0, ""UA"", 0)"),"UA")</f>
        <v>UA</v>
      </c>
      <c r="J98" s="40">
        <f ca="1">IFERROR(__xludf.DUMMYFUNCTION("IF(SUM(COUNTIF(artists!C:C, SPLIT(D98, "",""))) &gt; 0, ""RU"", 0)"),0)</f>
        <v>0</v>
      </c>
      <c r="K98" s="39">
        <f ca="1">IFERROR(__xludf.DUMMYFUNCTION("IF(SUM(COUNTIF(artists!E:E, SPLIT(D98, "",""))) &gt; 0, ""OTHER"", 0)"),0)</f>
        <v>0</v>
      </c>
    </row>
    <row r="99" spans="1:11">
      <c r="A99" s="21">
        <v>98</v>
      </c>
      <c r="B99" s="21">
        <v>80</v>
      </c>
      <c r="C99" s="21" t="s">
        <v>399</v>
      </c>
      <c r="D99" s="21" t="s">
        <v>400</v>
      </c>
      <c r="E99" s="21">
        <v>5</v>
      </c>
      <c r="F99" s="21">
        <v>134665</v>
      </c>
      <c r="G99" s="21" t="s">
        <v>635</v>
      </c>
      <c r="H99" s="38" t="s">
        <v>401</v>
      </c>
      <c r="I99" s="39" t="str">
        <f ca="1">IFERROR(__xludf.DUMMYFUNCTION("IF(SUM(COUNTIF(artists!A:A, SPLIT(D99, "",""))) &gt; 0, ""UA"", 0)"),"UA")</f>
        <v>UA</v>
      </c>
      <c r="J99" s="40">
        <f ca="1">IFERROR(__xludf.DUMMYFUNCTION("IF(SUM(COUNTIF(artists!C:C, SPLIT(D99, "",""))) &gt; 0, ""RU"", 0)"),0)</f>
        <v>0</v>
      </c>
      <c r="K99" s="39">
        <f ca="1">IFERROR(__xludf.DUMMYFUNCTION("IF(SUM(COUNTIF(artists!E:E, SPLIT(D99, "",""))) &gt; 0, ""OTHER"", 0)"),0)</f>
        <v>0</v>
      </c>
    </row>
    <row r="100" spans="1:11">
      <c r="A100" s="21">
        <v>99</v>
      </c>
      <c r="B100" s="21">
        <v>85</v>
      </c>
      <c r="C100" s="21" t="s">
        <v>370</v>
      </c>
      <c r="D100" s="21" t="s">
        <v>222</v>
      </c>
      <c r="E100" s="21">
        <v>8</v>
      </c>
      <c r="F100" s="21">
        <v>134376</v>
      </c>
      <c r="G100" s="41">
        <v>0.03</v>
      </c>
      <c r="H100" s="38" t="s">
        <v>372</v>
      </c>
      <c r="I100" s="39">
        <f ca="1">IFERROR(__xludf.DUMMYFUNCTION("IF(SUM(COUNTIF(artists!A:A, SPLIT(D100, "",""))) &gt; 0, ""UA"", 0)"),0)</f>
        <v>0</v>
      </c>
      <c r="J100" s="40">
        <f ca="1">IFERROR(__xludf.DUMMYFUNCTION("IF(SUM(COUNTIF(artists!C:C, SPLIT(D100, "",""))) &gt; 0, ""RU"", 0)"),0)</f>
        <v>0</v>
      </c>
      <c r="K100" s="39" t="str">
        <f ca="1">IFERROR(__xludf.DUMMYFUNCTION("IF(SUM(COUNTIF(artists!E:E, SPLIT(D100, "",""))) &gt; 0, ""OTHER"", 0)"),"OTHER")</f>
        <v>OTHER</v>
      </c>
    </row>
    <row r="101" spans="1:11">
      <c r="A101" s="21">
        <v>100</v>
      </c>
      <c r="C101" s="21" t="s">
        <v>636</v>
      </c>
      <c r="D101" s="21" t="s">
        <v>637</v>
      </c>
      <c r="E101" s="21">
        <v>21</v>
      </c>
      <c r="F101" s="21">
        <v>134041</v>
      </c>
      <c r="H101" s="38" t="s">
        <v>638</v>
      </c>
      <c r="I101" s="39">
        <f ca="1">IFERROR(__xludf.DUMMYFUNCTION("IF(SUM(COUNTIF(artists!A:A, SPLIT(D101, "",""))) &gt; 0, ""UA"", 0)"),0)</f>
        <v>0</v>
      </c>
      <c r="J101" s="40">
        <f ca="1">IFERROR(__xludf.DUMMYFUNCTION("IF(SUM(COUNTIF(artists!C:C, SPLIT(D101, "",""))) &gt; 0, ""RU"", 0)"),0)</f>
        <v>0</v>
      </c>
      <c r="K101" s="39" t="str">
        <f ca="1">IFERROR(__xludf.DUMMYFUNCTION("IF(SUM(COUNTIF(artists!E:E, SPLIT(D101, "",""))) &gt; 0, ""OTHER"", 0)"),"OTHER")</f>
        <v>OTHER</v>
      </c>
    </row>
  </sheetData>
  <conditionalFormatting sqref="I2:K101">
    <cfRule type="expression" dxfId="115" priority="1">
      <formula>AND($I2=0, $J2=0, $K2=0)</formula>
    </cfRule>
    <cfRule type="expression" dxfId="114" priority="2">
      <formula>OR(AND($I2&lt;&gt;0, $J2&lt;&gt;0), AND($I2&lt;&gt;0, $K2&lt;&gt;0), AND($J2&lt;&gt;0, $K2&lt;&gt;0))</formula>
    </cfRule>
  </conditionalFormatting>
  <hyperlinks>
    <hyperlink ref="H2" r:id="rId1" xr:uid="{00000000-0004-0000-0400-000000000000}"/>
    <hyperlink ref="H3" r:id="rId2" xr:uid="{00000000-0004-0000-0400-000001000000}"/>
    <hyperlink ref="H4" r:id="rId3" xr:uid="{00000000-0004-0000-0400-000002000000}"/>
    <hyperlink ref="H5" r:id="rId4" xr:uid="{00000000-0004-0000-0400-000003000000}"/>
    <hyperlink ref="H6" r:id="rId5" xr:uid="{00000000-0004-0000-0400-000004000000}"/>
    <hyperlink ref="H7" r:id="rId6" xr:uid="{00000000-0004-0000-0400-000005000000}"/>
    <hyperlink ref="H8" r:id="rId7" xr:uid="{00000000-0004-0000-0400-000006000000}"/>
    <hyperlink ref="H9" r:id="rId8" xr:uid="{00000000-0004-0000-0400-000007000000}"/>
    <hyperlink ref="H10" r:id="rId9" xr:uid="{00000000-0004-0000-0400-000008000000}"/>
    <hyperlink ref="H11" r:id="rId10" xr:uid="{00000000-0004-0000-0400-000009000000}"/>
    <hyperlink ref="H12" r:id="rId11" xr:uid="{00000000-0004-0000-0400-00000A000000}"/>
    <hyperlink ref="H13" r:id="rId12" xr:uid="{00000000-0004-0000-0400-00000B000000}"/>
    <hyperlink ref="H14" r:id="rId13" xr:uid="{00000000-0004-0000-0400-00000C000000}"/>
    <hyperlink ref="H15" r:id="rId14" xr:uid="{00000000-0004-0000-0400-00000D000000}"/>
    <hyperlink ref="H16" r:id="rId15" xr:uid="{00000000-0004-0000-0400-00000E000000}"/>
    <hyperlink ref="H17" r:id="rId16" xr:uid="{00000000-0004-0000-0400-00000F000000}"/>
    <hyperlink ref="H18" r:id="rId17" xr:uid="{00000000-0004-0000-0400-000010000000}"/>
    <hyperlink ref="H19" r:id="rId18" xr:uid="{00000000-0004-0000-0400-000011000000}"/>
    <hyperlink ref="H20" r:id="rId19" xr:uid="{00000000-0004-0000-0400-000012000000}"/>
    <hyperlink ref="H21" r:id="rId20" xr:uid="{00000000-0004-0000-0400-000013000000}"/>
    <hyperlink ref="H22" r:id="rId21" xr:uid="{00000000-0004-0000-0400-000014000000}"/>
    <hyperlink ref="H23" r:id="rId22" xr:uid="{00000000-0004-0000-0400-000015000000}"/>
    <hyperlink ref="H24" r:id="rId23" xr:uid="{00000000-0004-0000-0400-000016000000}"/>
    <hyperlink ref="H25" r:id="rId24" xr:uid="{00000000-0004-0000-0400-000017000000}"/>
    <hyperlink ref="H26" r:id="rId25" xr:uid="{00000000-0004-0000-0400-000018000000}"/>
    <hyperlink ref="H27" r:id="rId26" xr:uid="{00000000-0004-0000-0400-000019000000}"/>
    <hyperlink ref="H28" r:id="rId27" xr:uid="{00000000-0004-0000-0400-00001A000000}"/>
    <hyperlink ref="H29" r:id="rId28" xr:uid="{00000000-0004-0000-0400-00001B000000}"/>
    <hyperlink ref="H30" r:id="rId29" xr:uid="{00000000-0004-0000-0400-00001C000000}"/>
    <hyperlink ref="H31" r:id="rId30" xr:uid="{00000000-0004-0000-0400-00001D000000}"/>
    <hyperlink ref="H32" r:id="rId31" xr:uid="{00000000-0004-0000-0400-00001E000000}"/>
    <hyperlink ref="H33" r:id="rId32" xr:uid="{00000000-0004-0000-0400-00001F000000}"/>
    <hyperlink ref="H34" r:id="rId33" xr:uid="{00000000-0004-0000-0400-000020000000}"/>
    <hyperlink ref="H35" r:id="rId34" xr:uid="{00000000-0004-0000-0400-000021000000}"/>
    <hyperlink ref="H36" r:id="rId35" xr:uid="{00000000-0004-0000-0400-000022000000}"/>
    <hyperlink ref="H37" r:id="rId36" xr:uid="{00000000-0004-0000-0400-000023000000}"/>
    <hyperlink ref="H38" r:id="rId37" xr:uid="{00000000-0004-0000-0400-000024000000}"/>
    <hyperlink ref="H39" r:id="rId38" xr:uid="{00000000-0004-0000-0400-000025000000}"/>
    <hyperlink ref="H40" r:id="rId39" xr:uid="{00000000-0004-0000-0400-000026000000}"/>
    <hyperlink ref="H41" r:id="rId40" xr:uid="{00000000-0004-0000-0400-000027000000}"/>
    <hyperlink ref="H42" r:id="rId41" xr:uid="{00000000-0004-0000-0400-000028000000}"/>
    <hyperlink ref="H43" r:id="rId42" xr:uid="{00000000-0004-0000-0400-000029000000}"/>
    <hyperlink ref="H44" r:id="rId43" xr:uid="{00000000-0004-0000-0400-00002A000000}"/>
    <hyperlink ref="H45" r:id="rId44" xr:uid="{00000000-0004-0000-0400-00002B000000}"/>
    <hyperlink ref="H46" r:id="rId45" xr:uid="{00000000-0004-0000-0400-00002C000000}"/>
    <hyperlink ref="H47" r:id="rId46" xr:uid="{00000000-0004-0000-0400-00002D000000}"/>
    <hyperlink ref="H48" r:id="rId47" xr:uid="{00000000-0004-0000-0400-00002E000000}"/>
    <hyperlink ref="H49" r:id="rId48" xr:uid="{00000000-0004-0000-0400-00002F000000}"/>
    <hyperlink ref="H50" r:id="rId49" xr:uid="{00000000-0004-0000-0400-000030000000}"/>
    <hyperlink ref="H51" r:id="rId50" xr:uid="{00000000-0004-0000-0400-000031000000}"/>
    <hyperlink ref="H52" r:id="rId51" xr:uid="{00000000-0004-0000-0400-000032000000}"/>
    <hyperlink ref="H53" r:id="rId52" xr:uid="{00000000-0004-0000-0400-000033000000}"/>
    <hyperlink ref="H54" r:id="rId53" xr:uid="{00000000-0004-0000-0400-000034000000}"/>
    <hyperlink ref="H55" r:id="rId54" xr:uid="{00000000-0004-0000-0400-000035000000}"/>
    <hyperlink ref="H56" r:id="rId55" xr:uid="{00000000-0004-0000-0400-000036000000}"/>
    <hyperlink ref="H57" r:id="rId56" xr:uid="{00000000-0004-0000-0400-000037000000}"/>
    <hyperlink ref="H58" r:id="rId57" xr:uid="{00000000-0004-0000-0400-000038000000}"/>
    <hyperlink ref="H59" r:id="rId58" xr:uid="{00000000-0004-0000-0400-000039000000}"/>
    <hyperlink ref="H60" r:id="rId59" xr:uid="{00000000-0004-0000-0400-00003A000000}"/>
    <hyperlink ref="H61" r:id="rId60" xr:uid="{00000000-0004-0000-0400-00003B000000}"/>
    <hyperlink ref="H62" r:id="rId61" xr:uid="{00000000-0004-0000-0400-00003C000000}"/>
    <hyperlink ref="H63" r:id="rId62" xr:uid="{00000000-0004-0000-0400-00003D000000}"/>
    <hyperlink ref="H64" r:id="rId63" xr:uid="{00000000-0004-0000-0400-00003E000000}"/>
    <hyperlink ref="H65" r:id="rId64" xr:uid="{00000000-0004-0000-0400-00003F000000}"/>
    <hyperlink ref="H66" r:id="rId65" xr:uid="{00000000-0004-0000-0400-000040000000}"/>
    <hyperlink ref="H67" r:id="rId66" xr:uid="{00000000-0004-0000-0400-000041000000}"/>
    <hyperlink ref="H68" r:id="rId67" xr:uid="{00000000-0004-0000-0400-000042000000}"/>
    <hyperlink ref="H69" r:id="rId68" xr:uid="{00000000-0004-0000-0400-000043000000}"/>
    <hyperlink ref="H70" r:id="rId69" xr:uid="{00000000-0004-0000-0400-000044000000}"/>
    <hyperlink ref="H71" r:id="rId70" xr:uid="{00000000-0004-0000-0400-000045000000}"/>
    <hyperlink ref="H72" r:id="rId71" xr:uid="{00000000-0004-0000-0400-000046000000}"/>
    <hyperlink ref="H73" r:id="rId72" xr:uid="{00000000-0004-0000-0400-000047000000}"/>
    <hyperlink ref="H74" r:id="rId73" xr:uid="{00000000-0004-0000-0400-000048000000}"/>
    <hyperlink ref="H75" r:id="rId74" xr:uid="{00000000-0004-0000-0400-000049000000}"/>
    <hyperlink ref="H76" r:id="rId75" xr:uid="{00000000-0004-0000-0400-00004A000000}"/>
    <hyperlink ref="H77" r:id="rId76" xr:uid="{00000000-0004-0000-0400-00004B000000}"/>
    <hyperlink ref="H78" r:id="rId77" xr:uid="{00000000-0004-0000-0400-00004C000000}"/>
    <hyperlink ref="H79" r:id="rId78" xr:uid="{00000000-0004-0000-0400-00004D000000}"/>
    <hyperlink ref="H80" r:id="rId79" xr:uid="{00000000-0004-0000-0400-00004E000000}"/>
    <hyperlink ref="H81" r:id="rId80" xr:uid="{00000000-0004-0000-0400-00004F000000}"/>
    <hyperlink ref="H82" r:id="rId81" xr:uid="{00000000-0004-0000-0400-000050000000}"/>
    <hyperlink ref="H83" r:id="rId82" xr:uid="{00000000-0004-0000-0400-000051000000}"/>
    <hyperlink ref="H84" r:id="rId83" xr:uid="{00000000-0004-0000-0400-000052000000}"/>
    <hyperlink ref="H85" r:id="rId84" xr:uid="{00000000-0004-0000-0400-000053000000}"/>
    <hyperlink ref="H86" r:id="rId85" xr:uid="{00000000-0004-0000-0400-000054000000}"/>
    <hyperlink ref="H87" r:id="rId86" xr:uid="{00000000-0004-0000-0400-000055000000}"/>
    <hyperlink ref="H88" r:id="rId87" xr:uid="{00000000-0004-0000-0400-000056000000}"/>
    <hyperlink ref="H89" r:id="rId88" xr:uid="{00000000-0004-0000-0400-000057000000}"/>
    <hyperlink ref="H90" r:id="rId89" xr:uid="{00000000-0004-0000-0400-000058000000}"/>
    <hyperlink ref="H91" r:id="rId90" xr:uid="{00000000-0004-0000-0400-000059000000}"/>
    <hyperlink ref="H92" r:id="rId91" xr:uid="{00000000-0004-0000-0400-00005A000000}"/>
    <hyperlink ref="H93" r:id="rId92" xr:uid="{00000000-0004-0000-0400-00005B000000}"/>
    <hyperlink ref="H94" r:id="rId93" xr:uid="{00000000-0004-0000-0400-00005C000000}"/>
    <hyperlink ref="H95" r:id="rId94" xr:uid="{00000000-0004-0000-0400-00005D000000}"/>
    <hyperlink ref="H96" r:id="rId95" xr:uid="{00000000-0004-0000-0400-00005E000000}"/>
    <hyperlink ref="H97" r:id="rId96" xr:uid="{00000000-0004-0000-0400-00005F000000}"/>
    <hyperlink ref="H98" r:id="rId97" xr:uid="{00000000-0004-0000-0400-000060000000}"/>
    <hyperlink ref="H99" r:id="rId98" xr:uid="{00000000-0004-0000-0400-000061000000}"/>
    <hyperlink ref="H100" r:id="rId99" xr:uid="{00000000-0004-0000-0400-000062000000}"/>
    <hyperlink ref="H101" r:id="rId100" xr:uid="{00000000-0004-0000-0400-000063000000}"/>
  </hyperlink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100-000000000000}">
  <sheetPr codeName="Аркуш50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4" width="8.6640625" customWidth="1"/>
    <col min="5" max="5" width="8.6640625" hidden="1" customWidth="1"/>
    <col min="6" max="6" width="8.6640625" customWidth="1"/>
    <col min="7" max="7" width="13.10937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B2" s="21">
        <v>2</v>
      </c>
      <c r="C2" s="21" t="s">
        <v>645</v>
      </c>
      <c r="D2" s="21" t="s">
        <v>352</v>
      </c>
      <c r="E2" s="21">
        <v>8</v>
      </c>
      <c r="F2" s="21">
        <v>1050396</v>
      </c>
      <c r="G2" s="42">
        <v>-2.8000000000000001E-2</v>
      </c>
      <c r="H2" s="21" t="s">
        <v>647</v>
      </c>
      <c r="I2" s="39" t="str">
        <f ca="1">IFERROR(__xludf.DUMMYFUNCTION("IF(SUM(COUNTIF(artists!A:A, SPLIT(D2, "",""))) &gt; 0, ""UA"", 0)"),"UA")</f>
        <v>UA</v>
      </c>
      <c r="J2" s="40">
        <f ca="1">IFERROR(__xludf.DUMMYFUNCTION("IF(SUM(COUNTIF(artists!C:C, SPLIT(D2, "",""))) &gt; 0, ""RU"", 0)"),0)</f>
        <v>0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B3" s="21">
        <v>5</v>
      </c>
      <c r="C3" s="21" t="s">
        <v>1496</v>
      </c>
      <c r="D3" s="21" t="s">
        <v>969</v>
      </c>
      <c r="E3" s="21">
        <v>45</v>
      </c>
      <c r="F3" s="21">
        <v>951657</v>
      </c>
      <c r="G3" s="42">
        <v>0.31900000000000001</v>
      </c>
      <c r="H3" s="21" t="s">
        <v>1497</v>
      </c>
      <c r="I3" s="39" t="str">
        <f ca="1">IFERROR(__xludf.DUMMYFUNCTION("IF(SUM(COUNTIF(artists!A:A, SPLIT(D3, "",""))) &gt; 0, ""UA"", 0)"),"UA")</f>
        <v>UA</v>
      </c>
      <c r="J3" s="40">
        <f ca="1">IFERROR(__xludf.DUMMYFUNCTION("IF(SUM(COUNTIF(artists!C:C, SPLIT(D3, "",""))) &gt; 0, ""RU"", 0)"),0)</f>
        <v>0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B4" s="21">
        <v>1</v>
      </c>
      <c r="C4" s="21" t="s">
        <v>895</v>
      </c>
      <c r="D4" s="21" t="s">
        <v>896</v>
      </c>
      <c r="E4" s="21">
        <v>7</v>
      </c>
      <c r="F4" s="21">
        <v>945615</v>
      </c>
      <c r="G4" s="42">
        <v>-0.14399999999999999</v>
      </c>
      <c r="H4" s="21" t="s">
        <v>897</v>
      </c>
      <c r="I4" s="39" t="str">
        <f ca="1">IFERROR(__xludf.DUMMYFUNCTION("IF(SUM(COUNTIF(artists!A:A, SPLIT(D4, "",""))) &gt; 0, ""UA"", 0)"),"UA")</f>
        <v>UA</v>
      </c>
      <c r="J4" s="40">
        <f ca="1">IFERROR(__xludf.DUMMYFUNCTION("IF(SUM(COUNTIF(artists!C:C, SPLIT(D4, "",""))) &gt; 0, ""RU"", 0)"),0)</f>
        <v>0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B5" s="21">
        <v>3</v>
      </c>
      <c r="C5" s="21" t="s">
        <v>1263</v>
      </c>
      <c r="D5" s="21" t="s">
        <v>1264</v>
      </c>
      <c r="E5" s="21">
        <v>21</v>
      </c>
      <c r="F5" s="21">
        <v>677785</v>
      </c>
      <c r="G5" s="42">
        <v>-0.121</v>
      </c>
      <c r="H5" s="21" t="s">
        <v>1265</v>
      </c>
      <c r="I5" s="39">
        <f ca="1">IFERROR(__xludf.DUMMYFUNCTION("IF(SUM(COUNTIF(artists!A:A, SPLIT(D5, "",""))) &gt; 0, ""UA"", 0)"),0)</f>
        <v>0</v>
      </c>
      <c r="J5" s="40" t="str">
        <f ca="1">IFERROR(__xludf.DUMMYFUNCTION("IF(SUM(COUNTIF(artists!C:C, SPLIT(D5, "",""))) &gt; 0, ""RU"", 0)"),"RU")</f>
        <v>RU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B6" s="21">
        <v>6</v>
      </c>
      <c r="C6" s="21" t="s">
        <v>1471</v>
      </c>
      <c r="D6" s="21" t="s">
        <v>1472</v>
      </c>
      <c r="E6" s="21">
        <v>4</v>
      </c>
      <c r="F6" s="21">
        <v>661506</v>
      </c>
      <c r="G6" s="42">
        <v>0.123</v>
      </c>
      <c r="H6" s="21" t="s">
        <v>1473</v>
      </c>
      <c r="I6" s="39" t="str">
        <f ca="1">IFERROR(__xludf.DUMMYFUNCTION("IF(SUM(COUNTIF(artists!A:A, SPLIT(D6, "",""))) &gt; 0, ""UA"", 0)"),"UA")</f>
        <v>UA</v>
      </c>
      <c r="J6" s="40">
        <f ca="1">IFERROR(__xludf.DUMMYFUNCTION("IF(SUM(COUNTIF(artists!C:C, SPLIT(D6, "",""))) &gt; 0, ""RU"", 0)"),0)</f>
        <v>0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B7" s="21">
        <v>4</v>
      </c>
      <c r="C7" s="21">
        <v>12</v>
      </c>
      <c r="D7" s="21" t="s">
        <v>1050</v>
      </c>
      <c r="E7" s="21">
        <v>3</v>
      </c>
      <c r="F7" s="21">
        <v>608228</v>
      </c>
      <c r="G7" s="42">
        <v>-0.20399999999999999</v>
      </c>
      <c r="H7" s="21" t="s">
        <v>1756</v>
      </c>
      <c r="I7" s="39">
        <f ca="1">IFERROR(__xludf.DUMMYFUNCTION("IF(SUM(COUNTIF(artists!A:A, SPLIT(D7, "",""))) &gt; 0, ""UA"", 0)"),0)</f>
        <v>0</v>
      </c>
      <c r="J7" s="40" t="str">
        <f ca="1">IFERROR(__xludf.DUMMYFUNCTION("IF(SUM(COUNTIF(artists!C:C, SPLIT(D7, "",""))) &gt; 0, ""RU"", 0)"),"RU")</f>
        <v>RU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B8" s="21">
        <v>7</v>
      </c>
      <c r="C8" s="21" t="s">
        <v>909</v>
      </c>
      <c r="D8" s="21" t="s">
        <v>910</v>
      </c>
      <c r="E8" s="21">
        <v>5</v>
      </c>
      <c r="F8" s="21">
        <v>508727</v>
      </c>
      <c r="G8" s="42">
        <v>-9.4E-2</v>
      </c>
      <c r="H8" s="21" t="s">
        <v>911</v>
      </c>
      <c r="I8" s="39" t="str">
        <f ca="1">IFERROR(__xludf.DUMMYFUNCTION("IF(SUM(COUNTIF(artists!A:A, SPLIT(D8, "",""))) &gt; 0, ""UA"", 0)"),"UA")</f>
        <v>UA</v>
      </c>
      <c r="J8" s="40">
        <f ca="1">IFERROR(__xludf.DUMMYFUNCTION("IF(SUM(COUNTIF(artists!C:C, SPLIT(D8, "",""))) &gt; 0, ""RU"", 0)"),0)</f>
        <v>0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B9" s="21">
        <v>8</v>
      </c>
      <c r="C9" s="21" t="s">
        <v>1487</v>
      </c>
      <c r="D9" s="21" t="s">
        <v>409</v>
      </c>
      <c r="E9" s="21">
        <v>5</v>
      </c>
      <c r="F9" s="21">
        <v>469337</v>
      </c>
      <c r="G9" s="42">
        <v>-0.11700000000000001</v>
      </c>
      <c r="H9" s="21" t="s">
        <v>1488</v>
      </c>
      <c r="I9" s="39" t="str">
        <f ca="1">IFERROR(__xludf.DUMMYFUNCTION("IF(SUM(COUNTIF(artists!A:A, SPLIT(D9, "",""))) &gt; 0, ""UA"", 0)"),"UA")</f>
        <v>UA</v>
      </c>
      <c r="J9" s="40">
        <f ca="1">IFERROR(__xludf.DUMMYFUNCTION("IF(SUM(COUNTIF(artists!C:C, SPLIT(D9, "",""))) &gt; 0, ""RU"", 0)"),0)</f>
        <v>0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B10" s="21">
        <v>9</v>
      </c>
      <c r="C10" s="21" t="s">
        <v>935</v>
      </c>
      <c r="D10" s="21" t="s">
        <v>936</v>
      </c>
      <c r="E10" s="21">
        <v>22</v>
      </c>
      <c r="F10" s="21">
        <v>431603</v>
      </c>
      <c r="G10" s="42">
        <v>-2.5000000000000001E-2</v>
      </c>
      <c r="H10" s="21" t="s">
        <v>937</v>
      </c>
      <c r="I10" s="39">
        <f ca="1">IFERROR(__xludf.DUMMYFUNCTION("IF(SUM(COUNTIF(artists!A:A, SPLIT(D10, "",""))) &gt; 0, ""UA"", 0)"),0)</f>
        <v>0</v>
      </c>
      <c r="J10" s="40" t="str">
        <f ca="1">IFERROR(__xludf.DUMMYFUNCTION("IF(SUM(COUNTIF(artists!C:C, SPLIT(D10, "",""))) &gt; 0, ""RU"", 0)"),"RU")</f>
        <v>RU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B11" s="21">
        <v>40</v>
      </c>
      <c r="C11" s="21" t="s">
        <v>1463</v>
      </c>
      <c r="D11" s="21" t="s">
        <v>1344</v>
      </c>
      <c r="E11" s="21">
        <v>3</v>
      </c>
      <c r="F11" s="21">
        <v>427692</v>
      </c>
      <c r="G11" s="42">
        <v>0.99399999999999999</v>
      </c>
      <c r="H11" s="21" t="s">
        <v>1464</v>
      </c>
      <c r="I11" s="39" t="str">
        <f ca="1">IFERROR(__xludf.DUMMYFUNCTION("IF(SUM(COUNTIF(artists!A:A, SPLIT(D11, "",""))) &gt; 0, ""UA"", 0)"),"UA")</f>
        <v>UA</v>
      </c>
      <c r="J11" s="40">
        <f ca="1">IFERROR(__xludf.DUMMYFUNCTION("IF(SUM(COUNTIF(artists!C:C, SPLIT(D11, "",""))) &gt; 0, ""RU"", 0)"),0)</f>
        <v>0</v>
      </c>
      <c r="K11" s="39">
        <f ca="1">IFERROR(__xludf.DUMMYFUNCTION("IF(SUM(COUNTIF(artists!E:E, SPLIT(D11, "",""))) &gt; 0, ""OTHER"", 0)"),0)</f>
        <v>0</v>
      </c>
    </row>
    <row r="12" spans="1:11" ht="14.25" customHeight="1">
      <c r="A12" s="21">
        <v>11</v>
      </c>
      <c r="B12" s="21">
        <v>18</v>
      </c>
      <c r="C12" s="21" t="s">
        <v>799</v>
      </c>
      <c r="D12" s="21" t="s">
        <v>494</v>
      </c>
      <c r="E12" s="21">
        <v>4</v>
      </c>
      <c r="F12" s="21">
        <v>396043</v>
      </c>
      <c r="G12" s="42">
        <v>0.29699999999999999</v>
      </c>
      <c r="H12" s="21" t="s">
        <v>800</v>
      </c>
      <c r="I12" s="39" t="str">
        <f ca="1">IFERROR(__xludf.DUMMYFUNCTION("IF(SUM(COUNTIF(artists!A:A, SPLIT(D12, "",""))) &gt; 0, ""UA"", 0)"),"UA")</f>
        <v>UA</v>
      </c>
      <c r="J12" s="40">
        <f ca="1">IFERROR(__xludf.DUMMYFUNCTION("IF(SUM(COUNTIF(artists!C:C, SPLIT(D12, "",""))) &gt; 0, ""RU"", 0)"),0)</f>
        <v>0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C13" s="21" t="s">
        <v>1818</v>
      </c>
      <c r="D13" s="21" t="s">
        <v>1360</v>
      </c>
      <c r="E13" s="21">
        <v>1</v>
      </c>
      <c r="F13" s="21">
        <v>385610</v>
      </c>
      <c r="H13" s="21" t="s">
        <v>1819</v>
      </c>
      <c r="I13" s="39" t="str">
        <f ca="1">IFERROR(__xludf.DUMMYFUNCTION("IF(SUM(COUNTIF(artists!A:A, SPLIT(D13, "",""))) &gt; 0, ""UA"", 0)"),"UA")</f>
        <v>UA</v>
      </c>
      <c r="J13" s="40">
        <f ca="1">IFERROR(__xludf.DUMMYFUNCTION("IF(SUM(COUNTIF(artists!C:C, SPLIT(D13, "",""))) &gt; 0, ""RU"", 0)"),0)</f>
        <v>0</v>
      </c>
      <c r="K13" s="39">
        <f ca="1">IFERROR(__xludf.DUMMYFUNCTION("IF(SUM(COUNTIF(artists!E:E, SPLIT(D13, "",""))) &gt; 0, ""OTHER"", 0)"),0)</f>
        <v>0</v>
      </c>
    </row>
    <row r="14" spans="1:11" ht="14.25" customHeight="1">
      <c r="A14" s="21">
        <v>13</v>
      </c>
      <c r="B14" s="21">
        <v>10</v>
      </c>
      <c r="C14" s="21" t="s">
        <v>1500</v>
      </c>
      <c r="D14" s="21" t="s">
        <v>907</v>
      </c>
      <c r="E14" s="21">
        <v>25</v>
      </c>
      <c r="F14" s="21">
        <v>379581</v>
      </c>
      <c r="G14" s="42">
        <v>-8.4000000000000005E-2</v>
      </c>
      <c r="H14" s="21" t="s">
        <v>1501</v>
      </c>
      <c r="I14" s="39">
        <f ca="1">IFERROR(__xludf.DUMMYFUNCTION("IF(SUM(COUNTIF(artists!A:A, SPLIT(D14, "",""))) &gt; 0, ""UA"", 0)"),0)</f>
        <v>0</v>
      </c>
      <c r="J14" s="40" t="str">
        <f ca="1">IFERROR(__xludf.DUMMYFUNCTION("IF(SUM(COUNTIF(artists!C:C, SPLIT(D14, "",""))) &gt; 0, ""RU"", 0)"),"RU")</f>
        <v>RU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B15" s="21">
        <v>11</v>
      </c>
      <c r="C15" s="21" t="s">
        <v>1436</v>
      </c>
      <c r="D15" s="21" t="s">
        <v>896</v>
      </c>
      <c r="E15" s="21">
        <v>2</v>
      </c>
      <c r="F15" s="21">
        <v>371641</v>
      </c>
      <c r="G15" s="42">
        <v>-1.0999999999999999E-2</v>
      </c>
      <c r="H15" s="21" t="s">
        <v>1437</v>
      </c>
      <c r="I15" s="39" t="str">
        <f ca="1">IFERROR(__xludf.DUMMYFUNCTION("IF(SUM(COUNTIF(artists!A:A, SPLIT(D15, "",""))) &gt; 0, ""UA"", 0)"),"UA")</f>
        <v>UA</v>
      </c>
      <c r="J15" s="40">
        <f ca="1">IFERROR(__xludf.DUMMYFUNCTION("IF(SUM(COUNTIF(artists!C:C, SPLIT(D15, "",""))) &gt; 0, ""RU"", 0)"),0)</f>
        <v>0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B16" s="21">
        <v>13</v>
      </c>
      <c r="C16" s="21" t="s">
        <v>887</v>
      </c>
      <c r="D16" s="21" t="s">
        <v>89</v>
      </c>
      <c r="E16" s="21">
        <v>2</v>
      </c>
      <c r="F16" s="21">
        <v>364602</v>
      </c>
      <c r="G16" s="43">
        <v>0.04</v>
      </c>
      <c r="H16" s="21" t="s">
        <v>888</v>
      </c>
      <c r="I16" s="39" t="str">
        <f ca="1">IFERROR(__xludf.DUMMYFUNCTION("IF(SUM(COUNTIF(artists!A:A, SPLIT(D16, "",""))) &gt; 0, ""UA"", 0)"),"UA")</f>
        <v>UA</v>
      </c>
      <c r="J16" s="40">
        <f ca="1">IFERROR(__xludf.DUMMYFUNCTION("IF(SUM(COUNTIF(artists!C:C, SPLIT(D16, "",""))) &gt; 0, ""RU"", 0)"),0)</f>
        <v>0</v>
      </c>
      <c r="K16" s="39">
        <f ca="1">IFERROR(__xludf.DUMMYFUNCTION("IF(SUM(COUNTIF(artists!E:E, SPLIT(D16, "",""))) &gt; 0, ""OTHER"", 0)"),0)</f>
        <v>0</v>
      </c>
    </row>
    <row r="17" spans="1:11" ht="14.25" customHeight="1">
      <c r="A17" s="21">
        <v>16</v>
      </c>
      <c r="B17" s="21">
        <v>19</v>
      </c>
      <c r="C17" s="21" t="s">
        <v>1777</v>
      </c>
      <c r="D17" s="21" t="s">
        <v>1778</v>
      </c>
      <c r="E17" s="21">
        <v>5</v>
      </c>
      <c r="F17" s="21">
        <v>328720</v>
      </c>
      <c r="G17" s="42">
        <v>8.7999999999999995E-2</v>
      </c>
      <c r="H17" s="21" t="s">
        <v>1779</v>
      </c>
      <c r="I17" s="39" t="str">
        <f ca="1">IFERROR(__xludf.DUMMYFUNCTION("IF(SUM(COUNTIF(artists!A:A, SPLIT(D17, "",""))) &gt; 0, ""UA"", 0)"),"UA")</f>
        <v>UA</v>
      </c>
      <c r="J17" s="40">
        <f ca="1">IFERROR(__xludf.DUMMYFUNCTION("IF(SUM(COUNTIF(artists!C:C, SPLIT(D17, "",""))) &gt; 0, ""RU"", 0)"),0)</f>
        <v>0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C18" s="21" t="s">
        <v>1856</v>
      </c>
      <c r="D18" s="21" t="s">
        <v>125</v>
      </c>
      <c r="E18" s="21">
        <v>1</v>
      </c>
      <c r="F18" s="21">
        <v>313571</v>
      </c>
      <c r="H18" s="21" t="s">
        <v>1857</v>
      </c>
      <c r="I18" s="39">
        <f ca="1">IFERROR(__xludf.DUMMYFUNCTION("IF(SUM(COUNTIF(artists!A:A, SPLIT(D18, "",""))) &gt; 0, ""UA"", 0)"),0)</f>
        <v>0</v>
      </c>
      <c r="J18" s="40" t="str">
        <f ca="1">IFERROR(__xludf.DUMMYFUNCTION("IF(SUM(COUNTIF(artists!C:C, SPLIT(D18, "",""))) &gt; 0, ""RU"", 0)"),"RU")</f>
        <v>RU</v>
      </c>
      <c r="K18" s="39">
        <f ca="1">IFERROR(__xludf.DUMMYFUNCTION("IF(SUM(COUNTIF(artists!E:E, SPLIT(D18, "",""))) &gt; 0, ""OTHER"", 0)"),0)</f>
        <v>0</v>
      </c>
    </row>
    <row r="19" spans="1:11" ht="14.25" customHeight="1">
      <c r="A19" s="21">
        <v>18</v>
      </c>
      <c r="B19" s="21">
        <v>15</v>
      </c>
      <c r="C19" s="21" t="s">
        <v>1325</v>
      </c>
      <c r="D19" s="21" t="s">
        <v>1237</v>
      </c>
      <c r="E19" s="21">
        <v>45</v>
      </c>
      <c r="F19" s="21">
        <v>298087</v>
      </c>
      <c r="G19" s="42">
        <v>-0.124</v>
      </c>
      <c r="H19" s="21" t="s">
        <v>1326</v>
      </c>
      <c r="I19" s="39">
        <f ca="1">IFERROR(__xludf.DUMMYFUNCTION("IF(SUM(COUNTIF(artists!A:A, SPLIT(D19, "",""))) &gt; 0, ""UA"", 0)"),0)</f>
        <v>0</v>
      </c>
      <c r="J19" s="40" t="str">
        <f ca="1">IFERROR(__xludf.DUMMYFUNCTION("IF(SUM(COUNTIF(artists!C:C, SPLIT(D19, "",""))) &gt; 0, ""RU"", 0)"),"RU")</f>
        <v>RU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B20" s="21">
        <v>16</v>
      </c>
      <c r="C20" s="21" t="s">
        <v>1116</v>
      </c>
      <c r="D20" s="21" t="s">
        <v>1117</v>
      </c>
      <c r="E20" s="21">
        <v>17</v>
      </c>
      <c r="F20" s="21">
        <v>286057</v>
      </c>
      <c r="G20" s="42">
        <v>-0.10299999999999999</v>
      </c>
      <c r="H20" s="21" t="s">
        <v>1118</v>
      </c>
      <c r="I20" s="39">
        <f ca="1">IFERROR(__xludf.DUMMYFUNCTION("IF(SUM(COUNTIF(artists!A:A, SPLIT(D20, "",""))) &gt; 0, ""UA"", 0)"),0)</f>
        <v>0</v>
      </c>
      <c r="J20" s="40" t="str">
        <f ca="1">IFERROR(__xludf.DUMMYFUNCTION("IF(SUM(COUNTIF(artists!C:C, SPLIT(D20, "",""))) &gt; 0, ""RU"", 0)"),"RU")</f>
        <v>RU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B21" s="21">
        <v>42</v>
      </c>
      <c r="C21" s="21" t="s">
        <v>1530</v>
      </c>
      <c r="D21" s="21" t="s">
        <v>1531</v>
      </c>
      <c r="E21" s="21">
        <v>5</v>
      </c>
      <c r="F21" s="21">
        <v>285721</v>
      </c>
      <c r="G21" s="42">
        <v>0.38100000000000001</v>
      </c>
      <c r="H21" s="21" t="s">
        <v>1532</v>
      </c>
      <c r="I21" s="39">
        <f ca="1">IFERROR(__xludf.DUMMYFUNCTION("IF(SUM(COUNTIF(artists!A:A, SPLIT(D21, "",""))) &gt; 0, ""UA"", 0)"),0)</f>
        <v>0</v>
      </c>
      <c r="J21" s="40">
        <f ca="1">IFERROR(__xludf.DUMMYFUNCTION("IF(SUM(COUNTIF(artists!C:C, SPLIT(D21, "",""))) &gt; 0, ""RU"", 0)"),0)</f>
        <v>0</v>
      </c>
      <c r="K21" s="39" t="str">
        <f ca="1">IFERROR(__xludf.DUMMYFUNCTION("IF(SUM(COUNTIF(artists!E:E, SPLIT(D21, "",""))) &gt; 0, ""OTHER"", 0)"),"OTHER")</f>
        <v>OTHER</v>
      </c>
    </row>
    <row r="22" spans="1:11" ht="14.25" customHeight="1">
      <c r="A22" s="21">
        <v>21</v>
      </c>
      <c r="B22" s="21">
        <v>24</v>
      </c>
      <c r="C22" s="21" t="s">
        <v>118</v>
      </c>
      <c r="D22" s="21" t="s">
        <v>586</v>
      </c>
      <c r="E22" s="21">
        <v>5</v>
      </c>
      <c r="F22" s="21">
        <v>282790</v>
      </c>
      <c r="G22" s="42">
        <v>7.0999999999999994E-2</v>
      </c>
      <c r="H22" s="21" t="s">
        <v>587</v>
      </c>
      <c r="I22" s="39" t="str">
        <f ca="1">IFERROR(__xludf.DUMMYFUNCTION("IF(SUM(COUNTIF(artists!A:A, SPLIT(D22, "",""))) &gt; 0, ""UA"", 0)"),"UA")</f>
        <v>UA</v>
      </c>
      <c r="J22" s="40">
        <f ca="1">IFERROR(__xludf.DUMMYFUNCTION("IF(SUM(COUNTIF(artists!C:C, SPLIT(D22, "",""))) &gt; 0, ""RU"", 0)"),0)</f>
        <v>0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B23" s="21">
        <v>21</v>
      </c>
      <c r="C23" s="21" t="s">
        <v>1797</v>
      </c>
      <c r="D23" s="21" t="s">
        <v>945</v>
      </c>
      <c r="E23" s="21">
        <v>27</v>
      </c>
      <c r="F23" s="21">
        <v>279365</v>
      </c>
      <c r="G23" s="42">
        <v>-4.4999999999999998E-2</v>
      </c>
      <c r="H23" s="21" t="s">
        <v>1798</v>
      </c>
      <c r="I23" s="39" t="str">
        <f ca="1">IFERROR(__xludf.DUMMYFUNCTION("IF(SUM(COUNTIF(artists!A:A, SPLIT(D23, "",""))) &gt; 0, ""UA"", 0)"),"UA")</f>
        <v>UA</v>
      </c>
      <c r="J23" s="40">
        <f ca="1">IFERROR(__xludf.DUMMYFUNCTION("IF(SUM(COUNTIF(artists!C:C, SPLIT(D23, "",""))) &gt; 0, ""RU"", 0)"),0)</f>
        <v>0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B24" s="21">
        <v>14</v>
      </c>
      <c r="C24" s="21" t="s">
        <v>1614</v>
      </c>
      <c r="D24" s="21" t="s">
        <v>1027</v>
      </c>
      <c r="E24" s="21">
        <v>2</v>
      </c>
      <c r="F24" s="21">
        <v>266223</v>
      </c>
      <c r="G24" s="42">
        <v>-0.23499999999999999</v>
      </c>
      <c r="H24" s="21" t="s">
        <v>1615</v>
      </c>
      <c r="I24" s="39" t="str">
        <f ca="1">IFERROR(__xludf.DUMMYFUNCTION("IF(SUM(COUNTIF(artists!A:A, SPLIT(D24, "",""))) &gt; 0, ""UA"", 0)"),"UA")</f>
        <v>UA</v>
      </c>
      <c r="J24" s="40">
        <f ca="1">IFERROR(__xludf.DUMMYFUNCTION("IF(SUM(COUNTIF(artists!C:C, SPLIT(D24, "",""))) &gt; 0, ""RU"", 0)"),0)</f>
        <v>0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B25" s="21">
        <v>32</v>
      </c>
      <c r="C25" s="21" t="s">
        <v>1729</v>
      </c>
      <c r="D25" s="21" t="s">
        <v>1730</v>
      </c>
      <c r="E25" s="21">
        <v>46</v>
      </c>
      <c r="F25" s="21">
        <v>262246</v>
      </c>
      <c r="G25" s="42">
        <v>5.1999999999999998E-2</v>
      </c>
      <c r="H25" s="21" t="s">
        <v>1731</v>
      </c>
      <c r="I25" s="39">
        <f ca="1">IFERROR(__xludf.DUMMYFUNCTION("IF(SUM(COUNTIF(artists!A:A, SPLIT(D25, "",""))) &gt; 0, ""UA"", 0)"),0)</f>
        <v>0</v>
      </c>
      <c r="J25" s="40" t="str">
        <f ca="1">IFERROR(__xludf.DUMMYFUNCTION("IF(SUM(COUNTIF(artists!C:C, SPLIT(D25, "",""))) &gt; 0, ""RU"", 0)"),"RU")</f>
        <v>RU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B26" s="21">
        <v>38</v>
      </c>
      <c r="C26" s="21" t="s">
        <v>1354</v>
      </c>
      <c r="D26" s="21" t="s">
        <v>1355</v>
      </c>
      <c r="E26" s="21">
        <v>25</v>
      </c>
      <c r="F26" s="21">
        <v>261643</v>
      </c>
      <c r="G26" s="43">
        <v>0.18</v>
      </c>
      <c r="H26" s="21" t="s">
        <v>1356</v>
      </c>
      <c r="I26" s="39" t="str">
        <f ca="1">IFERROR(__xludf.DUMMYFUNCTION("IF(SUM(COUNTIF(artists!A:A, SPLIT(D26, "",""))) &gt; 0, ""UA"", 0)"),"UA")</f>
        <v>UA</v>
      </c>
      <c r="J26" s="40">
        <f ca="1">IFERROR(__xludf.DUMMYFUNCTION("IF(SUM(COUNTIF(artists!C:C, SPLIT(D26, "",""))) &gt; 0, ""RU"", 0)"),0)</f>
        <v>0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B27" s="21">
        <v>17</v>
      </c>
      <c r="C27" s="21" t="s">
        <v>1369</v>
      </c>
      <c r="D27" s="21" t="s">
        <v>1370</v>
      </c>
      <c r="E27" s="21">
        <v>5</v>
      </c>
      <c r="F27" s="21">
        <v>260598</v>
      </c>
      <c r="G27" s="42">
        <v>-0.16900000000000001</v>
      </c>
      <c r="H27" s="21" t="s">
        <v>1371</v>
      </c>
      <c r="I27" s="39" t="str">
        <f ca="1">IFERROR(__xludf.DUMMYFUNCTION("IF(SUM(COUNTIF(artists!A:A, SPLIT(D27, "",""))) &gt; 0, ""UA"", 0)"),"UA")</f>
        <v>UA</v>
      </c>
      <c r="J27" s="40">
        <f ca="1">IFERROR(__xludf.DUMMYFUNCTION("IF(SUM(COUNTIF(artists!C:C, SPLIT(D27, "",""))) &gt; 0, ""RU"", 0)"),0)</f>
        <v>0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B28" s="21">
        <v>23</v>
      </c>
      <c r="C28" s="21" t="s">
        <v>1636</v>
      </c>
      <c r="D28" s="21" t="s">
        <v>1637</v>
      </c>
      <c r="E28" s="21">
        <v>10</v>
      </c>
      <c r="F28" s="21">
        <v>256451</v>
      </c>
      <c r="G28" s="43">
        <v>-0.04</v>
      </c>
      <c r="H28" s="21" t="s">
        <v>1638</v>
      </c>
      <c r="I28" s="39">
        <f ca="1">IFERROR(__xludf.DUMMYFUNCTION("IF(SUM(COUNTIF(artists!A:A, SPLIT(D28, "",""))) &gt; 0, ""UA"", 0)"),0)</f>
        <v>0</v>
      </c>
      <c r="J28" s="40" t="str">
        <f ca="1">IFERROR(__xludf.DUMMYFUNCTION("IF(SUM(COUNTIF(artists!C:C, SPLIT(D28, "",""))) &gt; 0, ""RU"", 0)"),"RU")</f>
        <v>RU</v>
      </c>
      <c r="K28" s="39">
        <f ca="1">IFERROR(__xludf.DUMMYFUNCTION("IF(SUM(COUNTIF(artists!E:E, SPLIT(D28, "",""))) &gt; 0, ""OTHER"", 0)"),0)</f>
        <v>0</v>
      </c>
    </row>
    <row r="29" spans="1:11" ht="14.25" customHeight="1">
      <c r="A29" s="21">
        <v>28</v>
      </c>
      <c r="B29" s="21">
        <v>28</v>
      </c>
      <c r="C29" s="21" t="s">
        <v>493</v>
      </c>
      <c r="D29" s="21" t="s">
        <v>494</v>
      </c>
      <c r="E29" s="21">
        <v>10</v>
      </c>
      <c r="F29" s="21">
        <v>253778</v>
      </c>
      <c r="G29" s="42">
        <v>-8.9999999999999993E-3</v>
      </c>
      <c r="H29" s="21" t="s">
        <v>495</v>
      </c>
      <c r="I29" s="39" t="str">
        <f ca="1">IFERROR(__xludf.DUMMYFUNCTION("IF(SUM(COUNTIF(artists!A:A, SPLIT(D29, "",""))) &gt; 0, ""UA"", 0)"),"UA")</f>
        <v>UA</v>
      </c>
      <c r="J29" s="40">
        <f ca="1">IFERROR(__xludf.DUMMYFUNCTION("IF(SUM(COUNTIF(artists!C:C, SPLIT(D29, "",""))) &gt; 0, ""RU"", 0)"),0)</f>
        <v>0</v>
      </c>
      <c r="K29" s="39">
        <f ca="1">IFERROR(__xludf.DUMMYFUNCTION("IF(SUM(COUNTIF(artists!E:E, SPLIT(D29, "",""))) &gt; 0, ""OTHER"", 0)"),0)</f>
        <v>0</v>
      </c>
    </row>
    <row r="30" spans="1:11" ht="14.25" customHeight="1">
      <c r="A30" s="21">
        <v>29</v>
      </c>
      <c r="C30" s="21" t="s">
        <v>1893</v>
      </c>
      <c r="D30" s="21" t="s">
        <v>1534</v>
      </c>
      <c r="E30" s="21">
        <v>1</v>
      </c>
      <c r="F30" s="21">
        <v>253293</v>
      </c>
      <c r="H30" s="21" t="s">
        <v>1894</v>
      </c>
      <c r="I30" s="39">
        <f ca="1">IFERROR(__xludf.DUMMYFUNCTION("IF(SUM(COUNTIF(artists!A:A, SPLIT(D30, "",""))) &gt; 0, ""UA"", 0)"),0)</f>
        <v>0</v>
      </c>
      <c r="J30" s="40" t="str">
        <f ca="1">IFERROR(__xludf.DUMMYFUNCTION("IF(SUM(COUNTIF(artists!C:C, SPLIT(D30, "",""))) &gt; 0, ""RU"", 0)"),"RU")</f>
        <v>RU</v>
      </c>
      <c r="K30" s="39">
        <f ca="1">IFERROR(__xludf.DUMMYFUNCTION("IF(SUM(COUNTIF(artists!E:E, SPLIT(D30, "",""))) &gt; 0, ""OTHER"", 0)"),0)</f>
        <v>0</v>
      </c>
    </row>
    <row r="31" spans="1:11" ht="14.25" customHeight="1">
      <c r="A31" s="21">
        <v>30</v>
      </c>
      <c r="B31" s="21">
        <v>27</v>
      </c>
      <c r="C31" s="21" t="s">
        <v>1854</v>
      </c>
      <c r="D31" s="21" t="s">
        <v>1503</v>
      </c>
      <c r="E31" s="21">
        <v>2</v>
      </c>
      <c r="F31" s="21">
        <v>247017</v>
      </c>
      <c r="G31" s="42">
        <v>-4.1000000000000002E-2</v>
      </c>
      <c r="H31" s="21" t="s">
        <v>1855</v>
      </c>
      <c r="I31" s="39" t="str">
        <f ca="1">IFERROR(__xludf.DUMMYFUNCTION("IF(SUM(COUNTIF(artists!A:A, SPLIT(D31, "",""))) &gt; 0, ""UA"", 0)"),"UA")</f>
        <v>UA</v>
      </c>
      <c r="J31" s="40">
        <f ca="1">IFERROR(__xludf.DUMMYFUNCTION("IF(SUM(COUNTIF(artists!C:C, SPLIT(D31, "",""))) &gt; 0, ""RU"", 0)"),0)</f>
        <v>0</v>
      </c>
      <c r="K31" s="39">
        <f ca="1">IFERROR(__xludf.DUMMYFUNCTION("IF(SUM(COUNTIF(artists!E:E, SPLIT(D31, "",""))) &gt; 0, ""OTHER"", 0)"),0)</f>
        <v>0</v>
      </c>
    </row>
    <row r="32" spans="1:11" ht="14.25" customHeight="1">
      <c r="A32" s="21">
        <v>31</v>
      </c>
      <c r="B32" s="21">
        <v>29</v>
      </c>
      <c r="C32" s="21" t="s">
        <v>1825</v>
      </c>
      <c r="D32" s="21" t="s">
        <v>1895</v>
      </c>
      <c r="E32" s="21">
        <v>49</v>
      </c>
      <c r="F32" s="21">
        <v>246985</v>
      </c>
      <c r="G32" s="42">
        <v>-3.3000000000000002E-2</v>
      </c>
      <c r="H32" s="21" t="s">
        <v>1827</v>
      </c>
      <c r="I32" s="39">
        <f ca="1">IFERROR(__xludf.DUMMYFUNCTION("IF(SUM(COUNTIF(artists!A:A, SPLIT(D32, "",""))) &gt; 0, ""UA"", 0)"),0)</f>
        <v>0</v>
      </c>
      <c r="J32" s="40">
        <f ca="1">IFERROR(__xludf.DUMMYFUNCTION("IF(SUM(COUNTIF(artists!C:C, SPLIT(D32, "",""))) &gt; 0, ""RU"", 0)"),0)</f>
        <v>0</v>
      </c>
      <c r="K32" s="39" t="str">
        <f ca="1">IFERROR(__xludf.DUMMYFUNCTION("IF(SUM(COUNTIF(artists!E:E, SPLIT(D32, "",""))) &gt; 0, ""OTHER"", 0)"),"OTHER")</f>
        <v>OTHER</v>
      </c>
    </row>
    <row r="33" spans="1:11" ht="14.25" customHeight="1">
      <c r="A33" s="21">
        <v>32</v>
      </c>
      <c r="B33" s="21">
        <v>25</v>
      </c>
      <c r="C33" s="21" t="s">
        <v>1631</v>
      </c>
      <c r="D33" s="21" t="s">
        <v>409</v>
      </c>
      <c r="E33" s="21">
        <v>5</v>
      </c>
      <c r="F33" s="21">
        <v>246769</v>
      </c>
      <c r="G33" s="42">
        <v>-4.9000000000000002E-2</v>
      </c>
      <c r="H33" s="21" t="s">
        <v>1632</v>
      </c>
      <c r="I33" s="39" t="str">
        <f ca="1">IFERROR(__xludf.DUMMYFUNCTION("IF(SUM(COUNTIF(artists!A:A, SPLIT(D33, "",""))) &gt; 0, ""UA"", 0)"),"UA")</f>
        <v>UA</v>
      </c>
      <c r="J33" s="40">
        <f ca="1">IFERROR(__xludf.DUMMYFUNCTION("IF(SUM(COUNTIF(artists!C:C, SPLIT(D33, "",""))) &gt; 0, ""RU"", 0)"),0)</f>
        <v>0</v>
      </c>
      <c r="K33" s="39">
        <f ca="1">IFERROR(__xludf.DUMMYFUNCTION("IF(SUM(COUNTIF(artists!E:E, SPLIT(D33, "",""))) &gt; 0, ""OTHER"", 0)"),0)</f>
        <v>0</v>
      </c>
    </row>
    <row r="34" spans="1:11" ht="14.25" customHeight="1">
      <c r="A34" s="21">
        <v>33</v>
      </c>
      <c r="B34" s="21">
        <v>30</v>
      </c>
      <c r="C34" s="21" t="s">
        <v>1674</v>
      </c>
      <c r="D34" s="21" t="s">
        <v>172</v>
      </c>
      <c r="E34" s="21">
        <v>11</v>
      </c>
      <c r="F34" s="21">
        <v>246017</v>
      </c>
      <c r="G34" s="42">
        <v>-3.1E-2</v>
      </c>
      <c r="H34" s="21" t="s">
        <v>1675</v>
      </c>
      <c r="I34" s="39">
        <f ca="1">IFERROR(__xludf.DUMMYFUNCTION("IF(SUM(COUNTIF(artists!A:A, SPLIT(D34, "",""))) &gt; 0, ""UA"", 0)"),0)</f>
        <v>0</v>
      </c>
      <c r="J34" s="40" t="str">
        <f ca="1">IFERROR(__xludf.DUMMYFUNCTION("IF(SUM(COUNTIF(artists!C:C, SPLIT(D34, "",""))) &gt; 0, ""RU"", 0)"),"RU")</f>
        <v>RU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B35" s="21">
        <v>51</v>
      </c>
      <c r="C35" s="21" t="s">
        <v>968</v>
      </c>
      <c r="D35" s="21" t="s">
        <v>969</v>
      </c>
      <c r="E35" s="21">
        <v>15</v>
      </c>
      <c r="F35" s="21">
        <v>230257</v>
      </c>
      <c r="G35" s="42">
        <v>0.20699999999999999</v>
      </c>
      <c r="H35" s="21" t="s">
        <v>970</v>
      </c>
      <c r="I35" s="39" t="str">
        <f ca="1">IFERROR(__xludf.DUMMYFUNCTION("IF(SUM(COUNTIF(artists!A:A, SPLIT(D35, "",""))) &gt; 0, ""UA"", 0)"),"UA")</f>
        <v>UA</v>
      </c>
      <c r="J35" s="40">
        <f ca="1">IFERROR(__xludf.DUMMYFUNCTION("IF(SUM(COUNTIF(artists!C:C, SPLIT(D35, "",""))) &gt; 0, ""RU"", 0)"),0)</f>
        <v>0</v>
      </c>
      <c r="K35" s="39">
        <f ca="1">IFERROR(__xludf.DUMMYFUNCTION("IF(SUM(COUNTIF(artists!E:E, SPLIT(D35, "",""))) &gt; 0, ""OTHER"", 0)"),0)</f>
        <v>0</v>
      </c>
    </row>
    <row r="36" spans="1:11" ht="14.25" customHeight="1">
      <c r="A36" s="21">
        <v>35</v>
      </c>
      <c r="B36" s="21">
        <v>63</v>
      </c>
      <c r="C36" s="21" t="s">
        <v>1830</v>
      </c>
      <c r="D36" s="21" t="s">
        <v>1426</v>
      </c>
      <c r="E36" s="21">
        <v>2</v>
      </c>
      <c r="F36" s="21">
        <v>229933</v>
      </c>
      <c r="G36" s="42">
        <v>0.38800000000000001</v>
      </c>
      <c r="H36" s="21" t="s">
        <v>1831</v>
      </c>
      <c r="I36" s="39" t="str">
        <f ca="1">IFERROR(__xludf.DUMMYFUNCTION("IF(SUM(COUNTIF(artists!A:A, SPLIT(D36, "",""))) &gt; 0, ""UA"", 0)"),"UA")</f>
        <v>UA</v>
      </c>
      <c r="J36" s="40">
        <f ca="1">IFERROR(__xludf.DUMMYFUNCTION("IF(SUM(COUNTIF(artists!C:C, SPLIT(D36, "",""))) &gt; 0, ""RU"", 0)"),0)</f>
        <v>0</v>
      </c>
      <c r="K36" s="39">
        <f ca="1">IFERROR(__xludf.DUMMYFUNCTION("IF(SUM(COUNTIF(artists!E:E, SPLIT(D36, "",""))) &gt; 0, ""OTHER"", 0)"),0)</f>
        <v>0</v>
      </c>
    </row>
    <row r="37" spans="1:11" ht="14.25" customHeight="1">
      <c r="A37" s="21">
        <v>36</v>
      </c>
      <c r="B37" s="21">
        <v>22</v>
      </c>
      <c r="C37" s="21" t="s">
        <v>1659</v>
      </c>
      <c r="D37" s="21" t="s">
        <v>1660</v>
      </c>
      <c r="E37" s="21">
        <v>4</v>
      </c>
      <c r="F37" s="21">
        <v>229102</v>
      </c>
      <c r="G37" s="42">
        <v>-0.14699999999999999</v>
      </c>
      <c r="H37" s="21" t="s">
        <v>1661</v>
      </c>
      <c r="I37" s="39">
        <f ca="1">IFERROR(__xludf.DUMMYFUNCTION("IF(SUM(COUNTIF(artists!A:A, SPLIT(D37, "",""))) &gt; 0, ""UA"", 0)"),0)</f>
        <v>0</v>
      </c>
      <c r="J37" s="40" t="str">
        <f ca="1">IFERROR(__xludf.DUMMYFUNCTION("IF(SUM(COUNTIF(artists!C:C, SPLIT(D37, "",""))) &gt; 0, ""RU"", 0)"),"RU")</f>
        <v>RU</v>
      </c>
      <c r="K37" s="39">
        <f ca="1">IFERROR(__xludf.DUMMYFUNCTION("IF(SUM(COUNTIF(artists!E:E, SPLIT(D37, "",""))) &gt; 0, ""OTHER"", 0)"),0)</f>
        <v>0</v>
      </c>
    </row>
    <row r="38" spans="1:11" ht="14.25" customHeight="1">
      <c r="A38" s="21">
        <v>37</v>
      </c>
      <c r="B38" s="21">
        <v>35</v>
      </c>
      <c r="C38" s="21" t="s">
        <v>1616</v>
      </c>
      <c r="D38" s="21" t="s">
        <v>1617</v>
      </c>
      <c r="E38" s="21">
        <v>41</v>
      </c>
      <c r="F38" s="21">
        <v>228883</v>
      </c>
      <c r="G38" s="42">
        <v>-1.2E-2</v>
      </c>
      <c r="H38" s="21" t="s">
        <v>1618</v>
      </c>
      <c r="I38" s="39">
        <f ca="1">IFERROR(__xludf.DUMMYFUNCTION("IF(SUM(COUNTIF(artists!A:A, SPLIT(D38, "",""))) &gt; 0, ""UA"", 0)"),0)</f>
        <v>0</v>
      </c>
      <c r="J38" s="40" t="str">
        <f ca="1">IFERROR(__xludf.DUMMYFUNCTION("IF(SUM(COUNTIF(artists!C:C, SPLIT(D38, "",""))) &gt; 0, ""RU"", 0)"),"RU")</f>
        <v>RU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B39" s="21">
        <v>52</v>
      </c>
      <c r="C39" s="21" t="s">
        <v>470</v>
      </c>
      <c r="D39" s="21" t="s">
        <v>81</v>
      </c>
      <c r="E39" s="21">
        <v>4</v>
      </c>
      <c r="F39" s="21">
        <v>228126</v>
      </c>
      <c r="G39" s="42">
        <v>0.20200000000000001</v>
      </c>
      <c r="H39" s="21" t="s">
        <v>472</v>
      </c>
      <c r="I39" s="39" t="str">
        <f ca="1">IFERROR(__xludf.DUMMYFUNCTION("IF(SUM(COUNTIF(artists!A:A, SPLIT(D39, "",""))) &gt; 0, ""UA"", 0)"),"UA")</f>
        <v>UA</v>
      </c>
      <c r="J39" s="40">
        <f ca="1">IFERROR(__xludf.DUMMYFUNCTION("IF(SUM(COUNTIF(artists!C:C, SPLIT(D39, "",""))) &gt; 0, ""RU"", 0)"),0)</f>
        <v>0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B40" s="21">
        <v>26</v>
      </c>
      <c r="C40" s="21" t="s">
        <v>1849</v>
      </c>
      <c r="D40" s="21" t="s">
        <v>598</v>
      </c>
      <c r="E40" s="21">
        <v>5</v>
      </c>
      <c r="F40" s="21">
        <v>224161</v>
      </c>
      <c r="G40" s="42">
        <v>-0.13100000000000001</v>
      </c>
      <c r="H40" s="21" t="s">
        <v>1850</v>
      </c>
      <c r="I40" s="39" t="str">
        <f ca="1">IFERROR(__xludf.DUMMYFUNCTION("IF(SUM(COUNTIF(artists!A:A, SPLIT(D40, "",""))) &gt; 0, ""UA"", 0)"),"UA")</f>
        <v>UA</v>
      </c>
      <c r="J40" s="40">
        <f ca="1">IFERROR(__xludf.DUMMYFUNCTION("IF(SUM(COUNTIF(artists!C:C, SPLIT(D40, "",""))) &gt; 0, ""RU"", 0)"),0)</f>
        <v>0</v>
      </c>
      <c r="K40" s="39">
        <f ca="1">IFERROR(__xludf.DUMMYFUNCTION("IF(SUM(COUNTIF(artists!E:E, SPLIT(D40, "",""))) &gt; 0, ""OTHER"", 0)"),0)</f>
        <v>0</v>
      </c>
    </row>
    <row r="41" spans="1:11" ht="14.25" customHeight="1">
      <c r="A41" s="21">
        <v>40</v>
      </c>
      <c r="B41" s="21">
        <v>36</v>
      </c>
      <c r="C41" s="21" t="s">
        <v>1896</v>
      </c>
      <c r="D41" s="21" t="s">
        <v>1099</v>
      </c>
      <c r="E41" s="21">
        <v>52</v>
      </c>
      <c r="F41" s="21">
        <v>223932</v>
      </c>
      <c r="G41" s="42">
        <v>-2.5000000000000001E-2</v>
      </c>
      <c r="H41" s="21" t="s">
        <v>1897</v>
      </c>
      <c r="I41" s="39">
        <f ca="1">IFERROR(__xludf.DUMMYFUNCTION("IF(SUM(COUNTIF(artists!A:A, SPLIT(D41, "",""))) &gt; 0, ""UA"", 0)"),0)</f>
        <v>0</v>
      </c>
      <c r="J41" s="40" t="str">
        <f ca="1">IFERROR(__xludf.DUMMYFUNCTION("IF(SUM(COUNTIF(artists!C:C, SPLIT(D41, "",""))) &gt; 0, ""RU"", 0)"),"RU")</f>
        <v>RU</v>
      </c>
      <c r="K41" s="39">
        <f ca="1">IFERROR(__xludf.DUMMYFUNCTION("IF(SUM(COUNTIF(artists!E:E, SPLIT(D41, "",""))) &gt; 0, ""OTHER"", 0)"),0)</f>
        <v>0</v>
      </c>
    </row>
    <row r="42" spans="1:11" ht="14.25" customHeight="1">
      <c r="A42" s="21">
        <v>41</v>
      </c>
      <c r="B42" s="21">
        <v>41</v>
      </c>
      <c r="C42" s="21" t="s">
        <v>1502</v>
      </c>
      <c r="D42" s="21" t="s">
        <v>1503</v>
      </c>
      <c r="E42" s="21">
        <v>25</v>
      </c>
      <c r="F42" s="21">
        <v>220364</v>
      </c>
      <c r="G42" s="42">
        <v>4.5999999999999999E-2</v>
      </c>
      <c r="H42" s="21" t="s">
        <v>1504</v>
      </c>
      <c r="I42" s="39" t="str">
        <f ca="1">IFERROR(__xludf.DUMMYFUNCTION("IF(SUM(COUNTIF(artists!A:A, SPLIT(D42, "",""))) &gt; 0, ""UA"", 0)"),"UA")</f>
        <v>UA</v>
      </c>
      <c r="J42" s="40">
        <f ca="1">IFERROR(__xludf.DUMMYFUNCTION("IF(SUM(COUNTIF(artists!C:C, SPLIT(D42, "",""))) &gt; 0, ""RU"", 0)"),0)</f>
        <v>0</v>
      </c>
      <c r="K42" s="39">
        <f ca="1">IFERROR(__xludf.DUMMYFUNCTION("IF(SUM(COUNTIF(artists!E:E, SPLIT(D42, "",""))) &gt; 0, ""OTHER"", 0)"),0)</f>
        <v>0</v>
      </c>
    </row>
    <row r="43" spans="1:11" ht="14.25" customHeight="1">
      <c r="A43" s="21">
        <v>42</v>
      </c>
      <c r="B43" s="21">
        <v>44</v>
      </c>
      <c r="C43" s="21" t="s">
        <v>748</v>
      </c>
      <c r="D43" s="21" t="s">
        <v>586</v>
      </c>
      <c r="E43" s="21">
        <v>4</v>
      </c>
      <c r="F43" s="21">
        <v>207807</v>
      </c>
      <c r="G43" s="43">
        <v>0.03</v>
      </c>
      <c r="H43" s="21" t="s">
        <v>749</v>
      </c>
      <c r="I43" s="39" t="str">
        <f ca="1">IFERROR(__xludf.DUMMYFUNCTION("IF(SUM(COUNTIF(artists!A:A, SPLIT(D43, "",""))) &gt; 0, ""UA"", 0)"),"UA")</f>
        <v>UA</v>
      </c>
      <c r="J43" s="40">
        <f ca="1">IFERROR(__xludf.DUMMYFUNCTION("IF(SUM(COUNTIF(artists!C:C, SPLIT(D43, "",""))) &gt; 0, ""RU"", 0)"),0)</f>
        <v>0</v>
      </c>
      <c r="K43" s="39">
        <f ca="1">IFERROR(__xludf.DUMMYFUNCTION("IF(SUM(COUNTIF(artists!E:E, SPLIT(D43, "",""))) &gt; 0, ""OTHER"", 0)"),0)</f>
        <v>0</v>
      </c>
    </row>
    <row r="44" spans="1:11" ht="14.25" customHeight="1">
      <c r="A44" s="21">
        <v>43</v>
      </c>
      <c r="B44" s="21">
        <v>31</v>
      </c>
      <c r="C44" s="21" t="s">
        <v>1726</v>
      </c>
      <c r="D44" s="21" t="s">
        <v>1727</v>
      </c>
      <c r="E44" s="21">
        <v>5</v>
      </c>
      <c r="F44" s="21">
        <v>204459</v>
      </c>
      <c r="G44" s="42">
        <v>-0.193</v>
      </c>
      <c r="H44" s="21" t="s">
        <v>1728</v>
      </c>
      <c r="I44" s="39" t="str">
        <f ca="1">IFERROR(__xludf.DUMMYFUNCTION("IF(SUM(COUNTIF(artists!A:A, SPLIT(D44, "",""))) &gt; 0, ""UA"", 0)"),"UA")</f>
        <v>UA</v>
      </c>
      <c r="J44" s="40">
        <f ca="1">IFERROR(__xludf.DUMMYFUNCTION("IF(SUM(COUNTIF(artists!C:C, SPLIT(D44, "",""))) &gt; 0, ""RU"", 0)"),0)</f>
        <v>0</v>
      </c>
      <c r="K44" s="39">
        <f ca="1">IFERROR(__xludf.DUMMYFUNCTION("IF(SUM(COUNTIF(artists!E:E, SPLIT(D44, "",""))) &gt; 0, ""OTHER"", 0)"),0)</f>
        <v>0</v>
      </c>
    </row>
    <row r="45" spans="1:11" ht="14.25" customHeight="1">
      <c r="A45" s="21">
        <v>44</v>
      </c>
      <c r="B45" s="21">
        <v>39</v>
      </c>
      <c r="C45" s="21" t="s">
        <v>841</v>
      </c>
      <c r="D45" s="21" t="s">
        <v>842</v>
      </c>
      <c r="E45" s="21">
        <v>11</v>
      </c>
      <c r="F45" s="21">
        <v>204079</v>
      </c>
      <c r="G45" s="42">
        <v>-5.8999999999999997E-2</v>
      </c>
      <c r="H45" s="21" t="s">
        <v>843</v>
      </c>
      <c r="I45" s="39">
        <f ca="1">IFERROR(__xludf.DUMMYFUNCTION("IF(SUM(COUNTIF(artists!A:A, SPLIT(D45, "",""))) &gt; 0, ""UA"", 0)"),0)</f>
        <v>0</v>
      </c>
      <c r="J45" s="40">
        <f ca="1">IFERROR(__xludf.DUMMYFUNCTION("IF(SUM(COUNTIF(artists!C:C, SPLIT(D45, "",""))) &gt; 0, ""RU"", 0)"),0)</f>
        <v>0</v>
      </c>
      <c r="K45" s="39" t="str">
        <f ca="1">IFERROR(__xludf.DUMMYFUNCTION("IF(SUM(COUNTIF(artists!E:E, SPLIT(D45, "",""))) &gt; 0, ""OTHER"", 0)"),"OTHER")</f>
        <v>OTHER</v>
      </c>
    </row>
    <row r="46" spans="1:11" ht="14.25" customHeight="1">
      <c r="A46" s="21">
        <v>45</v>
      </c>
      <c r="B46" s="21">
        <v>66</v>
      </c>
      <c r="C46" s="21" t="s">
        <v>1498</v>
      </c>
      <c r="D46" s="21" t="s">
        <v>969</v>
      </c>
      <c r="E46" s="21">
        <v>27</v>
      </c>
      <c r="F46" s="21">
        <v>202600</v>
      </c>
      <c r="G46" s="42">
        <v>0.248</v>
      </c>
      <c r="H46" s="21" t="s">
        <v>1499</v>
      </c>
      <c r="I46" s="39" t="str">
        <f ca="1">IFERROR(__xludf.DUMMYFUNCTION("IF(SUM(COUNTIF(artists!A:A, SPLIT(D46, "",""))) &gt; 0, ""UA"", 0)"),"UA")</f>
        <v>UA</v>
      </c>
      <c r="J46" s="40">
        <f ca="1">IFERROR(__xludf.DUMMYFUNCTION("IF(SUM(COUNTIF(artists!C:C, SPLIT(D46, "",""))) &gt; 0, ""RU"", 0)"),0)</f>
        <v>0</v>
      </c>
      <c r="K46" s="39">
        <f ca="1">IFERROR(__xludf.DUMMYFUNCTION("IF(SUM(COUNTIF(artists!E:E, SPLIT(D46, "",""))) &gt; 0, ""OTHER"", 0)"),0)</f>
        <v>0</v>
      </c>
    </row>
    <row r="47" spans="1:11" ht="14.25" customHeight="1">
      <c r="A47" s="21">
        <v>46</v>
      </c>
      <c r="C47" s="21" t="s">
        <v>1298</v>
      </c>
      <c r="D47" s="21" t="s">
        <v>226</v>
      </c>
      <c r="E47" s="21">
        <v>1</v>
      </c>
      <c r="F47" s="21">
        <v>201542</v>
      </c>
      <c r="H47" s="21" t="s">
        <v>1299</v>
      </c>
      <c r="I47" s="39" t="str">
        <f ca="1">IFERROR(__xludf.DUMMYFUNCTION("IF(SUM(COUNTIF(artists!A:A, SPLIT(D47, "",""))) &gt; 0, ""UA"", 0)"),"UA")</f>
        <v>UA</v>
      </c>
      <c r="J47" s="40">
        <f ca="1">IFERROR(__xludf.DUMMYFUNCTION("IF(SUM(COUNTIF(artists!C:C, SPLIT(D47, "",""))) &gt; 0, ""RU"", 0)"),0)</f>
        <v>0</v>
      </c>
      <c r="K47" s="39">
        <f ca="1">IFERROR(__xludf.DUMMYFUNCTION("IF(SUM(COUNTIF(artists!E:E, SPLIT(D47, "",""))) &gt; 0, ""OTHER"", 0)"),0)</f>
        <v>0</v>
      </c>
    </row>
    <row r="48" spans="1:11" ht="14.25" customHeight="1">
      <c r="A48" s="21">
        <v>47</v>
      </c>
      <c r="B48" s="21">
        <v>43</v>
      </c>
      <c r="C48" s="21" t="s">
        <v>1810</v>
      </c>
      <c r="D48" s="21" t="s">
        <v>15</v>
      </c>
      <c r="E48" s="21">
        <v>5</v>
      </c>
      <c r="F48" s="21">
        <v>201137</v>
      </c>
      <c r="G48" s="42">
        <v>-2.5999999999999999E-2</v>
      </c>
      <c r="H48" s="21" t="s">
        <v>1811</v>
      </c>
      <c r="I48" s="39">
        <f ca="1">IFERROR(__xludf.DUMMYFUNCTION("IF(SUM(COUNTIF(artists!A:A, SPLIT(D48, "",""))) &gt; 0, ""UA"", 0)"),0)</f>
        <v>0</v>
      </c>
      <c r="J48" s="40">
        <f ca="1">IFERROR(__xludf.DUMMYFUNCTION("IF(SUM(COUNTIF(artists!C:C, SPLIT(D48, "",""))) &gt; 0, ""RU"", 0)"),0)</f>
        <v>0</v>
      </c>
      <c r="K48" s="39" t="str">
        <f ca="1">IFERROR(__xludf.DUMMYFUNCTION("IF(SUM(COUNTIF(artists!E:E, SPLIT(D48, "",""))) &gt; 0, ""OTHER"", 0)"),"OTHER")</f>
        <v>OTHER</v>
      </c>
    </row>
    <row r="49" spans="1:11" ht="14.25" customHeight="1">
      <c r="A49" s="21">
        <v>48</v>
      </c>
      <c r="B49" s="21">
        <v>54</v>
      </c>
      <c r="C49" s="21" t="s">
        <v>1477</v>
      </c>
      <c r="D49" s="21" t="s">
        <v>1478</v>
      </c>
      <c r="E49" s="21">
        <v>4</v>
      </c>
      <c r="F49" s="21">
        <v>196330</v>
      </c>
      <c r="G49" s="42">
        <v>6.6000000000000003E-2</v>
      </c>
      <c r="H49" s="21" t="s">
        <v>1479</v>
      </c>
      <c r="I49" s="39" t="str">
        <f ca="1">IFERROR(__xludf.DUMMYFUNCTION("IF(SUM(COUNTIF(artists!A:A, SPLIT(D49, "",""))) &gt; 0, ""UA"", 0)"),"UA")</f>
        <v>UA</v>
      </c>
      <c r="J49" s="40">
        <f ca="1">IFERROR(__xludf.DUMMYFUNCTION("IF(SUM(COUNTIF(artists!C:C, SPLIT(D49, "",""))) &gt; 0, ""RU"", 0)"),0)</f>
        <v>0</v>
      </c>
      <c r="K49" s="39">
        <f ca="1">IFERROR(__xludf.DUMMYFUNCTION("IF(SUM(COUNTIF(artists!E:E, SPLIT(D49, "",""))) &gt; 0, ""OTHER"", 0)"),0)</f>
        <v>0</v>
      </c>
    </row>
    <row r="50" spans="1:11" ht="14.25" customHeight="1">
      <c r="A50" s="21">
        <v>49</v>
      </c>
      <c r="B50" s="21">
        <v>60</v>
      </c>
      <c r="C50" s="21" t="s">
        <v>1588</v>
      </c>
      <c r="D50" s="21" t="s">
        <v>776</v>
      </c>
      <c r="E50" s="21">
        <v>8</v>
      </c>
      <c r="F50" s="21">
        <v>190991</v>
      </c>
      <c r="G50" s="42">
        <v>0.126</v>
      </c>
      <c r="H50" s="21" t="s">
        <v>1589</v>
      </c>
      <c r="I50" s="39" t="str">
        <f ca="1">IFERROR(__xludf.DUMMYFUNCTION("IF(SUM(COUNTIF(artists!A:A, SPLIT(D50, "",""))) &gt; 0, ""UA"", 0)"),"UA")</f>
        <v>UA</v>
      </c>
      <c r="J50" s="40">
        <f ca="1">IFERROR(__xludf.DUMMYFUNCTION("IF(SUM(COUNTIF(artists!C:C, SPLIT(D50, "",""))) &gt; 0, ""RU"", 0)"),0)</f>
        <v>0</v>
      </c>
      <c r="K50" s="39">
        <f ca="1">IFERROR(__xludf.DUMMYFUNCTION("IF(SUM(COUNTIF(artists!E:E, SPLIT(D50, "",""))) &gt; 0, ""OTHER"", 0)"),0)</f>
        <v>0</v>
      </c>
    </row>
    <row r="51" spans="1:11" ht="14.25" customHeight="1">
      <c r="A51" s="21">
        <v>50</v>
      </c>
      <c r="B51" s="21">
        <v>62</v>
      </c>
      <c r="C51" s="21" t="s">
        <v>1763</v>
      </c>
      <c r="D51" s="21" t="s">
        <v>81</v>
      </c>
      <c r="E51" s="21">
        <v>25</v>
      </c>
      <c r="F51" s="21">
        <v>186638</v>
      </c>
      <c r="G51" s="42">
        <v>0.11799999999999999</v>
      </c>
      <c r="H51" s="21" t="s">
        <v>1764</v>
      </c>
      <c r="I51" s="39" t="str">
        <f ca="1">IFERROR(__xludf.DUMMYFUNCTION("IF(SUM(COUNTIF(artists!A:A, SPLIT(D51, "",""))) &gt; 0, ""UA"", 0)"),"UA")</f>
        <v>UA</v>
      </c>
      <c r="J51" s="40">
        <f ca="1">IFERROR(__xludf.DUMMYFUNCTION("IF(SUM(COUNTIF(artists!C:C, SPLIT(D51, "",""))) &gt; 0, ""RU"", 0)"),0)</f>
        <v>0</v>
      </c>
      <c r="K51" s="39">
        <f ca="1">IFERROR(__xludf.DUMMYFUNCTION("IF(SUM(COUNTIF(artists!E:E, SPLIT(D51, "",""))) &gt; 0, ""OTHER"", 0)"),0)</f>
        <v>0</v>
      </c>
    </row>
    <row r="52" spans="1:11" ht="14.25" customHeight="1">
      <c r="A52" s="21">
        <v>51</v>
      </c>
      <c r="B52" s="21">
        <v>34</v>
      </c>
      <c r="C52" s="21" t="s">
        <v>1837</v>
      </c>
      <c r="D52" s="21" t="s">
        <v>380</v>
      </c>
      <c r="E52" s="21">
        <v>2</v>
      </c>
      <c r="F52" s="21">
        <v>185785</v>
      </c>
      <c r="G52" s="42">
        <v>-0.219</v>
      </c>
      <c r="H52" s="21" t="s">
        <v>1838</v>
      </c>
      <c r="I52" s="39" t="str">
        <f ca="1">IFERROR(__xludf.DUMMYFUNCTION("IF(SUM(COUNTIF(artists!A:A, SPLIT(D52, "",""))) &gt; 0, ""UA"", 0)"),"UA")</f>
        <v>UA</v>
      </c>
      <c r="J52" s="40">
        <f ca="1">IFERROR(__xludf.DUMMYFUNCTION("IF(SUM(COUNTIF(artists!C:C, SPLIT(D52, "",""))) &gt; 0, ""RU"", 0)"),0)</f>
        <v>0</v>
      </c>
      <c r="K52" s="39">
        <f ca="1">IFERROR(__xludf.DUMMYFUNCTION("IF(SUM(COUNTIF(artists!E:E, SPLIT(D52, "",""))) &gt; 0, ""OTHER"", 0)"),0)</f>
        <v>0</v>
      </c>
    </row>
    <row r="53" spans="1:11" ht="14.25" customHeight="1">
      <c r="A53" s="21">
        <v>52</v>
      </c>
      <c r="B53" s="21">
        <v>53</v>
      </c>
      <c r="C53" s="21" t="s">
        <v>1812</v>
      </c>
      <c r="D53" s="21" t="s">
        <v>133</v>
      </c>
      <c r="E53" s="21">
        <v>5</v>
      </c>
      <c r="F53" s="21">
        <v>184348</v>
      </c>
      <c r="G53" s="42">
        <v>-2.5000000000000001E-2</v>
      </c>
      <c r="H53" s="21" t="s">
        <v>1813</v>
      </c>
      <c r="I53" s="39" t="str">
        <f ca="1">IFERROR(__xludf.DUMMYFUNCTION("IF(SUM(COUNTIF(artists!A:A, SPLIT(D53, "",""))) &gt; 0, ""UA"", 0)"),"UA")</f>
        <v>UA</v>
      </c>
      <c r="J53" s="40">
        <f ca="1">IFERROR(__xludf.DUMMYFUNCTION("IF(SUM(COUNTIF(artists!C:C, SPLIT(D53, "",""))) &gt; 0, ""RU"", 0)"),0)</f>
        <v>0</v>
      </c>
      <c r="K53" s="39">
        <f ca="1">IFERROR(__xludf.DUMMYFUNCTION("IF(SUM(COUNTIF(artists!E:E, SPLIT(D53, "",""))) &gt; 0, ""OTHER"", 0)"),0)</f>
        <v>0</v>
      </c>
    </row>
    <row r="54" spans="1:11" ht="14.25" customHeight="1">
      <c r="A54" s="21">
        <v>53</v>
      </c>
      <c r="B54" s="21">
        <v>74</v>
      </c>
      <c r="C54" s="21" t="s">
        <v>1447</v>
      </c>
      <c r="D54" s="21" t="s">
        <v>969</v>
      </c>
      <c r="E54" s="21">
        <v>15</v>
      </c>
      <c r="F54" s="21">
        <v>183059</v>
      </c>
      <c r="G54" s="42">
        <v>0.182</v>
      </c>
      <c r="H54" s="21" t="s">
        <v>1448</v>
      </c>
      <c r="I54" s="39" t="str">
        <f ca="1">IFERROR(__xludf.DUMMYFUNCTION("IF(SUM(COUNTIF(artists!A:A, SPLIT(D54, "",""))) &gt; 0, ""UA"", 0)"),"UA")</f>
        <v>UA</v>
      </c>
      <c r="J54" s="40">
        <f ca="1">IFERROR(__xludf.DUMMYFUNCTION("IF(SUM(COUNTIF(artists!C:C, SPLIT(D54, "",""))) &gt; 0, ""RU"", 0)"),0)</f>
        <v>0</v>
      </c>
      <c r="K54" s="39">
        <f ca="1">IFERROR(__xludf.DUMMYFUNCTION("IF(SUM(COUNTIF(artists!E:E, SPLIT(D54, "",""))) &gt; 0, ""OTHER"", 0)"),0)</f>
        <v>0</v>
      </c>
    </row>
    <row r="55" spans="1:11" ht="14.25" customHeight="1">
      <c r="A55" s="21">
        <v>54</v>
      </c>
      <c r="B55" s="21">
        <v>57</v>
      </c>
      <c r="C55" s="21" t="s">
        <v>1867</v>
      </c>
      <c r="D55" s="21" t="s">
        <v>1099</v>
      </c>
      <c r="E55" s="21">
        <v>19</v>
      </c>
      <c r="F55" s="21">
        <v>181276</v>
      </c>
      <c r="G55" s="42">
        <v>3.3000000000000002E-2</v>
      </c>
      <c r="H55" s="21" t="s">
        <v>1868</v>
      </c>
      <c r="I55" s="39">
        <f ca="1">IFERROR(__xludf.DUMMYFUNCTION("IF(SUM(COUNTIF(artists!A:A, SPLIT(D55, "",""))) &gt; 0, ""UA"", 0)"),0)</f>
        <v>0</v>
      </c>
      <c r="J55" s="40" t="str">
        <f ca="1">IFERROR(__xludf.DUMMYFUNCTION("IF(SUM(COUNTIF(artists!C:C, SPLIT(D55, "",""))) &gt; 0, ""RU"", 0)"),"RU")</f>
        <v>RU</v>
      </c>
      <c r="K55" s="39">
        <f ca="1">IFERROR(__xludf.DUMMYFUNCTION("IF(SUM(COUNTIF(artists!E:E, SPLIT(D55, "",""))) &gt; 0, ""OTHER"", 0)"),0)</f>
        <v>0</v>
      </c>
    </row>
    <row r="56" spans="1:11" ht="14.25" customHeight="1">
      <c r="A56" s="21">
        <v>55</v>
      </c>
      <c r="B56" s="21">
        <v>67</v>
      </c>
      <c r="C56" s="21" t="s">
        <v>1431</v>
      </c>
      <c r="D56" s="21" t="s">
        <v>969</v>
      </c>
      <c r="E56" s="21">
        <v>25</v>
      </c>
      <c r="F56" s="21">
        <v>180270</v>
      </c>
      <c r="G56" s="42">
        <v>0.11600000000000001</v>
      </c>
      <c r="H56" s="21" t="s">
        <v>1432</v>
      </c>
      <c r="I56" s="39" t="str">
        <f ca="1">IFERROR(__xludf.DUMMYFUNCTION("IF(SUM(COUNTIF(artists!A:A, SPLIT(D56, "",""))) &gt; 0, ""UA"", 0)"),"UA")</f>
        <v>UA</v>
      </c>
      <c r="J56" s="40">
        <f ca="1">IFERROR(__xludf.DUMMYFUNCTION("IF(SUM(COUNTIF(artists!C:C, SPLIT(D56, "",""))) &gt; 0, ""RU"", 0)"),0)</f>
        <v>0</v>
      </c>
      <c r="K56" s="39">
        <f ca="1">IFERROR(__xludf.DUMMYFUNCTION("IF(SUM(COUNTIF(artists!E:E, SPLIT(D56, "",""))) &gt; 0, ""OTHER"", 0)"),0)</f>
        <v>0</v>
      </c>
    </row>
    <row r="57" spans="1:11" ht="14.25" customHeight="1">
      <c r="A57" s="21">
        <v>56</v>
      </c>
      <c r="C57" s="21" t="s">
        <v>1575</v>
      </c>
      <c r="D57" s="21" t="s">
        <v>945</v>
      </c>
      <c r="E57" s="21">
        <v>1</v>
      </c>
      <c r="F57" s="21">
        <v>179929</v>
      </c>
      <c r="H57" s="21" t="s">
        <v>1576</v>
      </c>
      <c r="I57" s="39" t="str">
        <f ca="1">IFERROR(__xludf.DUMMYFUNCTION("IF(SUM(COUNTIF(artists!A:A, SPLIT(D57, "",""))) &gt; 0, ""UA"", 0)"),"UA")</f>
        <v>UA</v>
      </c>
      <c r="J57" s="40">
        <f ca="1">IFERROR(__xludf.DUMMYFUNCTION("IF(SUM(COUNTIF(artists!C:C, SPLIT(D57, "",""))) &gt; 0, ""RU"", 0)"),0)</f>
        <v>0</v>
      </c>
      <c r="K57" s="39">
        <f ca="1">IFERROR(__xludf.DUMMYFUNCTION("IF(SUM(COUNTIF(artists!E:E, SPLIT(D57, "",""))) &gt; 0, ""OTHER"", 0)"),0)</f>
        <v>0</v>
      </c>
    </row>
    <row r="58" spans="1:11" ht="14.25" customHeight="1">
      <c r="A58" s="21">
        <v>57</v>
      </c>
      <c r="B58" s="21">
        <v>61</v>
      </c>
      <c r="C58" s="21" t="s">
        <v>1261</v>
      </c>
      <c r="D58" s="21" t="s">
        <v>137</v>
      </c>
      <c r="E58" s="21">
        <v>20</v>
      </c>
      <c r="F58" s="21">
        <v>175646</v>
      </c>
      <c r="G58" s="42">
        <v>4.9000000000000002E-2</v>
      </c>
      <c r="H58" s="21" t="s">
        <v>1262</v>
      </c>
      <c r="I58" s="39" t="str">
        <f ca="1">IFERROR(__xludf.DUMMYFUNCTION("IF(SUM(COUNTIF(artists!A:A, SPLIT(D58, "",""))) &gt; 0, ""UA"", 0)"),"UA")</f>
        <v>UA</v>
      </c>
      <c r="J58" s="40">
        <f ca="1">IFERROR(__xludf.DUMMYFUNCTION("IF(SUM(COUNTIF(artists!C:C, SPLIT(D58, "",""))) &gt; 0, ""RU"", 0)"),0)</f>
        <v>0</v>
      </c>
      <c r="K58" s="39">
        <f ca="1">IFERROR(__xludf.DUMMYFUNCTION("IF(SUM(COUNTIF(artists!E:E, SPLIT(D58, "",""))) &gt; 0, ""OTHER"", 0)"),0)</f>
        <v>0</v>
      </c>
    </row>
    <row r="59" spans="1:11" ht="14.25" customHeight="1">
      <c r="A59" s="21">
        <v>58</v>
      </c>
      <c r="C59" s="21" t="s">
        <v>1692</v>
      </c>
      <c r="D59" s="21" t="s">
        <v>1693</v>
      </c>
      <c r="E59" s="21">
        <v>1</v>
      </c>
      <c r="F59" s="21">
        <v>171467</v>
      </c>
      <c r="H59" s="21" t="s">
        <v>1694</v>
      </c>
      <c r="I59" s="39" t="str">
        <f ca="1">IFERROR(__xludf.DUMMYFUNCTION("IF(SUM(COUNTIF(artists!A:A, SPLIT(D59, "",""))) &gt; 0, ""UA"", 0)"),"UA")</f>
        <v>UA</v>
      </c>
      <c r="J59" s="40">
        <f ca="1">IFERROR(__xludf.DUMMYFUNCTION("IF(SUM(COUNTIF(artists!C:C, SPLIT(D59, "",""))) &gt; 0, ""RU"", 0)"),0)</f>
        <v>0</v>
      </c>
      <c r="K59" s="39">
        <f ca="1">IFERROR(__xludf.DUMMYFUNCTION("IF(SUM(COUNTIF(artists!E:E, SPLIT(D59, "",""))) &gt; 0, ""OTHER"", 0)"),0)</f>
        <v>0</v>
      </c>
    </row>
    <row r="60" spans="1:11" ht="14.25" customHeight="1">
      <c r="A60" s="21">
        <v>59</v>
      </c>
      <c r="C60" s="21" t="s">
        <v>1898</v>
      </c>
      <c r="D60" s="21" t="s">
        <v>1899</v>
      </c>
      <c r="E60" s="21">
        <v>1</v>
      </c>
      <c r="F60" s="21">
        <v>167041</v>
      </c>
      <c r="H60" s="21" t="s">
        <v>1900</v>
      </c>
      <c r="I60" s="39" t="str">
        <f ca="1">IFERROR(__xludf.DUMMYFUNCTION("IF(SUM(COUNTIF(artists!A:A, SPLIT(D60, "",""))) &gt; 0, ""UA"", 0)"),"UA")</f>
        <v>UA</v>
      </c>
      <c r="J60" s="40">
        <f ca="1">IFERROR(__xludf.DUMMYFUNCTION("IF(SUM(COUNTIF(artists!C:C, SPLIT(D60, "",""))) &gt; 0, ""RU"", 0)"),0)</f>
        <v>0</v>
      </c>
      <c r="K60" s="39">
        <f ca="1">IFERROR(__xludf.DUMMYFUNCTION("IF(SUM(COUNTIF(artists!E:E, SPLIT(D60, "",""))) &gt; 0, ""OTHER"", 0)"),0)</f>
        <v>0</v>
      </c>
    </row>
    <row r="61" spans="1:11" ht="14.25" customHeight="1">
      <c r="A61" s="21">
        <v>60</v>
      </c>
      <c r="B61" s="21">
        <v>68</v>
      </c>
      <c r="C61" s="21" t="s">
        <v>1601</v>
      </c>
      <c r="D61" s="21" t="s">
        <v>1602</v>
      </c>
      <c r="E61" s="21">
        <v>8</v>
      </c>
      <c r="F61" s="21">
        <v>165157</v>
      </c>
      <c r="G61" s="42">
        <v>4.3999999999999997E-2</v>
      </c>
      <c r="H61" s="21" t="s">
        <v>1603</v>
      </c>
      <c r="I61" s="39">
        <f ca="1">IFERROR(__xludf.DUMMYFUNCTION("IF(SUM(COUNTIF(artists!A:A, SPLIT(D61, "",""))) &gt; 0, ""UA"", 0)"),0)</f>
        <v>0</v>
      </c>
      <c r="J61" s="40" t="str">
        <f ca="1">IFERROR(__xludf.DUMMYFUNCTION("IF(SUM(COUNTIF(artists!C:C, SPLIT(D61, "",""))) &gt; 0, ""RU"", 0)"),"RU")</f>
        <v>RU</v>
      </c>
      <c r="K61" s="39">
        <f ca="1">IFERROR(__xludf.DUMMYFUNCTION("IF(SUM(COUNTIF(artists!E:E, SPLIT(D61, "",""))) &gt; 0, ""OTHER"", 0)"),0)</f>
        <v>0</v>
      </c>
    </row>
    <row r="62" spans="1:11" ht="14.25" customHeight="1">
      <c r="A62" s="21">
        <v>61</v>
      </c>
      <c r="B62" s="21">
        <v>59</v>
      </c>
      <c r="C62" s="21" t="s">
        <v>1858</v>
      </c>
      <c r="D62" s="21" t="s">
        <v>1859</v>
      </c>
      <c r="E62" s="21">
        <v>6</v>
      </c>
      <c r="F62" s="21">
        <v>164807</v>
      </c>
      <c r="G62" s="42">
        <v>-3.9E-2</v>
      </c>
      <c r="H62" s="21" t="s">
        <v>1860</v>
      </c>
      <c r="I62" s="39">
        <f ca="1">IFERROR(__xludf.DUMMYFUNCTION("IF(SUM(COUNTIF(artists!A:A, SPLIT(D62, "",""))) &gt; 0, ""UA"", 0)"),0)</f>
        <v>0</v>
      </c>
      <c r="J62" s="40" t="str">
        <f ca="1">IFERROR(__xludf.DUMMYFUNCTION("IF(SUM(COUNTIF(artists!C:C, SPLIT(D62, "",""))) &gt; 0, ""RU"", 0)"),"RU")</f>
        <v>RU</v>
      </c>
      <c r="K62" s="39">
        <f ca="1">IFERROR(__xludf.DUMMYFUNCTION("IF(SUM(COUNTIF(artists!E:E, SPLIT(D62, "",""))) &gt; 0, ""OTHER"", 0)"),0)</f>
        <v>0</v>
      </c>
    </row>
    <row r="63" spans="1:11" ht="14.25" customHeight="1">
      <c r="A63" s="21">
        <v>62</v>
      </c>
      <c r="B63" s="21">
        <v>47</v>
      </c>
      <c r="C63" s="21" t="s">
        <v>1839</v>
      </c>
      <c r="D63" s="21" t="s">
        <v>1840</v>
      </c>
      <c r="E63" s="21">
        <v>11</v>
      </c>
      <c r="F63" s="21">
        <v>163437</v>
      </c>
      <c r="G63" s="42">
        <v>-0.17100000000000001</v>
      </c>
      <c r="H63" s="21" t="s">
        <v>1841</v>
      </c>
      <c r="I63" s="39">
        <f ca="1">IFERROR(__xludf.DUMMYFUNCTION("IF(SUM(COUNTIF(artists!A:A, SPLIT(D63, "",""))) &gt; 0, ""UA"", 0)"),0)</f>
        <v>0</v>
      </c>
      <c r="J63" s="40" t="str">
        <f ca="1">IFERROR(__xludf.DUMMYFUNCTION("IF(SUM(COUNTIF(artists!C:C, SPLIT(D63, "",""))) &gt; 0, ""RU"", 0)"),"RU")</f>
        <v>RU</v>
      </c>
      <c r="K63" s="39">
        <f ca="1">IFERROR(__xludf.DUMMYFUNCTION("IF(SUM(COUNTIF(artists!E:E, SPLIT(D63, "",""))) &gt; 0, ""OTHER"", 0)"),0)</f>
        <v>0</v>
      </c>
    </row>
    <row r="64" spans="1:11" ht="14.25" customHeight="1">
      <c r="A64" s="21">
        <v>63</v>
      </c>
      <c r="B64" s="21">
        <v>80</v>
      </c>
      <c r="C64" s="21" t="s">
        <v>1282</v>
      </c>
      <c r="D64" s="21" t="s">
        <v>108</v>
      </c>
      <c r="E64" s="21">
        <v>22</v>
      </c>
      <c r="F64" s="21">
        <v>162783</v>
      </c>
      <c r="G64" s="42">
        <v>0.121</v>
      </c>
      <c r="H64" s="21" t="s">
        <v>1283</v>
      </c>
      <c r="I64" s="39" t="str">
        <f ca="1">IFERROR(__xludf.DUMMYFUNCTION("IF(SUM(COUNTIF(artists!A:A, SPLIT(D64, "",""))) &gt; 0, ""UA"", 0)"),"UA")</f>
        <v>UA</v>
      </c>
      <c r="J64" s="40">
        <f ca="1">IFERROR(__xludf.DUMMYFUNCTION("IF(SUM(COUNTIF(artists!C:C, SPLIT(D64, "",""))) &gt; 0, ""RU"", 0)"),0)</f>
        <v>0</v>
      </c>
      <c r="K64" s="39">
        <f ca="1">IFERROR(__xludf.DUMMYFUNCTION("IF(SUM(COUNTIF(artists!E:E, SPLIT(D64, "",""))) &gt; 0, ""OTHER"", 0)"),0)</f>
        <v>0</v>
      </c>
    </row>
    <row r="65" spans="1:11" ht="14.25" customHeight="1">
      <c r="A65" s="21">
        <v>64</v>
      </c>
      <c r="B65" s="21">
        <v>87</v>
      </c>
      <c r="C65" s="21" t="s">
        <v>253</v>
      </c>
      <c r="D65" s="21" t="s">
        <v>89</v>
      </c>
      <c r="E65" s="21">
        <v>4</v>
      </c>
      <c r="F65" s="21">
        <v>158683</v>
      </c>
      <c r="G65" s="42">
        <v>0.14499999999999999</v>
      </c>
      <c r="H65" s="21" t="s">
        <v>254</v>
      </c>
      <c r="I65" s="39" t="str">
        <f ca="1">IFERROR(__xludf.DUMMYFUNCTION("IF(SUM(COUNTIF(artists!A:A, SPLIT(D65, "",""))) &gt; 0, ""UA"", 0)"),"UA")</f>
        <v>UA</v>
      </c>
      <c r="J65" s="40">
        <f ca="1">IFERROR(__xludf.DUMMYFUNCTION("IF(SUM(COUNTIF(artists!C:C, SPLIT(D65, "",""))) &gt; 0, ""RU"", 0)"),0)</f>
        <v>0</v>
      </c>
      <c r="K65" s="39">
        <f ca="1">IFERROR(__xludf.DUMMYFUNCTION("IF(SUM(COUNTIF(artists!E:E, SPLIT(D65, "",""))) &gt; 0, ""OTHER"", 0)"),0)</f>
        <v>0</v>
      </c>
    </row>
    <row r="66" spans="1:11" ht="14.25" customHeight="1">
      <c r="A66" s="21">
        <v>65</v>
      </c>
      <c r="B66" s="21">
        <v>50</v>
      </c>
      <c r="C66" s="21" t="s">
        <v>1882</v>
      </c>
      <c r="D66" s="21" t="s">
        <v>133</v>
      </c>
      <c r="E66" s="21">
        <v>5</v>
      </c>
      <c r="F66" s="21">
        <v>158593</v>
      </c>
      <c r="G66" s="42">
        <v>-0.17799999999999999</v>
      </c>
      <c r="H66" s="21" t="s">
        <v>1883</v>
      </c>
      <c r="I66" s="39" t="str">
        <f ca="1">IFERROR(__xludf.DUMMYFUNCTION("IF(SUM(COUNTIF(artists!A:A, SPLIT(D66, "",""))) &gt; 0, ""UA"", 0)"),"UA")</f>
        <v>UA</v>
      </c>
      <c r="J66" s="40">
        <f ca="1">IFERROR(__xludf.DUMMYFUNCTION("IF(SUM(COUNTIF(artists!C:C, SPLIT(D66, "",""))) &gt; 0, ""RU"", 0)"),0)</f>
        <v>0</v>
      </c>
      <c r="K66" s="39">
        <f ca="1">IFERROR(__xludf.DUMMYFUNCTION("IF(SUM(COUNTIF(artists!E:E, SPLIT(D66, "",""))) &gt; 0, ""OTHER"", 0)"),0)</f>
        <v>0</v>
      </c>
    </row>
    <row r="67" spans="1:11" ht="14.25" customHeight="1">
      <c r="A67" s="21">
        <v>66</v>
      </c>
      <c r="B67" s="21">
        <v>71</v>
      </c>
      <c r="C67" s="21" t="s">
        <v>1392</v>
      </c>
      <c r="D67" s="21" t="s">
        <v>1393</v>
      </c>
      <c r="E67" s="21">
        <v>9</v>
      </c>
      <c r="F67" s="21">
        <v>158354</v>
      </c>
      <c r="G67" s="42">
        <v>1.4E-2</v>
      </c>
      <c r="H67" s="21" t="s">
        <v>1394</v>
      </c>
      <c r="I67" s="39">
        <f ca="1">IFERROR(__xludf.DUMMYFUNCTION("IF(SUM(COUNTIF(artists!A:A, SPLIT(D67, "",""))) &gt; 0, ""UA"", 0)"),0)</f>
        <v>0</v>
      </c>
      <c r="J67" s="40" t="str">
        <f ca="1">IFERROR(__xludf.DUMMYFUNCTION("IF(SUM(COUNTIF(artists!C:C, SPLIT(D67, "",""))) &gt; 0, ""RU"", 0)"),"RU")</f>
        <v>RU</v>
      </c>
      <c r="K67" s="39">
        <f ca="1">IFERROR(__xludf.DUMMYFUNCTION("IF(SUM(COUNTIF(artists!E:E, SPLIT(D67, "",""))) &gt; 0, ""OTHER"", 0)"),0)</f>
        <v>0</v>
      </c>
    </row>
    <row r="68" spans="1:11" ht="14.25" customHeight="1">
      <c r="A68" s="21">
        <v>67</v>
      </c>
      <c r="B68" s="21">
        <v>89</v>
      </c>
      <c r="C68" s="21" t="s">
        <v>229</v>
      </c>
      <c r="D68" s="21" t="s">
        <v>230</v>
      </c>
      <c r="E68" s="21">
        <v>2</v>
      </c>
      <c r="F68" s="21">
        <v>158353</v>
      </c>
      <c r="G68" s="42">
        <v>0.16200000000000001</v>
      </c>
      <c r="H68" s="21" t="s">
        <v>232</v>
      </c>
      <c r="I68" s="39" t="str">
        <f ca="1">IFERROR(__xludf.DUMMYFUNCTION("IF(SUM(COUNTIF(artists!A:A, SPLIT(D68, "",""))) &gt; 0, ""UA"", 0)"),"UA")</f>
        <v>UA</v>
      </c>
      <c r="J68" s="40">
        <f ca="1">IFERROR(__xludf.DUMMYFUNCTION("IF(SUM(COUNTIF(artists!C:C, SPLIT(D68, "",""))) &gt; 0, ""RU"", 0)"),0)</f>
        <v>0</v>
      </c>
      <c r="K68" s="39">
        <f ca="1">IFERROR(__xludf.DUMMYFUNCTION("IF(SUM(COUNTIF(artists!E:E, SPLIT(D68, "",""))) &gt; 0, ""OTHER"", 0)"),0)</f>
        <v>0</v>
      </c>
    </row>
    <row r="69" spans="1:11" ht="14.25" customHeight="1">
      <c r="A69" s="21">
        <v>68</v>
      </c>
      <c r="B69" s="21">
        <v>58</v>
      </c>
      <c r="C69" s="21" t="s">
        <v>1007</v>
      </c>
      <c r="D69" s="21" t="s">
        <v>907</v>
      </c>
      <c r="E69" s="21">
        <v>6</v>
      </c>
      <c r="F69" s="21">
        <v>157804</v>
      </c>
      <c r="G69" s="42">
        <v>-0.10100000000000001</v>
      </c>
      <c r="H69" s="21" t="s">
        <v>1009</v>
      </c>
      <c r="I69" s="39">
        <f ca="1">IFERROR(__xludf.DUMMYFUNCTION("IF(SUM(COUNTIF(artists!A:A, SPLIT(D69, "",""))) &gt; 0, ""UA"", 0)"),0)</f>
        <v>0</v>
      </c>
      <c r="J69" s="40" t="str">
        <f ca="1">IFERROR(__xludf.DUMMYFUNCTION("IF(SUM(COUNTIF(artists!C:C, SPLIT(D69, "",""))) &gt; 0, ""RU"", 0)"),"RU")</f>
        <v>RU</v>
      </c>
      <c r="K69" s="39">
        <f ca="1">IFERROR(__xludf.DUMMYFUNCTION("IF(SUM(COUNTIF(artists!E:E, SPLIT(D69, "",""))) &gt; 0, ""OTHER"", 0)"),0)</f>
        <v>0</v>
      </c>
    </row>
    <row r="70" spans="1:11" ht="14.25" customHeight="1">
      <c r="A70" s="21">
        <v>69</v>
      </c>
      <c r="C70" s="21" t="s">
        <v>1788</v>
      </c>
      <c r="D70" s="21" t="s">
        <v>1789</v>
      </c>
      <c r="E70" s="21">
        <v>1</v>
      </c>
      <c r="F70" s="21">
        <v>157410</v>
      </c>
      <c r="H70" s="21" t="s">
        <v>1790</v>
      </c>
      <c r="I70" s="39" t="str">
        <f ca="1">IFERROR(__xludf.DUMMYFUNCTION("IF(SUM(COUNTIF(artists!A:A, SPLIT(D70, "",""))) &gt; 0, ""UA"", 0)"),"UA")</f>
        <v>UA</v>
      </c>
      <c r="J70" s="40">
        <f ca="1">IFERROR(__xludf.DUMMYFUNCTION("IF(SUM(COUNTIF(artists!C:C, SPLIT(D70, "",""))) &gt; 0, ""RU"", 0)"),0)</f>
        <v>0</v>
      </c>
      <c r="K70" s="39">
        <f ca="1">IFERROR(__xludf.DUMMYFUNCTION("IF(SUM(COUNTIF(artists!E:E, SPLIT(D70, "",""))) &gt; 0, ""OTHER"", 0)"),0)</f>
        <v>0</v>
      </c>
    </row>
    <row r="71" spans="1:11" ht="14.25" customHeight="1">
      <c r="A71" s="21">
        <v>70</v>
      </c>
      <c r="B71" s="21">
        <v>77</v>
      </c>
      <c r="C71" s="21" t="s">
        <v>1842</v>
      </c>
      <c r="D71" s="21" t="s">
        <v>1843</v>
      </c>
      <c r="E71" s="21">
        <v>5</v>
      </c>
      <c r="F71" s="21">
        <v>157283</v>
      </c>
      <c r="G71" s="42">
        <v>3.5999999999999997E-2</v>
      </c>
      <c r="H71" s="21" t="s">
        <v>1844</v>
      </c>
      <c r="I71" s="39">
        <f ca="1">IFERROR(__xludf.DUMMYFUNCTION("IF(SUM(COUNTIF(artists!A:A, SPLIT(D71, "",""))) &gt; 0, ""UA"", 0)"),0)</f>
        <v>0</v>
      </c>
      <c r="J71" s="40" t="str">
        <f ca="1">IFERROR(__xludf.DUMMYFUNCTION("IF(SUM(COUNTIF(artists!C:C, SPLIT(D71, "",""))) &gt; 0, ""RU"", 0)"),"RU")</f>
        <v>RU</v>
      </c>
      <c r="K71" s="39">
        <f ca="1">IFERROR(__xludf.DUMMYFUNCTION("IF(SUM(COUNTIF(artists!E:E, SPLIT(D71, "",""))) &gt; 0, ""OTHER"", 0)"),0)</f>
        <v>0</v>
      </c>
    </row>
    <row r="72" spans="1:11" ht="14.25" customHeight="1">
      <c r="A72" s="21">
        <v>71</v>
      </c>
      <c r="B72" s="21">
        <v>79</v>
      </c>
      <c r="C72" s="21" t="s">
        <v>1670</v>
      </c>
      <c r="D72" s="21" t="s">
        <v>969</v>
      </c>
      <c r="E72" s="21">
        <v>15</v>
      </c>
      <c r="F72" s="21">
        <v>156575</v>
      </c>
      <c r="G72" s="42">
        <v>5.6000000000000001E-2</v>
      </c>
      <c r="H72" s="21" t="s">
        <v>1671</v>
      </c>
      <c r="I72" s="39" t="str">
        <f ca="1">IFERROR(__xludf.DUMMYFUNCTION("IF(SUM(COUNTIF(artists!A:A, SPLIT(D72, "",""))) &gt; 0, ""UA"", 0)"),"UA")</f>
        <v>UA</v>
      </c>
      <c r="J72" s="40">
        <f ca="1">IFERROR(__xludf.DUMMYFUNCTION("IF(SUM(COUNTIF(artists!C:C, SPLIT(D72, "",""))) &gt; 0, ""RU"", 0)"),0)</f>
        <v>0</v>
      </c>
      <c r="K72" s="39">
        <f ca="1">IFERROR(__xludf.DUMMYFUNCTION("IF(SUM(COUNTIF(artists!E:E, SPLIT(D72, "",""))) &gt; 0, ""OTHER"", 0)"),0)</f>
        <v>0</v>
      </c>
    </row>
    <row r="73" spans="1:11" ht="14.25" customHeight="1">
      <c r="A73" s="21">
        <v>72</v>
      </c>
      <c r="B73" s="21">
        <v>95</v>
      </c>
      <c r="C73" s="21" t="s">
        <v>1381</v>
      </c>
      <c r="D73" s="21" t="s">
        <v>969</v>
      </c>
      <c r="E73" s="21">
        <v>6</v>
      </c>
      <c r="F73" s="21">
        <v>154589</v>
      </c>
      <c r="G73" s="42">
        <v>0.19700000000000001</v>
      </c>
      <c r="H73" s="21" t="s">
        <v>1382</v>
      </c>
      <c r="I73" s="39" t="str">
        <f ca="1">IFERROR(__xludf.DUMMYFUNCTION("IF(SUM(COUNTIF(artists!A:A, SPLIT(D73, "",""))) &gt; 0, ""UA"", 0)"),"UA")</f>
        <v>UA</v>
      </c>
      <c r="J73" s="40">
        <f ca="1">IFERROR(__xludf.DUMMYFUNCTION("IF(SUM(COUNTIF(artists!C:C, SPLIT(D73, "",""))) &gt; 0, ""RU"", 0)"),0)</f>
        <v>0</v>
      </c>
      <c r="K73" s="39">
        <f ca="1">IFERROR(__xludf.DUMMYFUNCTION("IF(SUM(COUNTIF(artists!E:E, SPLIT(D73, "",""))) &gt; 0, ""OTHER"", 0)"),0)</f>
        <v>0</v>
      </c>
    </row>
    <row r="74" spans="1:11" ht="14.25" customHeight="1">
      <c r="A74" s="21">
        <v>73</v>
      </c>
      <c r="B74" s="21">
        <v>73</v>
      </c>
      <c r="C74" s="21" t="s">
        <v>1820</v>
      </c>
      <c r="D74" s="21" t="s">
        <v>1439</v>
      </c>
      <c r="E74" s="21">
        <v>3</v>
      </c>
      <c r="F74" s="21">
        <v>147953</v>
      </c>
      <c r="G74" s="42">
        <v>-4.4999999999999998E-2</v>
      </c>
      <c r="H74" s="21" t="s">
        <v>1821</v>
      </c>
      <c r="I74" s="39" t="str">
        <f ca="1">IFERROR(__xludf.DUMMYFUNCTION("IF(SUM(COUNTIF(artists!A:A, SPLIT(D74, "",""))) &gt; 0, ""UA"", 0)"),"UA")</f>
        <v>UA</v>
      </c>
      <c r="J74" s="40">
        <f ca="1">IFERROR(__xludf.DUMMYFUNCTION("IF(SUM(COUNTIF(artists!C:C, SPLIT(D74, "",""))) &gt; 0, ""RU"", 0)"),0)</f>
        <v>0</v>
      </c>
      <c r="K74" s="39">
        <f ca="1">IFERROR(__xludf.DUMMYFUNCTION("IF(SUM(COUNTIF(artists!E:E, SPLIT(D74, "",""))) &gt; 0, ""OTHER"", 0)"),0)</f>
        <v>0</v>
      </c>
    </row>
    <row r="75" spans="1:11" ht="14.25" customHeight="1">
      <c r="A75" s="21">
        <v>74</v>
      </c>
      <c r="B75" s="21">
        <v>64</v>
      </c>
      <c r="C75" s="21" t="s">
        <v>1822</v>
      </c>
      <c r="D75" s="21" t="s">
        <v>1823</v>
      </c>
      <c r="E75" s="21">
        <v>5</v>
      </c>
      <c r="F75" s="21">
        <v>147752</v>
      </c>
      <c r="G75" s="42">
        <v>-9.1999999999999998E-2</v>
      </c>
      <c r="H75" s="21" t="s">
        <v>1824</v>
      </c>
      <c r="I75" s="39" t="str">
        <f ca="1">IFERROR(__xludf.DUMMYFUNCTION("IF(SUM(COUNTIF(artists!A:A, SPLIT(D75, "",""))) &gt; 0, ""UA"", 0)"),"UA")</f>
        <v>UA</v>
      </c>
      <c r="J75" s="40">
        <f ca="1">IFERROR(__xludf.DUMMYFUNCTION("IF(SUM(COUNTIF(artists!C:C, SPLIT(D75, "",""))) &gt; 0, ""RU"", 0)"),0)</f>
        <v>0</v>
      </c>
      <c r="K75" s="39">
        <f ca="1">IFERROR(__xludf.DUMMYFUNCTION("IF(SUM(COUNTIF(artists!E:E, SPLIT(D75, "",""))) &gt; 0, ""OTHER"", 0)"),0)</f>
        <v>0</v>
      </c>
    </row>
    <row r="76" spans="1:11" ht="14.25" customHeight="1">
      <c r="A76" s="21">
        <v>75</v>
      </c>
      <c r="C76" s="21" t="s">
        <v>1901</v>
      </c>
      <c r="D76" s="21" t="s">
        <v>1902</v>
      </c>
      <c r="E76" s="21">
        <v>1</v>
      </c>
      <c r="F76" s="21">
        <v>146325</v>
      </c>
      <c r="H76" s="21" t="s">
        <v>1903</v>
      </c>
      <c r="I76" s="39">
        <f ca="1">IFERROR(__xludf.DUMMYFUNCTION("IF(SUM(COUNTIF(artists!A:A, SPLIT(D76, "",""))) &gt; 0, ""UA"", 0)"),0)</f>
        <v>0</v>
      </c>
      <c r="J76" s="40" t="str">
        <f ca="1">IFERROR(__xludf.DUMMYFUNCTION("IF(SUM(COUNTIF(artists!C:C, SPLIT(D76, "",""))) &gt; 0, ""RU"", 0)"),"RU")</f>
        <v>RU</v>
      </c>
      <c r="K76" s="39">
        <f ca="1">IFERROR(__xludf.DUMMYFUNCTION("IF(SUM(COUNTIF(artists!E:E, SPLIT(D76, "",""))) &gt; 0, ""OTHER"", 0)"),0)</f>
        <v>0</v>
      </c>
    </row>
    <row r="77" spans="1:11" ht="14.25" customHeight="1">
      <c r="A77" s="21">
        <v>76</v>
      </c>
      <c r="B77" s="21">
        <v>70</v>
      </c>
      <c r="C77" s="21" t="s">
        <v>470</v>
      </c>
      <c r="D77" s="21" t="s">
        <v>598</v>
      </c>
      <c r="E77" s="21">
        <v>17</v>
      </c>
      <c r="F77" s="21">
        <v>145510</v>
      </c>
      <c r="G77" s="42">
        <v>-7.5999999999999998E-2</v>
      </c>
      <c r="H77" s="21" t="s">
        <v>1274</v>
      </c>
      <c r="I77" s="39" t="str">
        <f ca="1">IFERROR(__xludf.DUMMYFUNCTION("IF(SUM(COUNTIF(artists!A:A, SPLIT(D77, "",""))) &gt; 0, ""UA"", 0)"),"UA")</f>
        <v>UA</v>
      </c>
      <c r="J77" s="40">
        <f ca="1">IFERROR(__xludf.DUMMYFUNCTION("IF(SUM(COUNTIF(artists!C:C, SPLIT(D77, "",""))) &gt; 0, ""RU"", 0)"),0)</f>
        <v>0</v>
      </c>
      <c r="K77" s="39">
        <f ca="1">IFERROR(__xludf.DUMMYFUNCTION("IF(SUM(COUNTIF(artists!E:E, SPLIT(D77, "",""))) &gt; 0, ""OTHER"", 0)"),0)</f>
        <v>0</v>
      </c>
    </row>
    <row r="78" spans="1:11" ht="14.25" customHeight="1">
      <c r="A78" s="21">
        <v>77</v>
      </c>
      <c r="C78" s="21" t="s">
        <v>1546</v>
      </c>
      <c r="D78" s="21" t="s">
        <v>1429</v>
      </c>
      <c r="E78" s="21">
        <v>1</v>
      </c>
      <c r="F78" s="21">
        <v>145291</v>
      </c>
      <c r="H78" s="21" t="s">
        <v>1904</v>
      </c>
      <c r="I78" s="39" t="str">
        <f ca="1">IFERROR(__xludf.DUMMYFUNCTION("IF(SUM(COUNTIF(artists!A:A, SPLIT(D78, "",""))) &gt; 0, ""UA"", 0)"),"UA")</f>
        <v>UA</v>
      </c>
      <c r="J78" s="40">
        <f ca="1">IFERROR(__xludf.DUMMYFUNCTION("IF(SUM(COUNTIF(artists!C:C, SPLIT(D78, "",""))) &gt; 0, ""RU"", 0)"),0)</f>
        <v>0</v>
      </c>
      <c r="K78" s="39">
        <f ca="1">IFERROR(__xludf.DUMMYFUNCTION("IF(SUM(COUNTIF(artists!E:E, SPLIT(D78, "",""))) &gt; 0, ""OTHER"", 0)"),0)</f>
        <v>0</v>
      </c>
    </row>
    <row r="79" spans="1:11" ht="14.25" customHeight="1">
      <c r="A79" s="21">
        <v>78</v>
      </c>
      <c r="B79" s="21">
        <v>65</v>
      </c>
      <c r="C79" s="21" t="s">
        <v>906</v>
      </c>
      <c r="D79" s="21" t="s">
        <v>907</v>
      </c>
      <c r="E79" s="21">
        <v>16</v>
      </c>
      <c r="F79" s="21">
        <v>145218</v>
      </c>
      <c r="G79" s="42">
        <v>-0.107</v>
      </c>
      <c r="H79" s="21" t="s">
        <v>908</v>
      </c>
      <c r="I79" s="39">
        <f ca="1">IFERROR(__xludf.DUMMYFUNCTION("IF(SUM(COUNTIF(artists!A:A, SPLIT(D79, "",""))) &gt; 0, ""UA"", 0)"),0)</f>
        <v>0</v>
      </c>
      <c r="J79" s="40" t="str">
        <f ca="1">IFERROR(__xludf.DUMMYFUNCTION("IF(SUM(COUNTIF(artists!C:C, SPLIT(D79, "",""))) &gt; 0, ""RU"", 0)"),"RU")</f>
        <v>RU</v>
      </c>
      <c r="K79" s="39">
        <f ca="1">IFERROR(__xludf.DUMMYFUNCTION("IF(SUM(COUNTIF(artists!E:E, SPLIT(D79, "",""))) &gt; 0, ""OTHER"", 0)"),0)</f>
        <v>0</v>
      </c>
    </row>
    <row r="80" spans="1:11" ht="14.25" customHeight="1">
      <c r="A80" s="21">
        <v>79</v>
      </c>
      <c r="B80" s="21">
        <v>99</v>
      </c>
      <c r="C80" s="21" t="s">
        <v>1586</v>
      </c>
      <c r="D80" s="21" t="s">
        <v>969</v>
      </c>
      <c r="E80" s="21">
        <v>8</v>
      </c>
      <c r="F80" s="21">
        <v>144695</v>
      </c>
      <c r="G80" s="42">
        <v>0.184</v>
      </c>
      <c r="H80" s="21" t="s">
        <v>1587</v>
      </c>
      <c r="I80" s="39" t="str">
        <f ca="1">IFERROR(__xludf.DUMMYFUNCTION("IF(SUM(COUNTIF(artists!A:A, SPLIT(D80, "",""))) &gt; 0, ""UA"", 0)"),"UA")</f>
        <v>UA</v>
      </c>
      <c r="J80" s="40">
        <f ca="1">IFERROR(__xludf.DUMMYFUNCTION("IF(SUM(COUNTIF(artists!C:C, SPLIT(D80, "",""))) &gt; 0, ""RU"", 0)"),0)</f>
        <v>0</v>
      </c>
      <c r="K80" s="39">
        <f ca="1">IFERROR(__xludf.DUMMYFUNCTION("IF(SUM(COUNTIF(artists!E:E, SPLIT(D80, "",""))) &gt; 0, ""OTHER"", 0)"),0)</f>
        <v>0</v>
      </c>
    </row>
    <row r="81" spans="1:11" ht="14.25" customHeight="1">
      <c r="A81" s="21">
        <v>80</v>
      </c>
      <c r="B81" s="21">
        <v>12</v>
      </c>
      <c r="C81" s="21" t="s">
        <v>1905</v>
      </c>
      <c r="D81" s="21" t="s">
        <v>1534</v>
      </c>
      <c r="E81" s="21">
        <v>2</v>
      </c>
      <c r="F81" s="21">
        <v>143960</v>
      </c>
      <c r="G81" s="42">
        <v>-0.59399999999999997</v>
      </c>
      <c r="H81" s="21" t="s">
        <v>1906</v>
      </c>
      <c r="I81" s="39">
        <f ca="1">IFERROR(__xludf.DUMMYFUNCTION("IF(SUM(COUNTIF(artists!A:A, SPLIT(D81, "",""))) &gt; 0, ""UA"", 0)"),0)</f>
        <v>0</v>
      </c>
      <c r="J81" s="40" t="str">
        <f ca="1">IFERROR(__xludf.DUMMYFUNCTION("IF(SUM(COUNTIF(artists!C:C, SPLIT(D81, "",""))) &gt; 0, ""RU"", 0)"),"RU")</f>
        <v>RU</v>
      </c>
      <c r="K81" s="39">
        <f ca="1">IFERROR(__xludf.DUMMYFUNCTION("IF(SUM(COUNTIF(artists!E:E, SPLIT(D81, "",""))) &gt; 0, ""OTHER"", 0)"),0)</f>
        <v>0</v>
      </c>
    </row>
    <row r="82" spans="1:11" ht="14.25" customHeight="1">
      <c r="A82" s="21">
        <v>81</v>
      </c>
      <c r="B82" s="21">
        <v>90</v>
      </c>
      <c r="C82" s="21" t="s">
        <v>1518</v>
      </c>
      <c r="D82" s="21" t="s">
        <v>108</v>
      </c>
      <c r="E82" s="21">
        <v>7</v>
      </c>
      <c r="F82" s="21">
        <v>142636</v>
      </c>
      <c r="G82" s="42">
        <v>5.8000000000000003E-2</v>
      </c>
      <c r="H82" s="21" t="s">
        <v>1519</v>
      </c>
      <c r="I82" s="39" t="str">
        <f ca="1">IFERROR(__xludf.DUMMYFUNCTION("IF(SUM(COUNTIF(artists!A:A, SPLIT(D82, "",""))) &gt; 0, ""UA"", 0)"),"UA")</f>
        <v>UA</v>
      </c>
      <c r="J82" s="40">
        <f ca="1">IFERROR(__xludf.DUMMYFUNCTION("IF(SUM(COUNTIF(artists!C:C, SPLIT(D82, "",""))) &gt; 0, ""RU"", 0)"),0)</f>
        <v>0</v>
      </c>
      <c r="K82" s="39">
        <f ca="1">IFERROR(__xludf.DUMMYFUNCTION("IF(SUM(COUNTIF(artists!E:E, SPLIT(D82, "",""))) &gt; 0, ""OTHER"", 0)"),0)</f>
        <v>0</v>
      </c>
    </row>
    <row r="83" spans="1:11" ht="14.25" customHeight="1">
      <c r="A83" s="21">
        <v>82</v>
      </c>
      <c r="B83" s="21">
        <v>82</v>
      </c>
      <c r="C83" s="21" t="s">
        <v>1865</v>
      </c>
      <c r="D83" s="21" t="s">
        <v>1646</v>
      </c>
      <c r="E83" s="21">
        <v>16</v>
      </c>
      <c r="F83" s="21">
        <v>142512</v>
      </c>
      <c r="G83" s="42">
        <v>1E-3</v>
      </c>
      <c r="H83" s="21" t="s">
        <v>1866</v>
      </c>
      <c r="I83" s="39">
        <f ca="1">IFERROR(__xludf.DUMMYFUNCTION("IF(SUM(COUNTIF(artists!A:A, SPLIT(D83, "",""))) &gt; 0, ""UA"", 0)"),0)</f>
        <v>0</v>
      </c>
      <c r="J83" s="40" t="str">
        <f ca="1">IFERROR(__xludf.DUMMYFUNCTION("IF(SUM(COUNTIF(artists!C:C, SPLIT(D83, "",""))) &gt; 0, ""RU"", 0)"),"RU")</f>
        <v>RU</v>
      </c>
      <c r="K83" s="39">
        <f ca="1">IFERROR(__xludf.DUMMYFUNCTION("IF(SUM(COUNTIF(artists!E:E, SPLIT(D83, "",""))) &gt; 0, ""OTHER"", 0)"),0)</f>
        <v>0</v>
      </c>
    </row>
    <row r="84" spans="1:11" ht="14.25" customHeight="1">
      <c r="A84" s="21">
        <v>83</v>
      </c>
      <c r="B84" s="21">
        <v>85</v>
      </c>
      <c r="C84" s="21" t="s">
        <v>1337</v>
      </c>
      <c r="D84" s="21" t="s">
        <v>1338</v>
      </c>
      <c r="E84" s="21">
        <v>13</v>
      </c>
      <c r="F84" s="21">
        <v>138529</v>
      </c>
      <c r="G84" s="42">
        <v>-7.0000000000000001E-3</v>
      </c>
      <c r="H84" s="21" t="s">
        <v>1339</v>
      </c>
      <c r="I84" s="39">
        <f ca="1">IFERROR(__xludf.DUMMYFUNCTION("IF(SUM(COUNTIF(artists!A:A, SPLIT(D84, "",""))) &gt; 0, ""UA"", 0)"),0)</f>
        <v>0</v>
      </c>
      <c r="J84" s="40">
        <f ca="1">IFERROR(__xludf.DUMMYFUNCTION("IF(SUM(COUNTIF(artists!C:C, SPLIT(D84, "",""))) &gt; 0, ""RU"", 0)"),0)</f>
        <v>0</v>
      </c>
      <c r="K84" s="39" t="str">
        <f ca="1">IFERROR(__xludf.DUMMYFUNCTION("IF(SUM(COUNTIF(artists!E:E, SPLIT(D84, "",""))) &gt; 0, ""OTHER"", 0)"),"OTHER")</f>
        <v>OTHER</v>
      </c>
    </row>
    <row r="85" spans="1:11" ht="14.25" customHeight="1">
      <c r="A85" s="21">
        <v>84</v>
      </c>
      <c r="B85" s="21">
        <v>75</v>
      </c>
      <c r="C85" s="21" t="s">
        <v>1863</v>
      </c>
      <c r="D85" s="21" t="s">
        <v>1660</v>
      </c>
      <c r="E85" s="21">
        <v>11</v>
      </c>
      <c r="F85" s="21">
        <v>137311</v>
      </c>
      <c r="G85" s="42">
        <v>-0.112</v>
      </c>
      <c r="H85" s="21" t="s">
        <v>1864</v>
      </c>
      <c r="I85" s="39">
        <f ca="1">IFERROR(__xludf.DUMMYFUNCTION("IF(SUM(COUNTIF(artists!A:A, SPLIT(D85, "",""))) &gt; 0, ""UA"", 0)"),0)</f>
        <v>0</v>
      </c>
      <c r="J85" s="40" t="str">
        <f ca="1">IFERROR(__xludf.DUMMYFUNCTION("IF(SUM(COUNTIF(artists!C:C, SPLIT(D85, "",""))) &gt; 0, ""RU"", 0)"),"RU")</f>
        <v>RU</v>
      </c>
      <c r="K85" s="39">
        <f ca="1">IFERROR(__xludf.DUMMYFUNCTION("IF(SUM(COUNTIF(artists!E:E, SPLIT(D85, "",""))) &gt; 0, ""OTHER"", 0)"),0)</f>
        <v>0</v>
      </c>
    </row>
    <row r="86" spans="1:11" ht="14.25" customHeight="1">
      <c r="A86" s="21">
        <v>85</v>
      </c>
      <c r="B86" s="21">
        <v>81</v>
      </c>
      <c r="C86" s="21" t="s">
        <v>1861</v>
      </c>
      <c r="D86" s="21" t="s">
        <v>409</v>
      </c>
      <c r="E86" s="21">
        <v>5</v>
      </c>
      <c r="F86" s="21">
        <v>137237</v>
      </c>
      <c r="G86" s="42">
        <v>-4.5999999999999999E-2</v>
      </c>
      <c r="H86" s="21" t="s">
        <v>1862</v>
      </c>
      <c r="I86" s="39" t="str">
        <f ca="1">IFERROR(__xludf.DUMMYFUNCTION("IF(SUM(COUNTIF(artists!A:A, SPLIT(D86, "",""))) &gt; 0, ""UA"", 0)"),"UA")</f>
        <v>UA</v>
      </c>
      <c r="J86" s="40">
        <f ca="1">IFERROR(__xludf.DUMMYFUNCTION("IF(SUM(COUNTIF(artists!C:C, SPLIT(D86, "",""))) &gt; 0, ""RU"", 0)"),0)</f>
        <v>0</v>
      </c>
      <c r="K86" s="39">
        <f ca="1">IFERROR(__xludf.DUMMYFUNCTION("IF(SUM(COUNTIF(artists!E:E, SPLIT(D86, "",""))) &gt; 0, ""OTHER"", 0)"),0)</f>
        <v>0</v>
      </c>
    </row>
    <row r="87" spans="1:11" ht="14.25" customHeight="1">
      <c r="A87" s="21">
        <v>86</v>
      </c>
      <c r="B87" s="21">
        <v>76</v>
      </c>
      <c r="C87" s="21" t="s">
        <v>1907</v>
      </c>
      <c r="D87" s="21" t="s">
        <v>409</v>
      </c>
      <c r="E87" s="21">
        <v>5</v>
      </c>
      <c r="F87" s="21">
        <v>135615</v>
      </c>
      <c r="G87" s="43">
        <v>-0.12</v>
      </c>
      <c r="H87" s="21" t="s">
        <v>1908</v>
      </c>
      <c r="I87" s="39" t="str">
        <f ca="1">IFERROR(__xludf.DUMMYFUNCTION("IF(SUM(COUNTIF(artists!A:A, SPLIT(D87, "",""))) &gt; 0, ""UA"", 0)"),"UA")</f>
        <v>UA</v>
      </c>
      <c r="J87" s="40">
        <f ca="1">IFERROR(__xludf.DUMMYFUNCTION("IF(SUM(COUNTIF(artists!C:C, SPLIT(D87, "",""))) &gt; 0, ""RU"", 0)"),0)</f>
        <v>0</v>
      </c>
      <c r="K87" s="39">
        <f ca="1">IFERROR(__xludf.DUMMYFUNCTION("IF(SUM(COUNTIF(artists!E:E, SPLIT(D87, "",""))) &gt; 0, ""OTHER"", 0)"),0)</f>
        <v>0</v>
      </c>
    </row>
    <row r="88" spans="1:11" ht="14.25" customHeight="1">
      <c r="A88" s="21">
        <v>87</v>
      </c>
      <c r="C88" s="21" t="s">
        <v>613</v>
      </c>
      <c r="D88" s="21" t="s">
        <v>614</v>
      </c>
      <c r="E88" s="21">
        <v>14</v>
      </c>
      <c r="F88" s="21">
        <v>134249</v>
      </c>
      <c r="H88" s="21" t="s">
        <v>615</v>
      </c>
      <c r="I88" s="39">
        <f ca="1">IFERROR(__xludf.DUMMYFUNCTION("IF(SUM(COUNTIF(artists!A:A, SPLIT(D88, "",""))) &gt; 0, ""UA"", 0)"),0)</f>
        <v>0</v>
      </c>
      <c r="J88" s="40" t="str">
        <f ca="1">IFERROR(__xludf.DUMMYFUNCTION("IF(SUM(COUNTIF(artists!C:C, SPLIT(D88, "",""))) &gt; 0, ""RU"", 0)"),"RU")</f>
        <v>RU</v>
      </c>
      <c r="K88" s="39">
        <f ca="1">IFERROR(__xludf.DUMMYFUNCTION("IF(SUM(COUNTIF(artists!E:E, SPLIT(D88, "",""))) &gt; 0, ""OTHER"", 0)"),0)</f>
        <v>0</v>
      </c>
    </row>
    <row r="89" spans="1:11" ht="14.25" customHeight="1">
      <c r="A89" s="21">
        <v>88</v>
      </c>
      <c r="B89" s="21">
        <v>20</v>
      </c>
      <c r="C89" s="21" t="s">
        <v>1909</v>
      </c>
      <c r="D89" s="21" t="s">
        <v>1534</v>
      </c>
      <c r="E89" s="21">
        <v>4</v>
      </c>
      <c r="F89" s="21">
        <v>131166</v>
      </c>
      <c r="G89" s="42">
        <v>-0.55700000000000005</v>
      </c>
      <c r="H89" s="21" t="s">
        <v>1910</v>
      </c>
      <c r="I89" s="39">
        <f ca="1">IFERROR(__xludf.DUMMYFUNCTION("IF(SUM(COUNTIF(artists!A:A, SPLIT(D89, "",""))) &gt; 0, ""UA"", 0)"),0)</f>
        <v>0</v>
      </c>
      <c r="J89" s="40" t="str">
        <f ca="1">IFERROR(__xludf.DUMMYFUNCTION("IF(SUM(COUNTIF(artists!C:C, SPLIT(D89, "",""))) &gt; 0, ""RU"", 0)"),"RU")</f>
        <v>RU</v>
      </c>
      <c r="K89" s="39">
        <f ca="1">IFERROR(__xludf.DUMMYFUNCTION("IF(SUM(COUNTIF(artists!E:E, SPLIT(D89, "",""))) &gt; 0, ""OTHER"", 0)"),0)</f>
        <v>0</v>
      </c>
    </row>
    <row r="90" spans="1:11" ht="14.25" customHeight="1">
      <c r="A90" s="21">
        <v>89</v>
      </c>
      <c r="B90" s="21">
        <v>92</v>
      </c>
      <c r="C90" s="21" t="s">
        <v>489</v>
      </c>
      <c r="D90" s="21" t="s">
        <v>490</v>
      </c>
      <c r="E90" s="21">
        <v>3</v>
      </c>
      <c r="F90" s="21">
        <v>130931</v>
      </c>
      <c r="G90" s="42">
        <v>-1.0999999999999999E-2</v>
      </c>
      <c r="H90" s="21" t="s">
        <v>491</v>
      </c>
      <c r="I90" s="39" t="str">
        <f ca="1">IFERROR(__xludf.DUMMYFUNCTION("IF(SUM(COUNTIF(artists!A:A, SPLIT(D90, "",""))) &gt; 0, ""UA"", 0)"),"UA")</f>
        <v>UA</v>
      </c>
      <c r="J90" s="40">
        <f ca="1">IFERROR(__xludf.DUMMYFUNCTION("IF(SUM(COUNTIF(artists!C:C, SPLIT(D90, "",""))) &gt; 0, ""RU"", 0)"),0)</f>
        <v>0</v>
      </c>
      <c r="K90" s="39">
        <f ca="1">IFERROR(__xludf.DUMMYFUNCTION("IF(SUM(COUNTIF(artists!E:E, SPLIT(D90, "",""))) &gt; 0, ""OTHER"", 0)"),0)</f>
        <v>0</v>
      </c>
    </row>
    <row r="91" spans="1:11" ht="14.25" customHeight="1">
      <c r="A91" s="21">
        <v>90</v>
      </c>
      <c r="B91" s="21">
        <v>97</v>
      </c>
      <c r="C91" s="21" t="s">
        <v>1887</v>
      </c>
      <c r="D91" s="21" t="s">
        <v>1099</v>
      </c>
      <c r="E91" s="21">
        <v>12</v>
      </c>
      <c r="F91" s="21">
        <v>127414</v>
      </c>
      <c r="G91" s="42">
        <v>2.3E-2</v>
      </c>
      <c r="H91" s="21" t="s">
        <v>1888</v>
      </c>
      <c r="I91" s="39">
        <f ca="1">IFERROR(__xludf.DUMMYFUNCTION("IF(SUM(COUNTIF(artists!A:A, SPLIT(D91, "",""))) &gt; 0, ""UA"", 0)"),0)</f>
        <v>0</v>
      </c>
      <c r="J91" s="40" t="str">
        <f ca="1">IFERROR(__xludf.DUMMYFUNCTION("IF(SUM(COUNTIF(artists!C:C, SPLIT(D91, "",""))) &gt; 0, ""RU"", 0)"),"RU")</f>
        <v>RU</v>
      </c>
      <c r="K91" s="39">
        <f ca="1">IFERROR(__xludf.DUMMYFUNCTION("IF(SUM(COUNTIF(artists!E:E, SPLIT(D91, "",""))) &gt; 0, ""OTHER"", 0)"),0)</f>
        <v>0</v>
      </c>
    </row>
    <row r="92" spans="1:11" ht="14.25" customHeight="1">
      <c r="A92" s="21">
        <v>91</v>
      </c>
      <c r="B92" s="21">
        <v>86</v>
      </c>
      <c r="C92" s="21" t="s">
        <v>1889</v>
      </c>
      <c r="D92" s="21" t="s">
        <v>1890</v>
      </c>
      <c r="E92" s="21">
        <v>6</v>
      </c>
      <c r="F92" s="21">
        <v>126282</v>
      </c>
      <c r="G92" s="42">
        <v>-9.1999999999999998E-2</v>
      </c>
      <c r="H92" s="21" t="s">
        <v>1891</v>
      </c>
      <c r="I92" s="39" t="str">
        <f ca="1">IFERROR(__xludf.DUMMYFUNCTION("IF(SUM(COUNTIF(artists!A:A, SPLIT(D92, "",""))) &gt; 0, ""UA"", 0)"),"UA")</f>
        <v>UA</v>
      </c>
      <c r="J92" s="40">
        <f ca="1">IFERROR(__xludf.DUMMYFUNCTION("IF(SUM(COUNTIF(artists!C:C, SPLIT(D92, "",""))) &gt; 0, ""RU"", 0)"),0)</f>
        <v>0</v>
      </c>
      <c r="K92" s="39">
        <f ca="1">IFERROR(__xludf.DUMMYFUNCTION("IF(SUM(COUNTIF(artists!E:E, SPLIT(D92, "",""))) &gt; 0, ""OTHER"", 0)"),0)</f>
        <v>0</v>
      </c>
    </row>
    <row r="93" spans="1:11" ht="14.25" customHeight="1">
      <c r="A93" s="21">
        <v>92</v>
      </c>
      <c r="B93" s="21">
        <v>69</v>
      </c>
      <c r="C93" s="21" t="s">
        <v>1911</v>
      </c>
      <c r="D93" s="21" t="s">
        <v>1912</v>
      </c>
      <c r="E93" s="21">
        <v>7</v>
      </c>
      <c r="F93" s="21">
        <v>125554</v>
      </c>
      <c r="G93" s="42">
        <v>-0.20300000000000001</v>
      </c>
      <c r="H93" s="21" t="s">
        <v>1913</v>
      </c>
      <c r="I93" s="39">
        <f ca="1">IFERROR(__xludf.DUMMYFUNCTION("IF(SUM(COUNTIF(artists!A:A, SPLIT(D93, "",""))) &gt; 0, ""UA"", 0)"),0)</f>
        <v>0</v>
      </c>
      <c r="J93" s="40" t="str">
        <f ca="1">IFERROR(__xludf.DUMMYFUNCTION("IF(SUM(COUNTIF(artists!C:C, SPLIT(D93, "",""))) &gt; 0, ""RU"", 0)"),"RU")</f>
        <v>RU</v>
      </c>
      <c r="K93" s="39">
        <f ca="1">IFERROR(__xludf.DUMMYFUNCTION("IF(SUM(COUNTIF(artists!E:E, SPLIT(D93, "",""))) &gt; 0, ""OTHER"", 0)"),0)</f>
        <v>0</v>
      </c>
    </row>
    <row r="94" spans="1:11" ht="14.25" customHeight="1">
      <c r="A94" s="21">
        <v>93</v>
      </c>
      <c r="C94" s="21" t="s">
        <v>1875</v>
      </c>
      <c r="D94" s="21" t="s">
        <v>1259</v>
      </c>
      <c r="E94" s="21">
        <v>2</v>
      </c>
      <c r="F94" s="21">
        <v>124674</v>
      </c>
      <c r="H94" s="21" t="s">
        <v>1876</v>
      </c>
      <c r="I94" s="39" t="str">
        <f ca="1">IFERROR(__xludf.DUMMYFUNCTION("IF(SUM(COUNTIF(artists!A:A, SPLIT(D94, "",""))) &gt; 0, ""UA"", 0)"),"UA")</f>
        <v>UA</v>
      </c>
      <c r="J94" s="40">
        <f ca="1">IFERROR(__xludf.DUMMYFUNCTION("IF(SUM(COUNTIF(artists!C:C, SPLIT(D94, "",""))) &gt; 0, ""RU"", 0)"),0)</f>
        <v>0</v>
      </c>
      <c r="K94" s="39">
        <f ca="1">IFERROR(__xludf.DUMMYFUNCTION("IF(SUM(COUNTIF(artists!E:E, SPLIT(D94, "",""))) &gt; 0, ""OTHER"", 0)"),0)</f>
        <v>0</v>
      </c>
    </row>
    <row r="95" spans="1:11" ht="14.25" customHeight="1">
      <c r="A95" s="21">
        <v>94</v>
      </c>
      <c r="C95" s="21" t="s">
        <v>1872</v>
      </c>
      <c r="D95" s="21" t="s">
        <v>1873</v>
      </c>
      <c r="E95" s="21">
        <v>1</v>
      </c>
      <c r="F95" s="21">
        <v>124305</v>
      </c>
      <c r="H95" s="21" t="s">
        <v>1874</v>
      </c>
      <c r="I95" s="39">
        <f ca="1">IFERROR(__xludf.DUMMYFUNCTION("IF(SUM(COUNTIF(artists!A:A, SPLIT(D95, "",""))) &gt; 0, ""UA"", 0)"),0)</f>
        <v>0</v>
      </c>
      <c r="J95" s="40" t="str">
        <f ca="1">IFERROR(__xludf.DUMMYFUNCTION("IF(SUM(COUNTIF(artists!C:C, SPLIT(D95, "",""))) &gt; 0, ""RU"", 0)"),"RU")</f>
        <v>RU</v>
      </c>
      <c r="K95" s="39">
        <f ca="1">IFERROR(__xludf.DUMMYFUNCTION("IF(SUM(COUNTIF(artists!E:E, SPLIT(D95, "",""))) &gt; 0, ""OTHER"", 0)"),0)</f>
        <v>0</v>
      </c>
    </row>
    <row r="96" spans="1:11" ht="14.25" customHeight="1">
      <c r="A96" s="21">
        <v>95</v>
      </c>
      <c r="C96" s="21" t="s">
        <v>1914</v>
      </c>
      <c r="D96" s="21" t="s">
        <v>1503</v>
      </c>
      <c r="E96" s="21">
        <v>1</v>
      </c>
      <c r="F96" s="21">
        <v>122034</v>
      </c>
      <c r="H96" s="21" t="s">
        <v>1915</v>
      </c>
      <c r="I96" s="39" t="str">
        <f ca="1">IFERROR(__xludf.DUMMYFUNCTION("IF(SUM(COUNTIF(artists!A:A, SPLIT(D96, "",""))) &gt; 0, ""UA"", 0)"),"UA")</f>
        <v>UA</v>
      </c>
      <c r="J96" s="40">
        <f ca="1">IFERROR(__xludf.DUMMYFUNCTION("IF(SUM(COUNTIF(artists!C:C, SPLIT(D96, "",""))) &gt; 0, ""RU"", 0)"),0)</f>
        <v>0</v>
      </c>
      <c r="K96" s="39">
        <f ca="1">IFERROR(__xludf.DUMMYFUNCTION("IF(SUM(COUNTIF(artists!E:E, SPLIT(D96, "",""))) &gt; 0, ""OTHER"", 0)"),0)</f>
        <v>0</v>
      </c>
    </row>
    <row r="97" spans="1:11" ht="14.25" customHeight="1">
      <c r="A97" s="21">
        <v>96</v>
      </c>
      <c r="C97" s="21" t="s">
        <v>414</v>
      </c>
      <c r="D97" s="21" t="s">
        <v>1892</v>
      </c>
      <c r="E97" s="21">
        <v>1</v>
      </c>
      <c r="F97" s="21">
        <v>120939</v>
      </c>
      <c r="H97" s="21" t="s">
        <v>417</v>
      </c>
      <c r="I97" s="39" t="str">
        <f ca="1">IFERROR(__xludf.DUMMYFUNCTION("IF(SUM(COUNTIF(artists!A:A, SPLIT(D97, "",""))) &gt; 0, ""UA"", 0)"),"UA")</f>
        <v>UA</v>
      </c>
      <c r="J97" s="40">
        <f ca="1">IFERROR(__xludf.DUMMYFUNCTION("IF(SUM(COUNTIF(artists!C:C, SPLIT(D97, "",""))) &gt; 0, ""RU"", 0)"),0)</f>
        <v>0</v>
      </c>
      <c r="K97" s="39">
        <f ca="1">IFERROR(__xludf.DUMMYFUNCTION("IF(SUM(COUNTIF(artists!E:E, SPLIT(D97, "",""))) &gt; 0, ""OTHER"", 0)"),0)</f>
        <v>0</v>
      </c>
    </row>
    <row r="98" spans="1:11" ht="14.25" customHeight="1">
      <c r="A98" s="21">
        <v>97</v>
      </c>
      <c r="C98" s="21" t="s">
        <v>1916</v>
      </c>
      <c r="D98" s="21" t="s">
        <v>409</v>
      </c>
      <c r="E98" s="21">
        <v>2</v>
      </c>
      <c r="F98" s="21">
        <v>118575</v>
      </c>
      <c r="H98" s="21" t="s">
        <v>1917</v>
      </c>
      <c r="I98" s="39" t="str">
        <f ca="1">IFERROR(__xludf.DUMMYFUNCTION("IF(SUM(COUNTIF(artists!A:A, SPLIT(D98, "",""))) &gt; 0, ""UA"", 0)"),"UA")</f>
        <v>UA</v>
      </c>
      <c r="J98" s="40">
        <f ca="1">IFERROR(__xludf.DUMMYFUNCTION("IF(SUM(COUNTIF(artists!C:C, SPLIT(D98, "",""))) &gt; 0, ""RU"", 0)"),0)</f>
        <v>0</v>
      </c>
      <c r="K98" s="39">
        <f ca="1">IFERROR(__xludf.DUMMYFUNCTION("IF(SUM(COUNTIF(artists!E:E, SPLIT(D98, "",""))) &gt; 0, ""OTHER"", 0)"),0)</f>
        <v>0</v>
      </c>
    </row>
    <row r="99" spans="1:11" ht="14.25" customHeight="1">
      <c r="A99" s="21">
        <v>98</v>
      </c>
      <c r="C99" s="21" t="s">
        <v>1918</v>
      </c>
      <c r="D99" s="21" t="s">
        <v>1919</v>
      </c>
      <c r="E99" s="21">
        <v>1</v>
      </c>
      <c r="F99" s="21">
        <v>116483</v>
      </c>
      <c r="H99" s="21" t="s">
        <v>1920</v>
      </c>
      <c r="I99" s="39" t="str">
        <f ca="1">IFERROR(__xludf.DUMMYFUNCTION("IF(SUM(COUNTIF(artists!A:A, SPLIT(D99, "",""))) &gt; 0, ""UA"", 0)"),"UA")</f>
        <v>UA</v>
      </c>
      <c r="J99" s="40">
        <f ca="1">IFERROR(__xludf.DUMMYFUNCTION("IF(SUM(COUNTIF(artists!C:C, SPLIT(D99, "",""))) &gt; 0, ""RU"", 0)"),0)</f>
        <v>0</v>
      </c>
      <c r="K99" s="39">
        <f ca="1">IFERROR(__xludf.DUMMYFUNCTION("IF(SUM(COUNTIF(artists!E:E, SPLIT(D99, "",""))) &gt; 0, ""OTHER"", 0)"),0)</f>
        <v>0</v>
      </c>
    </row>
    <row r="100" spans="1:11" ht="14.25" customHeight="1">
      <c r="A100" s="21">
        <v>99</v>
      </c>
      <c r="C100" s="21" t="s">
        <v>1869</v>
      </c>
      <c r="D100" s="21" t="s">
        <v>1870</v>
      </c>
      <c r="E100" s="21">
        <v>1</v>
      </c>
      <c r="F100" s="21">
        <v>116363</v>
      </c>
      <c r="H100" s="21" t="s">
        <v>1871</v>
      </c>
      <c r="I100" s="39">
        <f ca="1">IFERROR(__xludf.DUMMYFUNCTION("IF(SUM(COUNTIF(artists!A:A, SPLIT(D100, "",""))) &gt; 0, ""UA"", 0)"),0)</f>
        <v>0</v>
      </c>
      <c r="J100" s="40" t="str">
        <f ca="1">IFERROR(__xludf.DUMMYFUNCTION("IF(SUM(COUNTIF(artists!C:C, SPLIT(D100, "",""))) &gt; 0, ""RU"", 0)"),"RU")</f>
        <v>RU</v>
      </c>
      <c r="K100" s="39">
        <f ca="1">IFERROR(__xludf.DUMMYFUNCTION("IF(SUM(COUNTIF(artists!E:E, SPLIT(D100, "",""))) &gt; 0, ""OTHER"", 0)"),0)</f>
        <v>0</v>
      </c>
    </row>
    <row r="101" spans="1:11" ht="14.25" customHeight="1">
      <c r="A101" s="21">
        <v>100</v>
      </c>
      <c r="C101" s="21" t="s">
        <v>1524</v>
      </c>
      <c r="D101" s="21" t="s">
        <v>1525</v>
      </c>
      <c r="E101" s="21">
        <v>21</v>
      </c>
      <c r="F101" s="21">
        <v>116045</v>
      </c>
      <c r="H101" s="21" t="s">
        <v>1526</v>
      </c>
      <c r="I101" s="39" t="str">
        <f ca="1">IFERROR(__xludf.DUMMYFUNCTION("IF(SUM(COUNTIF(artists!A:A, SPLIT(D101, "",""))) &gt; 0, ""UA"", 0)"),"UA")</f>
        <v>UA</v>
      </c>
      <c r="J101" s="40">
        <f ca="1">IFERROR(__xludf.DUMMYFUNCTION("IF(SUM(COUNTIF(artists!C:C, SPLIT(D101, "",""))) &gt; 0, ""RU"", 0)"),0)</f>
        <v>0</v>
      </c>
      <c r="K101" s="39">
        <f ca="1">IFERROR(__xludf.DUMMYFUNCTION("IF(SUM(COUNTIF(artists!E:E, SPLIT(D101, "",""))) &gt; 0, ""OTHER"", 0)"),0)</f>
        <v>0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25" priority="1">
      <formula>AND($I2=0, $J2=0, $K2=0)</formula>
    </cfRule>
    <cfRule type="expression" dxfId="24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200-000000000000}">
  <sheetPr codeName="Аркуш51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4" width="8.6640625" customWidth="1"/>
    <col min="5" max="5" width="8.6640625" hidden="1" customWidth="1"/>
    <col min="6" max="7" width="8.664062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B2" s="21">
        <v>2</v>
      </c>
      <c r="C2" s="21" t="s">
        <v>895</v>
      </c>
      <c r="D2" s="21" t="s">
        <v>896</v>
      </c>
      <c r="E2" s="21">
        <v>6</v>
      </c>
      <c r="F2" s="21">
        <v>1104174</v>
      </c>
      <c r="G2" s="42">
        <v>0.14799999999999999</v>
      </c>
      <c r="H2" s="21" t="s">
        <v>897</v>
      </c>
      <c r="I2" s="39" t="str">
        <f ca="1">IFERROR(__xludf.DUMMYFUNCTION("IF(SUM(COUNTIF(artists!A:A, SPLIT(D2, "",""))) &gt; 0, ""UA"", 0)"),"UA")</f>
        <v>UA</v>
      </c>
      <c r="J2" s="40">
        <f ca="1">IFERROR(__xludf.DUMMYFUNCTION("IF(SUM(COUNTIF(artists!C:C, SPLIT(D2, "",""))) &gt; 0, ""RU"", 0)"),0)</f>
        <v>0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B3" s="21">
        <v>3</v>
      </c>
      <c r="C3" s="21" t="s">
        <v>645</v>
      </c>
      <c r="D3" s="21" t="s">
        <v>352</v>
      </c>
      <c r="E3" s="21">
        <v>7</v>
      </c>
      <c r="F3" s="21">
        <v>1081141</v>
      </c>
      <c r="G3" s="42">
        <v>0.158</v>
      </c>
      <c r="H3" s="21" t="s">
        <v>647</v>
      </c>
      <c r="I3" s="39" t="str">
        <f ca="1">IFERROR(__xludf.DUMMYFUNCTION("IF(SUM(COUNTIF(artists!A:A, SPLIT(D3, "",""))) &gt; 0, ""UA"", 0)"),"UA")</f>
        <v>UA</v>
      </c>
      <c r="J3" s="40">
        <f ca="1">IFERROR(__xludf.DUMMYFUNCTION("IF(SUM(COUNTIF(artists!C:C, SPLIT(D3, "",""))) &gt; 0, ""RU"", 0)"),0)</f>
        <v>0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B4" s="21">
        <v>4</v>
      </c>
      <c r="C4" s="21" t="s">
        <v>1263</v>
      </c>
      <c r="D4" s="21" t="s">
        <v>1264</v>
      </c>
      <c r="E4" s="21">
        <v>20</v>
      </c>
      <c r="F4" s="21">
        <v>771482</v>
      </c>
      <c r="G4" s="42">
        <v>1.4999999999999999E-2</v>
      </c>
      <c r="H4" s="21" t="s">
        <v>1265</v>
      </c>
      <c r="I4" s="39">
        <f ca="1">IFERROR(__xludf.DUMMYFUNCTION("IF(SUM(COUNTIF(artists!A:A, SPLIT(D4, "",""))) &gt; 0, ""UA"", 0)"),0)</f>
        <v>0</v>
      </c>
      <c r="J4" s="40" t="str">
        <f ca="1">IFERROR(__xludf.DUMMYFUNCTION("IF(SUM(COUNTIF(artists!C:C, SPLIT(D4, "",""))) &gt; 0, ""RU"", 0)"),"RU")</f>
        <v>RU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B5" s="21">
        <v>1</v>
      </c>
      <c r="C5" s="21">
        <v>12</v>
      </c>
      <c r="D5" s="21" t="s">
        <v>1050</v>
      </c>
      <c r="E5" s="21">
        <v>2</v>
      </c>
      <c r="F5" s="21">
        <v>763643</v>
      </c>
      <c r="G5" s="42">
        <v>-0.621</v>
      </c>
      <c r="H5" s="21" t="s">
        <v>1756</v>
      </c>
      <c r="I5" s="39">
        <f ca="1">IFERROR(__xludf.DUMMYFUNCTION("IF(SUM(COUNTIF(artists!A:A, SPLIT(D5, "",""))) &gt; 0, ""UA"", 0)"),0)</f>
        <v>0</v>
      </c>
      <c r="J5" s="40" t="str">
        <f ca="1">IFERROR(__xludf.DUMMYFUNCTION("IF(SUM(COUNTIF(artists!C:C, SPLIT(D5, "",""))) &gt; 0, ""RU"", 0)"),"RU")</f>
        <v>RU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B6" s="21">
        <v>6</v>
      </c>
      <c r="C6" s="21" t="s">
        <v>1496</v>
      </c>
      <c r="D6" s="21" t="s">
        <v>969</v>
      </c>
      <c r="E6" s="21">
        <v>44</v>
      </c>
      <c r="F6" s="21">
        <v>721595</v>
      </c>
      <c r="G6" s="42">
        <v>0.26900000000000002</v>
      </c>
      <c r="H6" s="21" t="s">
        <v>1497</v>
      </c>
      <c r="I6" s="39" t="str">
        <f ca="1">IFERROR(__xludf.DUMMYFUNCTION("IF(SUM(COUNTIF(artists!A:A, SPLIT(D6, "",""))) &gt; 0, ""UA"", 0)"),"UA")</f>
        <v>UA</v>
      </c>
      <c r="J6" s="40">
        <f ca="1">IFERROR(__xludf.DUMMYFUNCTION("IF(SUM(COUNTIF(artists!C:C, SPLIT(D6, "",""))) &gt; 0, ""RU"", 0)"),0)</f>
        <v>0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B7" s="21">
        <v>5</v>
      </c>
      <c r="C7" s="21" t="s">
        <v>1471</v>
      </c>
      <c r="D7" s="21" t="s">
        <v>1472</v>
      </c>
      <c r="E7" s="21">
        <v>3</v>
      </c>
      <c r="F7" s="21">
        <v>589269</v>
      </c>
      <c r="G7" s="42">
        <v>-0.159</v>
      </c>
      <c r="H7" s="21" t="s">
        <v>1473</v>
      </c>
      <c r="I7" s="39" t="str">
        <f ca="1">IFERROR(__xludf.DUMMYFUNCTION("IF(SUM(COUNTIF(artists!A:A, SPLIT(D7, "",""))) &gt; 0, ""UA"", 0)"),"UA")</f>
        <v>UA</v>
      </c>
      <c r="J7" s="40">
        <f ca="1">IFERROR(__xludf.DUMMYFUNCTION("IF(SUM(COUNTIF(artists!C:C, SPLIT(D7, "",""))) &gt; 0, ""RU"", 0)"),0)</f>
        <v>0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B8" s="21">
        <v>7</v>
      </c>
      <c r="C8" s="21" t="s">
        <v>909</v>
      </c>
      <c r="D8" s="21" t="s">
        <v>910</v>
      </c>
      <c r="E8" s="21">
        <v>4</v>
      </c>
      <c r="F8" s="21">
        <v>561595</v>
      </c>
      <c r="G8" s="42">
        <v>-1.2E-2</v>
      </c>
      <c r="H8" s="21" t="s">
        <v>911</v>
      </c>
      <c r="I8" s="39" t="str">
        <f ca="1">IFERROR(__xludf.DUMMYFUNCTION("IF(SUM(COUNTIF(artists!A:A, SPLIT(D8, "",""))) &gt; 0, ""UA"", 0)"),"UA")</f>
        <v>UA</v>
      </c>
      <c r="J8" s="40">
        <f ca="1">IFERROR(__xludf.DUMMYFUNCTION("IF(SUM(COUNTIF(artists!C:C, SPLIT(D8, "",""))) &gt; 0, ""RU"", 0)"),0)</f>
        <v>0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B9" s="21">
        <v>9</v>
      </c>
      <c r="C9" s="21" t="s">
        <v>1487</v>
      </c>
      <c r="D9" s="21" t="s">
        <v>409</v>
      </c>
      <c r="E9" s="21">
        <v>4</v>
      </c>
      <c r="F9" s="21">
        <v>531683</v>
      </c>
      <c r="G9" s="43">
        <v>0.09</v>
      </c>
      <c r="H9" s="21" t="s">
        <v>1488</v>
      </c>
      <c r="I9" s="39" t="str">
        <f ca="1">IFERROR(__xludf.DUMMYFUNCTION("IF(SUM(COUNTIF(artists!A:A, SPLIT(D9, "",""))) &gt; 0, ""UA"", 0)"),"UA")</f>
        <v>UA</v>
      </c>
      <c r="J9" s="40">
        <f ca="1">IFERROR(__xludf.DUMMYFUNCTION("IF(SUM(COUNTIF(artists!C:C, SPLIT(D9, "",""))) &gt; 0, ""RU"", 0)"),0)</f>
        <v>0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B10" s="21">
        <v>10</v>
      </c>
      <c r="C10" s="21" t="s">
        <v>935</v>
      </c>
      <c r="D10" s="21" t="s">
        <v>936</v>
      </c>
      <c r="E10" s="21">
        <v>21</v>
      </c>
      <c r="F10" s="21">
        <v>442865</v>
      </c>
      <c r="G10" s="43">
        <v>0</v>
      </c>
      <c r="H10" s="21" t="s">
        <v>937</v>
      </c>
      <c r="I10" s="39">
        <f ca="1">IFERROR(__xludf.DUMMYFUNCTION("IF(SUM(COUNTIF(artists!A:A, SPLIT(D10, "",""))) &gt; 0, ""UA"", 0)"),0)</f>
        <v>0</v>
      </c>
      <c r="J10" s="40" t="str">
        <f ca="1">IFERROR(__xludf.DUMMYFUNCTION("IF(SUM(COUNTIF(artists!C:C, SPLIT(D10, "",""))) &gt; 0, ""RU"", 0)"),"RU")</f>
        <v>RU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B11" s="21">
        <v>13</v>
      </c>
      <c r="C11" s="21" t="s">
        <v>1500</v>
      </c>
      <c r="D11" s="21" t="s">
        <v>907</v>
      </c>
      <c r="E11" s="21">
        <v>24</v>
      </c>
      <c r="F11" s="21">
        <v>414423</v>
      </c>
      <c r="G11" s="42">
        <v>8.4000000000000005E-2</v>
      </c>
      <c r="H11" s="21" t="s">
        <v>1501</v>
      </c>
      <c r="I11" s="39">
        <f ca="1">IFERROR(__xludf.DUMMYFUNCTION("IF(SUM(COUNTIF(artists!A:A, SPLIT(D11, "",""))) &gt; 0, ""UA"", 0)"),0)</f>
        <v>0</v>
      </c>
      <c r="J11" s="40" t="str">
        <f ca="1">IFERROR(__xludf.DUMMYFUNCTION("IF(SUM(COUNTIF(artists!C:C, SPLIT(D11, "",""))) &gt; 0, ""RU"", 0)"),"RU")</f>
        <v>RU</v>
      </c>
      <c r="K11" s="39">
        <f ca="1">IFERROR(__xludf.DUMMYFUNCTION("IF(SUM(COUNTIF(artists!E:E, SPLIT(D11, "",""))) &gt; 0, ""OTHER"", 0)"),0)</f>
        <v>0</v>
      </c>
    </row>
    <row r="12" spans="1:11" ht="14.25" customHeight="1">
      <c r="A12" s="21">
        <v>11</v>
      </c>
      <c r="C12" s="21" t="s">
        <v>1436</v>
      </c>
      <c r="D12" s="21" t="s">
        <v>896</v>
      </c>
      <c r="E12" s="21">
        <v>1</v>
      </c>
      <c r="F12" s="21">
        <v>375855</v>
      </c>
      <c r="H12" s="21" t="s">
        <v>1437</v>
      </c>
      <c r="I12" s="39" t="str">
        <f ca="1">IFERROR(__xludf.DUMMYFUNCTION("IF(SUM(COUNTIF(artists!A:A, SPLIT(D12, "",""))) &gt; 0, ""UA"", 0)"),"UA")</f>
        <v>UA</v>
      </c>
      <c r="J12" s="40">
        <f ca="1">IFERROR(__xludf.DUMMYFUNCTION("IF(SUM(COUNTIF(artists!C:C, SPLIT(D12, "",""))) &gt; 0, ""RU"", 0)"),0)</f>
        <v>0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C13" s="21" t="s">
        <v>1905</v>
      </c>
      <c r="D13" s="21" t="s">
        <v>1534</v>
      </c>
      <c r="E13" s="21">
        <v>1</v>
      </c>
      <c r="F13" s="21">
        <v>354267</v>
      </c>
      <c r="H13" s="21" t="s">
        <v>1906</v>
      </c>
      <c r="I13" s="39">
        <f ca="1">IFERROR(__xludf.DUMMYFUNCTION("IF(SUM(COUNTIF(artists!A:A, SPLIT(D13, "",""))) &gt; 0, ""UA"", 0)"),0)</f>
        <v>0</v>
      </c>
      <c r="J13" s="40" t="str">
        <f ca="1">IFERROR(__xludf.DUMMYFUNCTION("IF(SUM(COUNTIF(artists!C:C, SPLIT(D13, "",""))) &gt; 0, ""RU"", 0)"),"RU")</f>
        <v>RU</v>
      </c>
      <c r="K13" s="39">
        <f ca="1">IFERROR(__xludf.DUMMYFUNCTION("IF(SUM(COUNTIF(artists!E:E, SPLIT(D13, "",""))) &gt; 0, ""OTHER"", 0)"),0)</f>
        <v>0</v>
      </c>
    </row>
    <row r="14" spans="1:11" ht="14.25" customHeight="1">
      <c r="A14" s="21">
        <v>13</v>
      </c>
      <c r="C14" s="21" t="s">
        <v>887</v>
      </c>
      <c r="D14" s="21" t="s">
        <v>89</v>
      </c>
      <c r="E14" s="21">
        <v>1</v>
      </c>
      <c r="F14" s="21">
        <v>350615</v>
      </c>
      <c r="H14" s="21" t="s">
        <v>888</v>
      </c>
      <c r="I14" s="39" t="str">
        <f ca="1">IFERROR(__xludf.DUMMYFUNCTION("IF(SUM(COUNTIF(artists!A:A, SPLIT(D14, "",""))) &gt; 0, ""UA"", 0)"),"UA")</f>
        <v>UA</v>
      </c>
      <c r="J14" s="40">
        <f ca="1">IFERROR(__xludf.DUMMYFUNCTION("IF(SUM(COUNTIF(artists!C:C, SPLIT(D14, "",""))) &gt; 0, ""RU"", 0)"),0)</f>
        <v>0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C15" s="21" t="s">
        <v>1614</v>
      </c>
      <c r="D15" s="21" t="s">
        <v>1027</v>
      </c>
      <c r="E15" s="21">
        <v>1</v>
      </c>
      <c r="F15" s="21">
        <v>347866</v>
      </c>
      <c r="H15" s="21" t="s">
        <v>1615</v>
      </c>
      <c r="I15" s="39" t="str">
        <f ca="1">IFERROR(__xludf.DUMMYFUNCTION("IF(SUM(COUNTIF(artists!A:A, SPLIT(D15, "",""))) &gt; 0, ""UA"", 0)"),"UA")</f>
        <v>UA</v>
      </c>
      <c r="J15" s="40">
        <f ca="1">IFERROR(__xludf.DUMMYFUNCTION("IF(SUM(COUNTIF(artists!C:C, SPLIT(D15, "",""))) &gt; 0, ""RU"", 0)"),0)</f>
        <v>0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B16" s="21">
        <v>14</v>
      </c>
      <c r="C16" s="21" t="s">
        <v>1325</v>
      </c>
      <c r="D16" s="21" t="s">
        <v>1237</v>
      </c>
      <c r="E16" s="21">
        <v>44</v>
      </c>
      <c r="F16" s="21">
        <v>340094</v>
      </c>
      <c r="G16" s="42">
        <v>-2.5000000000000001E-2</v>
      </c>
      <c r="H16" s="21" t="s">
        <v>1326</v>
      </c>
      <c r="I16" s="39">
        <f ca="1">IFERROR(__xludf.DUMMYFUNCTION("IF(SUM(COUNTIF(artists!A:A, SPLIT(D16, "",""))) &gt; 0, ""UA"", 0)"),0)</f>
        <v>0</v>
      </c>
      <c r="J16" s="40" t="str">
        <f ca="1">IFERROR(__xludf.DUMMYFUNCTION("IF(SUM(COUNTIF(artists!C:C, SPLIT(D16, "",""))) &gt; 0, ""RU"", 0)"),"RU")</f>
        <v>RU</v>
      </c>
      <c r="K16" s="39">
        <f ca="1">IFERROR(__xludf.DUMMYFUNCTION("IF(SUM(COUNTIF(artists!E:E, SPLIT(D16, "",""))) &gt; 0, ""OTHER"", 0)"),0)</f>
        <v>0</v>
      </c>
    </row>
    <row r="17" spans="1:11" ht="14.25" customHeight="1">
      <c r="A17" s="21">
        <v>16</v>
      </c>
      <c r="B17" s="21">
        <v>18</v>
      </c>
      <c r="C17" s="21" t="s">
        <v>1116</v>
      </c>
      <c r="D17" s="21" t="s">
        <v>1117</v>
      </c>
      <c r="E17" s="21">
        <v>16</v>
      </c>
      <c r="F17" s="21">
        <v>318889</v>
      </c>
      <c r="G17" s="42">
        <v>0.20699999999999999</v>
      </c>
      <c r="H17" s="21" t="s">
        <v>1118</v>
      </c>
      <c r="I17" s="39">
        <f ca="1">IFERROR(__xludf.DUMMYFUNCTION("IF(SUM(COUNTIF(artists!A:A, SPLIT(D17, "",""))) &gt; 0, ""UA"", 0)"),0)</f>
        <v>0</v>
      </c>
      <c r="J17" s="40" t="str">
        <f ca="1">IFERROR(__xludf.DUMMYFUNCTION("IF(SUM(COUNTIF(artists!C:C, SPLIT(D17, "",""))) &gt; 0, ""RU"", 0)"),"RU")</f>
        <v>RU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B18" s="21">
        <v>24</v>
      </c>
      <c r="C18" s="21" t="s">
        <v>1369</v>
      </c>
      <c r="D18" s="21" t="s">
        <v>1370</v>
      </c>
      <c r="E18" s="21">
        <v>4</v>
      </c>
      <c r="F18" s="21">
        <v>313464</v>
      </c>
      <c r="G18" s="43">
        <v>0.28999999999999998</v>
      </c>
      <c r="H18" s="21" t="s">
        <v>1371</v>
      </c>
      <c r="I18" s="39" t="str">
        <f ca="1">IFERROR(__xludf.DUMMYFUNCTION("IF(SUM(COUNTIF(artists!A:A, SPLIT(D18, "",""))) &gt; 0, ""UA"", 0)"),"UA")</f>
        <v>UA</v>
      </c>
      <c r="J18" s="40">
        <f ca="1">IFERROR(__xludf.DUMMYFUNCTION("IF(SUM(COUNTIF(artists!C:C, SPLIT(D18, "",""))) &gt; 0, ""RU"", 0)"),0)</f>
        <v>0</v>
      </c>
      <c r="K18" s="39">
        <f ca="1">IFERROR(__xludf.DUMMYFUNCTION("IF(SUM(COUNTIF(artists!E:E, SPLIT(D18, "",""))) &gt; 0, ""OTHER"", 0)"),0)</f>
        <v>0</v>
      </c>
    </row>
    <row r="19" spans="1:11" ht="14.25" customHeight="1">
      <c r="A19" s="21">
        <v>18</v>
      </c>
      <c r="B19" s="21">
        <v>30</v>
      </c>
      <c r="C19" s="21" t="s">
        <v>799</v>
      </c>
      <c r="D19" s="21" t="s">
        <v>494</v>
      </c>
      <c r="E19" s="21">
        <v>3</v>
      </c>
      <c r="F19" s="21">
        <v>305335</v>
      </c>
      <c r="G19" s="42">
        <v>0.41899999999999998</v>
      </c>
      <c r="H19" s="21" t="s">
        <v>800</v>
      </c>
      <c r="I19" s="39" t="str">
        <f ca="1">IFERROR(__xludf.DUMMYFUNCTION("IF(SUM(COUNTIF(artists!A:A, SPLIT(D19, "",""))) &gt; 0, ""UA"", 0)"),"UA")</f>
        <v>UA</v>
      </c>
      <c r="J19" s="40">
        <f ca="1">IFERROR(__xludf.DUMMYFUNCTION("IF(SUM(COUNTIF(artists!C:C, SPLIT(D19, "",""))) &gt; 0, ""RU"", 0)"),0)</f>
        <v>0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B20" s="21">
        <v>23</v>
      </c>
      <c r="C20" s="21" t="s">
        <v>1777</v>
      </c>
      <c r="D20" s="21" t="s">
        <v>1778</v>
      </c>
      <c r="E20" s="21">
        <v>4</v>
      </c>
      <c r="F20" s="21">
        <v>302044</v>
      </c>
      <c r="G20" s="42">
        <v>0.23899999999999999</v>
      </c>
      <c r="H20" s="21" t="s">
        <v>1779</v>
      </c>
      <c r="I20" s="39" t="str">
        <f ca="1">IFERROR(__xludf.DUMMYFUNCTION("IF(SUM(COUNTIF(artists!A:A, SPLIT(D20, "",""))) &gt; 0, ""UA"", 0)"),"UA")</f>
        <v>UA</v>
      </c>
      <c r="J20" s="40">
        <f ca="1">IFERROR(__xludf.DUMMYFUNCTION("IF(SUM(COUNTIF(artists!C:C, SPLIT(D20, "",""))) &gt; 0, ""RU"", 0)"),0)</f>
        <v>0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B21" s="21">
        <v>11</v>
      </c>
      <c r="C21" s="21" t="s">
        <v>1909</v>
      </c>
      <c r="D21" s="21" t="s">
        <v>1534</v>
      </c>
      <c r="E21" s="21">
        <v>3</v>
      </c>
      <c r="F21" s="21">
        <v>296238</v>
      </c>
      <c r="G21" s="42">
        <v>-0.32400000000000001</v>
      </c>
      <c r="H21" s="21" t="s">
        <v>1910</v>
      </c>
      <c r="I21" s="39">
        <f ca="1">IFERROR(__xludf.DUMMYFUNCTION("IF(SUM(COUNTIF(artists!A:A, SPLIT(D21, "",""))) &gt; 0, ""UA"", 0)"),0)</f>
        <v>0</v>
      </c>
      <c r="J21" s="40" t="str">
        <f ca="1">IFERROR(__xludf.DUMMYFUNCTION("IF(SUM(COUNTIF(artists!C:C, SPLIT(D21, "",""))) &gt; 0, ""RU"", 0)"),"RU")</f>
        <v>RU</v>
      </c>
      <c r="K21" s="39">
        <f ca="1">IFERROR(__xludf.DUMMYFUNCTION("IF(SUM(COUNTIF(artists!E:E, SPLIT(D21, "",""))) &gt; 0, ""OTHER"", 0)"),0)</f>
        <v>0</v>
      </c>
    </row>
    <row r="22" spans="1:11" ht="14.25" customHeight="1">
      <c r="A22" s="21">
        <v>21</v>
      </c>
      <c r="B22" s="21">
        <v>22</v>
      </c>
      <c r="C22" s="21" t="s">
        <v>1797</v>
      </c>
      <c r="D22" s="21" t="s">
        <v>945</v>
      </c>
      <c r="E22" s="21">
        <v>26</v>
      </c>
      <c r="F22" s="21">
        <v>292440</v>
      </c>
      <c r="G22" s="42">
        <v>0.184</v>
      </c>
      <c r="H22" s="21" t="s">
        <v>1798</v>
      </c>
      <c r="I22" s="39" t="str">
        <f ca="1">IFERROR(__xludf.DUMMYFUNCTION("IF(SUM(COUNTIF(artists!A:A, SPLIT(D22, "",""))) &gt; 0, ""UA"", 0)"),"UA")</f>
        <v>UA</v>
      </c>
      <c r="J22" s="40">
        <f ca="1">IFERROR(__xludf.DUMMYFUNCTION("IF(SUM(COUNTIF(artists!C:C, SPLIT(D22, "",""))) &gt; 0, ""RU"", 0)"),0)</f>
        <v>0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B23" s="21">
        <v>16</v>
      </c>
      <c r="C23" s="21" t="s">
        <v>1659</v>
      </c>
      <c r="D23" s="21" t="s">
        <v>1660</v>
      </c>
      <c r="E23" s="21">
        <v>3</v>
      </c>
      <c r="F23" s="21">
        <v>268556</v>
      </c>
      <c r="G23" s="42">
        <v>-5.3999999999999999E-2</v>
      </c>
      <c r="H23" s="21" t="s">
        <v>1661</v>
      </c>
      <c r="I23" s="39">
        <f ca="1">IFERROR(__xludf.DUMMYFUNCTION("IF(SUM(COUNTIF(artists!A:A, SPLIT(D23, "",""))) &gt; 0, ""UA"", 0)"),0)</f>
        <v>0</v>
      </c>
      <c r="J23" s="40" t="str">
        <f ca="1">IFERROR(__xludf.DUMMYFUNCTION("IF(SUM(COUNTIF(artists!C:C, SPLIT(D23, "",""))) &gt; 0, ""RU"", 0)"),"RU")</f>
        <v>RU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B24" s="21">
        <v>21</v>
      </c>
      <c r="C24" s="21" t="s">
        <v>1636</v>
      </c>
      <c r="D24" s="21" t="s">
        <v>1637</v>
      </c>
      <c r="E24" s="21">
        <v>9</v>
      </c>
      <c r="F24" s="21">
        <v>267071</v>
      </c>
      <c r="G24" s="42">
        <v>8.1000000000000003E-2</v>
      </c>
      <c r="H24" s="21" t="s">
        <v>1638</v>
      </c>
      <c r="I24" s="39">
        <f ca="1">IFERROR(__xludf.DUMMYFUNCTION("IF(SUM(COUNTIF(artists!A:A, SPLIT(D24, "",""))) &gt; 0, ""UA"", 0)"),0)</f>
        <v>0</v>
      </c>
      <c r="J24" s="40" t="str">
        <f ca="1">IFERROR(__xludf.DUMMYFUNCTION("IF(SUM(COUNTIF(artists!C:C, SPLIT(D24, "",""))) &gt; 0, ""RU"", 0)"),"RU")</f>
        <v>RU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B25" s="21">
        <v>33</v>
      </c>
      <c r="C25" s="21" t="s">
        <v>118</v>
      </c>
      <c r="D25" s="21" t="s">
        <v>586</v>
      </c>
      <c r="E25" s="21">
        <v>4</v>
      </c>
      <c r="F25" s="21">
        <v>263999</v>
      </c>
      <c r="G25" s="42">
        <v>0.27900000000000003</v>
      </c>
      <c r="H25" s="21" t="s">
        <v>587</v>
      </c>
      <c r="I25" s="39" t="str">
        <f ca="1">IFERROR(__xludf.DUMMYFUNCTION("IF(SUM(COUNTIF(artists!A:A, SPLIT(D25, "",""))) &gt; 0, ""UA"", 0)"),"UA")</f>
        <v>UA</v>
      </c>
      <c r="J25" s="40">
        <f ca="1">IFERROR(__xludf.DUMMYFUNCTION("IF(SUM(COUNTIF(artists!C:C, SPLIT(D25, "",""))) &gt; 0, ""RU"", 0)"),0)</f>
        <v>0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B26" s="21">
        <v>25</v>
      </c>
      <c r="C26" s="21" t="s">
        <v>1631</v>
      </c>
      <c r="D26" s="21" t="s">
        <v>409</v>
      </c>
      <c r="E26" s="21">
        <v>4</v>
      </c>
      <c r="F26" s="21">
        <v>259436</v>
      </c>
      <c r="G26" s="42">
        <v>7.2999999999999995E-2</v>
      </c>
      <c r="H26" s="21" t="s">
        <v>1632</v>
      </c>
      <c r="I26" s="39" t="str">
        <f ca="1">IFERROR(__xludf.DUMMYFUNCTION("IF(SUM(COUNTIF(artists!A:A, SPLIT(D26, "",""))) &gt; 0, ""UA"", 0)"),"UA")</f>
        <v>UA</v>
      </c>
      <c r="J26" s="40">
        <f ca="1">IFERROR(__xludf.DUMMYFUNCTION("IF(SUM(COUNTIF(artists!C:C, SPLIT(D26, "",""))) &gt; 0, ""RU"", 0)"),0)</f>
        <v>0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B27" s="21">
        <v>19</v>
      </c>
      <c r="C27" s="21" t="s">
        <v>1849</v>
      </c>
      <c r="D27" s="21" t="s">
        <v>598</v>
      </c>
      <c r="E27" s="21">
        <v>4</v>
      </c>
      <c r="F27" s="21">
        <v>258019</v>
      </c>
      <c r="G27" s="42">
        <v>-1.4E-2</v>
      </c>
      <c r="H27" s="21" t="s">
        <v>1850</v>
      </c>
      <c r="I27" s="39" t="str">
        <f ca="1">IFERROR(__xludf.DUMMYFUNCTION("IF(SUM(COUNTIF(artists!A:A, SPLIT(D27, "",""))) &gt; 0, ""UA"", 0)"),"UA")</f>
        <v>UA</v>
      </c>
      <c r="J27" s="40">
        <f ca="1">IFERROR(__xludf.DUMMYFUNCTION("IF(SUM(COUNTIF(artists!C:C, SPLIT(D27, "",""))) &gt; 0, ""RU"", 0)"),0)</f>
        <v>0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C28" s="21" t="s">
        <v>1854</v>
      </c>
      <c r="D28" s="21" t="s">
        <v>1503</v>
      </c>
      <c r="E28" s="21">
        <v>1</v>
      </c>
      <c r="F28" s="21">
        <v>257708</v>
      </c>
      <c r="H28" s="21" t="s">
        <v>1855</v>
      </c>
      <c r="I28" s="39" t="str">
        <f ca="1">IFERROR(__xludf.DUMMYFUNCTION("IF(SUM(COUNTIF(artists!A:A, SPLIT(D28, "",""))) &gt; 0, ""UA"", 0)"),"UA")</f>
        <v>UA</v>
      </c>
      <c r="J28" s="40">
        <f ca="1">IFERROR(__xludf.DUMMYFUNCTION("IF(SUM(COUNTIF(artists!C:C, SPLIT(D28, "",""))) &gt; 0, ""RU"", 0)"),0)</f>
        <v>0</v>
      </c>
      <c r="K28" s="39">
        <f ca="1">IFERROR(__xludf.DUMMYFUNCTION("IF(SUM(COUNTIF(artists!E:E, SPLIT(D28, "",""))) &gt; 0, ""OTHER"", 0)"),0)</f>
        <v>0</v>
      </c>
    </row>
    <row r="29" spans="1:11" ht="14.25" customHeight="1">
      <c r="A29" s="21">
        <v>28</v>
      </c>
      <c r="B29" s="21">
        <v>35</v>
      </c>
      <c r="C29" s="21" t="s">
        <v>493</v>
      </c>
      <c r="D29" s="21" t="s">
        <v>494</v>
      </c>
      <c r="E29" s="21">
        <v>9</v>
      </c>
      <c r="F29" s="21">
        <v>255986</v>
      </c>
      <c r="G29" s="42">
        <v>0.26600000000000001</v>
      </c>
      <c r="H29" s="21" t="s">
        <v>495</v>
      </c>
      <c r="I29" s="39" t="str">
        <f ca="1">IFERROR(__xludf.DUMMYFUNCTION("IF(SUM(COUNTIF(artists!A:A, SPLIT(D29, "",""))) &gt; 0, ""UA"", 0)"),"UA")</f>
        <v>UA</v>
      </c>
      <c r="J29" s="40">
        <f ca="1">IFERROR(__xludf.DUMMYFUNCTION("IF(SUM(COUNTIF(artists!C:C, SPLIT(D29, "",""))) &gt; 0, ""RU"", 0)"),0)</f>
        <v>0</v>
      </c>
      <c r="K29" s="39">
        <f ca="1">IFERROR(__xludf.DUMMYFUNCTION("IF(SUM(COUNTIF(artists!E:E, SPLIT(D29, "",""))) &gt; 0, ""OTHER"", 0)"),0)</f>
        <v>0</v>
      </c>
    </row>
    <row r="30" spans="1:11" ht="14.25" customHeight="1">
      <c r="A30" s="21">
        <v>29</v>
      </c>
      <c r="B30" s="21">
        <v>27</v>
      </c>
      <c r="C30" s="21" t="s">
        <v>1825</v>
      </c>
      <c r="D30" s="21" t="s">
        <v>1895</v>
      </c>
      <c r="E30" s="21">
        <v>48</v>
      </c>
      <c r="F30" s="21">
        <v>255348</v>
      </c>
      <c r="G30" s="42">
        <v>0.105</v>
      </c>
      <c r="H30" s="21" t="s">
        <v>1827</v>
      </c>
      <c r="I30" s="39">
        <f ca="1">IFERROR(__xludf.DUMMYFUNCTION("IF(SUM(COUNTIF(artists!A:A, SPLIT(D30, "",""))) &gt; 0, ""UA"", 0)"),0)</f>
        <v>0</v>
      </c>
      <c r="J30" s="40">
        <f ca="1">IFERROR(__xludf.DUMMYFUNCTION("IF(SUM(COUNTIF(artists!C:C, SPLIT(D30, "",""))) &gt; 0, ""RU"", 0)"),0)</f>
        <v>0</v>
      </c>
      <c r="K30" s="39" t="str">
        <f ca="1">IFERROR(__xludf.DUMMYFUNCTION("IF(SUM(COUNTIF(artists!E:E, SPLIT(D30, "",""))) &gt; 0, ""OTHER"", 0)"),"OTHER")</f>
        <v>OTHER</v>
      </c>
    </row>
    <row r="31" spans="1:11" ht="14.25" customHeight="1">
      <c r="A31" s="21">
        <v>30</v>
      </c>
      <c r="B31" s="21">
        <v>28</v>
      </c>
      <c r="C31" s="21" t="s">
        <v>1674</v>
      </c>
      <c r="D31" s="21" t="s">
        <v>172</v>
      </c>
      <c r="E31" s="21">
        <v>10</v>
      </c>
      <c r="F31" s="21">
        <v>253975</v>
      </c>
      <c r="G31" s="43">
        <v>0.12</v>
      </c>
      <c r="H31" s="21" t="s">
        <v>1675</v>
      </c>
      <c r="I31" s="39">
        <f ca="1">IFERROR(__xludf.DUMMYFUNCTION("IF(SUM(COUNTIF(artists!A:A, SPLIT(D31, "",""))) &gt; 0, ""UA"", 0)"),0)</f>
        <v>0</v>
      </c>
      <c r="J31" s="40" t="str">
        <f ca="1">IFERROR(__xludf.DUMMYFUNCTION("IF(SUM(COUNTIF(artists!C:C, SPLIT(D31, "",""))) &gt; 0, ""RU"", 0)"),"RU")</f>
        <v>RU</v>
      </c>
      <c r="K31" s="39">
        <f ca="1">IFERROR(__xludf.DUMMYFUNCTION("IF(SUM(COUNTIF(artists!E:E, SPLIT(D31, "",""))) &gt; 0, ""OTHER"", 0)"),0)</f>
        <v>0</v>
      </c>
    </row>
    <row r="32" spans="1:11" ht="14.25" customHeight="1">
      <c r="A32" s="21">
        <v>31</v>
      </c>
      <c r="B32" s="21">
        <v>44</v>
      </c>
      <c r="C32" s="21" t="s">
        <v>1726</v>
      </c>
      <c r="D32" s="21" t="s">
        <v>1727</v>
      </c>
      <c r="E32" s="21">
        <v>4</v>
      </c>
      <c r="F32" s="21">
        <v>253321</v>
      </c>
      <c r="G32" s="42">
        <v>0.495</v>
      </c>
      <c r="H32" s="21" t="s">
        <v>1728</v>
      </c>
      <c r="I32" s="39" t="str">
        <f ca="1">IFERROR(__xludf.DUMMYFUNCTION("IF(SUM(COUNTIF(artists!A:A, SPLIT(D32, "",""))) &gt; 0, ""UA"", 0)"),"UA")</f>
        <v>UA</v>
      </c>
      <c r="J32" s="40">
        <f ca="1">IFERROR(__xludf.DUMMYFUNCTION("IF(SUM(COUNTIF(artists!C:C, SPLIT(D32, "",""))) &gt; 0, ""RU"", 0)"),0)</f>
        <v>0</v>
      </c>
      <c r="K32" s="39">
        <f ca="1">IFERROR(__xludf.DUMMYFUNCTION("IF(SUM(COUNTIF(artists!E:E, SPLIT(D32, "",""))) &gt; 0, ""OTHER"", 0)"),0)</f>
        <v>0</v>
      </c>
    </row>
    <row r="33" spans="1:11" ht="14.25" customHeight="1">
      <c r="A33" s="21">
        <v>32</v>
      </c>
      <c r="B33" s="21">
        <v>31</v>
      </c>
      <c r="C33" s="21" t="s">
        <v>1729</v>
      </c>
      <c r="D33" s="21" t="s">
        <v>1730</v>
      </c>
      <c r="E33" s="21">
        <v>45</v>
      </c>
      <c r="F33" s="21">
        <v>249281</v>
      </c>
      <c r="G33" s="42">
        <v>0.188</v>
      </c>
      <c r="H33" s="21" t="s">
        <v>1731</v>
      </c>
      <c r="I33" s="39">
        <f ca="1">IFERROR(__xludf.DUMMYFUNCTION("IF(SUM(COUNTIF(artists!A:A, SPLIT(D33, "",""))) &gt; 0, ""UA"", 0)"),0)</f>
        <v>0</v>
      </c>
      <c r="J33" s="40" t="str">
        <f ca="1">IFERROR(__xludf.DUMMYFUNCTION("IF(SUM(COUNTIF(artists!C:C, SPLIT(D33, "",""))) &gt; 0, ""RU"", 0)"),"RU")</f>
        <v>RU</v>
      </c>
      <c r="K33" s="39">
        <f ca="1">IFERROR(__xludf.DUMMYFUNCTION("IF(SUM(COUNTIF(artists!E:E, SPLIT(D33, "",""))) &gt; 0, ""OTHER"", 0)"),0)</f>
        <v>0</v>
      </c>
    </row>
    <row r="34" spans="1:11" ht="14.25" customHeight="1">
      <c r="A34" s="21">
        <v>33</v>
      </c>
      <c r="B34" s="21">
        <v>15</v>
      </c>
      <c r="C34" s="21" t="s">
        <v>1921</v>
      </c>
      <c r="D34" s="21" t="s">
        <v>1795</v>
      </c>
      <c r="E34" s="21">
        <v>2</v>
      </c>
      <c r="F34" s="21">
        <v>249145</v>
      </c>
      <c r="G34" s="42">
        <v>-0.22700000000000001</v>
      </c>
      <c r="H34" s="21" t="s">
        <v>1922</v>
      </c>
      <c r="I34" s="39" t="str">
        <f ca="1">IFERROR(__xludf.DUMMYFUNCTION("IF(SUM(COUNTIF(artists!A:A, SPLIT(D34, "",""))) &gt; 0, ""UA"", 0)"),"UA")</f>
        <v>UA</v>
      </c>
      <c r="J34" s="40">
        <f ca="1">IFERROR(__xludf.DUMMYFUNCTION("IF(SUM(COUNTIF(artists!C:C, SPLIT(D34, "",""))) &gt; 0, ""RU"", 0)"),0)</f>
        <v>0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C35" s="21" t="s">
        <v>1837</v>
      </c>
      <c r="D35" s="21" t="s">
        <v>380</v>
      </c>
      <c r="E35" s="21">
        <v>1</v>
      </c>
      <c r="F35" s="21">
        <v>237989</v>
      </c>
      <c r="H35" s="21" t="s">
        <v>1838</v>
      </c>
      <c r="I35" s="39" t="str">
        <f ca="1">IFERROR(__xludf.DUMMYFUNCTION("IF(SUM(COUNTIF(artists!A:A, SPLIT(D35, "",""))) &gt; 0, ""UA"", 0)"),"UA")</f>
        <v>UA</v>
      </c>
      <c r="J35" s="40">
        <f ca="1">IFERROR(__xludf.DUMMYFUNCTION("IF(SUM(COUNTIF(artists!C:C, SPLIT(D35, "",""))) &gt; 0, ""RU"", 0)"),0)</f>
        <v>0</v>
      </c>
      <c r="K35" s="39">
        <f ca="1">IFERROR(__xludf.DUMMYFUNCTION("IF(SUM(COUNTIF(artists!E:E, SPLIT(D35, "",""))) &gt; 0, ""OTHER"", 0)"),0)</f>
        <v>0</v>
      </c>
    </row>
    <row r="36" spans="1:11" ht="14.25" customHeight="1">
      <c r="A36" s="21">
        <v>35</v>
      </c>
      <c r="B36" s="21">
        <v>32</v>
      </c>
      <c r="C36" s="21" t="s">
        <v>1616</v>
      </c>
      <c r="D36" s="21" t="s">
        <v>1617</v>
      </c>
      <c r="E36" s="21">
        <v>40</v>
      </c>
      <c r="F36" s="21">
        <v>231779</v>
      </c>
      <c r="G36" s="42">
        <v>0.113</v>
      </c>
      <c r="H36" s="21" t="s">
        <v>1618</v>
      </c>
      <c r="I36" s="39">
        <f ca="1">IFERROR(__xludf.DUMMYFUNCTION("IF(SUM(COUNTIF(artists!A:A, SPLIT(D36, "",""))) &gt; 0, ""UA"", 0)"),0)</f>
        <v>0</v>
      </c>
      <c r="J36" s="40" t="str">
        <f ca="1">IFERROR(__xludf.DUMMYFUNCTION("IF(SUM(COUNTIF(artists!C:C, SPLIT(D36, "",""))) &gt; 0, ""RU"", 0)"),"RU")</f>
        <v>RU</v>
      </c>
      <c r="K36" s="39">
        <f ca="1">IFERROR(__xludf.DUMMYFUNCTION("IF(SUM(COUNTIF(artists!E:E, SPLIT(D36, "",""))) &gt; 0, ""OTHER"", 0)"),0)</f>
        <v>0</v>
      </c>
    </row>
    <row r="37" spans="1:11" ht="14.25" customHeight="1">
      <c r="A37" s="21">
        <v>36</v>
      </c>
      <c r="B37" s="21">
        <v>34</v>
      </c>
      <c r="C37" s="21" t="s">
        <v>1896</v>
      </c>
      <c r="D37" s="21" t="s">
        <v>1099</v>
      </c>
      <c r="E37" s="21">
        <v>51</v>
      </c>
      <c r="F37" s="21">
        <v>229765</v>
      </c>
      <c r="G37" s="42">
        <v>0.13300000000000001</v>
      </c>
      <c r="H37" s="21" t="s">
        <v>1897</v>
      </c>
      <c r="I37" s="39">
        <f ca="1">IFERROR(__xludf.DUMMYFUNCTION("IF(SUM(COUNTIF(artists!A:A, SPLIT(D37, "",""))) &gt; 0, ""UA"", 0)"),0)</f>
        <v>0</v>
      </c>
      <c r="J37" s="40" t="str">
        <f ca="1">IFERROR(__xludf.DUMMYFUNCTION("IF(SUM(COUNTIF(artists!C:C, SPLIT(D37, "",""))) &gt; 0, ""RU"", 0)"),"RU")</f>
        <v>RU</v>
      </c>
      <c r="K37" s="39">
        <f ca="1">IFERROR(__xludf.DUMMYFUNCTION("IF(SUM(COUNTIF(artists!E:E, SPLIT(D37, "",""))) &gt; 0, ""OTHER"", 0)"),0)</f>
        <v>0</v>
      </c>
    </row>
    <row r="38" spans="1:11" ht="14.25" customHeight="1">
      <c r="A38" s="21">
        <v>37</v>
      </c>
      <c r="B38" s="21">
        <v>12</v>
      </c>
      <c r="C38" s="21" t="s">
        <v>1923</v>
      </c>
      <c r="D38" s="21" t="s">
        <v>1534</v>
      </c>
      <c r="E38" s="21">
        <v>3</v>
      </c>
      <c r="F38" s="21">
        <v>228608</v>
      </c>
      <c r="G38" s="42">
        <v>-0.46899999999999997</v>
      </c>
      <c r="H38" s="21" t="s">
        <v>1924</v>
      </c>
      <c r="I38" s="39">
        <f ca="1">IFERROR(__xludf.DUMMYFUNCTION("IF(SUM(COUNTIF(artists!A:A, SPLIT(D38, "",""))) &gt; 0, ""UA"", 0)"),0)</f>
        <v>0</v>
      </c>
      <c r="J38" s="40" t="str">
        <f ca="1">IFERROR(__xludf.DUMMYFUNCTION("IF(SUM(COUNTIF(artists!C:C, SPLIT(D38, "",""))) &gt; 0, ""RU"", 0)"),"RU")</f>
        <v>RU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B39" s="21">
        <v>37</v>
      </c>
      <c r="C39" s="21" t="s">
        <v>1354</v>
      </c>
      <c r="D39" s="21" t="s">
        <v>1355</v>
      </c>
      <c r="E39" s="21">
        <v>24</v>
      </c>
      <c r="F39" s="21">
        <v>221716</v>
      </c>
      <c r="G39" s="42">
        <v>0.184</v>
      </c>
      <c r="H39" s="21" t="s">
        <v>1356</v>
      </c>
      <c r="I39" s="39" t="str">
        <f ca="1">IFERROR(__xludf.DUMMYFUNCTION("IF(SUM(COUNTIF(artists!A:A, SPLIT(D39, "",""))) &gt; 0, ""UA"", 0)"),"UA")</f>
        <v>UA</v>
      </c>
      <c r="J39" s="40">
        <f ca="1">IFERROR(__xludf.DUMMYFUNCTION("IF(SUM(COUNTIF(artists!C:C, SPLIT(D39, "",""))) &gt; 0, ""RU"", 0)"),0)</f>
        <v>0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B40" s="21">
        <v>36</v>
      </c>
      <c r="C40" s="21" t="s">
        <v>841</v>
      </c>
      <c r="D40" s="21" t="s">
        <v>842</v>
      </c>
      <c r="E40" s="21">
        <v>10</v>
      </c>
      <c r="F40" s="21">
        <v>216956</v>
      </c>
      <c r="G40" s="42">
        <v>0.14599999999999999</v>
      </c>
      <c r="H40" s="21" t="s">
        <v>843</v>
      </c>
      <c r="I40" s="39">
        <f ca="1">IFERROR(__xludf.DUMMYFUNCTION("IF(SUM(COUNTIF(artists!A:A, SPLIT(D40, "",""))) &gt; 0, ""UA"", 0)"),0)</f>
        <v>0</v>
      </c>
      <c r="J40" s="40">
        <f ca="1">IFERROR(__xludf.DUMMYFUNCTION("IF(SUM(COUNTIF(artists!C:C, SPLIT(D40, "",""))) &gt; 0, ""RU"", 0)"),0)</f>
        <v>0</v>
      </c>
      <c r="K40" s="39" t="str">
        <f ca="1">IFERROR(__xludf.DUMMYFUNCTION("IF(SUM(COUNTIF(artists!E:E, SPLIT(D40, "",""))) &gt; 0, ""OTHER"", 0)"),"OTHER")</f>
        <v>OTHER</v>
      </c>
    </row>
    <row r="41" spans="1:11" ht="14.25" customHeight="1">
      <c r="A41" s="21">
        <v>40</v>
      </c>
      <c r="B41" s="21">
        <v>51</v>
      </c>
      <c r="C41" s="21" t="s">
        <v>1463</v>
      </c>
      <c r="D41" s="21" t="s">
        <v>1344</v>
      </c>
      <c r="E41" s="21">
        <v>2</v>
      </c>
      <c r="F41" s="21">
        <v>214483</v>
      </c>
      <c r="G41" s="42">
        <v>0.34799999999999998</v>
      </c>
      <c r="H41" s="21" t="s">
        <v>1464</v>
      </c>
      <c r="I41" s="39" t="str">
        <f ca="1">IFERROR(__xludf.DUMMYFUNCTION("IF(SUM(COUNTIF(artists!A:A, SPLIT(D41, "",""))) &gt; 0, ""UA"", 0)"),"UA")</f>
        <v>UA</v>
      </c>
      <c r="J41" s="40">
        <f ca="1">IFERROR(__xludf.DUMMYFUNCTION("IF(SUM(COUNTIF(artists!C:C, SPLIT(D41, "",""))) &gt; 0, ""RU"", 0)"),0)</f>
        <v>0</v>
      </c>
      <c r="K41" s="39">
        <f ca="1">IFERROR(__xludf.DUMMYFUNCTION("IF(SUM(COUNTIF(artists!E:E, SPLIT(D41, "",""))) &gt; 0, ""OTHER"", 0)"),0)</f>
        <v>0</v>
      </c>
    </row>
    <row r="42" spans="1:11" ht="14.25" customHeight="1">
      <c r="A42" s="21">
        <v>41</v>
      </c>
      <c r="B42" s="21">
        <v>46</v>
      </c>
      <c r="C42" s="21" t="s">
        <v>1502</v>
      </c>
      <c r="D42" s="21" t="s">
        <v>1503</v>
      </c>
      <c r="E42" s="21">
        <v>24</v>
      </c>
      <c r="F42" s="21">
        <v>210747</v>
      </c>
      <c r="G42" s="42">
        <v>0.28399999999999997</v>
      </c>
      <c r="H42" s="21" t="s">
        <v>1504</v>
      </c>
      <c r="I42" s="39" t="str">
        <f ca="1">IFERROR(__xludf.DUMMYFUNCTION("IF(SUM(COUNTIF(artists!A:A, SPLIT(D42, "",""))) &gt; 0, ""UA"", 0)"),"UA")</f>
        <v>UA</v>
      </c>
      <c r="J42" s="40">
        <f ca="1">IFERROR(__xludf.DUMMYFUNCTION("IF(SUM(COUNTIF(artists!C:C, SPLIT(D42, "",""))) &gt; 0, ""RU"", 0)"),0)</f>
        <v>0</v>
      </c>
      <c r="K42" s="39">
        <f ca="1">IFERROR(__xludf.DUMMYFUNCTION("IF(SUM(COUNTIF(artists!E:E, SPLIT(D42, "",""))) &gt; 0, ""OTHER"", 0)"),0)</f>
        <v>0</v>
      </c>
    </row>
    <row r="43" spans="1:11" ht="14.25" customHeight="1">
      <c r="A43" s="21">
        <v>42</v>
      </c>
      <c r="B43" s="21">
        <v>29</v>
      </c>
      <c r="C43" s="21" t="s">
        <v>1530</v>
      </c>
      <c r="D43" s="21" t="s">
        <v>1531</v>
      </c>
      <c r="E43" s="21">
        <v>4</v>
      </c>
      <c r="F43" s="21">
        <v>206893</v>
      </c>
      <c r="G43" s="42">
        <v>-7.1999999999999995E-2</v>
      </c>
      <c r="H43" s="21" t="s">
        <v>1532</v>
      </c>
      <c r="I43" s="39">
        <f ca="1">IFERROR(__xludf.DUMMYFUNCTION("IF(SUM(COUNTIF(artists!A:A, SPLIT(D43, "",""))) &gt; 0, ""UA"", 0)"),0)</f>
        <v>0</v>
      </c>
      <c r="J43" s="40">
        <f ca="1">IFERROR(__xludf.DUMMYFUNCTION("IF(SUM(COUNTIF(artists!C:C, SPLIT(D43, "",""))) &gt; 0, ""RU"", 0)"),0)</f>
        <v>0</v>
      </c>
      <c r="K43" s="39" t="str">
        <f ca="1">IFERROR(__xludf.DUMMYFUNCTION("IF(SUM(COUNTIF(artists!E:E, SPLIT(D43, "",""))) &gt; 0, ""OTHER"", 0)"),"OTHER")</f>
        <v>OTHER</v>
      </c>
    </row>
    <row r="44" spans="1:11" ht="14.25" customHeight="1">
      <c r="A44" s="21">
        <v>43</v>
      </c>
      <c r="B44" s="21">
        <v>39</v>
      </c>
      <c r="C44" s="21" t="s">
        <v>1810</v>
      </c>
      <c r="D44" s="21" t="s">
        <v>15</v>
      </c>
      <c r="E44" s="21">
        <v>4</v>
      </c>
      <c r="F44" s="21">
        <v>206563</v>
      </c>
      <c r="G44" s="42">
        <v>0.151</v>
      </c>
      <c r="H44" s="21" t="s">
        <v>1811</v>
      </c>
      <c r="I44" s="39">
        <f ca="1">IFERROR(__xludf.DUMMYFUNCTION("IF(SUM(COUNTIF(artists!A:A, SPLIT(D44, "",""))) &gt; 0, ""UA"", 0)"),0)</f>
        <v>0</v>
      </c>
      <c r="J44" s="40">
        <f ca="1">IFERROR(__xludf.DUMMYFUNCTION("IF(SUM(COUNTIF(artists!C:C, SPLIT(D44, "",""))) &gt; 0, ""RU"", 0)"),0)</f>
        <v>0</v>
      </c>
      <c r="K44" s="39" t="str">
        <f ca="1">IFERROR(__xludf.DUMMYFUNCTION("IF(SUM(COUNTIF(artists!E:E, SPLIT(D44, "",""))) &gt; 0, ""OTHER"", 0)"),"OTHER")</f>
        <v>OTHER</v>
      </c>
    </row>
    <row r="45" spans="1:11" ht="14.25" customHeight="1">
      <c r="A45" s="21">
        <v>44</v>
      </c>
      <c r="B45" s="21">
        <v>47</v>
      </c>
      <c r="C45" s="21" t="s">
        <v>748</v>
      </c>
      <c r="D45" s="21" t="s">
        <v>586</v>
      </c>
      <c r="E45" s="21">
        <v>3</v>
      </c>
      <c r="F45" s="21">
        <v>201822</v>
      </c>
      <c r="G45" s="42">
        <v>0.23699999999999999</v>
      </c>
      <c r="H45" s="21" t="s">
        <v>749</v>
      </c>
      <c r="I45" s="39" t="str">
        <f ca="1">IFERROR(__xludf.DUMMYFUNCTION("IF(SUM(COUNTIF(artists!A:A, SPLIT(D45, "",""))) &gt; 0, ""UA"", 0)"),"UA")</f>
        <v>UA</v>
      </c>
      <c r="J45" s="40">
        <f ca="1">IFERROR(__xludf.DUMMYFUNCTION("IF(SUM(COUNTIF(artists!C:C, SPLIT(D45, "",""))) &gt; 0, ""RU"", 0)"),0)</f>
        <v>0</v>
      </c>
      <c r="K45" s="39">
        <f ca="1">IFERROR(__xludf.DUMMYFUNCTION("IF(SUM(COUNTIF(artists!E:E, SPLIT(D45, "",""))) &gt; 0, ""OTHER"", 0)"),0)</f>
        <v>0</v>
      </c>
    </row>
    <row r="46" spans="1:11" ht="14.25" customHeight="1">
      <c r="A46" s="21">
        <v>45</v>
      </c>
      <c r="C46" s="21" t="s">
        <v>1925</v>
      </c>
      <c r="D46" s="21" t="s">
        <v>1209</v>
      </c>
      <c r="E46" s="21">
        <v>1</v>
      </c>
      <c r="F46" s="21">
        <v>200827</v>
      </c>
      <c r="H46" s="21" t="s">
        <v>1926</v>
      </c>
      <c r="I46" s="39">
        <f ca="1">IFERROR(__xludf.DUMMYFUNCTION("IF(SUM(COUNTIF(artists!A:A, SPLIT(D46, "",""))) &gt; 0, ""UA"", 0)"),0)</f>
        <v>0</v>
      </c>
      <c r="J46" s="40">
        <f ca="1">IFERROR(__xludf.DUMMYFUNCTION("IF(SUM(COUNTIF(artists!C:C, SPLIT(D46, "",""))) &gt; 0, ""RU"", 0)"),0)</f>
        <v>0</v>
      </c>
      <c r="K46" s="39" t="str">
        <f ca="1">IFERROR(__xludf.DUMMYFUNCTION("IF(SUM(COUNTIF(artists!E:E, SPLIT(D46, "",""))) &gt; 0, ""OTHER"", 0)"),"OTHER")</f>
        <v>OTHER</v>
      </c>
    </row>
    <row r="47" spans="1:11" ht="14.25" customHeight="1">
      <c r="A47" s="21">
        <v>46</v>
      </c>
      <c r="C47" s="21" t="s">
        <v>1791</v>
      </c>
      <c r="D47" s="21" t="s">
        <v>1792</v>
      </c>
      <c r="E47" s="21">
        <v>1</v>
      </c>
      <c r="F47" s="21">
        <v>199696</v>
      </c>
      <c r="H47" s="21" t="s">
        <v>1793</v>
      </c>
      <c r="I47" s="39" t="str">
        <f ca="1">IFERROR(__xludf.DUMMYFUNCTION("IF(SUM(COUNTIF(artists!A:A, SPLIT(D47, "",""))) &gt; 0, ""UA"", 0)"),"UA")</f>
        <v>UA</v>
      </c>
      <c r="J47" s="40">
        <f ca="1">IFERROR(__xludf.DUMMYFUNCTION("IF(SUM(COUNTIF(artists!C:C, SPLIT(D47, "",""))) &gt; 0, ""RU"", 0)"),0)</f>
        <v>0</v>
      </c>
      <c r="K47" s="39">
        <f ca="1">IFERROR(__xludf.DUMMYFUNCTION("IF(SUM(COUNTIF(artists!E:E, SPLIT(D47, "",""))) &gt; 0, ""OTHER"", 0)"),0)</f>
        <v>0</v>
      </c>
    </row>
    <row r="48" spans="1:11" ht="14.25" customHeight="1">
      <c r="A48" s="21">
        <v>47</v>
      </c>
      <c r="B48" s="21">
        <v>26</v>
      </c>
      <c r="C48" s="21" t="s">
        <v>1839</v>
      </c>
      <c r="D48" s="21" t="s">
        <v>1840</v>
      </c>
      <c r="E48" s="21">
        <v>10</v>
      </c>
      <c r="F48" s="21">
        <v>197256</v>
      </c>
      <c r="G48" s="42">
        <v>-0.182</v>
      </c>
      <c r="H48" s="21" t="s">
        <v>1841</v>
      </c>
      <c r="I48" s="39">
        <f ca="1">IFERROR(__xludf.DUMMYFUNCTION("IF(SUM(COUNTIF(artists!A:A, SPLIT(D48, "",""))) &gt; 0, ""UA"", 0)"),0)</f>
        <v>0</v>
      </c>
      <c r="J48" s="40" t="str">
        <f ca="1">IFERROR(__xludf.DUMMYFUNCTION("IF(SUM(COUNTIF(artists!C:C, SPLIT(D48, "",""))) &gt; 0, ""RU"", 0)"),"RU")</f>
        <v>RU</v>
      </c>
      <c r="K48" s="39">
        <f ca="1">IFERROR(__xludf.DUMMYFUNCTION("IF(SUM(COUNTIF(artists!E:E, SPLIT(D48, "",""))) &gt; 0, ""OTHER"", 0)"),0)</f>
        <v>0</v>
      </c>
    </row>
    <row r="49" spans="1:11" ht="14.25" customHeight="1">
      <c r="A49" s="21">
        <v>48</v>
      </c>
      <c r="B49" s="21">
        <v>17</v>
      </c>
      <c r="C49" s="21" t="s">
        <v>1927</v>
      </c>
      <c r="D49" s="21" t="s">
        <v>310</v>
      </c>
      <c r="E49" s="21">
        <v>2</v>
      </c>
      <c r="F49" s="21">
        <v>193665</v>
      </c>
      <c r="G49" s="42">
        <v>-0.28399999999999997</v>
      </c>
      <c r="H49" s="21" t="s">
        <v>1928</v>
      </c>
      <c r="I49" s="39">
        <f ca="1">IFERROR(__xludf.DUMMYFUNCTION("IF(SUM(COUNTIF(artists!A:A, SPLIT(D49, "",""))) &gt; 0, ""UA"", 0)"),0)</f>
        <v>0</v>
      </c>
      <c r="J49" s="40">
        <f ca="1">IFERROR(__xludf.DUMMYFUNCTION("IF(SUM(COUNTIF(artists!C:C, SPLIT(D49, "",""))) &gt; 0, ""RU"", 0)"),0)</f>
        <v>0</v>
      </c>
      <c r="K49" s="39" t="str">
        <f ca="1">IFERROR(__xludf.DUMMYFUNCTION("IF(SUM(COUNTIF(artists!E:E, SPLIT(D49, "",""))) &gt; 0, ""OTHER"", 0)"),"OTHER")</f>
        <v>OTHER</v>
      </c>
    </row>
    <row r="50" spans="1:11" ht="14.25" customHeight="1">
      <c r="A50" s="21">
        <v>49</v>
      </c>
      <c r="B50" s="21">
        <v>52</v>
      </c>
      <c r="C50" s="21" t="s">
        <v>1676</v>
      </c>
      <c r="D50" s="21" t="s">
        <v>743</v>
      </c>
      <c r="E50" s="21">
        <v>20</v>
      </c>
      <c r="F50" s="21">
        <v>193601</v>
      </c>
      <c r="G50" s="42">
        <v>0.224</v>
      </c>
      <c r="H50" s="21" t="s">
        <v>1677</v>
      </c>
      <c r="I50" s="39">
        <f ca="1">IFERROR(__xludf.DUMMYFUNCTION("IF(SUM(COUNTIF(artists!A:A, SPLIT(D50, "",""))) &gt; 0, ""UA"", 0)"),0)</f>
        <v>0</v>
      </c>
      <c r="J50" s="40" t="str">
        <f ca="1">IFERROR(__xludf.DUMMYFUNCTION("IF(SUM(COUNTIF(artists!C:C, SPLIT(D50, "",""))) &gt; 0, ""RU"", 0)"),"RU")</f>
        <v>RU</v>
      </c>
      <c r="K50" s="39">
        <f ca="1">IFERROR(__xludf.DUMMYFUNCTION("IF(SUM(COUNTIF(artists!E:E, SPLIT(D50, "",""))) &gt; 0, ""OTHER"", 0)"),0)</f>
        <v>0</v>
      </c>
    </row>
    <row r="51" spans="1:11" ht="14.25" customHeight="1">
      <c r="A51" s="21">
        <v>50</v>
      </c>
      <c r="B51" s="21">
        <v>42</v>
      </c>
      <c r="C51" s="21" t="s">
        <v>1882</v>
      </c>
      <c r="D51" s="21" t="s">
        <v>133</v>
      </c>
      <c r="E51" s="21">
        <v>4</v>
      </c>
      <c r="F51" s="21">
        <v>192879</v>
      </c>
      <c r="G51" s="42">
        <v>0.115</v>
      </c>
      <c r="H51" s="21" t="s">
        <v>1883</v>
      </c>
      <c r="I51" s="39" t="str">
        <f ca="1">IFERROR(__xludf.DUMMYFUNCTION("IF(SUM(COUNTIF(artists!A:A, SPLIT(D51, "",""))) &gt; 0, ""UA"", 0)"),"UA")</f>
        <v>UA</v>
      </c>
      <c r="J51" s="40">
        <f ca="1">IFERROR(__xludf.DUMMYFUNCTION("IF(SUM(COUNTIF(artists!C:C, SPLIT(D51, "",""))) &gt; 0, ""RU"", 0)"),0)</f>
        <v>0</v>
      </c>
      <c r="K51" s="39">
        <f ca="1">IFERROR(__xludf.DUMMYFUNCTION("IF(SUM(COUNTIF(artists!E:E, SPLIT(D51, "",""))) &gt; 0, ""OTHER"", 0)"),0)</f>
        <v>0</v>
      </c>
    </row>
    <row r="52" spans="1:11" ht="14.25" customHeight="1">
      <c r="A52" s="21">
        <v>51</v>
      </c>
      <c r="B52" s="21">
        <v>56</v>
      </c>
      <c r="C52" s="21" t="s">
        <v>968</v>
      </c>
      <c r="D52" s="21" t="s">
        <v>969</v>
      </c>
      <c r="E52" s="21">
        <v>14</v>
      </c>
      <c r="F52" s="21">
        <v>190701</v>
      </c>
      <c r="G52" s="42">
        <v>0.23899999999999999</v>
      </c>
      <c r="H52" s="21" t="s">
        <v>970</v>
      </c>
      <c r="I52" s="39" t="str">
        <f ca="1">IFERROR(__xludf.DUMMYFUNCTION("IF(SUM(COUNTIF(artists!A:A, SPLIT(D52, "",""))) &gt; 0, ""UA"", 0)"),"UA")</f>
        <v>UA</v>
      </c>
      <c r="J52" s="40">
        <f ca="1">IFERROR(__xludf.DUMMYFUNCTION("IF(SUM(COUNTIF(artists!C:C, SPLIT(D52, "",""))) &gt; 0, ""RU"", 0)"),0)</f>
        <v>0</v>
      </c>
      <c r="K52" s="39">
        <f ca="1">IFERROR(__xludf.DUMMYFUNCTION("IF(SUM(COUNTIF(artists!E:E, SPLIT(D52, "",""))) &gt; 0, ""OTHER"", 0)"),0)</f>
        <v>0</v>
      </c>
    </row>
    <row r="53" spans="1:11" ht="14.25" customHeight="1">
      <c r="A53" s="21">
        <v>52</v>
      </c>
      <c r="B53" s="21">
        <v>62</v>
      </c>
      <c r="C53" s="21" t="s">
        <v>470</v>
      </c>
      <c r="D53" s="21" t="s">
        <v>81</v>
      </c>
      <c r="E53" s="21">
        <v>3</v>
      </c>
      <c r="F53" s="21">
        <v>189802</v>
      </c>
      <c r="G53" s="42">
        <v>0.312</v>
      </c>
      <c r="H53" s="21" t="s">
        <v>472</v>
      </c>
      <c r="I53" s="39" t="str">
        <f ca="1">IFERROR(__xludf.DUMMYFUNCTION("IF(SUM(COUNTIF(artists!A:A, SPLIT(D53, "",""))) &gt; 0, ""UA"", 0)"),"UA")</f>
        <v>UA</v>
      </c>
      <c r="J53" s="40">
        <f ca="1">IFERROR(__xludf.DUMMYFUNCTION("IF(SUM(COUNTIF(artists!C:C, SPLIT(D53, "",""))) &gt; 0, ""RU"", 0)"),0)</f>
        <v>0</v>
      </c>
      <c r="K53" s="39">
        <f ca="1">IFERROR(__xludf.DUMMYFUNCTION("IF(SUM(COUNTIF(artists!E:E, SPLIT(D53, "",""))) &gt; 0, ""OTHER"", 0)"),0)</f>
        <v>0</v>
      </c>
    </row>
    <row r="54" spans="1:11" ht="14.25" customHeight="1">
      <c r="A54" s="21">
        <v>53</v>
      </c>
      <c r="B54" s="21">
        <v>45</v>
      </c>
      <c r="C54" s="21" t="s">
        <v>1812</v>
      </c>
      <c r="D54" s="21" t="s">
        <v>133</v>
      </c>
      <c r="E54" s="21">
        <v>4</v>
      </c>
      <c r="F54" s="21">
        <v>189038</v>
      </c>
      <c r="G54" s="42">
        <v>0.14399999999999999</v>
      </c>
      <c r="H54" s="21" t="s">
        <v>1813</v>
      </c>
      <c r="I54" s="39" t="str">
        <f ca="1">IFERROR(__xludf.DUMMYFUNCTION("IF(SUM(COUNTIF(artists!A:A, SPLIT(D54, "",""))) &gt; 0, ""UA"", 0)"),"UA")</f>
        <v>UA</v>
      </c>
      <c r="J54" s="40">
        <f ca="1">IFERROR(__xludf.DUMMYFUNCTION("IF(SUM(COUNTIF(artists!C:C, SPLIT(D54, "",""))) &gt; 0, ""RU"", 0)"),0)</f>
        <v>0</v>
      </c>
      <c r="K54" s="39">
        <f ca="1">IFERROR(__xludf.DUMMYFUNCTION("IF(SUM(COUNTIF(artists!E:E, SPLIT(D54, "",""))) &gt; 0, ""OTHER"", 0)"),0)</f>
        <v>0</v>
      </c>
    </row>
    <row r="55" spans="1:11" ht="14.25" customHeight="1">
      <c r="A55" s="21">
        <v>54</v>
      </c>
      <c r="B55" s="21">
        <v>64</v>
      </c>
      <c r="C55" s="21" t="s">
        <v>1477</v>
      </c>
      <c r="D55" s="21" t="s">
        <v>1478</v>
      </c>
      <c r="E55" s="21">
        <v>3</v>
      </c>
      <c r="F55" s="21">
        <v>184097</v>
      </c>
      <c r="G55" s="43">
        <v>0.3</v>
      </c>
      <c r="H55" s="21" t="s">
        <v>1479</v>
      </c>
      <c r="I55" s="39" t="str">
        <f ca="1">IFERROR(__xludf.DUMMYFUNCTION("IF(SUM(COUNTIF(artists!A:A, SPLIT(D55, "",""))) &gt; 0, ""UA"", 0)"),"UA")</f>
        <v>UA</v>
      </c>
      <c r="J55" s="40">
        <f ca="1">IFERROR(__xludf.DUMMYFUNCTION("IF(SUM(COUNTIF(artists!C:C, SPLIT(D55, "",""))) &gt; 0, ""RU"", 0)"),0)</f>
        <v>0</v>
      </c>
      <c r="K55" s="39">
        <f ca="1">IFERROR(__xludf.DUMMYFUNCTION("IF(SUM(COUNTIF(artists!E:E, SPLIT(D55, "",""))) &gt; 0, ""OTHER"", 0)"),0)</f>
        <v>0</v>
      </c>
    </row>
    <row r="56" spans="1:11" ht="14.25" customHeight="1">
      <c r="A56" s="21">
        <v>55</v>
      </c>
      <c r="C56" s="21" t="s">
        <v>1929</v>
      </c>
      <c r="D56" s="21" t="s">
        <v>1696</v>
      </c>
      <c r="E56" s="21">
        <v>1</v>
      </c>
      <c r="F56" s="21">
        <v>183158</v>
      </c>
      <c r="H56" s="21" t="s">
        <v>1930</v>
      </c>
      <c r="I56" s="39">
        <f ca="1">IFERROR(__xludf.DUMMYFUNCTION("IF(SUM(COUNTIF(artists!A:A, SPLIT(D56, "",""))) &gt; 0, ""UA"", 0)"),0)</f>
        <v>0</v>
      </c>
      <c r="J56" s="40" t="str">
        <f ca="1">IFERROR(__xludf.DUMMYFUNCTION("IF(SUM(COUNTIF(artists!C:C, SPLIT(D56, "",""))) &gt; 0, ""RU"", 0)"),"RU")</f>
        <v>RU</v>
      </c>
      <c r="K56" s="39">
        <f ca="1">IFERROR(__xludf.DUMMYFUNCTION("IF(SUM(COUNTIF(artists!E:E, SPLIT(D56, "",""))) &gt; 0, ""OTHER"", 0)"),0)</f>
        <v>0</v>
      </c>
    </row>
    <row r="57" spans="1:11" ht="14.25" customHeight="1">
      <c r="A57" s="21">
        <v>56</v>
      </c>
      <c r="B57" s="21">
        <v>8</v>
      </c>
      <c r="C57" s="21" t="s">
        <v>1931</v>
      </c>
      <c r="D57" s="21" t="s">
        <v>1932</v>
      </c>
      <c r="E57" s="21">
        <v>2</v>
      </c>
      <c r="F57" s="21">
        <v>178555</v>
      </c>
      <c r="G57" s="43">
        <v>-0.66</v>
      </c>
      <c r="H57" s="21" t="s">
        <v>1933</v>
      </c>
      <c r="I57" s="39" t="str">
        <f ca="1">IFERROR(__xludf.DUMMYFUNCTION("IF(SUM(COUNTIF(artists!A:A, SPLIT(D57, "",""))) &gt; 0, ""UA"", 0)"),"UA")</f>
        <v>UA</v>
      </c>
      <c r="J57" s="40">
        <f ca="1">IFERROR(__xludf.DUMMYFUNCTION("IF(SUM(COUNTIF(artists!C:C, SPLIT(D57, "",""))) &gt; 0, ""RU"", 0)"),0)</f>
        <v>0</v>
      </c>
      <c r="K57" s="39">
        <f ca="1">IFERROR(__xludf.DUMMYFUNCTION("IF(SUM(COUNTIF(artists!E:E, SPLIT(D57, "",""))) &gt; 0, ""OTHER"", 0)"),0)</f>
        <v>0</v>
      </c>
    </row>
    <row r="58" spans="1:11" ht="14.25" customHeight="1">
      <c r="A58" s="21">
        <v>57</v>
      </c>
      <c r="B58" s="21">
        <v>59</v>
      </c>
      <c r="C58" s="21" t="s">
        <v>1867</v>
      </c>
      <c r="D58" s="21" t="s">
        <v>1099</v>
      </c>
      <c r="E58" s="21">
        <v>18</v>
      </c>
      <c r="F58" s="21">
        <v>175502</v>
      </c>
      <c r="G58" s="42">
        <v>0.19500000000000001</v>
      </c>
      <c r="H58" s="21" t="s">
        <v>1868</v>
      </c>
      <c r="I58" s="39">
        <f ca="1">IFERROR(__xludf.DUMMYFUNCTION("IF(SUM(COUNTIF(artists!A:A, SPLIT(D58, "",""))) &gt; 0, ""UA"", 0)"),0)</f>
        <v>0</v>
      </c>
      <c r="J58" s="40" t="str">
        <f ca="1">IFERROR(__xludf.DUMMYFUNCTION("IF(SUM(COUNTIF(artists!C:C, SPLIT(D58, "",""))) &gt; 0, ""RU"", 0)"),"RU")</f>
        <v>RU</v>
      </c>
      <c r="K58" s="39">
        <f ca="1">IFERROR(__xludf.DUMMYFUNCTION("IF(SUM(COUNTIF(artists!E:E, SPLIT(D58, "",""))) &gt; 0, ""OTHER"", 0)"),0)</f>
        <v>0</v>
      </c>
    </row>
    <row r="59" spans="1:11" ht="14.25" customHeight="1">
      <c r="A59" s="21">
        <v>58</v>
      </c>
      <c r="B59" s="21">
        <v>40</v>
      </c>
      <c r="C59" s="21" t="s">
        <v>1007</v>
      </c>
      <c r="D59" s="21" t="s">
        <v>907</v>
      </c>
      <c r="E59" s="21">
        <v>5</v>
      </c>
      <c r="F59" s="21">
        <v>175497</v>
      </c>
      <c r="G59" s="43">
        <v>-0.01</v>
      </c>
      <c r="H59" s="21" t="s">
        <v>1009</v>
      </c>
      <c r="I59" s="39">
        <f ca="1">IFERROR(__xludf.DUMMYFUNCTION("IF(SUM(COUNTIF(artists!A:A, SPLIT(D59, "",""))) &gt; 0, ""UA"", 0)"),0)</f>
        <v>0</v>
      </c>
      <c r="J59" s="40" t="str">
        <f ca="1">IFERROR(__xludf.DUMMYFUNCTION("IF(SUM(COUNTIF(artists!C:C, SPLIT(D59, "",""))) &gt; 0, ""RU"", 0)"),"RU")</f>
        <v>RU</v>
      </c>
      <c r="K59" s="39">
        <f ca="1">IFERROR(__xludf.DUMMYFUNCTION("IF(SUM(COUNTIF(artists!E:E, SPLIT(D59, "",""))) &gt; 0, ""OTHER"", 0)"),0)</f>
        <v>0</v>
      </c>
    </row>
    <row r="60" spans="1:11" ht="14.25" customHeight="1">
      <c r="A60" s="21">
        <v>59</v>
      </c>
      <c r="B60" s="21">
        <v>57</v>
      </c>
      <c r="C60" s="21" t="s">
        <v>1858</v>
      </c>
      <c r="D60" s="21" t="s">
        <v>1859</v>
      </c>
      <c r="E60" s="21">
        <v>5</v>
      </c>
      <c r="F60" s="21">
        <v>171461</v>
      </c>
      <c r="G60" s="42">
        <v>0.11600000000000001</v>
      </c>
      <c r="H60" s="21" t="s">
        <v>1860</v>
      </c>
      <c r="I60" s="39">
        <f ca="1">IFERROR(__xludf.DUMMYFUNCTION("IF(SUM(COUNTIF(artists!A:A, SPLIT(D60, "",""))) &gt; 0, ""UA"", 0)"),0)</f>
        <v>0</v>
      </c>
      <c r="J60" s="40" t="str">
        <f ca="1">IFERROR(__xludf.DUMMYFUNCTION("IF(SUM(COUNTIF(artists!C:C, SPLIT(D60, "",""))) &gt; 0, ""RU"", 0)"),"RU")</f>
        <v>RU</v>
      </c>
      <c r="K60" s="39">
        <f ca="1">IFERROR(__xludf.DUMMYFUNCTION("IF(SUM(COUNTIF(artists!E:E, SPLIT(D60, "",""))) &gt; 0, ""OTHER"", 0)"),0)</f>
        <v>0</v>
      </c>
    </row>
    <row r="61" spans="1:11" ht="14.25" customHeight="1">
      <c r="A61" s="21">
        <v>60</v>
      </c>
      <c r="B61" s="21">
        <v>61</v>
      </c>
      <c r="C61" s="21" t="s">
        <v>1588</v>
      </c>
      <c r="D61" s="21" t="s">
        <v>776</v>
      </c>
      <c r="E61" s="21">
        <v>7</v>
      </c>
      <c r="F61" s="21">
        <v>169571</v>
      </c>
      <c r="G61" s="42">
        <v>0.16400000000000001</v>
      </c>
      <c r="H61" s="21" t="s">
        <v>1589</v>
      </c>
      <c r="I61" s="39" t="str">
        <f ca="1">IFERROR(__xludf.DUMMYFUNCTION("IF(SUM(COUNTIF(artists!A:A, SPLIT(D61, "",""))) &gt; 0, ""UA"", 0)"),"UA")</f>
        <v>UA</v>
      </c>
      <c r="J61" s="40">
        <f ca="1">IFERROR(__xludf.DUMMYFUNCTION("IF(SUM(COUNTIF(artists!C:C, SPLIT(D61, "",""))) &gt; 0, ""RU"", 0)"),0)</f>
        <v>0</v>
      </c>
      <c r="K61" s="39">
        <f ca="1">IFERROR(__xludf.DUMMYFUNCTION("IF(SUM(COUNTIF(artists!E:E, SPLIT(D61, "",""))) &gt; 0, ""OTHER"", 0)"),0)</f>
        <v>0</v>
      </c>
    </row>
    <row r="62" spans="1:11" ht="14.25" customHeight="1">
      <c r="A62" s="21">
        <v>61</v>
      </c>
      <c r="B62" s="21">
        <v>63</v>
      </c>
      <c r="C62" s="21" t="s">
        <v>1261</v>
      </c>
      <c r="D62" s="21" t="s">
        <v>137</v>
      </c>
      <c r="E62" s="21">
        <v>19</v>
      </c>
      <c r="F62" s="21">
        <v>167448</v>
      </c>
      <c r="G62" s="42">
        <v>0.16200000000000001</v>
      </c>
      <c r="H62" s="21" t="s">
        <v>1262</v>
      </c>
      <c r="I62" s="39" t="str">
        <f ca="1">IFERROR(__xludf.DUMMYFUNCTION("IF(SUM(COUNTIF(artists!A:A, SPLIT(D62, "",""))) &gt; 0, ""UA"", 0)"),"UA")</f>
        <v>UA</v>
      </c>
      <c r="J62" s="40">
        <f ca="1">IFERROR(__xludf.DUMMYFUNCTION("IF(SUM(COUNTIF(artists!C:C, SPLIT(D62, "",""))) &gt; 0, ""RU"", 0)"),0)</f>
        <v>0</v>
      </c>
      <c r="K62" s="39">
        <f ca="1">IFERROR(__xludf.DUMMYFUNCTION("IF(SUM(COUNTIF(artists!E:E, SPLIT(D62, "",""))) &gt; 0, ""OTHER"", 0)"),0)</f>
        <v>0</v>
      </c>
    </row>
    <row r="63" spans="1:11" ht="14.25" customHeight="1">
      <c r="A63" s="21">
        <v>62</v>
      </c>
      <c r="B63" s="21">
        <v>80</v>
      </c>
      <c r="C63" s="21" t="s">
        <v>1763</v>
      </c>
      <c r="D63" s="21" t="s">
        <v>81</v>
      </c>
      <c r="E63" s="21">
        <v>24</v>
      </c>
      <c r="F63" s="21">
        <v>166913</v>
      </c>
      <c r="G63" s="43">
        <v>0.38</v>
      </c>
      <c r="H63" s="21" t="s">
        <v>1764</v>
      </c>
      <c r="I63" s="39" t="str">
        <f ca="1">IFERROR(__xludf.DUMMYFUNCTION("IF(SUM(COUNTIF(artists!A:A, SPLIT(D63, "",""))) &gt; 0, ""UA"", 0)"),"UA")</f>
        <v>UA</v>
      </c>
      <c r="J63" s="40">
        <f ca="1">IFERROR(__xludf.DUMMYFUNCTION("IF(SUM(COUNTIF(artists!C:C, SPLIT(D63, "",""))) &gt; 0, ""RU"", 0)"),0)</f>
        <v>0</v>
      </c>
      <c r="K63" s="39">
        <f ca="1">IFERROR(__xludf.DUMMYFUNCTION("IF(SUM(COUNTIF(artists!E:E, SPLIT(D63, "",""))) &gt; 0, ""OTHER"", 0)"),0)</f>
        <v>0</v>
      </c>
    </row>
    <row r="64" spans="1:11" ht="14.25" customHeight="1">
      <c r="A64" s="21">
        <v>63</v>
      </c>
      <c r="C64" s="21" t="s">
        <v>1830</v>
      </c>
      <c r="D64" s="21" t="s">
        <v>1426</v>
      </c>
      <c r="E64" s="21">
        <v>1</v>
      </c>
      <c r="F64" s="21">
        <v>165635</v>
      </c>
      <c r="H64" s="21" t="s">
        <v>1831</v>
      </c>
      <c r="I64" s="39" t="str">
        <f ca="1">IFERROR(__xludf.DUMMYFUNCTION("IF(SUM(COUNTIF(artists!A:A, SPLIT(D64, "",""))) &gt; 0, ""UA"", 0)"),"UA")</f>
        <v>UA</v>
      </c>
      <c r="J64" s="40">
        <f ca="1">IFERROR(__xludf.DUMMYFUNCTION("IF(SUM(COUNTIF(artists!C:C, SPLIT(D64, "",""))) &gt; 0, ""RU"", 0)"),0)</f>
        <v>0</v>
      </c>
      <c r="K64" s="39">
        <f ca="1">IFERROR(__xludf.DUMMYFUNCTION("IF(SUM(COUNTIF(artists!E:E, SPLIT(D64, "",""))) &gt; 0, ""OTHER"", 0)"),0)</f>
        <v>0</v>
      </c>
    </row>
    <row r="65" spans="1:11" ht="14.25" customHeight="1">
      <c r="A65" s="21">
        <v>64</v>
      </c>
      <c r="B65" s="21">
        <v>91</v>
      </c>
      <c r="C65" s="21" t="s">
        <v>1822</v>
      </c>
      <c r="D65" s="21" t="s">
        <v>1823</v>
      </c>
      <c r="E65" s="21">
        <v>4</v>
      </c>
      <c r="F65" s="21">
        <v>162767</v>
      </c>
      <c r="G65" s="42">
        <v>0.44500000000000001</v>
      </c>
      <c r="H65" s="21" t="s">
        <v>1824</v>
      </c>
      <c r="I65" s="39" t="str">
        <f ca="1">IFERROR(__xludf.DUMMYFUNCTION("IF(SUM(COUNTIF(artists!A:A, SPLIT(D65, "",""))) &gt; 0, ""UA"", 0)"),"UA")</f>
        <v>UA</v>
      </c>
      <c r="J65" s="40">
        <f ca="1">IFERROR(__xludf.DUMMYFUNCTION("IF(SUM(COUNTIF(artists!C:C, SPLIT(D65, "",""))) &gt; 0, ""RU"", 0)"),0)</f>
        <v>0</v>
      </c>
      <c r="K65" s="39">
        <f ca="1">IFERROR(__xludf.DUMMYFUNCTION("IF(SUM(COUNTIF(artists!E:E, SPLIT(D65, "",""))) &gt; 0, ""OTHER"", 0)"),0)</f>
        <v>0</v>
      </c>
    </row>
    <row r="66" spans="1:11" ht="14.25" customHeight="1">
      <c r="A66" s="21">
        <v>65</v>
      </c>
      <c r="B66" s="21">
        <v>50</v>
      </c>
      <c r="C66" s="21" t="s">
        <v>906</v>
      </c>
      <c r="D66" s="21" t="s">
        <v>907</v>
      </c>
      <c r="E66" s="21">
        <v>15</v>
      </c>
      <c r="F66" s="21">
        <v>162640</v>
      </c>
      <c r="G66" s="43">
        <v>0.01</v>
      </c>
      <c r="H66" s="21" t="s">
        <v>908</v>
      </c>
      <c r="I66" s="39">
        <f ca="1">IFERROR(__xludf.DUMMYFUNCTION("IF(SUM(COUNTIF(artists!A:A, SPLIT(D66, "",""))) &gt; 0, ""UA"", 0)"),0)</f>
        <v>0</v>
      </c>
      <c r="J66" s="40" t="str">
        <f ca="1">IFERROR(__xludf.DUMMYFUNCTION("IF(SUM(COUNTIF(artists!C:C, SPLIT(D66, "",""))) &gt; 0, ""RU"", 0)"),"RU")</f>
        <v>RU</v>
      </c>
      <c r="K66" s="39">
        <f ca="1">IFERROR(__xludf.DUMMYFUNCTION("IF(SUM(COUNTIF(artists!E:E, SPLIT(D66, "",""))) &gt; 0, ""OTHER"", 0)"),0)</f>
        <v>0</v>
      </c>
    </row>
    <row r="67" spans="1:11" ht="14.25" customHeight="1">
      <c r="A67" s="21">
        <v>66</v>
      </c>
      <c r="B67" s="21">
        <v>68</v>
      </c>
      <c r="C67" s="21" t="s">
        <v>1498</v>
      </c>
      <c r="D67" s="21" t="s">
        <v>969</v>
      </c>
      <c r="E67" s="21">
        <v>26</v>
      </c>
      <c r="F67" s="21">
        <v>162307</v>
      </c>
      <c r="G67" s="42">
        <v>0.19900000000000001</v>
      </c>
      <c r="H67" s="21" t="s">
        <v>1499</v>
      </c>
      <c r="I67" s="39" t="str">
        <f ca="1">IFERROR(__xludf.DUMMYFUNCTION("IF(SUM(COUNTIF(artists!A:A, SPLIT(D67, "",""))) &gt; 0, ""UA"", 0)"),"UA")</f>
        <v>UA</v>
      </c>
      <c r="J67" s="40">
        <f ca="1">IFERROR(__xludf.DUMMYFUNCTION("IF(SUM(COUNTIF(artists!C:C, SPLIT(D67, "",""))) &gt; 0, ""RU"", 0)"),0)</f>
        <v>0</v>
      </c>
      <c r="K67" s="39">
        <f ca="1">IFERROR(__xludf.DUMMYFUNCTION("IF(SUM(COUNTIF(artists!E:E, SPLIT(D67, "",""))) &gt; 0, ""OTHER"", 0)"),0)</f>
        <v>0</v>
      </c>
    </row>
    <row r="68" spans="1:11" ht="14.25" customHeight="1">
      <c r="A68" s="21">
        <v>67</v>
      </c>
      <c r="B68" s="21">
        <v>73</v>
      </c>
      <c r="C68" s="21" t="s">
        <v>1431</v>
      </c>
      <c r="D68" s="21" t="s">
        <v>969</v>
      </c>
      <c r="E68" s="21">
        <v>24</v>
      </c>
      <c r="F68" s="21">
        <v>161474</v>
      </c>
      <c r="G68" s="42">
        <v>0.26100000000000001</v>
      </c>
      <c r="H68" s="21" t="s">
        <v>1432</v>
      </c>
      <c r="I68" s="39" t="str">
        <f ca="1">IFERROR(__xludf.DUMMYFUNCTION("IF(SUM(COUNTIF(artists!A:A, SPLIT(D68, "",""))) &gt; 0, ""UA"", 0)"),"UA")</f>
        <v>UA</v>
      </c>
      <c r="J68" s="40">
        <f ca="1">IFERROR(__xludf.DUMMYFUNCTION("IF(SUM(COUNTIF(artists!C:C, SPLIT(D68, "",""))) &gt; 0, ""RU"", 0)"),0)</f>
        <v>0</v>
      </c>
      <c r="K68" s="39">
        <f ca="1">IFERROR(__xludf.DUMMYFUNCTION("IF(SUM(COUNTIF(artists!E:E, SPLIT(D68, "",""))) &gt; 0, ""OTHER"", 0)"),0)</f>
        <v>0</v>
      </c>
    </row>
    <row r="69" spans="1:11" ht="14.25" customHeight="1">
      <c r="A69" s="21">
        <v>68</v>
      </c>
      <c r="B69" s="21">
        <v>70</v>
      </c>
      <c r="C69" s="21" t="s">
        <v>1601</v>
      </c>
      <c r="D69" s="21" t="s">
        <v>1602</v>
      </c>
      <c r="E69" s="21">
        <v>7</v>
      </c>
      <c r="F69" s="21">
        <v>158253</v>
      </c>
      <c r="G69" s="42">
        <v>0.192</v>
      </c>
      <c r="H69" s="21" t="s">
        <v>1603</v>
      </c>
      <c r="I69" s="39">
        <f ca="1">IFERROR(__xludf.DUMMYFUNCTION("IF(SUM(COUNTIF(artists!A:A, SPLIT(D69, "",""))) &gt; 0, ""UA"", 0)"),0)</f>
        <v>0</v>
      </c>
      <c r="J69" s="40" t="str">
        <f ca="1">IFERROR(__xludf.DUMMYFUNCTION("IF(SUM(COUNTIF(artists!C:C, SPLIT(D69, "",""))) &gt; 0, ""RU"", 0)"),"RU")</f>
        <v>RU</v>
      </c>
      <c r="K69" s="39">
        <f ca="1">IFERROR(__xludf.DUMMYFUNCTION("IF(SUM(COUNTIF(artists!E:E, SPLIT(D69, "",""))) &gt; 0, ""OTHER"", 0)"),0)</f>
        <v>0</v>
      </c>
    </row>
    <row r="70" spans="1:11" ht="14.25" customHeight="1">
      <c r="A70" s="21">
        <v>69</v>
      </c>
      <c r="B70" s="21">
        <v>43</v>
      </c>
      <c r="C70" s="21" t="s">
        <v>1911</v>
      </c>
      <c r="D70" s="21" t="s">
        <v>1912</v>
      </c>
      <c r="E70" s="21">
        <v>6</v>
      </c>
      <c r="F70" s="21">
        <v>157614</v>
      </c>
      <c r="G70" s="42">
        <v>-8.3000000000000004E-2</v>
      </c>
      <c r="H70" s="21" t="s">
        <v>1913</v>
      </c>
      <c r="I70" s="39">
        <f ca="1">IFERROR(__xludf.DUMMYFUNCTION("IF(SUM(COUNTIF(artists!A:A, SPLIT(D70, "",""))) &gt; 0, ""UA"", 0)"),0)</f>
        <v>0</v>
      </c>
      <c r="J70" s="40" t="str">
        <f ca="1">IFERROR(__xludf.DUMMYFUNCTION("IF(SUM(COUNTIF(artists!C:C, SPLIT(D70, "",""))) &gt; 0, ""RU"", 0)"),"RU")</f>
        <v>RU</v>
      </c>
      <c r="K70" s="39">
        <f ca="1">IFERROR(__xludf.DUMMYFUNCTION("IF(SUM(COUNTIF(artists!E:E, SPLIT(D70, "",""))) &gt; 0, ""OTHER"", 0)"),0)</f>
        <v>0</v>
      </c>
    </row>
    <row r="71" spans="1:11" ht="14.25" customHeight="1">
      <c r="A71" s="21">
        <v>70</v>
      </c>
      <c r="B71" s="21">
        <v>66</v>
      </c>
      <c r="C71" s="21" t="s">
        <v>470</v>
      </c>
      <c r="D71" s="21" t="s">
        <v>598</v>
      </c>
      <c r="E71" s="21">
        <v>16</v>
      </c>
      <c r="F71" s="21">
        <v>157479</v>
      </c>
      <c r="G71" s="43">
        <v>0.13</v>
      </c>
      <c r="H71" s="21" t="s">
        <v>1274</v>
      </c>
      <c r="I71" s="39" t="str">
        <f ca="1">IFERROR(__xludf.DUMMYFUNCTION("IF(SUM(COUNTIF(artists!A:A, SPLIT(D71, "",""))) &gt; 0, ""UA"", 0)"),"UA")</f>
        <v>UA</v>
      </c>
      <c r="J71" s="40">
        <f ca="1">IFERROR(__xludf.DUMMYFUNCTION("IF(SUM(COUNTIF(artists!C:C, SPLIT(D71, "",""))) &gt; 0, ""RU"", 0)"),0)</f>
        <v>0</v>
      </c>
      <c r="K71" s="39">
        <f ca="1">IFERROR(__xludf.DUMMYFUNCTION("IF(SUM(COUNTIF(artists!E:E, SPLIT(D71, "",""))) &gt; 0, ""OTHER"", 0)"),0)</f>
        <v>0</v>
      </c>
    </row>
    <row r="72" spans="1:11" ht="14.25" customHeight="1">
      <c r="A72" s="21">
        <v>71</v>
      </c>
      <c r="B72" s="21">
        <v>82</v>
      </c>
      <c r="C72" s="21" t="s">
        <v>1392</v>
      </c>
      <c r="D72" s="21" t="s">
        <v>1393</v>
      </c>
      <c r="E72" s="21">
        <v>8</v>
      </c>
      <c r="F72" s="21">
        <v>156105</v>
      </c>
      <c r="G72" s="42">
        <v>0.34300000000000003</v>
      </c>
      <c r="H72" s="21" t="s">
        <v>1394</v>
      </c>
      <c r="I72" s="39">
        <f ca="1">IFERROR(__xludf.DUMMYFUNCTION("IF(SUM(COUNTIF(artists!A:A, SPLIT(D72, "",""))) &gt; 0, ""UA"", 0)"),0)</f>
        <v>0</v>
      </c>
      <c r="J72" s="40" t="str">
        <f ca="1">IFERROR(__xludf.DUMMYFUNCTION("IF(SUM(COUNTIF(artists!C:C, SPLIT(D72, "",""))) &gt; 0, ""RU"", 0)"),"RU")</f>
        <v>RU</v>
      </c>
      <c r="K72" s="39">
        <f ca="1">IFERROR(__xludf.DUMMYFUNCTION("IF(SUM(COUNTIF(artists!E:E, SPLIT(D72, "",""))) &gt; 0, ""OTHER"", 0)"),0)</f>
        <v>0</v>
      </c>
    </row>
    <row r="73" spans="1:11" ht="14.25" customHeight="1">
      <c r="A73" s="21">
        <v>72</v>
      </c>
      <c r="B73" s="21">
        <v>20</v>
      </c>
      <c r="C73" s="21" t="s">
        <v>1934</v>
      </c>
      <c r="D73" s="21" t="s">
        <v>1795</v>
      </c>
      <c r="E73" s="21">
        <v>4</v>
      </c>
      <c r="F73" s="21">
        <v>155319</v>
      </c>
      <c r="G73" s="43">
        <v>-0.4</v>
      </c>
      <c r="H73" s="21" t="s">
        <v>1935</v>
      </c>
      <c r="I73" s="39" t="str">
        <f ca="1">IFERROR(__xludf.DUMMYFUNCTION("IF(SUM(COUNTIF(artists!A:A, SPLIT(D73, "",""))) &gt; 0, ""UA"", 0)"),"UA")</f>
        <v>UA</v>
      </c>
      <c r="J73" s="40">
        <f ca="1">IFERROR(__xludf.DUMMYFUNCTION("IF(SUM(COUNTIF(artists!C:C, SPLIT(D73, "",""))) &gt; 0, ""RU"", 0)"),0)</f>
        <v>0</v>
      </c>
      <c r="K73" s="39">
        <f ca="1">IFERROR(__xludf.DUMMYFUNCTION("IF(SUM(COUNTIF(artists!E:E, SPLIT(D73, "",""))) &gt; 0, ""OTHER"", 0)"),0)</f>
        <v>0</v>
      </c>
    </row>
    <row r="74" spans="1:11" ht="14.25" customHeight="1">
      <c r="A74" s="21">
        <v>73</v>
      </c>
      <c r="B74" s="21">
        <v>89</v>
      </c>
      <c r="C74" s="21" t="s">
        <v>1820</v>
      </c>
      <c r="D74" s="21" t="s">
        <v>1439</v>
      </c>
      <c r="E74" s="21">
        <v>2</v>
      </c>
      <c r="F74" s="21">
        <v>154939</v>
      </c>
      <c r="G74" s="42">
        <v>0.36299999999999999</v>
      </c>
      <c r="H74" s="21" t="s">
        <v>1821</v>
      </c>
      <c r="I74" s="39" t="str">
        <f ca="1">IFERROR(__xludf.DUMMYFUNCTION("IF(SUM(COUNTIF(artists!A:A, SPLIT(D74, "",""))) &gt; 0, ""UA"", 0)"),"UA")</f>
        <v>UA</v>
      </c>
      <c r="J74" s="40">
        <f ca="1">IFERROR(__xludf.DUMMYFUNCTION("IF(SUM(COUNTIF(artists!C:C, SPLIT(D74, "",""))) &gt; 0, ""RU"", 0)"),0)</f>
        <v>0</v>
      </c>
      <c r="K74" s="39">
        <f ca="1">IFERROR(__xludf.DUMMYFUNCTION("IF(SUM(COUNTIF(artists!E:E, SPLIT(D74, "",""))) &gt; 0, ""OTHER"", 0)"),0)</f>
        <v>0</v>
      </c>
    </row>
    <row r="75" spans="1:11" ht="14.25" customHeight="1">
      <c r="A75" s="21">
        <v>74</v>
      </c>
      <c r="B75" s="21">
        <v>71</v>
      </c>
      <c r="C75" s="21" t="s">
        <v>1447</v>
      </c>
      <c r="D75" s="21" t="s">
        <v>969</v>
      </c>
      <c r="E75" s="21">
        <v>14</v>
      </c>
      <c r="F75" s="21">
        <v>154896</v>
      </c>
      <c r="G75" s="42">
        <v>0.191</v>
      </c>
      <c r="H75" s="21" t="s">
        <v>1448</v>
      </c>
      <c r="I75" s="39" t="str">
        <f ca="1">IFERROR(__xludf.DUMMYFUNCTION("IF(SUM(COUNTIF(artists!A:A, SPLIT(D75, "",""))) &gt; 0, ""UA"", 0)"),"UA")</f>
        <v>UA</v>
      </c>
      <c r="J75" s="40">
        <f ca="1">IFERROR(__xludf.DUMMYFUNCTION("IF(SUM(COUNTIF(artists!C:C, SPLIT(D75, "",""))) &gt; 0, ""RU"", 0)"),0)</f>
        <v>0</v>
      </c>
      <c r="K75" s="39">
        <f ca="1">IFERROR(__xludf.DUMMYFUNCTION("IF(SUM(COUNTIF(artists!E:E, SPLIT(D75, "",""))) &gt; 0, ""OTHER"", 0)"),0)</f>
        <v>0</v>
      </c>
    </row>
    <row r="76" spans="1:11" ht="14.25" customHeight="1">
      <c r="A76" s="21">
        <v>75</v>
      </c>
      <c r="B76" s="21">
        <v>49</v>
      </c>
      <c r="C76" s="21" t="s">
        <v>1863</v>
      </c>
      <c r="D76" s="21" t="s">
        <v>1660</v>
      </c>
      <c r="E76" s="21">
        <v>10</v>
      </c>
      <c r="F76" s="21">
        <v>154656</v>
      </c>
      <c r="G76" s="42">
        <v>-4.4999999999999998E-2</v>
      </c>
      <c r="H76" s="21" t="s">
        <v>1864</v>
      </c>
      <c r="I76" s="39">
        <f ca="1">IFERROR(__xludf.DUMMYFUNCTION("IF(SUM(COUNTIF(artists!A:A, SPLIT(D76, "",""))) &gt; 0, ""UA"", 0)"),0)</f>
        <v>0</v>
      </c>
      <c r="J76" s="40" t="str">
        <f ca="1">IFERROR(__xludf.DUMMYFUNCTION("IF(SUM(COUNTIF(artists!C:C, SPLIT(D76, "",""))) &gt; 0, ""RU"", 0)"),"RU")</f>
        <v>RU</v>
      </c>
      <c r="K76" s="39">
        <f ca="1">IFERROR(__xludf.DUMMYFUNCTION("IF(SUM(COUNTIF(artists!E:E, SPLIT(D76, "",""))) &gt; 0, ""OTHER"", 0)"),0)</f>
        <v>0</v>
      </c>
    </row>
    <row r="77" spans="1:11" ht="14.25" customHeight="1">
      <c r="A77" s="21">
        <v>76</v>
      </c>
      <c r="B77" s="21">
        <v>60</v>
      </c>
      <c r="C77" s="21" t="s">
        <v>1907</v>
      </c>
      <c r="D77" s="21" t="s">
        <v>409</v>
      </c>
      <c r="E77" s="21">
        <v>4</v>
      </c>
      <c r="F77" s="21">
        <v>154152</v>
      </c>
      <c r="G77" s="42">
        <v>5.0999999999999997E-2</v>
      </c>
      <c r="H77" s="21" t="s">
        <v>1908</v>
      </c>
      <c r="I77" s="39" t="str">
        <f ca="1">IFERROR(__xludf.DUMMYFUNCTION("IF(SUM(COUNTIF(artists!A:A, SPLIT(D77, "",""))) &gt; 0, ""UA"", 0)"),"UA")</f>
        <v>UA</v>
      </c>
      <c r="J77" s="40">
        <f ca="1">IFERROR(__xludf.DUMMYFUNCTION("IF(SUM(COUNTIF(artists!C:C, SPLIT(D77, "",""))) &gt; 0, ""RU"", 0)"),0)</f>
        <v>0</v>
      </c>
      <c r="K77" s="39">
        <f ca="1">IFERROR(__xludf.DUMMYFUNCTION("IF(SUM(COUNTIF(artists!E:E, SPLIT(D77, "",""))) &gt; 0, ""OTHER"", 0)"),0)</f>
        <v>0</v>
      </c>
    </row>
    <row r="78" spans="1:11" ht="14.25" customHeight="1">
      <c r="A78" s="21">
        <v>77</v>
      </c>
      <c r="B78" s="21">
        <v>67</v>
      </c>
      <c r="C78" s="21" t="s">
        <v>1842</v>
      </c>
      <c r="D78" s="21" t="s">
        <v>1843</v>
      </c>
      <c r="E78" s="21">
        <v>4</v>
      </c>
      <c r="F78" s="21">
        <v>151773</v>
      </c>
      <c r="G78" s="42">
        <v>0.113</v>
      </c>
      <c r="H78" s="21" t="s">
        <v>1844</v>
      </c>
      <c r="I78" s="39">
        <f ca="1">IFERROR(__xludf.DUMMYFUNCTION("IF(SUM(COUNTIF(artists!A:A, SPLIT(D78, "",""))) &gt; 0, ""UA"", 0)"),0)</f>
        <v>0</v>
      </c>
      <c r="J78" s="40" t="str">
        <f ca="1">IFERROR(__xludf.DUMMYFUNCTION("IF(SUM(COUNTIF(artists!C:C, SPLIT(D78, "",""))) &gt; 0, ""RU"", 0)"),"RU")</f>
        <v>RU</v>
      </c>
      <c r="K78" s="39">
        <f ca="1">IFERROR(__xludf.DUMMYFUNCTION("IF(SUM(COUNTIF(artists!E:E, SPLIT(D78, "",""))) &gt; 0, ""OTHER"", 0)"),0)</f>
        <v>0</v>
      </c>
    </row>
    <row r="79" spans="1:11" ht="14.25" customHeight="1">
      <c r="A79" s="21">
        <v>78</v>
      </c>
      <c r="C79" s="21" t="s">
        <v>1606</v>
      </c>
      <c r="D79" s="21" t="s">
        <v>1607</v>
      </c>
      <c r="E79" s="21">
        <v>25</v>
      </c>
      <c r="F79" s="21">
        <v>151333</v>
      </c>
      <c r="H79" s="21" t="s">
        <v>1608</v>
      </c>
      <c r="I79" s="39">
        <f ca="1">IFERROR(__xludf.DUMMYFUNCTION("IF(SUM(COUNTIF(artists!A:A, SPLIT(D79, "",""))) &gt; 0, ""UA"", 0)"),0)</f>
        <v>0</v>
      </c>
      <c r="J79" s="40" t="str">
        <f ca="1">IFERROR(__xludf.DUMMYFUNCTION("IF(SUM(COUNTIF(artists!C:C, SPLIT(D79, "",""))) &gt; 0, ""RU"", 0)"),"RU")</f>
        <v>RU</v>
      </c>
      <c r="K79" s="39">
        <f ca="1">IFERROR(__xludf.DUMMYFUNCTION("IF(SUM(COUNTIF(artists!E:E, SPLIT(D79, "",""))) &gt; 0, ""OTHER"", 0)"),0)</f>
        <v>0</v>
      </c>
    </row>
    <row r="80" spans="1:11" ht="14.25" customHeight="1">
      <c r="A80" s="21">
        <v>79</v>
      </c>
      <c r="B80" s="21">
        <v>85</v>
      </c>
      <c r="C80" s="21" t="s">
        <v>1670</v>
      </c>
      <c r="D80" s="21" t="s">
        <v>969</v>
      </c>
      <c r="E80" s="21">
        <v>14</v>
      </c>
      <c r="F80" s="21">
        <v>148263</v>
      </c>
      <c r="G80" s="42">
        <v>0.28499999999999998</v>
      </c>
      <c r="H80" s="21" t="s">
        <v>1671</v>
      </c>
      <c r="I80" s="39" t="str">
        <f ca="1">IFERROR(__xludf.DUMMYFUNCTION("IF(SUM(COUNTIF(artists!A:A, SPLIT(D80, "",""))) &gt; 0, ""UA"", 0)"),"UA")</f>
        <v>UA</v>
      </c>
      <c r="J80" s="40">
        <f ca="1">IFERROR(__xludf.DUMMYFUNCTION("IF(SUM(COUNTIF(artists!C:C, SPLIT(D80, "",""))) &gt; 0, ""RU"", 0)"),0)</f>
        <v>0</v>
      </c>
      <c r="K80" s="39">
        <f ca="1">IFERROR(__xludf.DUMMYFUNCTION("IF(SUM(COUNTIF(artists!E:E, SPLIT(D80, "",""))) &gt; 0, ""OTHER"", 0)"),0)</f>
        <v>0</v>
      </c>
    </row>
    <row r="81" spans="1:11" ht="14.25" customHeight="1">
      <c r="A81" s="21">
        <v>80</v>
      </c>
      <c r="C81" s="21" t="s">
        <v>1282</v>
      </c>
      <c r="D81" s="21" t="s">
        <v>108</v>
      </c>
      <c r="E81" s="21">
        <v>21</v>
      </c>
      <c r="F81" s="21">
        <v>145271</v>
      </c>
      <c r="H81" s="21" t="s">
        <v>1283</v>
      </c>
      <c r="I81" s="39" t="str">
        <f ca="1">IFERROR(__xludf.DUMMYFUNCTION("IF(SUM(COUNTIF(artists!A:A, SPLIT(D81, "",""))) &gt; 0, ""UA"", 0)"),"UA")</f>
        <v>UA</v>
      </c>
      <c r="J81" s="40">
        <f ca="1">IFERROR(__xludf.DUMMYFUNCTION("IF(SUM(COUNTIF(artists!C:C, SPLIT(D81, "",""))) &gt; 0, ""RU"", 0)"),0)</f>
        <v>0</v>
      </c>
      <c r="K81" s="39">
        <f ca="1">IFERROR(__xludf.DUMMYFUNCTION("IF(SUM(COUNTIF(artists!E:E, SPLIT(D81, "",""))) &gt; 0, ""OTHER"", 0)"),0)</f>
        <v>0</v>
      </c>
    </row>
    <row r="82" spans="1:11" ht="14.25" customHeight="1">
      <c r="A82" s="21">
        <v>81</v>
      </c>
      <c r="B82" s="21">
        <v>75</v>
      </c>
      <c r="C82" s="21" t="s">
        <v>1861</v>
      </c>
      <c r="D82" s="21" t="s">
        <v>409</v>
      </c>
      <c r="E82" s="21">
        <v>4</v>
      </c>
      <c r="F82" s="21">
        <v>143916</v>
      </c>
      <c r="G82" s="42">
        <v>0.13700000000000001</v>
      </c>
      <c r="H82" s="21" t="s">
        <v>1862</v>
      </c>
      <c r="I82" s="39" t="str">
        <f ca="1">IFERROR(__xludf.DUMMYFUNCTION("IF(SUM(COUNTIF(artists!A:A, SPLIT(D82, "",""))) &gt; 0, ""UA"", 0)"),"UA")</f>
        <v>UA</v>
      </c>
      <c r="J82" s="40">
        <f ca="1">IFERROR(__xludf.DUMMYFUNCTION("IF(SUM(COUNTIF(artists!C:C, SPLIT(D82, "",""))) &gt; 0, ""RU"", 0)"),0)</f>
        <v>0</v>
      </c>
      <c r="K82" s="39">
        <f ca="1">IFERROR(__xludf.DUMMYFUNCTION("IF(SUM(COUNTIF(artists!E:E, SPLIT(D82, "",""))) &gt; 0, ""OTHER"", 0)"),0)</f>
        <v>0</v>
      </c>
    </row>
    <row r="83" spans="1:11" ht="14.25" customHeight="1">
      <c r="A83" s="21">
        <v>82</v>
      </c>
      <c r="B83" s="21">
        <v>72</v>
      </c>
      <c r="C83" s="21" t="s">
        <v>1865</v>
      </c>
      <c r="D83" s="21" t="s">
        <v>1646</v>
      </c>
      <c r="E83" s="21">
        <v>15</v>
      </c>
      <c r="F83" s="21">
        <v>142312</v>
      </c>
      <c r="G83" s="42">
        <v>9.6000000000000002E-2</v>
      </c>
      <c r="H83" s="21" t="s">
        <v>1866</v>
      </c>
      <c r="I83" s="39">
        <f ca="1">IFERROR(__xludf.DUMMYFUNCTION("IF(SUM(COUNTIF(artists!A:A, SPLIT(D83, "",""))) &gt; 0, ""UA"", 0)"),0)</f>
        <v>0</v>
      </c>
      <c r="J83" s="40" t="str">
        <f ca="1">IFERROR(__xludf.DUMMYFUNCTION("IF(SUM(COUNTIF(artists!C:C, SPLIT(D83, "",""))) &gt; 0, ""RU"", 0)"),"RU")</f>
        <v>RU</v>
      </c>
      <c r="K83" s="39">
        <f ca="1">IFERROR(__xludf.DUMMYFUNCTION("IF(SUM(COUNTIF(artists!E:E, SPLIT(D83, "",""))) &gt; 0, ""OTHER"", 0)"),0)</f>
        <v>0</v>
      </c>
    </row>
    <row r="84" spans="1:11" ht="14.25" customHeight="1">
      <c r="A84" s="21">
        <v>83</v>
      </c>
      <c r="C84" s="21" t="s">
        <v>1936</v>
      </c>
      <c r="D84" s="21" t="s">
        <v>1937</v>
      </c>
      <c r="E84" s="21">
        <v>1</v>
      </c>
      <c r="F84" s="21">
        <v>141047</v>
      </c>
      <c r="H84" s="21" t="s">
        <v>1938</v>
      </c>
      <c r="I84" s="39">
        <f ca="1">IFERROR(__xludf.DUMMYFUNCTION("IF(SUM(COUNTIF(artists!A:A, SPLIT(D84, "",""))) &gt; 0, ""UA"", 0)"),0)</f>
        <v>0</v>
      </c>
      <c r="J84" s="40" t="str">
        <f ca="1">IFERROR(__xludf.DUMMYFUNCTION("IF(SUM(COUNTIF(artists!C:C, SPLIT(D84, "",""))) &gt; 0, ""RU"", 0)"),"RU")</f>
        <v>RU</v>
      </c>
      <c r="K84" s="39">
        <f ca="1">IFERROR(__xludf.DUMMYFUNCTION("IF(SUM(COUNTIF(artists!E:E, SPLIT(D84, "",""))) &gt; 0, ""OTHER"", 0)"),0)</f>
        <v>0</v>
      </c>
    </row>
    <row r="85" spans="1:11" ht="14.25" customHeight="1">
      <c r="A85" s="21">
        <v>84</v>
      </c>
      <c r="B85" s="21">
        <v>88</v>
      </c>
      <c r="C85" s="21" t="s">
        <v>1327</v>
      </c>
      <c r="D85" s="21" t="s">
        <v>89</v>
      </c>
      <c r="E85" s="21">
        <v>24</v>
      </c>
      <c r="F85" s="21">
        <v>140204</v>
      </c>
      <c r="G85" s="42">
        <v>0.22600000000000001</v>
      </c>
      <c r="H85" s="21" t="s">
        <v>1328</v>
      </c>
      <c r="I85" s="39" t="str">
        <f ca="1">IFERROR(__xludf.DUMMYFUNCTION("IF(SUM(COUNTIF(artists!A:A, SPLIT(D85, "",""))) &gt; 0, ""UA"", 0)"),"UA")</f>
        <v>UA</v>
      </c>
      <c r="J85" s="40">
        <f ca="1">IFERROR(__xludf.DUMMYFUNCTION("IF(SUM(COUNTIF(artists!C:C, SPLIT(D85, "",""))) &gt; 0, ""RU"", 0)"),0)</f>
        <v>0</v>
      </c>
      <c r="K85" s="39">
        <f ca="1">IFERROR(__xludf.DUMMYFUNCTION("IF(SUM(COUNTIF(artists!E:E, SPLIT(D85, "",""))) &gt; 0, ""OTHER"", 0)"),0)</f>
        <v>0</v>
      </c>
    </row>
    <row r="86" spans="1:11" ht="14.25" customHeight="1">
      <c r="A86" s="21">
        <v>85</v>
      </c>
      <c r="B86" s="21">
        <v>79</v>
      </c>
      <c r="C86" s="21" t="s">
        <v>1337</v>
      </c>
      <c r="D86" s="21" t="s">
        <v>1338</v>
      </c>
      <c r="E86" s="21">
        <v>12</v>
      </c>
      <c r="F86" s="21">
        <v>139571</v>
      </c>
      <c r="G86" s="42">
        <v>0.14599999999999999</v>
      </c>
      <c r="H86" s="21" t="s">
        <v>1339</v>
      </c>
      <c r="I86" s="39">
        <f ca="1">IFERROR(__xludf.DUMMYFUNCTION("IF(SUM(COUNTIF(artists!A:A, SPLIT(D86, "",""))) &gt; 0, ""UA"", 0)"),0)</f>
        <v>0</v>
      </c>
      <c r="J86" s="40">
        <f ca="1">IFERROR(__xludf.DUMMYFUNCTION("IF(SUM(COUNTIF(artists!C:C, SPLIT(D86, "",""))) &gt; 0, ""RU"", 0)"),0)</f>
        <v>0</v>
      </c>
      <c r="K86" s="39" t="str">
        <f ca="1">IFERROR(__xludf.DUMMYFUNCTION("IF(SUM(COUNTIF(artists!E:E, SPLIT(D86, "",""))) &gt; 0, ""OTHER"", 0)"),"OTHER")</f>
        <v>OTHER</v>
      </c>
    </row>
    <row r="87" spans="1:11" ht="14.25" customHeight="1">
      <c r="A87" s="21">
        <v>86</v>
      </c>
      <c r="B87" s="21">
        <v>76</v>
      </c>
      <c r="C87" s="21" t="s">
        <v>1889</v>
      </c>
      <c r="D87" s="21" t="s">
        <v>1890</v>
      </c>
      <c r="E87" s="21">
        <v>5</v>
      </c>
      <c r="F87" s="21">
        <v>139045</v>
      </c>
      <c r="G87" s="42">
        <v>0.104</v>
      </c>
      <c r="H87" s="21" t="s">
        <v>1891</v>
      </c>
      <c r="I87" s="39" t="str">
        <f ca="1">IFERROR(__xludf.DUMMYFUNCTION("IF(SUM(COUNTIF(artists!A:A, SPLIT(D87, "",""))) &gt; 0, ""UA"", 0)"),"UA")</f>
        <v>UA</v>
      </c>
      <c r="J87" s="40">
        <f ca="1">IFERROR(__xludf.DUMMYFUNCTION("IF(SUM(COUNTIF(artists!C:C, SPLIT(D87, "",""))) &gt; 0, ""RU"", 0)"),0)</f>
        <v>0</v>
      </c>
      <c r="K87" s="39">
        <f ca="1">IFERROR(__xludf.DUMMYFUNCTION("IF(SUM(COUNTIF(artists!E:E, SPLIT(D87, "",""))) &gt; 0, ""OTHER"", 0)"),0)</f>
        <v>0</v>
      </c>
    </row>
    <row r="88" spans="1:11" ht="14.25" customHeight="1">
      <c r="A88" s="21">
        <v>87</v>
      </c>
      <c r="C88" s="21" t="s">
        <v>253</v>
      </c>
      <c r="D88" s="21" t="s">
        <v>89</v>
      </c>
      <c r="E88" s="21">
        <v>3</v>
      </c>
      <c r="F88" s="21">
        <v>138637</v>
      </c>
      <c r="H88" s="21" t="s">
        <v>254</v>
      </c>
      <c r="I88" s="39" t="str">
        <f ca="1">IFERROR(__xludf.DUMMYFUNCTION("IF(SUM(COUNTIF(artists!A:A, SPLIT(D88, "",""))) &gt; 0, ""UA"", 0)"),"UA")</f>
        <v>UA</v>
      </c>
      <c r="J88" s="40">
        <f ca="1">IFERROR(__xludf.DUMMYFUNCTION("IF(SUM(COUNTIF(artists!C:C, SPLIT(D88, "",""))) &gt; 0, ""RU"", 0)"),0)</f>
        <v>0</v>
      </c>
      <c r="K88" s="39">
        <f ca="1">IFERROR(__xludf.DUMMYFUNCTION("IF(SUM(COUNTIF(artists!E:E, SPLIT(D88, "",""))) &gt; 0, ""OTHER"", 0)"),0)</f>
        <v>0</v>
      </c>
    </row>
    <row r="89" spans="1:11" ht="14.25" customHeight="1">
      <c r="A89" s="21">
        <v>88</v>
      </c>
      <c r="B89" s="21">
        <v>83</v>
      </c>
      <c r="C89" s="21" t="s">
        <v>1774</v>
      </c>
      <c r="D89" s="21" t="s">
        <v>1775</v>
      </c>
      <c r="E89" s="21">
        <v>21</v>
      </c>
      <c r="F89" s="21">
        <v>138368</v>
      </c>
      <c r="G89" s="42">
        <v>0.191</v>
      </c>
      <c r="H89" s="21" t="s">
        <v>1776</v>
      </c>
      <c r="I89" s="39">
        <f ca="1">IFERROR(__xludf.DUMMYFUNCTION("IF(SUM(COUNTIF(artists!A:A, SPLIT(D89, "",""))) &gt; 0, ""UA"", 0)"),0)</f>
        <v>0</v>
      </c>
      <c r="J89" s="40" t="str">
        <f ca="1">IFERROR(__xludf.DUMMYFUNCTION("IF(SUM(COUNTIF(artists!C:C, SPLIT(D89, "",""))) &gt; 0, ""RU"", 0)"),"RU")</f>
        <v>RU</v>
      </c>
      <c r="K89" s="39">
        <f ca="1">IFERROR(__xludf.DUMMYFUNCTION("IF(SUM(COUNTIF(artists!E:E, SPLIT(D89, "",""))) &gt; 0, ""OTHER"", 0)"),0)</f>
        <v>0</v>
      </c>
    </row>
    <row r="90" spans="1:11" ht="14.25" customHeight="1">
      <c r="A90" s="21">
        <v>89</v>
      </c>
      <c r="C90" s="21" t="s">
        <v>229</v>
      </c>
      <c r="D90" s="21" t="s">
        <v>230</v>
      </c>
      <c r="E90" s="21">
        <v>1</v>
      </c>
      <c r="F90" s="21">
        <v>136294</v>
      </c>
      <c r="H90" s="21" t="s">
        <v>232</v>
      </c>
      <c r="I90" s="39" t="str">
        <f ca="1">IFERROR(__xludf.DUMMYFUNCTION("IF(SUM(COUNTIF(artists!A:A, SPLIT(D90, "",""))) &gt; 0, ""UA"", 0)"),"UA")</f>
        <v>UA</v>
      </c>
      <c r="J90" s="40">
        <f ca="1">IFERROR(__xludf.DUMMYFUNCTION("IF(SUM(COUNTIF(artists!C:C, SPLIT(D90, "",""))) &gt; 0, ""RU"", 0)"),0)</f>
        <v>0</v>
      </c>
      <c r="K90" s="39">
        <f ca="1">IFERROR(__xludf.DUMMYFUNCTION("IF(SUM(COUNTIF(artists!E:E, SPLIT(D90, "",""))) &gt; 0, ""OTHER"", 0)"),0)</f>
        <v>0</v>
      </c>
    </row>
    <row r="91" spans="1:11" ht="14.25" customHeight="1">
      <c r="A91" s="21">
        <v>90</v>
      </c>
      <c r="B91" s="21">
        <v>74</v>
      </c>
      <c r="C91" s="21" t="s">
        <v>1518</v>
      </c>
      <c r="D91" s="21" t="s">
        <v>108</v>
      </c>
      <c r="E91" s="21">
        <v>6</v>
      </c>
      <c r="F91" s="21">
        <v>134821</v>
      </c>
      <c r="G91" s="42">
        <v>6.0999999999999999E-2</v>
      </c>
      <c r="H91" s="21" t="s">
        <v>1519</v>
      </c>
      <c r="I91" s="39" t="str">
        <f ca="1">IFERROR(__xludf.DUMMYFUNCTION("IF(SUM(COUNTIF(artists!A:A, SPLIT(D91, "",""))) &gt; 0, ""UA"", 0)"),"UA")</f>
        <v>UA</v>
      </c>
      <c r="J91" s="40">
        <f ca="1">IFERROR(__xludf.DUMMYFUNCTION("IF(SUM(COUNTIF(artists!C:C, SPLIT(D91, "",""))) &gt; 0, ""RU"", 0)"),0)</f>
        <v>0</v>
      </c>
      <c r="K91" s="39">
        <f ca="1">IFERROR(__xludf.DUMMYFUNCTION("IF(SUM(COUNTIF(artists!E:E, SPLIT(D91, "",""))) &gt; 0, ""OTHER"", 0)"),0)</f>
        <v>0</v>
      </c>
    </row>
    <row r="92" spans="1:11" ht="14.25" customHeight="1">
      <c r="A92" s="21">
        <v>91</v>
      </c>
      <c r="B92" s="21">
        <v>69</v>
      </c>
      <c r="C92" s="21" t="s">
        <v>1939</v>
      </c>
      <c r="D92" s="21" t="s">
        <v>1940</v>
      </c>
      <c r="E92" s="21">
        <v>13</v>
      </c>
      <c r="F92" s="21">
        <v>134233</v>
      </c>
      <c r="G92" s="42">
        <v>8.9999999999999993E-3</v>
      </c>
      <c r="H92" s="21" t="s">
        <v>1941</v>
      </c>
      <c r="I92" s="39">
        <f ca="1">IFERROR(__xludf.DUMMYFUNCTION("IF(SUM(COUNTIF(artists!A:A, SPLIT(D92, "",""))) &gt; 0, ""UA"", 0)"),0)</f>
        <v>0</v>
      </c>
      <c r="J92" s="40" t="str">
        <f ca="1">IFERROR(__xludf.DUMMYFUNCTION("IF(SUM(COUNTIF(artists!C:C, SPLIT(D92, "",""))) &gt; 0, ""RU"", 0)"),"RU")</f>
        <v>RU</v>
      </c>
      <c r="K92" s="39">
        <f ca="1">IFERROR(__xludf.DUMMYFUNCTION("IF(SUM(COUNTIF(artists!E:E, SPLIT(D92, "",""))) &gt; 0, ""OTHER"", 0)"),0)</f>
        <v>0</v>
      </c>
    </row>
    <row r="93" spans="1:11" ht="14.25" customHeight="1">
      <c r="A93" s="21">
        <v>92</v>
      </c>
      <c r="B93" s="21">
        <v>93</v>
      </c>
      <c r="C93" s="21" t="s">
        <v>489</v>
      </c>
      <c r="D93" s="21" t="s">
        <v>490</v>
      </c>
      <c r="E93" s="21">
        <v>2</v>
      </c>
      <c r="F93" s="21">
        <v>132451</v>
      </c>
      <c r="G93" s="42">
        <v>0.224</v>
      </c>
      <c r="H93" s="21" t="s">
        <v>491</v>
      </c>
      <c r="I93" s="39" t="str">
        <f ca="1">IFERROR(__xludf.DUMMYFUNCTION("IF(SUM(COUNTIF(artists!A:A, SPLIT(D93, "",""))) &gt; 0, ""UA"", 0)"),"UA")</f>
        <v>UA</v>
      </c>
      <c r="J93" s="40">
        <f ca="1">IFERROR(__xludf.DUMMYFUNCTION("IF(SUM(COUNTIF(artists!C:C, SPLIT(D93, "",""))) &gt; 0, ""RU"", 0)"),0)</f>
        <v>0</v>
      </c>
      <c r="K93" s="39">
        <f ca="1">IFERROR(__xludf.DUMMYFUNCTION("IF(SUM(COUNTIF(artists!E:E, SPLIT(D93, "",""))) &gt; 0, ""OTHER"", 0)"),0)</f>
        <v>0</v>
      </c>
    </row>
    <row r="94" spans="1:11" ht="14.25" customHeight="1">
      <c r="A94" s="21">
        <v>93</v>
      </c>
      <c r="B94" s="21">
        <v>87</v>
      </c>
      <c r="C94" s="21" t="s">
        <v>1942</v>
      </c>
      <c r="D94" s="21" t="s">
        <v>1637</v>
      </c>
      <c r="E94" s="21">
        <v>34</v>
      </c>
      <c r="F94" s="21">
        <v>132106</v>
      </c>
      <c r="G94" s="42">
        <v>0.153</v>
      </c>
      <c r="H94" s="21" t="s">
        <v>1943</v>
      </c>
      <c r="I94" s="39">
        <f ca="1">IFERROR(__xludf.DUMMYFUNCTION("IF(SUM(COUNTIF(artists!A:A, SPLIT(D94, "",""))) &gt; 0, ""UA"", 0)"),0)</f>
        <v>0</v>
      </c>
      <c r="J94" s="40" t="str">
        <f ca="1">IFERROR(__xludf.DUMMYFUNCTION("IF(SUM(COUNTIF(artists!C:C, SPLIT(D94, "",""))) &gt; 0, ""RU"", 0)"),"RU")</f>
        <v>RU</v>
      </c>
      <c r="K94" s="39">
        <f ca="1">IFERROR(__xludf.DUMMYFUNCTION("IF(SUM(COUNTIF(artists!E:E, SPLIT(D94, "",""))) &gt; 0, ""OTHER"", 0)"),0)</f>
        <v>0</v>
      </c>
    </row>
    <row r="95" spans="1:11" ht="14.25" customHeight="1">
      <c r="A95" s="21">
        <v>94</v>
      </c>
      <c r="B95" s="21">
        <v>65</v>
      </c>
      <c r="C95" s="21" t="s">
        <v>1944</v>
      </c>
      <c r="D95" s="21" t="s">
        <v>1945</v>
      </c>
      <c r="E95" s="21">
        <v>18</v>
      </c>
      <c r="F95" s="21">
        <v>129964</v>
      </c>
      <c r="G95" s="42">
        <v>-8.2000000000000003E-2</v>
      </c>
      <c r="H95" s="21" t="s">
        <v>1946</v>
      </c>
      <c r="I95" s="39">
        <f ca="1">IFERROR(__xludf.DUMMYFUNCTION("IF(SUM(COUNTIF(artists!A:A, SPLIT(D95, "",""))) &gt; 0, ""UA"", 0)"),0)</f>
        <v>0</v>
      </c>
      <c r="J95" s="40" t="str">
        <f ca="1">IFERROR(__xludf.DUMMYFUNCTION("IF(SUM(COUNTIF(artists!C:C, SPLIT(D95, "",""))) &gt; 0, ""RU"", 0)"),"RU")</f>
        <v>RU</v>
      </c>
      <c r="K95" s="39">
        <f ca="1">IFERROR(__xludf.DUMMYFUNCTION("IF(SUM(COUNTIF(artists!E:E, SPLIT(D95, "",""))) &gt; 0, ""OTHER"", 0)"),0)</f>
        <v>0</v>
      </c>
    </row>
    <row r="96" spans="1:11" ht="14.25" customHeight="1">
      <c r="A96" s="21">
        <v>95</v>
      </c>
      <c r="C96" s="21" t="s">
        <v>1381</v>
      </c>
      <c r="D96" s="21" t="s">
        <v>969</v>
      </c>
      <c r="E96" s="21">
        <v>5</v>
      </c>
      <c r="F96" s="21">
        <v>129127</v>
      </c>
      <c r="H96" s="21" t="s">
        <v>1382</v>
      </c>
      <c r="I96" s="39" t="str">
        <f ca="1">IFERROR(__xludf.DUMMYFUNCTION("IF(SUM(COUNTIF(artists!A:A, SPLIT(D96, "",""))) &gt; 0, ""UA"", 0)"),"UA")</f>
        <v>UA</v>
      </c>
      <c r="J96" s="40">
        <f ca="1">IFERROR(__xludf.DUMMYFUNCTION("IF(SUM(COUNTIF(artists!C:C, SPLIT(D96, "",""))) &gt; 0, ""RU"", 0)"),0)</f>
        <v>0</v>
      </c>
      <c r="K96" s="39">
        <f ca="1">IFERROR(__xludf.DUMMYFUNCTION("IF(SUM(COUNTIF(artists!E:E, SPLIT(D96, "",""))) &gt; 0, ""OTHER"", 0)"),0)</f>
        <v>0</v>
      </c>
    </row>
    <row r="97" spans="1:11" ht="14.25" customHeight="1">
      <c r="A97" s="21">
        <v>96</v>
      </c>
      <c r="C97" s="21" t="s">
        <v>1947</v>
      </c>
      <c r="D97" s="21" t="s">
        <v>1948</v>
      </c>
      <c r="E97" s="21">
        <v>1</v>
      </c>
      <c r="F97" s="21">
        <v>126148</v>
      </c>
      <c r="H97" s="21" t="s">
        <v>1949</v>
      </c>
      <c r="I97" s="39">
        <f ca="1">IFERROR(__xludf.DUMMYFUNCTION("IF(SUM(COUNTIF(artists!A:A, SPLIT(D97, "",""))) &gt; 0, ""UA"", 0)"),0)</f>
        <v>0</v>
      </c>
      <c r="J97" s="40" t="str">
        <f ca="1">IFERROR(__xludf.DUMMYFUNCTION("IF(SUM(COUNTIF(artists!C:C, SPLIT(D97, "",""))) &gt; 0, ""RU"", 0)"),"RU")</f>
        <v>RU</v>
      </c>
      <c r="K97" s="39">
        <f ca="1">IFERROR(__xludf.DUMMYFUNCTION("IF(SUM(COUNTIF(artists!E:E, SPLIT(D97, "",""))) &gt; 0, ""OTHER"", 0)"),0)</f>
        <v>0</v>
      </c>
    </row>
    <row r="98" spans="1:11" ht="14.25" customHeight="1">
      <c r="A98" s="21">
        <v>97</v>
      </c>
      <c r="B98" s="21">
        <v>84</v>
      </c>
      <c r="C98" s="21" t="s">
        <v>1887</v>
      </c>
      <c r="D98" s="21" t="s">
        <v>1099</v>
      </c>
      <c r="E98" s="21">
        <v>11</v>
      </c>
      <c r="F98" s="21">
        <v>124606</v>
      </c>
      <c r="G98" s="42">
        <v>7.9000000000000001E-2</v>
      </c>
      <c r="H98" s="21" t="s">
        <v>1888</v>
      </c>
      <c r="I98" s="39">
        <f ca="1">IFERROR(__xludf.DUMMYFUNCTION("IF(SUM(COUNTIF(artists!A:A, SPLIT(D98, "",""))) &gt; 0, ""UA"", 0)"),0)</f>
        <v>0</v>
      </c>
      <c r="J98" s="40" t="str">
        <f ca="1">IFERROR(__xludf.DUMMYFUNCTION("IF(SUM(COUNTIF(artists!C:C, SPLIT(D98, "",""))) &gt; 0, ""RU"", 0)"),"RU")</f>
        <v>RU</v>
      </c>
      <c r="K98" s="39">
        <f ca="1">IFERROR(__xludf.DUMMYFUNCTION("IF(SUM(COUNTIF(artists!E:E, SPLIT(D98, "",""))) &gt; 0, ""OTHER"", 0)"),0)</f>
        <v>0</v>
      </c>
    </row>
    <row r="99" spans="1:11" ht="14.25" customHeight="1">
      <c r="A99" s="21">
        <v>98</v>
      </c>
      <c r="C99" s="21" t="s">
        <v>1950</v>
      </c>
      <c r="D99" s="21" t="s">
        <v>1951</v>
      </c>
      <c r="E99" s="21">
        <v>27</v>
      </c>
      <c r="F99" s="21">
        <v>124257</v>
      </c>
      <c r="H99" s="21" t="s">
        <v>1952</v>
      </c>
      <c r="I99" s="39">
        <f ca="1">IFERROR(__xludf.DUMMYFUNCTION("IF(SUM(COUNTIF(artists!A:A, SPLIT(D99, "",""))) &gt; 0, ""UA"", 0)"),0)</f>
        <v>0</v>
      </c>
      <c r="J99" s="40" t="str">
        <f ca="1">IFERROR(__xludf.DUMMYFUNCTION("IF(SUM(COUNTIF(artists!C:C, SPLIT(D99, "",""))) &gt; 0, ""RU"", 0)"),"RU")</f>
        <v>RU</v>
      </c>
      <c r="K99" s="39">
        <f ca="1">IFERROR(__xludf.DUMMYFUNCTION("IF(SUM(COUNTIF(artists!E:E, SPLIT(D99, "",""))) &gt; 0, ""OTHER"", 0)"),0)</f>
        <v>0</v>
      </c>
    </row>
    <row r="100" spans="1:11" ht="14.25" customHeight="1">
      <c r="A100" s="21">
        <v>99</v>
      </c>
      <c r="C100" s="21" t="s">
        <v>1586</v>
      </c>
      <c r="D100" s="21" t="s">
        <v>969</v>
      </c>
      <c r="E100" s="21">
        <v>7</v>
      </c>
      <c r="F100" s="21">
        <v>122231</v>
      </c>
      <c r="H100" s="21" t="s">
        <v>1587</v>
      </c>
      <c r="I100" s="39" t="str">
        <f ca="1">IFERROR(__xludf.DUMMYFUNCTION("IF(SUM(COUNTIF(artists!A:A, SPLIT(D100, "",""))) &gt; 0, ""UA"", 0)"),"UA")</f>
        <v>UA</v>
      </c>
      <c r="J100" s="40">
        <f ca="1">IFERROR(__xludf.DUMMYFUNCTION("IF(SUM(COUNTIF(artists!C:C, SPLIT(D100, "",""))) &gt; 0, ""RU"", 0)"),0)</f>
        <v>0</v>
      </c>
      <c r="K100" s="39">
        <f ca="1">IFERROR(__xludf.DUMMYFUNCTION("IF(SUM(COUNTIF(artists!E:E, SPLIT(D100, "",""))) &gt; 0, ""OTHER"", 0)"),0)</f>
        <v>0</v>
      </c>
    </row>
    <row r="101" spans="1:11" ht="14.25" customHeight="1">
      <c r="A101" s="21">
        <v>100</v>
      </c>
      <c r="B101" s="21">
        <v>81</v>
      </c>
      <c r="C101" s="21" t="s">
        <v>408</v>
      </c>
      <c r="D101" s="21" t="s">
        <v>409</v>
      </c>
      <c r="E101" s="21">
        <v>4</v>
      </c>
      <c r="F101" s="21">
        <v>121752</v>
      </c>
      <c r="G101" s="42">
        <v>8.0000000000000002E-3</v>
      </c>
      <c r="H101" s="21" t="s">
        <v>410</v>
      </c>
      <c r="I101" s="39" t="str">
        <f ca="1">IFERROR(__xludf.DUMMYFUNCTION("IF(SUM(COUNTIF(artists!A:A, SPLIT(D101, "",""))) &gt; 0, ""UA"", 0)"),"UA")</f>
        <v>UA</v>
      </c>
      <c r="J101" s="40">
        <f ca="1">IFERROR(__xludf.DUMMYFUNCTION("IF(SUM(COUNTIF(artists!C:C, SPLIT(D101, "",""))) &gt; 0, ""RU"", 0)"),0)</f>
        <v>0</v>
      </c>
      <c r="K101" s="39">
        <f ca="1">IFERROR(__xludf.DUMMYFUNCTION("IF(SUM(COUNTIF(artists!E:E, SPLIT(D101, "",""))) &gt; 0, ""OTHER"", 0)"),0)</f>
        <v>0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23" priority="1">
      <formula>AND($I2=0, $J2=0, $K2=0)</formula>
    </cfRule>
    <cfRule type="expression" dxfId="22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300-000000000000}">
  <sheetPr codeName="Аркуш52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4" width="8.6640625" customWidth="1"/>
    <col min="5" max="5" width="8.6640625" hidden="1" customWidth="1"/>
    <col min="6" max="6" width="8.6640625" customWidth="1"/>
    <col min="7" max="7" width="13.10937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C2" s="21">
        <v>12</v>
      </c>
      <c r="D2" s="21" t="s">
        <v>1050</v>
      </c>
      <c r="E2" s="21">
        <v>1</v>
      </c>
      <c r="F2" s="21">
        <v>2016882</v>
      </c>
      <c r="H2" s="21" t="s">
        <v>1756</v>
      </c>
      <c r="I2" s="39">
        <f ca="1">IFERROR(__xludf.DUMMYFUNCTION("IF(SUM(COUNTIF(artists!A:A, SPLIT(D2, "",""))) &gt; 0, ""UA"", 0)"),0)</f>
        <v>0</v>
      </c>
      <c r="J2" s="40" t="str">
        <f ca="1">IFERROR(__xludf.DUMMYFUNCTION("IF(SUM(COUNTIF(artists!C:C, SPLIT(D2, "",""))) &gt; 0, ""RU"", 0)"),"RU")</f>
        <v>RU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B3" s="21">
        <v>4</v>
      </c>
      <c r="C3" s="21" t="s">
        <v>895</v>
      </c>
      <c r="D3" s="21" t="s">
        <v>896</v>
      </c>
      <c r="E3" s="21">
        <v>5</v>
      </c>
      <c r="F3" s="21">
        <v>961716</v>
      </c>
      <c r="G3" s="42">
        <v>0.436</v>
      </c>
      <c r="H3" s="21" t="s">
        <v>897</v>
      </c>
      <c r="I3" s="39" t="str">
        <f ca="1">IFERROR(__xludf.DUMMYFUNCTION("IF(SUM(COUNTIF(artists!A:A, SPLIT(D3, "",""))) &gt; 0, ""UA"", 0)"),"UA")</f>
        <v>UA</v>
      </c>
      <c r="J3" s="40">
        <f ca="1">IFERROR(__xludf.DUMMYFUNCTION("IF(SUM(COUNTIF(artists!C:C, SPLIT(D3, "",""))) &gt; 0, ""RU"", 0)"),0)</f>
        <v>0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B4" s="21">
        <v>1</v>
      </c>
      <c r="C4" s="21" t="s">
        <v>645</v>
      </c>
      <c r="D4" s="21" t="s">
        <v>352</v>
      </c>
      <c r="E4" s="21">
        <v>6</v>
      </c>
      <c r="F4" s="21">
        <v>933318</v>
      </c>
      <c r="G4" s="42">
        <v>-6.0000000000000001E-3</v>
      </c>
      <c r="H4" s="21" t="s">
        <v>647</v>
      </c>
      <c r="I4" s="39" t="str">
        <f ca="1">IFERROR(__xludf.DUMMYFUNCTION("IF(SUM(COUNTIF(artists!A:A, SPLIT(D4, "",""))) &gt; 0, ""UA"", 0)"),"UA")</f>
        <v>UA</v>
      </c>
      <c r="J4" s="40">
        <f ca="1">IFERROR(__xludf.DUMMYFUNCTION("IF(SUM(COUNTIF(artists!C:C, SPLIT(D4, "",""))) &gt; 0, ""RU"", 0)"),0)</f>
        <v>0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B5" s="21">
        <v>3</v>
      </c>
      <c r="C5" s="21" t="s">
        <v>1263</v>
      </c>
      <c r="D5" s="21" t="s">
        <v>1264</v>
      </c>
      <c r="E5" s="21">
        <v>19</v>
      </c>
      <c r="F5" s="21">
        <v>760277</v>
      </c>
      <c r="G5" s="42">
        <v>7.9000000000000001E-2</v>
      </c>
      <c r="H5" s="21" t="s">
        <v>1265</v>
      </c>
      <c r="I5" s="39">
        <f ca="1">IFERROR(__xludf.DUMMYFUNCTION("IF(SUM(COUNTIF(artists!A:A, SPLIT(D5, "",""))) &gt; 0, ""UA"", 0)"),0)</f>
        <v>0</v>
      </c>
      <c r="J5" s="40" t="str">
        <f ca="1">IFERROR(__xludf.DUMMYFUNCTION("IF(SUM(COUNTIF(artists!C:C, SPLIT(D5, "",""))) &gt; 0, ""RU"", 0)"),"RU")</f>
        <v>RU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B6" s="21">
        <v>5</v>
      </c>
      <c r="C6" s="21" t="s">
        <v>1471</v>
      </c>
      <c r="D6" s="21" t="s">
        <v>1472</v>
      </c>
      <c r="E6" s="21">
        <v>2</v>
      </c>
      <c r="F6" s="21">
        <v>700869</v>
      </c>
      <c r="G6" s="42">
        <v>0.23100000000000001</v>
      </c>
      <c r="H6" s="21" t="s">
        <v>1473</v>
      </c>
      <c r="I6" s="39" t="str">
        <f ca="1">IFERROR(__xludf.DUMMYFUNCTION("IF(SUM(COUNTIF(artists!A:A, SPLIT(D6, "",""))) &gt; 0, ""UA"", 0)"),"UA")</f>
        <v>UA</v>
      </c>
      <c r="J6" s="40">
        <f ca="1">IFERROR(__xludf.DUMMYFUNCTION("IF(SUM(COUNTIF(artists!C:C, SPLIT(D6, "",""))) &gt; 0, ""RU"", 0)"),0)</f>
        <v>0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B7" s="21">
        <v>9</v>
      </c>
      <c r="C7" s="21" t="s">
        <v>1496</v>
      </c>
      <c r="D7" s="21" t="s">
        <v>969</v>
      </c>
      <c r="E7" s="21">
        <v>43</v>
      </c>
      <c r="F7" s="21">
        <v>568558</v>
      </c>
      <c r="G7" s="42">
        <v>0.317</v>
      </c>
      <c r="H7" s="21" t="s">
        <v>1497</v>
      </c>
      <c r="I7" s="39" t="str">
        <f ca="1">IFERROR(__xludf.DUMMYFUNCTION("IF(SUM(COUNTIF(artists!A:A, SPLIT(D7, "",""))) &gt; 0, ""UA"", 0)"),"UA")</f>
        <v>UA</v>
      </c>
      <c r="J7" s="40">
        <f ca="1">IFERROR(__xludf.DUMMYFUNCTION("IF(SUM(COUNTIF(artists!C:C, SPLIT(D7, "",""))) &gt; 0, ""RU"", 0)"),0)</f>
        <v>0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B8" s="21">
        <v>6</v>
      </c>
      <c r="C8" s="21" t="s">
        <v>909</v>
      </c>
      <c r="D8" s="21" t="s">
        <v>910</v>
      </c>
      <c r="E8" s="21">
        <v>3</v>
      </c>
      <c r="F8" s="21">
        <v>568540</v>
      </c>
      <c r="G8" s="42">
        <v>5.0000000000000001E-3</v>
      </c>
      <c r="H8" s="21" t="s">
        <v>911</v>
      </c>
      <c r="I8" s="39" t="str">
        <f ca="1">IFERROR(__xludf.DUMMYFUNCTION("IF(SUM(COUNTIF(artists!A:A, SPLIT(D8, "",""))) &gt; 0, ""UA"", 0)"),"UA")</f>
        <v>UA</v>
      </c>
      <c r="J8" s="40">
        <f ca="1">IFERROR(__xludf.DUMMYFUNCTION("IF(SUM(COUNTIF(artists!C:C, SPLIT(D8, "",""))) &gt; 0, ""RU"", 0)"),0)</f>
        <v>0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C9" s="21" t="s">
        <v>1931</v>
      </c>
      <c r="D9" s="21" t="s">
        <v>1932</v>
      </c>
      <c r="E9" s="21">
        <v>1</v>
      </c>
      <c r="F9" s="21">
        <v>524727</v>
      </c>
      <c r="H9" s="21" t="s">
        <v>1933</v>
      </c>
      <c r="I9" s="39" t="str">
        <f ca="1">IFERROR(__xludf.DUMMYFUNCTION("IF(SUM(COUNTIF(artists!A:A, SPLIT(D9, "",""))) &gt; 0, ""UA"", 0)"),"UA")</f>
        <v>UA</v>
      </c>
      <c r="J9" s="40">
        <f ca="1">IFERROR(__xludf.DUMMYFUNCTION("IF(SUM(COUNTIF(artists!C:C, SPLIT(D9, "",""))) &gt; 0, ""RU"", 0)"),0)</f>
        <v>0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B10" s="21">
        <v>8</v>
      </c>
      <c r="C10" s="21" t="s">
        <v>1487</v>
      </c>
      <c r="D10" s="21" t="s">
        <v>409</v>
      </c>
      <c r="E10" s="21">
        <v>3</v>
      </c>
      <c r="F10" s="21">
        <v>487833</v>
      </c>
      <c r="G10" s="42">
        <v>0.125</v>
      </c>
      <c r="H10" s="21" t="s">
        <v>1488</v>
      </c>
      <c r="I10" s="39" t="str">
        <f ca="1">IFERROR(__xludf.DUMMYFUNCTION("IF(SUM(COUNTIF(artists!A:A, SPLIT(D10, "",""))) &gt; 0, ""UA"", 0)"),"UA")</f>
        <v>UA</v>
      </c>
      <c r="J10" s="40">
        <f ca="1">IFERROR(__xludf.DUMMYFUNCTION("IF(SUM(COUNTIF(artists!C:C, SPLIT(D10, "",""))) &gt; 0, ""RU"", 0)"),0)</f>
        <v>0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B11" s="21">
        <v>7</v>
      </c>
      <c r="C11" s="21" t="s">
        <v>935</v>
      </c>
      <c r="D11" s="21" t="s">
        <v>936</v>
      </c>
      <c r="E11" s="21">
        <v>20</v>
      </c>
      <c r="F11" s="21">
        <v>442890</v>
      </c>
      <c r="G11" s="42">
        <v>-1.9E-2</v>
      </c>
      <c r="H11" s="21" t="s">
        <v>937</v>
      </c>
      <c r="I11" s="39">
        <f ca="1">IFERROR(__xludf.DUMMYFUNCTION("IF(SUM(COUNTIF(artists!A:A, SPLIT(D11, "",""))) &gt; 0, ""UA"", 0)"),0)</f>
        <v>0</v>
      </c>
      <c r="J11" s="40" t="str">
        <f ca="1">IFERROR(__xludf.DUMMYFUNCTION("IF(SUM(COUNTIF(artists!C:C, SPLIT(D11, "",""))) &gt; 0, ""RU"", 0)"),"RU")</f>
        <v>RU</v>
      </c>
      <c r="K11" s="39">
        <f ca="1">IFERROR(__xludf.DUMMYFUNCTION("IF(SUM(COUNTIF(artists!E:E, SPLIT(D11, "",""))) &gt; 0, ""OTHER"", 0)"),0)</f>
        <v>0</v>
      </c>
    </row>
    <row r="12" spans="1:11" ht="14.25" customHeight="1">
      <c r="A12" s="21">
        <v>11</v>
      </c>
      <c r="B12" s="21">
        <v>2</v>
      </c>
      <c r="C12" s="21" t="s">
        <v>1909</v>
      </c>
      <c r="D12" s="21" t="s">
        <v>1534</v>
      </c>
      <c r="E12" s="21">
        <v>2</v>
      </c>
      <c r="F12" s="21">
        <v>438448</v>
      </c>
      <c r="G12" s="42">
        <v>-0.41899999999999998</v>
      </c>
      <c r="H12" s="21" t="s">
        <v>1910</v>
      </c>
      <c r="I12" s="39">
        <f ca="1">IFERROR(__xludf.DUMMYFUNCTION("IF(SUM(COUNTIF(artists!A:A, SPLIT(D12, "",""))) &gt; 0, ""UA"", 0)"),0)</f>
        <v>0</v>
      </c>
      <c r="J12" s="40" t="str">
        <f ca="1">IFERROR(__xludf.DUMMYFUNCTION("IF(SUM(COUNTIF(artists!C:C, SPLIT(D12, "",""))) &gt; 0, ""RU"", 0)"),"RU")</f>
        <v>RU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B13" s="21">
        <v>68</v>
      </c>
      <c r="C13" s="21" t="s">
        <v>1923</v>
      </c>
      <c r="D13" s="21" t="s">
        <v>1534</v>
      </c>
      <c r="E13" s="21">
        <v>2</v>
      </c>
      <c r="F13" s="21">
        <v>430492</v>
      </c>
      <c r="G13" s="43">
        <v>2.64</v>
      </c>
      <c r="H13" s="21" t="s">
        <v>1924</v>
      </c>
      <c r="I13" s="39">
        <f ca="1">IFERROR(__xludf.DUMMYFUNCTION("IF(SUM(COUNTIF(artists!A:A, SPLIT(D13, "",""))) &gt; 0, ""UA"", 0)"),0)</f>
        <v>0</v>
      </c>
      <c r="J13" s="40" t="str">
        <f ca="1">IFERROR(__xludf.DUMMYFUNCTION("IF(SUM(COUNTIF(artists!C:C, SPLIT(D13, "",""))) &gt; 0, ""RU"", 0)"),"RU")</f>
        <v>RU</v>
      </c>
      <c r="K13" s="39">
        <f ca="1">IFERROR(__xludf.DUMMYFUNCTION("IF(SUM(COUNTIF(artists!E:E, SPLIT(D13, "",""))) &gt; 0, ""OTHER"", 0)"),0)</f>
        <v>0</v>
      </c>
    </row>
    <row r="14" spans="1:11" ht="14.25" customHeight="1">
      <c r="A14" s="21">
        <v>13</v>
      </c>
      <c r="B14" s="21">
        <v>10</v>
      </c>
      <c r="C14" s="21" t="s">
        <v>1500</v>
      </c>
      <c r="D14" s="21" t="s">
        <v>907</v>
      </c>
      <c r="E14" s="21">
        <v>23</v>
      </c>
      <c r="F14" s="21">
        <v>382406</v>
      </c>
      <c r="G14" s="42">
        <v>6.2E-2</v>
      </c>
      <c r="H14" s="21" t="s">
        <v>1501</v>
      </c>
      <c r="I14" s="39">
        <f ca="1">IFERROR(__xludf.DUMMYFUNCTION("IF(SUM(COUNTIF(artists!A:A, SPLIT(D14, "",""))) &gt; 0, ""UA"", 0)"),0)</f>
        <v>0</v>
      </c>
      <c r="J14" s="40" t="str">
        <f ca="1">IFERROR(__xludf.DUMMYFUNCTION("IF(SUM(COUNTIF(artists!C:C, SPLIT(D14, "",""))) &gt; 0, ""RU"", 0)"),"RU")</f>
        <v>RU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B15" s="21">
        <v>11</v>
      </c>
      <c r="C15" s="21" t="s">
        <v>1325</v>
      </c>
      <c r="D15" s="21" t="s">
        <v>1237</v>
      </c>
      <c r="E15" s="21">
        <v>43</v>
      </c>
      <c r="F15" s="21">
        <v>348882</v>
      </c>
      <c r="G15" s="42">
        <v>5.7000000000000002E-2</v>
      </c>
      <c r="H15" s="21" t="s">
        <v>1326</v>
      </c>
      <c r="I15" s="39">
        <f ca="1">IFERROR(__xludf.DUMMYFUNCTION("IF(SUM(COUNTIF(artists!A:A, SPLIT(D15, "",""))) &gt; 0, ""UA"", 0)"),0)</f>
        <v>0</v>
      </c>
      <c r="J15" s="40" t="str">
        <f ca="1">IFERROR(__xludf.DUMMYFUNCTION("IF(SUM(COUNTIF(artists!C:C, SPLIT(D15, "",""))) &gt; 0, ""RU"", 0)"),"RU")</f>
        <v>RU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C16" s="21" t="s">
        <v>1921</v>
      </c>
      <c r="D16" s="21" t="s">
        <v>1795</v>
      </c>
      <c r="E16" s="21">
        <v>1</v>
      </c>
      <c r="F16" s="21">
        <v>322279</v>
      </c>
      <c r="H16" s="21" t="s">
        <v>1922</v>
      </c>
      <c r="I16" s="39" t="str">
        <f ca="1">IFERROR(__xludf.DUMMYFUNCTION("IF(SUM(COUNTIF(artists!A:A, SPLIT(D16, "",""))) &gt; 0, ""UA"", 0)"),"UA")</f>
        <v>UA</v>
      </c>
      <c r="J16" s="40">
        <f ca="1">IFERROR(__xludf.DUMMYFUNCTION("IF(SUM(COUNTIF(artists!C:C, SPLIT(D16, "",""))) &gt; 0, ""RU"", 0)"),0)</f>
        <v>0</v>
      </c>
      <c r="K16" s="39">
        <f ca="1">IFERROR(__xludf.DUMMYFUNCTION("IF(SUM(COUNTIF(artists!E:E, SPLIT(D16, "",""))) &gt; 0, ""OTHER"", 0)"),0)</f>
        <v>0</v>
      </c>
    </row>
    <row r="17" spans="1:11" ht="14.25" customHeight="1">
      <c r="A17" s="21">
        <v>16</v>
      </c>
      <c r="B17" s="21">
        <v>14</v>
      </c>
      <c r="C17" s="21" t="s">
        <v>1659</v>
      </c>
      <c r="D17" s="21" t="s">
        <v>1660</v>
      </c>
      <c r="E17" s="21">
        <v>2</v>
      </c>
      <c r="F17" s="21">
        <v>283799</v>
      </c>
      <c r="G17" s="42">
        <v>-1.6E-2</v>
      </c>
      <c r="H17" s="21" t="s">
        <v>1661</v>
      </c>
      <c r="I17" s="39">
        <f ca="1">IFERROR(__xludf.DUMMYFUNCTION("IF(SUM(COUNTIF(artists!A:A, SPLIT(D17, "",""))) &gt; 0, ""UA"", 0)"),0)</f>
        <v>0</v>
      </c>
      <c r="J17" s="40" t="str">
        <f ca="1">IFERROR(__xludf.DUMMYFUNCTION("IF(SUM(COUNTIF(artists!C:C, SPLIT(D17, "",""))) &gt; 0, ""RU"", 0)"),"RU")</f>
        <v>RU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C18" s="21" t="s">
        <v>1927</v>
      </c>
      <c r="D18" s="21" t="s">
        <v>310</v>
      </c>
      <c r="E18" s="21">
        <v>1</v>
      </c>
      <c r="F18" s="21">
        <v>270474</v>
      </c>
      <c r="H18" s="21" t="s">
        <v>1928</v>
      </c>
      <c r="I18" s="39">
        <f ca="1">IFERROR(__xludf.DUMMYFUNCTION("IF(SUM(COUNTIF(artists!A:A, SPLIT(D18, "",""))) &gt; 0, ""UA"", 0)"),0)</f>
        <v>0</v>
      </c>
      <c r="J18" s="40">
        <f ca="1">IFERROR(__xludf.DUMMYFUNCTION("IF(SUM(COUNTIF(artists!C:C, SPLIT(D18, "",""))) &gt; 0, ""RU"", 0)"),0)</f>
        <v>0</v>
      </c>
      <c r="K18" s="39" t="str">
        <f ca="1">IFERROR(__xludf.DUMMYFUNCTION("IF(SUM(COUNTIF(artists!E:E, SPLIT(D18, "",""))) &gt; 0, ""OTHER"", 0)"),"OTHER")</f>
        <v>OTHER</v>
      </c>
    </row>
    <row r="19" spans="1:11" ht="14.25" customHeight="1">
      <c r="A19" s="21">
        <v>18</v>
      </c>
      <c r="C19" s="21" t="s">
        <v>1116</v>
      </c>
      <c r="D19" s="21" t="s">
        <v>1117</v>
      </c>
      <c r="E19" s="21">
        <v>15</v>
      </c>
      <c r="F19" s="21">
        <v>264125</v>
      </c>
      <c r="H19" s="21" t="s">
        <v>1118</v>
      </c>
      <c r="I19" s="39">
        <f ca="1">IFERROR(__xludf.DUMMYFUNCTION("IF(SUM(COUNTIF(artists!A:A, SPLIT(D19, "",""))) &gt; 0, ""UA"", 0)"),0)</f>
        <v>0</v>
      </c>
      <c r="J19" s="40" t="str">
        <f ca="1">IFERROR(__xludf.DUMMYFUNCTION("IF(SUM(COUNTIF(artists!C:C, SPLIT(D19, "",""))) &gt; 0, ""RU"", 0)"),"RU")</f>
        <v>RU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B20" s="21">
        <v>17</v>
      </c>
      <c r="C20" s="21" t="s">
        <v>1849</v>
      </c>
      <c r="D20" s="21" t="s">
        <v>598</v>
      </c>
      <c r="E20" s="21">
        <v>3</v>
      </c>
      <c r="F20" s="21">
        <v>261680</v>
      </c>
      <c r="G20" s="42">
        <v>0.127</v>
      </c>
      <c r="H20" s="21" t="s">
        <v>1850</v>
      </c>
      <c r="I20" s="39" t="str">
        <f ca="1">IFERROR(__xludf.DUMMYFUNCTION("IF(SUM(COUNTIF(artists!A:A, SPLIT(D20, "",""))) &gt; 0, ""UA"", 0)"),"UA")</f>
        <v>UA</v>
      </c>
      <c r="J20" s="40">
        <f ca="1">IFERROR(__xludf.DUMMYFUNCTION("IF(SUM(COUNTIF(artists!C:C, SPLIT(D20, "",""))) &gt; 0, ""RU"", 0)"),0)</f>
        <v>0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B21" s="21">
        <v>16</v>
      </c>
      <c r="C21" s="21" t="s">
        <v>1934</v>
      </c>
      <c r="D21" s="21" t="s">
        <v>1795</v>
      </c>
      <c r="E21" s="21">
        <v>3</v>
      </c>
      <c r="F21" s="21">
        <v>258752</v>
      </c>
      <c r="G21" s="42">
        <v>8.9999999999999993E-3</v>
      </c>
      <c r="H21" s="21" t="s">
        <v>1935</v>
      </c>
      <c r="I21" s="39" t="str">
        <f ca="1">IFERROR(__xludf.DUMMYFUNCTION("IF(SUM(COUNTIF(artists!A:A, SPLIT(D21, "",""))) &gt; 0, ""UA"", 0)"),"UA")</f>
        <v>UA</v>
      </c>
      <c r="J21" s="40">
        <f ca="1">IFERROR(__xludf.DUMMYFUNCTION("IF(SUM(COUNTIF(artists!C:C, SPLIT(D21, "",""))) &gt; 0, ""RU"", 0)"),0)</f>
        <v>0</v>
      </c>
      <c r="K21" s="39">
        <f ca="1">IFERROR(__xludf.DUMMYFUNCTION("IF(SUM(COUNTIF(artists!E:E, SPLIT(D21, "",""))) &gt; 0, ""OTHER"", 0)"),0)</f>
        <v>0</v>
      </c>
    </row>
    <row r="22" spans="1:11" ht="14.25" customHeight="1">
      <c r="A22" s="21">
        <v>21</v>
      </c>
      <c r="B22" s="21">
        <v>19</v>
      </c>
      <c r="C22" s="21" t="s">
        <v>1636</v>
      </c>
      <c r="D22" s="21" t="s">
        <v>1637</v>
      </c>
      <c r="E22" s="21">
        <v>8</v>
      </c>
      <c r="F22" s="21">
        <v>247052</v>
      </c>
      <c r="G22" s="42">
        <v>0.17299999999999999</v>
      </c>
      <c r="H22" s="21" t="s">
        <v>1638</v>
      </c>
      <c r="I22" s="39">
        <f ca="1">IFERROR(__xludf.DUMMYFUNCTION("IF(SUM(COUNTIF(artists!A:A, SPLIT(D22, "",""))) &gt; 0, ""UA"", 0)"),0)</f>
        <v>0</v>
      </c>
      <c r="J22" s="40" t="str">
        <f ca="1">IFERROR(__xludf.DUMMYFUNCTION("IF(SUM(COUNTIF(artists!C:C, SPLIT(D22, "",""))) &gt; 0, ""RU"", 0)"),"RU")</f>
        <v>RU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B23" s="21">
        <v>21</v>
      </c>
      <c r="C23" s="21" t="s">
        <v>1797</v>
      </c>
      <c r="D23" s="21" t="s">
        <v>945</v>
      </c>
      <c r="E23" s="21">
        <v>25</v>
      </c>
      <c r="F23" s="21">
        <v>246897</v>
      </c>
      <c r="G23" s="43">
        <v>0.2</v>
      </c>
      <c r="H23" s="21" t="s">
        <v>1798</v>
      </c>
      <c r="I23" s="39" t="str">
        <f ca="1">IFERROR(__xludf.DUMMYFUNCTION("IF(SUM(COUNTIF(artists!A:A, SPLIT(D23, "",""))) &gt; 0, ""UA"", 0)"),"UA")</f>
        <v>UA</v>
      </c>
      <c r="J23" s="40">
        <f ca="1">IFERROR(__xludf.DUMMYFUNCTION("IF(SUM(COUNTIF(artists!C:C, SPLIT(D23, "",""))) &gt; 0, ""RU"", 0)"),0)</f>
        <v>0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B24" s="21">
        <v>13</v>
      </c>
      <c r="C24" s="21" t="s">
        <v>1777</v>
      </c>
      <c r="D24" s="21" t="s">
        <v>1778</v>
      </c>
      <c r="E24" s="21">
        <v>3</v>
      </c>
      <c r="F24" s="21">
        <v>243808</v>
      </c>
      <c r="G24" s="42">
        <v>-0.185</v>
      </c>
      <c r="H24" s="21" t="s">
        <v>1779</v>
      </c>
      <c r="I24" s="39" t="str">
        <f ca="1">IFERROR(__xludf.DUMMYFUNCTION("IF(SUM(COUNTIF(artists!A:A, SPLIT(D24, "",""))) &gt; 0, ""UA"", 0)"),"UA")</f>
        <v>UA</v>
      </c>
      <c r="J24" s="40">
        <f ca="1">IFERROR(__xludf.DUMMYFUNCTION("IF(SUM(COUNTIF(artists!C:C, SPLIT(D24, "",""))) &gt; 0, ""RU"", 0)"),0)</f>
        <v>0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B25" s="21">
        <v>42</v>
      </c>
      <c r="C25" s="21" t="s">
        <v>1369</v>
      </c>
      <c r="D25" s="21" t="s">
        <v>1370</v>
      </c>
      <c r="E25" s="21">
        <v>3</v>
      </c>
      <c r="F25" s="21">
        <v>242945</v>
      </c>
      <c r="G25" s="42">
        <v>0.59199999999999997</v>
      </c>
      <c r="H25" s="21" t="s">
        <v>1371</v>
      </c>
      <c r="I25" s="39" t="str">
        <f ca="1">IFERROR(__xludf.DUMMYFUNCTION("IF(SUM(COUNTIF(artists!A:A, SPLIT(D25, "",""))) &gt; 0, ""UA"", 0)"),"UA")</f>
        <v>UA</v>
      </c>
      <c r="J25" s="40">
        <f ca="1">IFERROR(__xludf.DUMMYFUNCTION("IF(SUM(COUNTIF(artists!C:C, SPLIT(D25, "",""))) &gt; 0, ""RU"", 0)"),0)</f>
        <v>0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B26" s="21">
        <v>18</v>
      </c>
      <c r="C26" s="21" t="s">
        <v>1631</v>
      </c>
      <c r="D26" s="21" t="s">
        <v>409</v>
      </c>
      <c r="E26" s="21">
        <v>3</v>
      </c>
      <c r="F26" s="21">
        <v>241860</v>
      </c>
      <c r="G26" s="42">
        <v>4.5999999999999999E-2</v>
      </c>
      <c r="H26" s="21" t="s">
        <v>1632</v>
      </c>
      <c r="I26" s="39" t="str">
        <f ca="1">IFERROR(__xludf.DUMMYFUNCTION("IF(SUM(COUNTIF(artists!A:A, SPLIT(D26, "",""))) &gt; 0, ""UA"", 0)"),"UA")</f>
        <v>UA</v>
      </c>
      <c r="J26" s="40">
        <f ca="1">IFERROR(__xludf.DUMMYFUNCTION("IF(SUM(COUNTIF(artists!C:C, SPLIT(D26, "",""))) &gt; 0, ""RU"", 0)"),0)</f>
        <v>0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B27" s="21">
        <v>15</v>
      </c>
      <c r="C27" s="21" t="s">
        <v>1839</v>
      </c>
      <c r="D27" s="21" t="s">
        <v>1840</v>
      </c>
      <c r="E27" s="21">
        <v>9</v>
      </c>
      <c r="F27" s="21">
        <v>241002</v>
      </c>
      <c r="G27" s="43">
        <v>-0.13</v>
      </c>
      <c r="H27" s="21" t="s">
        <v>1841</v>
      </c>
      <c r="I27" s="39">
        <f ca="1">IFERROR(__xludf.DUMMYFUNCTION("IF(SUM(COUNTIF(artists!A:A, SPLIT(D27, "",""))) &gt; 0, ""UA"", 0)"),0)</f>
        <v>0</v>
      </c>
      <c r="J27" s="40" t="str">
        <f ca="1">IFERROR(__xludf.DUMMYFUNCTION("IF(SUM(COUNTIF(artists!C:C, SPLIT(D27, "",""))) &gt; 0, ""RU"", 0)"),"RU")</f>
        <v>RU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B28" s="21">
        <v>20</v>
      </c>
      <c r="C28" s="21" t="s">
        <v>1825</v>
      </c>
      <c r="D28" s="21" t="s">
        <v>1895</v>
      </c>
      <c r="E28" s="21">
        <v>47</v>
      </c>
      <c r="F28" s="21">
        <v>231125</v>
      </c>
      <c r="G28" s="43">
        <v>0.12</v>
      </c>
      <c r="H28" s="21" t="s">
        <v>1827</v>
      </c>
      <c r="I28" s="39">
        <f ca="1">IFERROR(__xludf.DUMMYFUNCTION("IF(SUM(COUNTIF(artists!A:A, SPLIT(D28, "",""))) &gt; 0, ""UA"", 0)"),0)</f>
        <v>0</v>
      </c>
      <c r="J28" s="40">
        <f ca="1">IFERROR(__xludf.DUMMYFUNCTION("IF(SUM(COUNTIF(artists!C:C, SPLIT(D28, "",""))) &gt; 0, ""RU"", 0)"),0)</f>
        <v>0</v>
      </c>
      <c r="K28" s="39" t="str">
        <f ca="1">IFERROR(__xludf.DUMMYFUNCTION("IF(SUM(COUNTIF(artists!E:E, SPLIT(D28, "",""))) &gt; 0, ""OTHER"", 0)"),"OTHER")</f>
        <v>OTHER</v>
      </c>
    </row>
    <row r="29" spans="1:11" ht="14.25" customHeight="1">
      <c r="A29" s="21">
        <v>28</v>
      </c>
      <c r="B29" s="21">
        <v>24</v>
      </c>
      <c r="C29" s="21" t="s">
        <v>1674</v>
      </c>
      <c r="D29" s="21" t="s">
        <v>172</v>
      </c>
      <c r="E29" s="21">
        <v>9</v>
      </c>
      <c r="F29" s="21">
        <v>226695</v>
      </c>
      <c r="G29" s="42">
        <v>0.19400000000000001</v>
      </c>
      <c r="H29" s="21" t="s">
        <v>1675</v>
      </c>
      <c r="I29" s="39">
        <f ca="1">IFERROR(__xludf.DUMMYFUNCTION("IF(SUM(COUNTIF(artists!A:A, SPLIT(D29, "",""))) &gt; 0, ""UA"", 0)"),0)</f>
        <v>0</v>
      </c>
      <c r="J29" s="40" t="str">
        <f ca="1">IFERROR(__xludf.DUMMYFUNCTION("IF(SUM(COUNTIF(artists!C:C, SPLIT(D29, "",""))) &gt; 0, ""RU"", 0)"),"RU")</f>
        <v>RU</v>
      </c>
      <c r="K29" s="39">
        <f ca="1">IFERROR(__xludf.DUMMYFUNCTION("IF(SUM(COUNTIF(artists!E:E, SPLIT(D29, "",""))) &gt; 0, ""OTHER"", 0)"),0)</f>
        <v>0</v>
      </c>
    </row>
    <row r="30" spans="1:11" ht="14.25" customHeight="1">
      <c r="A30" s="21">
        <v>29</v>
      </c>
      <c r="B30" s="21">
        <v>25</v>
      </c>
      <c r="C30" s="21" t="s">
        <v>1530</v>
      </c>
      <c r="D30" s="21" t="s">
        <v>1531</v>
      </c>
      <c r="E30" s="21">
        <v>3</v>
      </c>
      <c r="F30" s="21">
        <v>223041</v>
      </c>
      <c r="G30" s="42">
        <v>0.20100000000000001</v>
      </c>
      <c r="H30" s="21" t="s">
        <v>1532</v>
      </c>
      <c r="I30" s="39">
        <f ca="1">IFERROR(__xludf.DUMMYFUNCTION("IF(SUM(COUNTIF(artists!A:A, SPLIT(D30, "",""))) &gt; 0, ""UA"", 0)"),0)</f>
        <v>0</v>
      </c>
      <c r="J30" s="40">
        <f ca="1">IFERROR(__xludf.DUMMYFUNCTION("IF(SUM(COUNTIF(artists!C:C, SPLIT(D30, "",""))) &gt; 0, ""RU"", 0)"),0)</f>
        <v>0</v>
      </c>
      <c r="K30" s="39" t="str">
        <f ca="1">IFERROR(__xludf.DUMMYFUNCTION("IF(SUM(COUNTIF(artists!E:E, SPLIT(D30, "",""))) &gt; 0, ""OTHER"", 0)"),"OTHER")</f>
        <v>OTHER</v>
      </c>
    </row>
    <row r="31" spans="1:11" ht="14.25" customHeight="1">
      <c r="A31" s="21">
        <v>30</v>
      </c>
      <c r="B31" s="21">
        <v>71</v>
      </c>
      <c r="C31" s="21" t="s">
        <v>799</v>
      </c>
      <c r="D31" s="21" t="s">
        <v>494</v>
      </c>
      <c r="E31" s="21">
        <v>2</v>
      </c>
      <c r="F31" s="21">
        <v>215144</v>
      </c>
      <c r="G31" s="42">
        <v>0.875</v>
      </c>
      <c r="H31" s="21" t="s">
        <v>800</v>
      </c>
      <c r="I31" s="39" t="str">
        <f ca="1">IFERROR(__xludf.DUMMYFUNCTION("IF(SUM(COUNTIF(artists!A:A, SPLIT(D31, "",""))) &gt; 0, ""UA"", 0)"),"UA")</f>
        <v>UA</v>
      </c>
      <c r="J31" s="40">
        <f ca="1">IFERROR(__xludf.DUMMYFUNCTION("IF(SUM(COUNTIF(artists!C:C, SPLIT(D31, "",""))) &gt; 0, ""RU"", 0)"),0)</f>
        <v>0</v>
      </c>
      <c r="K31" s="39">
        <f ca="1">IFERROR(__xludf.DUMMYFUNCTION("IF(SUM(COUNTIF(artists!E:E, SPLIT(D31, "",""))) &gt; 0, ""OTHER"", 0)"),0)</f>
        <v>0</v>
      </c>
    </row>
    <row r="32" spans="1:11" ht="14.25" customHeight="1">
      <c r="A32" s="21">
        <v>31</v>
      </c>
      <c r="B32" s="21">
        <v>32</v>
      </c>
      <c r="C32" s="21" t="s">
        <v>1729</v>
      </c>
      <c r="D32" s="21" t="s">
        <v>1730</v>
      </c>
      <c r="E32" s="21">
        <v>44</v>
      </c>
      <c r="F32" s="21">
        <v>209844</v>
      </c>
      <c r="G32" s="42">
        <v>0.23899999999999999</v>
      </c>
      <c r="H32" s="21" t="s">
        <v>1731</v>
      </c>
      <c r="I32" s="39">
        <f ca="1">IFERROR(__xludf.DUMMYFUNCTION("IF(SUM(COUNTIF(artists!A:A, SPLIT(D32, "",""))) &gt; 0, ""UA"", 0)"),0)</f>
        <v>0</v>
      </c>
      <c r="J32" s="40" t="str">
        <f ca="1">IFERROR(__xludf.DUMMYFUNCTION("IF(SUM(COUNTIF(artists!C:C, SPLIT(D32, "",""))) &gt; 0, ""RU"", 0)"),"RU")</f>
        <v>RU</v>
      </c>
      <c r="K32" s="39">
        <f ca="1">IFERROR(__xludf.DUMMYFUNCTION("IF(SUM(COUNTIF(artists!E:E, SPLIT(D32, "",""))) &gt; 0, ""OTHER"", 0)"),0)</f>
        <v>0</v>
      </c>
    </row>
    <row r="33" spans="1:11" ht="14.25" customHeight="1">
      <c r="A33" s="21">
        <v>32</v>
      </c>
      <c r="B33" s="21">
        <v>22</v>
      </c>
      <c r="C33" s="21" t="s">
        <v>1616</v>
      </c>
      <c r="D33" s="21" t="s">
        <v>1617</v>
      </c>
      <c r="E33" s="21">
        <v>39</v>
      </c>
      <c r="F33" s="21">
        <v>208171</v>
      </c>
      <c r="G33" s="42">
        <v>5.7000000000000002E-2</v>
      </c>
      <c r="H33" s="21" t="s">
        <v>1618</v>
      </c>
      <c r="I33" s="39">
        <f ca="1">IFERROR(__xludf.DUMMYFUNCTION("IF(SUM(COUNTIF(artists!A:A, SPLIT(D33, "",""))) &gt; 0, ""UA"", 0)"),0)</f>
        <v>0</v>
      </c>
      <c r="J33" s="40" t="str">
        <f ca="1">IFERROR(__xludf.DUMMYFUNCTION("IF(SUM(COUNTIF(artists!C:C, SPLIT(D33, "",""))) &gt; 0, ""RU"", 0)"),"RU")</f>
        <v>RU</v>
      </c>
      <c r="K33" s="39">
        <f ca="1">IFERROR(__xludf.DUMMYFUNCTION("IF(SUM(COUNTIF(artists!E:E, SPLIT(D33, "",""))) &gt; 0, ""OTHER"", 0)"),0)</f>
        <v>0</v>
      </c>
    </row>
    <row r="34" spans="1:11" ht="14.25" customHeight="1">
      <c r="A34" s="21">
        <v>33</v>
      </c>
      <c r="B34" s="21">
        <v>33</v>
      </c>
      <c r="C34" s="21" t="s">
        <v>118</v>
      </c>
      <c r="D34" s="21" t="s">
        <v>586</v>
      </c>
      <c r="E34" s="21">
        <v>3</v>
      </c>
      <c r="F34" s="21">
        <v>206438</v>
      </c>
      <c r="G34" s="42">
        <v>0.22900000000000001</v>
      </c>
      <c r="H34" s="21" t="s">
        <v>587</v>
      </c>
      <c r="I34" s="39" t="str">
        <f ca="1">IFERROR(__xludf.DUMMYFUNCTION("IF(SUM(COUNTIF(artists!A:A, SPLIT(D34, "",""))) &gt; 0, ""UA"", 0)"),"UA")</f>
        <v>UA</v>
      </c>
      <c r="J34" s="40">
        <f ca="1">IFERROR(__xludf.DUMMYFUNCTION("IF(SUM(COUNTIF(artists!C:C, SPLIT(D34, "",""))) &gt; 0, ""RU"", 0)"),0)</f>
        <v>0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B35" s="21">
        <v>26</v>
      </c>
      <c r="C35" s="21" t="s">
        <v>1896</v>
      </c>
      <c r="D35" s="21" t="s">
        <v>1099</v>
      </c>
      <c r="E35" s="21">
        <v>50</v>
      </c>
      <c r="F35" s="21">
        <v>202723</v>
      </c>
      <c r="G35" s="42">
        <v>0.115</v>
      </c>
      <c r="H35" s="21" t="s">
        <v>1897</v>
      </c>
      <c r="I35" s="39">
        <f ca="1">IFERROR(__xludf.DUMMYFUNCTION("IF(SUM(COUNTIF(artists!A:A, SPLIT(D35, "",""))) &gt; 0, ""UA"", 0)"),0)</f>
        <v>0</v>
      </c>
      <c r="J35" s="40" t="str">
        <f ca="1">IFERROR(__xludf.DUMMYFUNCTION("IF(SUM(COUNTIF(artists!C:C, SPLIT(D35, "",""))) &gt; 0, ""RU"", 0)"),"RU")</f>
        <v>RU</v>
      </c>
      <c r="K35" s="39">
        <f ca="1">IFERROR(__xludf.DUMMYFUNCTION("IF(SUM(COUNTIF(artists!E:E, SPLIT(D35, "",""))) &gt; 0, ""OTHER"", 0)"),0)</f>
        <v>0</v>
      </c>
    </row>
    <row r="36" spans="1:11" ht="14.25" customHeight="1">
      <c r="A36" s="21">
        <v>35</v>
      </c>
      <c r="B36" s="21">
        <v>49</v>
      </c>
      <c r="C36" s="21" t="s">
        <v>493</v>
      </c>
      <c r="D36" s="21" t="s">
        <v>494</v>
      </c>
      <c r="E36" s="21">
        <v>8</v>
      </c>
      <c r="F36" s="21">
        <v>202157</v>
      </c>
      <c r="G36" s="43">
        <v>0.41</v>
      </c>
      <c r="H36" s="21" t="s">
        <v>495</v>
      </c>
      <c r="I36" s="39" t="str">
        <f ca="1">IFERROR(__xludf.DUMMYFUNCTION("IF(SUM(COUNTIF(artists!A:A, SPLIT(D36, "",""))) &gt; 0, ""UA"", 0)"),"UA")</f>
        <v>UA</v>
      </c>
      <c r="J36" s="40">
        <f ca="1">IFERROR(__xludf.DUMMYFUNCTION("IF(SUM(COUNTIF(artists!C:C, SPLIT(D36, "",""))) &gt; 0, ""RU"", 0)"),0)</f>
        <v>0</v>
      </c>
      <c r="K36" s="39">
        <f ca="1">IFERROR(__xludf.DUMMYFUNCTION("IF(SUM(COUNTIF(artists!E:E, SPLIT(D36, "",""))) &gt; 0, ""OTHER"", 0)"),0)</f>
        <v>0</v>
      </c>
    </row>
    <row r="37" spans="1:11" ht="14.25" customHeight="1">
      <c r="A37" s="21">
        <v>36</v>
      </c>
      <c r="B37" s="21">
        <v>60</v>
      </c>
      <c r="C37" s="21" t="s">
        <v>841</v>
      </c>
      <c r="D37" s="21" t="s">
        <v>842</v>
      </c>
      <c r="E37" s="21">
        <v>9</v>
      </c>
      <c r="F37" s="21">
        <v>189301</v>
      </c>
      <c r="G37" s="42">
        <v>0.50900000000000001</v>
      </c>
      <c r="H37" s="21" t="s">
        <v>843</v>
      </c>
      <c r="I37" s="39">
        <f ca="1">IFERROR(__xludf.DUMMYFUNCTION("IF(SUM(COUNTIF(artists!A:A, SPLIT(D37, "",""))) &gt; 0, ""UA"", 0)"),0)</f>
        <v>0</v>
      </c>
      <c r="J37" s="40">
        <f ca="1">IFERROR(__xludf.DUMMYFUNCTION("IF(SUM(COUNTIF(artists!C:C, SPLIT(D37, "",""))) &gt; 0, ""RU"", 0)"),0)</f>
        <v>0</v>
      </c>
      <c r="K37" s="39" t="str">
        <f ca="1">IFERROR(__xludf.DUMMYFUNCTION("IF(SUM(COUNTIF(artists!E:E, SPLIT(D37, "",""))) &gt; 0, ""OTHER"", 0)"),"OTHER")</f>
        <v>OTHER</v>
      </c>
    </row>
    <row r="38" spans="1:11" ht="14.25" customHeight="1">
      <c r="A38" s="21">
        <v>37</v>
      </c>
      <c r="B38" s="21">
        <v>43</v>
      </c>
      <c r="C38" s="21" t="s">
        <v>1354</v>
      </c>
      <c r="D38" s="21" t="s">
        <v>1355</v>
      </c>
      <c r="E38" s="21">
        <v>23</v>
      </c>
      <c r="F38" s="21">
        <v>187294</v>
      </c>
      <c r="G38" s="42">
        <v>0.254</v>
      </c>
      <c r="H38" s="21" t="s">
        <v>1356</v>
      </c>
      <c r="I38" s="39" t="str">
        <f ca="1">IFERROR(__xludf.DUMMYFUNCTION("IF(SUM(COUNTIF(artists!A:A, SPLIT(D38, "",""))) &gt; 0, ""UA"", 0)"),"UA")</f>
        <v>UA</v>
      </c>
      <c r="J38" s="40">
        <f ca="1">IFERROR(__xludf.DUMMYFUNCTION("IF(SUM(COUNTIF(artists!C:C, SPLIT(D38, "",""))) &gt; 0, ""RU"", 0)"),0)</f>
        <v>0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C39" s="21" t="s">
        <v>1953</v>
      </c>
      <c r="D39" s="21" t="s">
        <v>1954</v>
      </c>
      <c r="E39" s="21">
        <v>4</v>
      </c>
      <c r="F39" s="21">
        <v>185201</v>
      </c>
      <c r="H39" s="21" t="s">
        <v>1955</v>
      </c>
      <c r="I39" s="39">
        <f ca="1">IFERROR(__xludf.DUMMYFUNCTION("IF(SUM(COUNTIF(artists!A:A, SPLIT(D39, "",""))) &gt; 0, ""UA"", 0)"),0)</f>
        <v>0</v>
      </c>
      <c r="J39" s="40" t="str">
        <f ca="1">IFERROR(__xludf.DUMMYFUNCTION("IF(SUM(COUNTIF(artists!C:C, SPLIT(D39, "",""))) &gt; 0, ""RU"", 0)"),"RU")</f>
        <v>RU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B40" s="21">
        <v>28</v>
      </c>
      <c r="C40" s="21" t="s">
        <v>1810</v>
      </c>
      <c r="D40" s="21" t="s">
        <v>15</v>
      </c>
      <c r="E40" s="21">
        <v>3</v>
      </c>
      <c r="F40" s="21">
        <v>179490</v>
      </c>
      <c r="G40" s="42">
        <v>2.4E-2</v>
      </c>
      <c r="H40" s="21" t="s">
        <v>1811</v>
      </c>
      <c r="I40" s="39">
        <f ca="1">IFERROR(__xludf.DUMMYFUNCTION("IF(SUM(COUNTIF(artists!A:A, SPLIT(D40, "",""))) &gt; 0, ""UA"", 0)"),0)</f>
        <v>0</v>
      </c>
      <c r="J40" s="40">
        <f ca="1">IFERROR(__xludf.DUMMYFUNCTION("IF(SUM(COUNTIF(artists!C:C, SPLIT(D40, "",""))) &gt; 0, ""RU"", 0)"),0)</f>
        <v>0</v>
      </c>
      <c r="K40" s="39" t="str">
        <f ca="1">IFERROR(__xludf.DUMMYFUNCTION("IF(SUM(COUNTIF(artists!E:E, SPLIT(D40, "",""))) &gt; 0, ""OTHER"", 0)"),"OTHER")</f>
        <v>OTHER</v>
      </c>
    </row>
    <row r="41" spans="1:11" ht="14.25" customHeight="1">
      <c r="A41" s="21">
        <v>40</v>
      </c>
      <c r="B41" s="21">
        <v>23</v>
      </c>
      <c r="C41" s="21" t="s">
        <v>1007</v>
      </c>
      <c r="D41" s="21" t="s">
        <v>907</v>
      </c>
      <c r="E41" s="21">
        <v>4</v>
      </c>
      <c r="F41" s="21">
        <v>177355</v>
      </c>
      <c r="G41" s="42">
        <v>-6.9000000000000006E-2</v>
      </c>
      <c r="H41" s="21" t="s">
        <v>1009</v>
      </c>
      <c r="I41" s="39">
        <f ca="1">IFERROR(__xludf.DUMMYFUNCTION("IF(SUM(COUNTIF(artists!A:A, SPLIT(D41, "",""))) &gt; 0, ""UA"", 0)"),0)</f>
        <v>0</v>
      </c>
      <c r="J41" s="40" t="str">
        <f ca="1">IFERROR(__xludf.DUMMYFUNCTION("IF(SUM(COUNTIF(artists!C:C, SPLIT(D41, "",""))) &gt; 0, ""RU"", 0)"),"RU")</f>
        <v>RU</v>
      </c>
      <c r="K41" s="39">
        <f ca="1">IFERROR(__xludf.DUMMYFUNCTION("IF(SUM(COUNTIF(artists!E:E, SPLIT(D41, "",""))) &gt; 0, ""OTHER"", 0)"),0)</f>
        <v>0</v>
      </c>
    </row>
    <row r="42" spans="1:11" ht="14.25" customHeight="1">
      <c r="A42" s="21">
        <v>41</v>
      </c>
      <c r="B42" s="21">
        <v>27</v>
      </c>
      <c r="C42" s="21" t="s">
        <v>1956</v>
      </c>
      <c r="D42" s="21" t="s">
        <v>1957</v>
      </c>
      <c r="E42" s="21">
        <v>21</v>
      </c>
      <c r="F42" s="21">
        <v>174110</v>
      </c>
      <c r="G42" s="42">
        <v>-3.1E-2</v>
      </c>
      <c r="H42" s="21" t="s">
        <v>1958</v>
      </c>
      <c r="I42" s="39">
        <f ca="1">IFERROR(__xludf.DUMMYFUNCTION("IF(SUM(COUNTIF(artists!A:A, SPLIT(D42, "",""))) &gt; 0, ""UA"", 0)"),0)</f>
        <v>0</v>
      </c>
      <c r="J42" s="40" t="str">
        <f ca="1">IFERROR(__xludf.DUMMYFUNCTION("IF(SUM(COUNTIF(artists!C:C, SPLIT(D42, "",""))) &gt; 0, ""RU"", 0)"),"RU")</f>
        <v>RU</v>
      </c>
      <c r="K42" s="39">
        <f ca="1">IFERROR(__xludf.DUMMYFUNCTION("IF(SUM(COUNTIF(artists!E:E, SPLIT(D42, "",""))) &gt; 0, ""OTHER"", 0)"),0)</f>
        <v>0</v>
      </c>
    </row>
    <row r="43" spans="1:11" ht="14.25" customHeight="1">
      <c r="A43" s="21">
        <v>42</v>
      </c>
      <c r="B43" s="21">
        <v>67</v>
      </c>
      <c r="C43" s="21" t="s">
        <v>1882</v>
      </c>
      <c r="D43" s="21" t="s">
        <v>133</v>
      </c>
      <c r="E43" s="21">
        <v>3</v>
      </c>
      <c r="F43" s="21">
        <v>172965</v>
      </c>
      <c r="G43" s="42">
        <v>0.45800000000000002</v>
      </c>
      <c r="H43" s="21" t="s">
        <v>1883</v>
      </c>
      <c r="I43" s="39" t="str">
        <f ca="1">IFERROR(__xludf.DUMMYFUNCTION("IF(SUM(COUNTIF(artists!A:A, SPLIT(D43, "",""))) &gt; 0, ""UA"", 0)"),"UA")</f>
        <v>UA</v>
      </c>
      <c r="J43" s="40">
        <f ca="1">IFERROR(__xludf.DUMMYFUNCTION("IF(SUM(COUNTIF(artists!C:C, SPLIT(D43, "",""))) &gt; 0, ""RU"", 0)"),0)</f>
        <v>0</v>
      </c>
      <c r="K43" s="39">
        <f ca="1">IFERROR(__xludf.DUMMYFUNCTION("IF(SUM(COUNTIF(artists!E:E, SPLIT(D43, "",""))) &gt; 0, ""OTHER"", 0)"),0)</f>
        <v>0</v>
      </c>
    </row>
    <row r="44" spans="1:11" ht="14.25" customHeight="1">
      <c r="A44" s="21">
        <v>43</v>
      </c>
      <c r="B44" s="21">
        <v>30</v>
      </c>
      <c r="C44" s="21" t="s">
        <v>1911</v>
      </c>
      <c r="D44" s="21" t="s">
        <v>1912</v>
      </c>
      <c r="E44" s="21">
        <v>5</v>
      </c>
      <c r="F44" s="21">
        <v>171827</v>
      </c>
      <c r="G44" s="42">
        <v>8.0000000000000002E-3</v>
      </c>
      <c r="H44" s="21" t="s">
        <v>1913</v>
      </c>
      <c r="I44" s="39">
        <f ca="1">IFERROR(__xludf.DUMMYFUNCTION("IF(SUM(COUNTIF(artists!A:A, SPLIT(D44, "",""))) &gt; 0, ""UA"", 0)"),0)</f>
        <v>0</v>
      </c>
      <c r="J44" s="40" t="str">
        <f ca="1">IFERROR(__xludf.DUMMYFUNCTION("IF(SUM(COUNTIF(artists!C:C, SPLIT(D44, "",""))) &gt; 0, ""RU"", 0)"),"RU")</f>
        <v>RU</v>
      </c>
      <c r="K44" s="39">
        <f ca="1">IFERROR(__xludf.DUMMYFUNCTION("IF(SUM(COUNTIF(artists!E:E, SPLIT(D44, "",""))) &gt; 0, ""OTHER"", 0)"),0)</f>
        <v>0</v>
      </c>
    </row>
    <row r="45" spans="1:11" ht="14.25" customHeight="1">
      <c r="A45" s="21">
        <v>44</v>
      </c>
      <c r="B45" s="21">
        <v>57</v>
      </c>
      <c r="C45" s="21" t="s">
        <v>1726</v>
      </c>
      <c r="D45" s="21" t="s">
        <v>1727</v>
      </c>
      <c r="E45" s="21">
        <v>3</v>
      </c>
      <c r="F45" s="21">
        <v>169467</v>
      </c>
      <c r="G45" s="42">
        <v>0.32700000000000001</v>
      </c>
      <c r="H45" s="21" t="s">
        <v>1728</v>
      </c>
      <c r="I45" s="39" t="str">
        <f ca="1">IFERROR(__xludf.DUMMYFUNCTION("IF(SUM(COUNTIF(artists!A:A, SPLIT(D45, "",""))) &gt; 0, ""UA"", 0)"),"UA")</f>
        <v>UA</v>
      </c>
      <c r="J45" s="40">
        <f ca="1">IFERROR(__xludf.DUMMYFUNCTION("IF(SUM(COUNTIF(artists!C:C, SPLIT(D45, "",""))) &gt; 0, ""RU"", 0)"),0)</f>
        <v>0</v>
      </c>
      <c r="K45" s="39">
        <f ca="1">IFERROR(__xludf.DUMMYFUNCTION("IF(SUM(COUNTIF(artists!E:E, SPLIT(D45, "",""))) &gt; 0, ""OTHER"", 0)"),0)</f>
        <v>0</v>
      </c>
    </row>
    <row r="46" spans="1:11" ht="14.25" customHeight="1">
      <c r="A46" s="21">
        <v>45</v>
      </c>
      <c r="B46" s="21">
        <v>63</v>
      </c>
      <c r="C46" s="21" t="s">
        <v>1812</v>
      </c>
      <c r="D46" s="21" t="s">
        <v>133</v>
      </c>
      <c r="E46" s="21">
        <v>3</v>
      </c>
      <c r="F46" s="21">
        <v>165272</v>
      </c>
      <c r="G46" s="42">
        <v>0.34599999999999997</v>
      </c>
      <c r="H46" s="21" t="s">
        <v>1813</v>
      </c>
      <c r="I46" s="39" t="str">
        <f ca="1">IFERROR(__xludf.DUMMYFUNCTION("IF(SUM(COUNTIF(artists!A:A, SPLIT(D46, "",""))) &gt; 0, ""UA"", 0)"),"UA")</f>
        <v>UA</v>
      </c>
      <c r="J46" s="40">
        <f ca="1">IFERROR(__xludf.DUMMYFUNCTION("IF(SUM(COUNTIF(artists!C:C, SPLIT(D46, "",""))) &gt; 0, ""RU"", 0)"),0)</f>
        <v>0</v>
      </c>
      <c r="K46" s="39">
        <f ca="1">IFERROR(__xludf.DUMMYFUNCTION("IF(SUM(COUNTIF(artists!E:E, SPLIT(D46, "",""))) &gt; 0, ""OTHER"", 0)"),0)</f>
        <v>0</v>
      </c>
    </row>
    <row r="47" spans="1:11" ht="14.25" customHeight="1">
      <c r="A47" s="21">
        <v>46</v>
      </c>
      <c r="B47" s="21">
        <v>52</v>
      </c>
      <c r="C47" s="21" t="s">
        <v>1502</v>
      </c>
      <c r="D47" s="21" t="s">
        <v>1503</v>
      </c>
      <c r="E47" s="21">
        <v>23</v>
      </c>
      <c r="F47" s="21">
        <v>164093</v>
      </c>
      <c r="G47" s="42">
        <v>0.21299999999999999</v>
      </c>
      <c r="H47" s="21" t="s">
        <v>1504</v>
      </c>
      <c r="I47" s="39" t="str">
        <f ca="1">IFERROR(__xludf.DUMMYFUNCTION("IF(SUM(COUNTIF(artists!A:A, SPLIT(D47, "",""))) &gt; 0, ""UA"", 0)"),"UA")</f>
        <v>UA</v>
      </c>
      <c r="J47" s="40">
        <f ca="1">IFERROR(__xludf.DUMMYFUNCTION("IF(SUM(COUNTIF(artists!C:C, SPLIT(D47, "",""))) &gt; 0, ""RU"", 0)"),0)</f>
        <v>0</v>
      </c>
      <c r="K47" s="39">
        <f ca="1">IFERROR(__xludf.DUMMYFUNCTION("IF(SUM(COUNTIF(artists!E:E, SPLIT(D47, "",""))) &gt; 0, ""OTHER"", 0)"),0)</f>
        <v>0</v>
      </c>
    </row>
    <row r="48" spans="1:11" ht="14.25" customHeight="1">
      <c r="A48" s="21">
        <v>47</v>
      </c>
      <c r="B48" s="21">
        <v>69</v>
      </c>
      <c r="C48" s="21" t="s">
        <v>748</v>
      </c>
      <c r="D48" s="21" t="s">
        <v>586</v>
      </c>
      <c r="E48" s="21">
        <v>2</v>
      </c>
      <c r="F48" s="21">
        <v>163132</v>
      </c>
      <c r="G48" s="43">
        <v>0.4</v>
      </c>
      <c r="H48" s="21" t="s">
        <v>749</v>
      </c>
      <c r="I48" s="39" t="str">
        <f ca="1">IFERROR(__xludf.DUMMYFUNCTION("IF(SUM(COUNTIF(artists!A:A, SPLIT(D48, "",""))) &gt; 0, ""UA"", 0)"),"UA")</f>
        <v>UA</v>
      </c>
      <c r="J48" s="40">
        <f ca="1">IFERROR(__xludf.DUMMYFUNCTION("IF(SUM(COUNTIF(artists!C:C, SPLIT(D48, "",""))) &gt; 0, ""RU"", 0)"),0)</f>
        <v>0</v>
      </c>
      <c r="K48" s="39">
        <f ca="1">IFERROR(__xludf.DUMMYFUNCTION("IF(SUM(COUNTIF(artists!E:E, SPLIT(D48, "",""))) &gt; 0, ""OTHER"", 0)"),0)</f>
        <v>0</v>
      </c>
    </row>
    <row r="49" spans="1:11" ht="14.25" customHeight="1">
      <c r="A49" s="21">
        <v>48</v>
      </c>
      <c r="B49" s="21">
        <v>40</v>
      </c>
      <c r="C49" s="21" t="s">
        <v>1651</v>
      </c>
      <c r="D49" s="21" t="s">
        <v>1652</v>
      </c>
      <c r="E49" s="21">
        <v>21</v>
      </c>
      <c r="F49" s="21">
        <v>163128</v>
      </c>
      <c r="G49" s="42">
        <v>6.3E-2</v>
      </c>
      <c r="H49" s="21" t="s">
        <v>1959</v>
      </c>
      <c r="I49" s="39">
        <f ca="1">IFERROR(__xludf.DUMMYFUNCTION("IF(SUM(COUNTIF(artists!A:A, SPLIT(D49, "",""))) &gt; 0, ""UA"", 0)"),0)</f>
        <v>0</v>
      </c>
      <c r="J49" s="40" t="str">
        <f ca="1">IFERROR(__xludf.DUMMYFUNCTION("IF(SUM(COUNTIF(artists!C:C, SPLIT(D49, "",""))) &gt; 0, ""RU"", 0)"),"RU")</f>
        <v>RU</v>
      </c>
      <c r="K49" s="39">
        <f ca="1">IFERROR(__xludf.DUMMYFUNCTION("IF(SUM(COUNTIF(artists!E:E, SPLIT(D49, "",""))) &gt; 0, ""OTHER"", 0)"),0)</f>
        <v>0</v>
      </c>
    </row>
    <row r="50" spans="1:11" ht="14.25" customHeight="1">
      <c r="A50" s="21">
        <v>49</v>
      </c>
      <c r="B50" s="21">
        <v>35</v>
      </c>
      <c r="C50" s="21" t="s">
        <v>1863</v>
      </c>
      <c r="D50" s="21" t="s">
        <v>1660</v>
      </c>
      <c r="E50" s="21">
        <v>9</v>
      </c>
      <c r="F50" s="21">
        <v>161930</v>
      </c>
      <c r="G50" s="42">
        <v>-8.9999999999999993E-3</v>
      </c>
      <c r="H50" s="21" t="s">
        <v>1864</v>
      </c>
      <c r="I50" s="39">
        <f ca="1">IFERROR(__xludf.DUMMYFUNCTION("IF(SUM(COUNTIF(artists!A:A, SPLIT(D50, "",""))) &gt; 0, ""UA"", 0)"),0)</f>
        <v>0</v>
      </c>
      <c r="J50" s="40" t="str">
        <f ca="1">IFERROR(__xludf.DUMMYFUNCTION("IF(SUM(COUNTIF(artists!C:C, SPLIT(D50, "",""))) &gt; 0, ""RU"", 0)"),"RU")</f>
        <v>RU</v>
      </c>
      <c r="K50" s="39">
        <f ca="1">IFERROR(__xludf.DUMMYFUNCTION("IF(SUM(COUNTIF(artists!E:E, SPLIT(D50, "",""))) &gt; 0, ""OTHER"", 0)"),0)</f>
        <v>0</v>
      </c>
    </row>
    <row r="51" spans="1:11" ht="14.25" customHeight="1">
      <c r="A51" s="21">
        <v>50</v>
      </c>
      <c r="B51" s="21">
        <v>41</v>
      </c>
      <c r="C51" s="21" t="s">
        <v>906</v>
      </c>
      <c r="D51" s="21" t="s">
        <v>907</v>
      </c>
      <c r="E51" s="21">
        <v>14</v>
      </c>
      <c r="F51" s="21">
        <v>161048</v>
      </c>
      <c r="G51" s="42">
        <v>5.3999999999999999E-2</v>
      </c>
      <c r="H51" s="21" t="s">
        <v>908</v>
      </c>
      <c r="I51" s="39">
        <f ca="1">IFERROR(__xludf.DUMMYFUNCTION("IF(SUM(COUNTIF(artists!A:A, SPLIT(D51, "",""))) &gt; 0, ""UA"", 0)"),0)</f>
        <v>0</v>
      </c>
      <c r="J51" s="40" t="str">
        <f ca="1">IFERROR(__xludf.DUMMYFUNCTION("IF(SUM(COUNTIF(artists!C:C, SPLIT(D51, "",""))) &gt; 0, ""RU"", 0)"),"RU")</f>
        <v>RU</v>
      </c>
      <c r="K51" s="39">
        <f ca="1">IFERROR(__xludf.DUMMYFUNCTION("IF(SUM(COUNTIF(artists!E:E, SPLIT(D51, "",""))) &gt; 0, ""OTHER"", 0)"),0)</f>
        <v>0</v>
      </c>
    </row>
    <row r="52" spans="1:11" ht="14.25" customHeight="1">
      <c r="A52" s="21">
        <v>51</v>
      </c>
      <c r="C52" s="21" t="s">
        <v>1463</v>
      </c>
      <c r="D52" s="21" t="s">
        <v>1344</v>
      </c>
      <c r="E52" s="21">
        <v>1</v>
      </c>
      <c r="F52" s="21">
        <v>159153</v>
      </c>
      <c r="H52" s="21" t="s">
        <v>1464</v>
      </c>
      <c r="I52" s="39" t="str">
        <f ca="1">IFERROR(__xludf.DUMMYFUNCTION("IF(SUM(COUNTIF(artists!A:A, SPLIT(D52, "",""))) &gt; 0, ""UA"", 0)"),"UA")</f>
        <v>UA</v>
      </c>
      <c r="J52" s="40">
        <f ca="1">IFERROR(__xludf.DUMMYFUNCTION("IF(SUM(COUNTIF(artists!C:C, SPLIT(D52, "",""))) &gt; 0, ""RU"", 0)"),0)</f>
        <v>0</v>
      </c>
      <c r="K52" s="39">
        <f ca="1">IFERROR(__xludf.DUMMYFUNCTION("IF(SUM(COUNTIF(artists!E:E, SPLIT(D52, "",""))) &gt; 0, ""OTHER"", 0)"),0)</f>
        <v>0</v>
      </c>
    </row>
    <row r="53" spans="1:11" ht="14.25" customHeight="1">
      <c r="A53" s="21">
        <v>52</v>
      </c>
      <c r="B53" s="21">
        <v>46</v>
      </c>
      <c r="C53" s="21" t="s">
        <v>1676</v>
      </c>
      <c r="D53" s="21" t="s">
        <v>743</v>
      </c>
      <c r="E53" s="21">
        <v>19</v>
      </c>
      <c r="F53" s="21">
        <v>158170</v>
      </c>
      <c r="G53" s="42">
        <v>0.10100000000000001</v>
      </c>
      <c r="H53" s="21" t="s">
        <v>1677</v>
      </c>
      <c r="I53" s="39">
        <f ca="1">IFERROR(__xludf.DUMMYFUNCTION("IF(SUM(COUNTIF(artists!A:A, SPLIT(D53, "",""))) &gt; 0, ""UA"", 0)"),0)</f>
        <v>0</v>
      </c>
      <c r="J53" s="40" t="str">
        <f ca="1">IFERROR(__xludf.DUMMYFUNCTION("IF(SUM(COUNTIF(artists!C:C, SPLIT(D53, "",""))) &gt; 0, ""RU"", 0)"),"RU")</f>
        <v>RU</v>
      </c>
      <c r="K53" s="39">
        <f ca="1">IFERROR(__xludf.DUMMYFUNCTION("IF(SUM(COUNTIF(artists!E:E, SPLIT(D53, "",""))) &gt; 0, ""OTHER"", 0)"),0)</f>
        <v>0</v>
      </c>
    </row>
    <row r="54" spans="1:11" ht="14.25" customHeight="1">
      <c r="A54" s="21">
        <v>53</v>
      </c>
      <c r="B54" s="21">
        <v>76</v>
      </c>
      <c r="C54" s="21" t="s">
        <v>1960</v>
      </c>
      <c r="D54" s="21" t="s">
        <v>1050</v>
      </c>
      <c r="E54" s="21">
        <v>9</v>
      </c>
      <c r="F54" s="21">
        <v>158057</v>
      </c>
      <c r="G54" s="42">
        <v>0.41299999999999998</v>
      </c>
      <c r="H54" s="21" t="s">
        <v>1961</v>
      </c>
      <c r="I54" s="39">
        <f ca="1">IFERROR(__xludf.DUMMYFUNCTION("IF(SUM(COUNTIF(artists!A:A, SPLIT(D54, "",""))) &gt; 0, ""UA"", 0)"),0)</f>
        <v>0</v>
      </c>
      <c r="J54" s="40" t="str">
        <f ca="1">IFERROR(__xludf.DUMMYFUNCTION("IF(SUM(COUNTIF(artists!C:C, SPLIT(D54, "",""))) &gt; 0, ""RU"", 0)"),"RU")</f>
        <v>RU</v>
      </c>
      <c r="K54" s="39">
        <f ca="1">IFERROR(__xludf.DUMMYFUNCTION("IF(SUM(COUNTIF(artists!E:E, SPLIT(D54, "",""))) &gt; 0, ""OTHER"", 0)"),0)</f>
        <v>0</v>
      </c>
    </row>
    <row r="55" spans="1:11" ht="14.25" customHeight="1">
      <c r="A55" s="21">
        <v>54</v>
      </c>
      <c r="C55" s="21" t="s">
        <v>1962</v>
      </c>
      <c r="D55" s="21" t="s">
        <v>1795</v>
      </c>
      <c r="E55" s="21">
        <v>1</v>
      </c>
      <c r="F55" s="21">
        <v>155599</v>
      </c>
      <c r="H55" s="21" t="s">
        <v>1963</v>
      </c>
      <c r="I55" s="39" t="str">
        <f ca="1">IFERROR(__xludf.DUMMYFUNCTION("IF(SUM(COUNTIF(artists!A:A, SPLIT(D55, "",""))) &gt; 0, ""UA"", 0)"),"UA")</f>
        <v>UA</v>
      </c>
      <c r="J55" s="40">
        <f ca="1">IFERROR(__xludf.DUMMYFUNCTION("IF(SUM(COUNTIF(artists!C:C, SPLIT(D55, "",""))) &gt; 0, ""RU"", 0)"),0)</f>
        <v>0</v>
      </c>
      <c r="K55" s="39">
        <f ca="1">IFERROR(__xludf.DUMMYFUNCTION("IF(SUM(COUNTIF(artists!E:E, SPLIT(D55, "",""))) &gt; 0, ""OTHER"", 0)"),0)</f>
        <v>0</v>
      </c>
    </row>
    <row r="56" spans="1:11" ht="14.25" customHeight="1">
      <c r="A56" s="21">
        <v>55</v>
      </c>
      <c r="B56" s="21">
        <v>44</v>
      </c>
      <c r="C56" s="21" t="s">
        <v>1964</v>
      </c>
      <c r="D56" s="21" t="s">
        <v>1965</v>
      </c>
      <c r="E56" s="21">
        <v>20</v>
      </c>
      <c r="F56" s="21">
        <v>154038</v>
      </c>
      <c r="G56" s="42">
        <v>3.7999999999999999E-2</v>
      </c>
      <c r="H56" s="21" t="s">
        <v>1966</v>
      </c>
      <c r="I56" s="39">
        <f ca="1">IFERROR(__xludf.DUMMYFUNCTION("IF(SUM(COUNTIF(artists!A:A, SPLIT(D56, "",""))) &gt; 0, ""UA"", 0)"),0)</f>
        <v>0</v>
      </c>
      <c r="J56" s="40" t="str">
        <f ca="1">IFERROR(__xludf.DUMMYFUNCTION("IF(SUM(COUNTIF(artists!C:C, SPLIT(D56, "",""))) &gt; 0, ""RU"", 0)"),"RU")</f>
        <v>RU</v>
      </c>
      <c r="K56" s="39">
        <f ca="1">IFERROR(__xludf.DUMMYFUNCTION("IF(SUM(COUNTIF(artists!E:E, SPLIT(D56, "",""))) &gt; 0, ""OTHER"", 0)"),0)</f>
        <v>0</v>
      </c>
    </row>
    <row r="57" spans="1:11" ht="14.25" customHeight="1">
      <c r="A57" s="21">
        <v>56</v>
      </c>
      <c r="B57" s="21">
        <v>59</v>
      </c>
      <c r="C57" s="21" t="s">
        <v>968</v>
      </c>
      <c r="D57" s="21" t="s">
        <v>969</v>
      </c>
      <c r="E57" s="21">
        <v>13</v>
      </c>
      <c r="F57" s="21">
        <v>153972</v>
      </c>
      <c r="G57" s="42">
        <v>0.21299999999999999</v>
      </c>
      <c r="H57" s="21" t="s">
        <v>970</v>
      </c>
      <c r="I57" s="39" t="str">
        <f ca="1">IFERROR(__xludf.DUMMYFUNCTION("IF(SUM(COUNTIF(artists!A:A, SPLIT(D57, "",""))) &gt; 0, ""UA"", 0)"),"UA")</f>
        <v>UA</v>
      </c>
      <c r="J57" s="40">
        <f ca="1">IFERROR(__xludf.DUMMYFUNCTION("IF(SUM(COUNTIF(artists!C:C, SPLIT(D57, "",""))) &gt; 0, ""RU"", 0)"),0)</f>
        <v>0</v>
      </c>
      <c r="K57" s="39">
        <f ca="1">IFERROR(__xludf.DUMMYFUNCTION("IF(SUM(COUNTIF(artists!E:E, SPLIT(D57, "",""))) &gt; 0, ""OTHER"", 0)"),0)</f>
        <v>0</v>
      </c>
    </row>
    <row r="58" spans="1:11" ht="14.25" customHeight="1">
      <c r="A58" s="21">
        <v>57</v>
      </c>
      <c r="B58" s="21">
        <v>48</v>
      </c>
      <c r="C58" s="21" t="s">
        <v>1858</v>
      </c>
      <c r="D58" s="21" t="s">
        <v>1859</v>
      </c>
      <c r="E58" s="21">
        <v>4</v>
      </c>
      <c r="F58" s="21">
        <v>153652</v>
      </c>
      <c r="G58" s="42">
        <v>7.0999999999999994E-2</v>
      </c>
      <c r="H58" s="21" t="s">
        <v>1860</v>
      </c>
      <c r="I58" s="39">
        <f ca="1">IFERROR(__xludf.DUMMYFUNCTION("IF(SUM(COUNTIF(artists!A:A, SPLIT(D58, "",""))) &gt; 0, ""UA"", 0)"),0)</f>
        <v>0</v>
      </c>
      <c r="J58" s="40" t="str">
        <f ca="1">IFERROR(__xludf.DUMMYFUNCTION("IF(SUM(COUNTIF(artists!C:C, SPLIT(D58, "",""))) &gt; 0, ""RU"", 0)"),"RU")</f>
        <v>RU</v>
      </c>
      <c r="K58" s="39">
        <f ca="1">IFERROR(__xludf.DUMMYFUNCTION("IF(SUM(COUNTIF(artists!E:E, SPLIT(D58, "",""))) &gt; 0, ""OTHER"", 0)"),0)</f>
        <v>0</v>
      </c>
    </row>
    <row r="59" spans="1:11" ht="14.25" customHeight="1">
      <c r="A59" s="21">
        <v>58</v>
      </c>
      <c r="C59" s="21" t="s">
        <v>1832</v>
      </c>
      <c r="D59" s="21" t="s">
        <v>1833</v>
      </c>
      <c r="E59" s="21">
        <v>1</v>
      </c>
      <c r="F59" s="21">
        <v>153619</v>
      </c>
      <c r="H59" s="21" t="s">
        <v>1834</v>
      </c>
      <c r="I59" s="39" t="str">
        <f ca="1">IFERROR(__xludf.DUMMYFUNCTION("IF(SUM(COUNTIF(artists!A:A, SPLIT(D59, "",""))) &gt; 0, ""UA"", 0)"),"UA")</f>
        <v>UA</v>
      </c>
      <c r="J59" s="40">
        <f ca="1">IFERROR(__xludf.DUMMYFUNCTION("IF(SUM(COUNTIF(artists!C:C, SPLIT(D59, "",""))) &gt; 0, ""RU"", 0)"),0)</f>
        <v>0</v>
      </c>
      <c r="K59" s="39">
        <f ca="1">IFERROR(__xludf.DUMMYFUNCTION("IF(SUM(COUNTIF(artists!E:E, SPLIT(D59, "",""))) &gt; 0, ""OTHER"", 0)"),0)</f>
        <v>0</v>
      </c>
    </row>
    <row r="60" spans="1:11" ht="14.25" customHeight="1">
      <c r="A60" s="21">
        <v>59</v>
      </c>
      <c r="B60" s="21">
        <v>55</v>
      </c>
      <c r="C60" s="21" t="s">
        <v>1867</v>
      </c>
      <c r="D60" s="21" t="s">
        <v>1099</v>
      </c>
      <c r="E60" s="21">
        <v>17</v>
      </c>
      <c r="F60" s="21">
        <v>146804</v>
      </c>
      <c r="G60" s="42">
        <v>0.108</v>
      </c>
      <c r="H60" s="21" t="s">
        <v>1868</v>
      </c>
      <c r="I60" s="39">
        <f ca="1">IFERROR(__xludf.DUMMYFUNCTION("IF(SUM(COUNTIF(artists!A:A, SPLIT(D60, "",""))) &gt; 0, ""UA"", 0)"),0)</f>
        <v>0</v>
      </c>
      <c r="J60" s="40" t="str">
        <f ca="1">IFERROR(__xludf.DUMMYFUNCTION("IF(SUM(COUNTIF(artists!C:C, SPLIT(D60, "",""))) &gt; 0, ""RU"", 0)"),"RU")</f>
        <v>RU</v>
      </c>
      <c r="K60" s="39">
        <f ca="1">IFERROR(__xludf.DUMMYFUNCTION("IF(SUM(COUNTIF(artists!E:E, SPLIT(D60, "",""))) &gt; 0, ""OTHER"", 0)"),0)</f>
        <v>0</v>
      </c>
    </row>
    <row r="61" spans="1:11" ht="14.25" customHeight="1">
      <c r="A61" s="21">
        <v>60</v>
      </c>
      <c r="B61" s="21">
        <v>37</v>
      </c>
      <c r="C61" s="21" t="s">
        <v>1907</v>
      </c>
      <c r="D61" s="21" t="s">
        <v>409</v>
      </c>
      <c r="E61" s="21">
        <v>3</v>
      </c>
      <c r="F61" s="21">
        <v>146622</v>
      </c>
      <c r="G61" s="42">
        <v>-5.7000000000000002E-2</v>
      </c>
      <c r="H61" s="21" t="s">
        <v>1908</v>
      </c>
      <c r="I61" s="39" t="str">
        <f ca="1">IFERROR(__xludf.DUMMYFUNCTION("IF(SUM(COUNTIF(artists!A:A, SPLIT(D61, "",""))) &gt; 0, ""UA"", 0)"),"UA")</f>
        <v>UA</v>
      </c>
      <c r="J61" s="40">
        <f ca="1">IFERROR(__xludf.DUMMYFUNCTION("IF(SUM(COUNTIF(artists!C:C, SPLIT(D61, "",""))) &gt; 0, ""RU"", 0)"),0)</f>
        <v>0</v>
      </c>
      <c r="K61" s="39">
        <f ca="1">IFERROR(__xludf.DUMMYFUNCTION("IF(SUM(COUNTIF(artists!E:E, SPLIT(D61, "",""))) &gt; 0, ""OTHER"", 0)"),0)</f>
        <v>0</v>
      </c>
    </row>
    <row r="62" spans="1:11" ht="14.25" customHeight="1">
      <c r="A62" s="21">
        <v>61</v>
      </c>
      <c r="B62" s="21">
        <v>50</v>
      </c>
      <c r="C62" s="21" t="s">
        <v>1588</v>
      </c>
      <c r="D62" s="21" t="s">
        <v>776</v>
      </c>
      <c r="E62" s="21">
        <v>6</v>
      </c>
      <c r="F62" s="21">
        <v>145683</v>
      </c>
      <c r="G62" s="42">
        <v>1.7000000000000001E-2</v>
      </c>
      <c r="H62" s="21" t="s">
        <v>1589</v>
      </c>
      <c r="I62" s="39" t="str">
        <f ca="1">IFERROR(__xludf.DUMMYFUNCTION("IF(SUM(COUNTIF(artists!A:A, SPLIT(D62, "",""))) &gt; 0, ""UA"", 0)"),"UA")</f>
        <v>UA</v>
      </c>
      <c r="J62" s="40">
        <f ca="1">IFERROR(__xludf.DUMMYFUNCTION("IF(SUM(COUNTIF(artists!C:C, SPLIT(D62, "",""))) &gt; 0, ""RU"", 0)"),0)</f>
        <v>0</v>
      </c>
      <c r="K62" s="39">
        <f ca="1">IFERROR(__xludf.DUMMYFUNCTION("IF(SUM(COUNTIF(artists!E:E, SPLIT(D62, "",""))) &gt; 0, ""OTHER"", 0)"),0)</f>
        <v>0</v>
      </c>
    </row>
    <row r="63" spans="1:11" ht="14.25" customHeight="1">
      <c r="A63" s="21">
        <v>62</v>
      </c>
      <c r="B63" s="21">
        <v>96</v>
      </c>
      <c r="C63" s="21" t="s">
        <v>470</v>
      </c>
      <c r="D63" s="21" t="s">
        <v>81</v>
      </c>
      <c r="E63" s="21">
        <v>2</v>
      </c>
      <c r="F63" s="21">
        <v>144687</v>
      </c>
      <c r="G63" s="42">
        <v>0.49099999999999999</v>
      </c>
      <c r="H63" s="21" t="s">
        <v>472</v>
      </c>
      <c r="I63" s="39" t="str">
        <f ca="1">IFERROR(__xludf.DUMMYFUNCTION("IF(SUM(COUNTIF(artists!A:A, SPLIT(D63, "",""))) &gt; 0, ""UA"", 0)"),"UA")</f>
        <v>UA</v>
      </c>
      <c r="J63" s="40">
        <f ca="1">IFERROR(__xludf.DUMMYFUNCTION("IF(SUM(COUNTIF(artists!C:C, SPLIT(D63, "",""))) &gt; 0, ""RU"", 0)"),0)</f>
        <v>0</v>
      </c>
      <c r="K63" s="39">
        <f ca="1">IFERROR(__xludf.DUMMYFUNCTION("IF(SUM(COUNTIF(artists!E:E, SPLIT(D63, "",""))) &gt; 0, ""OTHER"", 0)"),0)</f>
        <v>0</v>
      </c>
    </row>
    <row r="64" spans="1:11" ht="14.25" customHeight="1">
      <c r="A64" s="21">
        <v>63</v>
      </c>
      <c r="B64" s="21">
        <v>51</v>
      </c>
      <c r="C64" s="21" t="s">
        <v>1261</v>
      </c>
      <c r="D64" s="21" t="s">
        <v>137</v>
      </c>
      <c r="E64" s="21">
        <v>18</v>
      </c>
      <c r="F64" s="21">
        <v>144122</v>
      </c>
      <c r="G64" s="42">
        <v>5.8999999999999997E-2</v>
      </c>
      <c r="H64" s="21" t="s">
        <v>1262</v>
      </c>
      <c r="I64" s="39" t="str">
        <f ca="1">IFERROR(__xludf.DUMMYFUNCTION("IF(SUM(COUNTIF(artists!A:A, SPLIT(D64, "",""))) &gt; 0, ""UA"", 0)"),"UA")</f>
        <v>UA</v>
      </c>
      <c r="J64" s="40">
        <f ca="1">IFERROR(__xludf.DUMMYFUNCTION("IF(SUM(COUNTIF(artists!C:C, SPLIT(D64, "",""))) &gt; 0, ""RU"", 0)"),0)</f>
        <v>0</v>
      </c>
      <c r="K64" s="39">
        <f ca="1">IFERROR(__xludf.DUMMYFUNCTION("IF(SUM(COUNTIF(artists!E:E, SPLIT(D64, "",""))) &gt; 0, ""OTHER"", 0)"),0)</f>
        <v>0</v>
      </c>
    </row>
    <row r="65" spans="1:11" ht="14.25" customHeight="1">
      <c r="A65" s="21">
        <v>64</v>
      </c>
      <c r="B65" s="21">
        <v>97</v>
      </c>
      <c r="C65" s="21" t="s">
        <v>1477</v>
      </c>
      <c r="D65" s="21" t="s">
        <v>1478</v>
      </c>
      <c r="E65" s="21">
        <v>2</v>
      </c>
      <c r="F65" s="21">
        <v>141666</v>
      </c>
      <c r="G65" s="42">
        <v>0.46800000000000003</v>
      </c>
      <c r="H65" s="21" t="s">
        <v>1479</v>
      </c>
      <c r="I65" s="39" t="str">
        <f ca="1">IFERROR(__xludf.DUMMYFUNCTION("IF(SUM(COUNTIF(artists!A:A, SPLIT(D65, "",""))) &gt; 0, ""UA"", 0)"),"UA")</f>
        <v>UA</v>
      </c>
      <c r="J65" s="40">
        <f ca="1">IFERROR(__xludf.DUMMYFUNCTION("IF(SUM(COUNTIF(artists!C:C, SPLIT(D65, "",""))) &gt; 0, ""RU"", 0)"),0)</f>
        <v>0</v>
      </c>
      <c r="K65" s="39">
        <f ca="1">IFERROR(__xludf.DUMMYFUNCTION("IF(SUM(COUNTIF(artists!E:E, SPLIT(D65, "",""))) &gt; 0, ""OTHER"", 0)"),0)</f>
        <v>0</v>
      </c>
    </row>
    <row r="66" spans="1:11" ht="14.25" customHeight="1">
      <c r="A66" s="21">
        <v>65</v>
      </c>
      <c r="B66" s="21">
        <v>39</v>
      </c>
      <c r="C66" s="21" t="s">
        <v>1944</v>
      </c>
      <c r="D66" s="21" t="s">
        <v>1945</v>
      </c>
      <c r="E66" s="21">
        <v>17</v>
      </c>
      <c r="F66" s="21">
        <v>141605</v>
      </c>
      <c r="G66" s="42">
        <v>-8.1000000000000003E-2</v>
      </c>
      <c r="H66" s="21" t="s">
        <v>1946</v>
      </c>
      <c r="I66" s="39">
        <f ca="1">IFERROR(__xludf.DUMMYFUNCTION("IF(SUM(COUNTIF(artists!A:A, SPLIT(D66, "",""))) &gt; 0, ""UA"", 0)"),0)</f>
        <v>0</v>
      </c>
      <c r="J66" s="40" t="str">
        <f ca="1">IFERROR(__xludf.DUMMYFUNCTION("IF(SUM(COUNTIF(artists!C:C, SPLIT(D66, "",""))) &gt; 0, ""RU"", 0)"),"RU")</f>
        <v>RU</v>
      </c>
      <c r="K66" s="39">
        <f ca="1">IFERROR(__xludf.DUMMYFUNCTION("IF(SUM(COUNTIF(artists!E:E, SPLIT(D66, "",""))) &gt; 0, ""OTHER"", 0)"),0)</f>
        <v>0</v>
      </c>
    </row>
    <row r="67" spans="1:11" ht="14.25" customHeight="1">
      <c r="A67" s="21">
        <v>66</v>
      </c>
      <c r="B67" s="21">
        <v>70</v>
      </c>
      <c r="C67" s="21" t="s">
        <v>470</v>
      </c>
      <c r="D67" s="21" t="s">
        <v>598</v>
      </c>
      <c r="E67" s="21">
        <v>15</v>
      </c>
      <c r="F67" s="21">
        <v>139302</v>
      </c>
      <c r="G67" s="42">
        <v>0.20799999999999999</v>
      </c>
      <c r="H67" s="21" t="s">
        <v>1274</v>
      </c>
      <c r="I67" s="39" t="str">
        <f ca="1">IFERROR(__xludf.DUMMYFUNCTION("IF(SUM(COUNTIF(artists!A:A, SPLIT(D67, "",""))) &gt; 0, ""UA"", 0)"),"UA")</f>
        <v>UA</v>
      </c>
      <c r="J67" s="40">
        <f ca="1">IFERROR(__xludf.DUMMYFUNCTION("IF(SUM(COUNTIF(artists!C:C, SPLIT(D67, "",""))) &gt; 0, ""RU"", 0)"),0)</f>
        <v>0</v>
      </c>
      <c r="K67" s="39">
        <f ca="1">IFERROR(__xludf.DUMMYFUNCTION("IF(SUM(COUNTIF(artists!E:E, SPLIT(D67, "",""))) &gt; 0, ""OTHER"", 0)"),0)</f>
        <v>0</v>
      </c>
    </row>
    <row r="68" spans="1:11" ht="14.25" customHeight="1">
      <c r="A68" s="21">
        <v>67</v>
      </c>
      <c r="B68" s="21">
        <v>87</v>
      </c>
      <c r="C68" s="21" t="s">
        <v>1842</v>
      </c>
      <c r="D68" s="21" t="s">
        <v>1843</v>
      </c>
      <c r="E68" s="21">
        <v>3</v>
      </c>
      <c r="F68" s="21">
        <v>136333</v>
      </c>
      <c r="G68" s="42">
        <v>0.313</v>
      </c>
      <c r="H68" s="21" t="s">
        <v>1844</v>
      </c>
      <c r="I68" s="39">
        <f ca="1">IFERROR(__xludf.DUMMYFUNCTION("IF(SUM(COUNTIF(artists!A:A, SPLIT(D68, "",""))) &gt; 0, ""UA"", 0)"),0)</f>
        <v>0</v>
      </c>
      <c r="J68" s="40" t="str">
        <f ca="1">IFERROR(__xludf.DUMMYFUNCTION("IF(SUM(COUNTIF(artists!C:C, SPLIT(D68, "",""))) &gt; 0, ""RU"", 0)"),"RU")</f>
        <v>RU</v>
      </c>
      <c r="K68" s="39">
        <f ca="1">IFERROR(__xludf.DUMMYFUNCTION("IF(SUM(COUNTIF(artists!E:E, SPLIT(D68, "",""))) &gt; 0, ""OTHER"", 0)"),0)</f>
        <v>0</v>
      </c>
    </row>
    <row r="69" spans="1:11" ht="14.25" customHeight="1">
      <c r="A69" s="21">
        <v>68</v>
      </c>
      <c r="B69" s="21">
        <v>64</v>
      </c>
      <c r="C69" s="21" t="s">
        <v>1498</v>
      </c>
      <c r="D69" s="21" t="s">
        <v>969</v>
      </c>
      <c r="E69" s="21">
        <v>25</v>
      </c>
      <c r="F69" s="21">
        <v>135381</v>
      </c>
      <c r="G69" s="42">
        <v>0.129</v>
      </c>
      <c r="H69" s="21" t="s">
        <v>1499</v>
      </c>
      <c r="I69" s="39" t="str">
        <f ca="1">IFERROR(__xludf.DUMMYFUNCTION("IF(SUM(COUNTIF(artists!A:A, SPLIT(D69, "",""))) &gt; 0, ""UA"", 0)"),"UA")</f>
        <v>UA</v>
      </c>
      <c r="J69" s="40">
        <f ca="1">IFERROR(__xludf.DUMMYFUNCTION("IF(SUM(COUNTIF(artists!C:C, SPLIT(D69, "",""))) &gt; 0, ""RU"", 0)"),0)</f>
        <v>0</v>
      </c>
      <c r="K69" s="39">
        <f ca="1">IFERROR(__xludf.DUMMYFUNCTION("IF(SUM(COUNTIF(artists!E:E, SPLIT(D69, "",""))) &gt; 0, ""OTHER"", 0)"),0)</f>
        <v>0</v>
      </c>
    </row>
    <row r="70" spans="1:11" ht="14.25" customHeight="1">
      <c r="A70" s="21">
        <v>69</v>
      </c>
      <c r="B70" s="21">
        <v>45</v>
      </c>
      <c r="C70" s="21" t="s">
        <v>1939</v>
      </c>
      <c r="D70" s="21" t="s">
        <v>1940</v>
      </c>
      <c r="E70" s="21">
        <v>12</v>
      </c>
      <c r="F70" s="21">
        <v>132989</v>
      </c>
      <c r="G70" s="42">
        <v>-7.6999999999999999E-2</v>
      </c>
      <c r="H70" s="21" t="s">
        <v>1941</v>
      </c>
      <c r="I70" s="39">
        <f ca="1">IFERROR(__xludf.DUMMYFUNCTION("IF(SUM(COUNTIF(artists!A:A, SPLIT(D70, "",""))) &gt; 0, ""UA"", 0)"),0)</f>
        <v>0</v>
      </c>
      <c r="J70" s="40" t="str">
        <f ca="1">IFERROR(__xludf.DUMMYFUNCTION("IF(SUM(COUNTIF(artists!C:C, SPLIT(D70, "",""))) &gt; 0, ""RU"", 0)"),"RU")</f>
        <v>RU</v>
      </c>
      <c r="K70" s="39">
        <f ca="1">IFERROR(__xludf.DUMMYFUNCTION("IF(SUM(COUNTIF(artists!E:E, SPLIT(D70, "",""))) &gt; 0, ""OTHER"", 0)"),0)</f>
        <v>0</v>
      </c>
    </row>
    <row r="71" spans="1:11" ht="14.25" customHeight="1">
      <c r="A71" s="21">
        <v>70</v>
      </c>
      <c r="B71" s="21">
        <v>54</v>
      </c>
      <c r="C71" s="21" t="s">
        <v>1601</v>
      </c>
      <c r="D71" s="21" t="s">
        <v>1602</v>
      </c>
      <c r="E71" s="21">
        <v>6</v>
      </c>
      <c r="F71" s="21">
        <v>132751</v>
      </c>
      <c r="G71" s="43">
        <v>0</v>
      </c>
      <c r="H71" s="21" t="s">
        <v>1603</v>
      </c>
      <c r="I71" s="39">
        <f ca="1">IFERROR(__xludf.DUMMYFUNCTION("IF(SUM(COUNTIF(artists!A:A, SPLIT(D71, "",""))) &gt; 0, ""UA"", 0)"),0)</f>
        <v>0</v>
      </c>
      <c r="J71" s="40" t="str">
        <f ca="1">IFERROR(__xludf.DUMMYFUNCTION("IF(SUM(COUNTIF(artists!C:C, SPLIT(D71, "",""))) &gt; 0, ""RU"", 0)"),"RU")</f>
        <v>RU</v>
      </c>
      <c r="K71" s="39">
        <f ca="1">IFERROR(__xludf.DUMMYFUNCTION("IF(SUM(COUNTIF(artists!E:E, SPLIT(D71, "",""))) &gt; 0, ""OTHER"", 0)"),0)</f>
        <v>0</v>
      </c>
    </row>
    <row r="72" spans="1:11" ht="14.25" customHeight="1">
      <c r="A72" s="21">
        <v>71</v>
      </c>
      <c r="B72" s="21">
        <v>74</v>
      </c>
      <c r="C72" s="21" t="s">
        <v>1447</v>
      </c>
      <c r="D72" s="21" t="s">
        <v>969</v>
      </c>
      <c r="E72" s="21">
        <v>13</v>
      </c>
      <c r="F72" s="21">
        <v>130044</v>
      </c>
      <c r="G72" s="42">
        <v>0.14699999999999999</v>
      </c>
      <c r="H72" s="21" t="s">
        <v>1448</v>
      </c>
      <c r="I72" s="39" t="str">
        <f ca="1">IFERROR(__xludf.DUMMYFUNCTION("IF(SUM(COUNTIF(artists!A:A, SPLIT(D72, "",""))) &gt; 0, ""UA"", 0)"),"UA")</f>
        <v>UA</v>
      </c>
      <c r="J72" s="40">
        <f ca="1">IFERROR(__xludf.DUMMYFUNCTION("IF(SUM(COUNTIF(artists!C:C, SPLIT(D72, "",""))) &gt; 0, ""RU"", 0)"),0)</f>
        <v>0</v>
      </c>
      <c r="K72" s="39">
        <f ca="1">IFERROR(__xludf.DUMMYFUNCTION("IF(SUM(COUNTIF(artists!E:E, SPLIT(D72, "",""))) &gt; 0, ""OTHER"", 0)"),0)</f>
        <v>0</v>
      </c>
    </row>
    <row r="73" spans="1:11" ht="14.25" customHeight="1">
      <c r="A73" s="21">
        <v>72</v>
      </c>
      <c r="B73" s="21">
        <v>66</v>
      </c>
      <c r="C73" s="21" t="s">
        <v>1865</v>
      </c>
      <c r="D73" s="21" t="s">
        <v>1646</v>
      </c>
      <c r="E73" s="21">
        <v>14</v>
      </c>
      <c r="F73" s="21">
        <v>129832</v>
      </c>
      <c r="G73" s="43">
        <v>0.09</v>
      </c>
      <c r="H73" s="21" t="s">
        <v>1866</v>
      </c>
      <c r="I73" s="39">
        <f ca="1">IFERROR(__xludf.DUMMYFUNCTION("IF(SUM(COUNTIF(artists!A:A, SPLIT(D73, "",""))) &gt; 0, ""UA"", 0)"),0)</f>
        <v>0</v>
      </c>
      <c r="J73" s="40" t="str">
        <f ca="1">IFERROR(__xludf.DUMMYFUNCTION("IF(SUM(COUNTIF(artists!C:C, SPLIT(D73, "",""))) &gt; 0, ""RU"", 0)"),"RU")</f>
        <v>RU</v>
      </c>
      <c r="K73" s="39">
        <f ca="1">IFERROR(__xludf.DUMMYFUNCTION("IF(SUM(COUNTIF(artists!E:E, SPLIT(D73, "",""))) &gt; 0, ""OTHER"", 0)"),0)</f>
        <v>0</v>
      </c>
    </row>
    <row r="74" spans="1:11" ht="14.25" customHeight="1">
      <c r="A74" s="21">
        <v>73</v>
      </c>
      <c r="B74" s="21">
        <v>77</v>
      </c>
      <c r="C74" s="21" t="s">
        <v>1431</v>
      </c>
      <c r="D74" s="21" t="s">
        <v>969</v>
      </c>
      <c r="E74" s="21">
        <v>23</v>
      </c>
      <c r="F74" s="21">
        <v>128089</v>
      </c>
      <c r="G74" s="42">
        <v>0.153</v>
      </c>
      <c r="H74" s="21" t="s">
        <v>1432</v>
      </c>
      <c r="I74" s="39" t="str">
        <f ca="1">IFERROR(__xludf.DUMMYFUNCTION("IF(SUM(COUNTIF(artists!A:A, SPLIT(D74, "",""))) &gt; 0, ""UA"", 0)"),"UA")</f>
        <v>UA</v>
      </c>
      <c r="J74" s="40">
        <f ca="1">IFERROR(__xludf.DUMMYFUNCTION("IF(SUM(COUNTIF(artists!C:C, SPLIT(D74, "",""))) &gt; 0, ""RU"", 0)"),0)</f>
        <v>0</v>
      </c>
      <c r="K74" s="39">
        <f ca="1">IFERROR(__xludf.DUMMYFUNCTION("IF(SUM(COUNTIF(artists!E:E, SPLIT(D74, "",""))) &gt; 0, ""OTHER"", 0)"),0)</f>
        <v>0</v>
      </c>
    </row>
    <row r="75" spans="1:11" ht="14.25" customHeight="1">
      <c r="A75" s="21">
        <v>74</v>
      </c>
      <c r="B75" s="21">
        <v>47</v>
      </c>
      <c r="C75" s="21" t="s">
        <v>1518</v>
      </c>
      <c r="D75" s="21" t="s">
        <v>108</v>
      </c>
      <c r="E75" s="21">
        <v>5</v>
      </c>
      <c r="F75" s="21">
        <v>127038</v>
      </c>
      <c r="G75" s="42">
        <v>-0.11600000000000001</v>
      </c>
      <c r="H75" s="21" t="s">
        <v>1519</v>
      </c>
      <c r="I75" s="39" t="str">
        <f ca="1">IFERROR(__xludf.DUMMYFUNCTION("IF(SUM(COUNTIF(artists!A:A, SPLIT(D75, "",""))) &gt; 0, ""UA"", 0)"),"UA")</f>
        <v>UA</v>
      </c>
      <c r="J75" s="40">
        <f ca="1">IFERROR(__xludf.DUMMYFUNCTION("IF(SUM(COUNTIF(artists!C:C, SPLIT(D75, "",""))) &gt; 0, ""RU"", 0)"),0)</f>
        <v>0</v>
      </c>
      <c r="K75" s="39">
        <f ca="1">IFERROR(__xludf.DUMMYFUNCTION("IF(SUM(COUNTIF(artists!E:E, SPLIT(D75, "",""))) &gt; 0, ""OTHER"", 0)"),0)</f>
        <v>0</v>
      </c>
    </row>
    <row r="76" spans="1:11" ht="14.25" customHeight="1">
      <c r="A76" s="21">
        <v>75</v>
      </c>
      <c r="B76" s="21">
        <v>83</v>
      </c>
      <c r="C76" s="21" t="s">
        <v>1861</v>
      </c>
      <c r="D76" s="21" t="s">
        <v>409</v>
      </c>
      <c r="E76" s="21">
        <v>3</v>
      </c>
      <c r="F76" s="21">
        <v>126521</v>
      </c>
      <c r="G76" s="42">
        <v>0.18099999999999999</v>
      </c>
      <c r="H76" s="21" t="s">
        <v>1862</v>
      </c>
      <c r="I76" s="39" t="str">
        <f ca="1">IFERROR(__xludf.DUMMYFUNCTION("IF(SUM(COUNTIF(artists!A:A, SPLIT(D76, "",""))) &gt; 0, ""UA"", 0)"),"UA")</f>
        <v>UA</v>
      </c>
      <c r="J76" s="40">
        <f ca="1">IFERROR(__xludf.DUMMYFUNCTION("IF(SUM(COUNTIF(artists!C:C, SPLIT(D76, "",""))) &gt; 0, ""RU"", 0)"),0)</f>
        <v>0</v>
      </c>
      <c r="K76" s="39">
        <f ca="1">IFERROR(__xludf.DUMMYFUNCTION("IF(SUM(COUNTIF(artists!E:E, SPLIT(D76, "",""))) &gt; 0, ""OTHER"", 0)"),0)</f>
        <v>0</v>
      </c>
    </row>
    <row r="77" spans="1:11" ht="14.25" customHeight="1">
      <c r="A77" s="21">
        <v>76</v>
      </c>
      <c r="B77" s="21">
        <v>61</v>
      </c>
      <c r="C77" s="21" t="s">
        <v>1889</v>
      </c>
      <c r="D77" s="21" t="s">
        <v>1890</v>
      </c>
      <c r="E77" s="21">
        <v>4</v>
      </c>
      <c r="F77" s="21">
        <v>125914</v>
      </c>
      <c r="G77" s="42">
        <v>1.4E-2</v>
      </c>
      <c r="H77" s="21" t="s">
        <v>1891</v>
      </c>
      <c r="I77" s="39" t="str">
        <f ca="1">IFERROR(__xludf.DUMMYFUNCTION("IF(SUM(COUNTIF(artists!A:A, SPLIT(D77, "",""))) &gt; 0, ""UA"", 0)"),"UA")</f>
        <v>UA</v>
      </c>
      <c r="J77" s="40">
        <f ca="1">IFERROR(__xludf.DUMMYFUNCTION("IF(SUM(COUNTIF(artists!C:C, SPLIT(D77, "",""))) &gt; 0, ""RU"", 0)"),0)</f>
        <v>0</v>
      </c>
      <c r="K77" s="39">
        <f ca="1">IFERROR(__xludf.DUMMYFUNCTION("IF(SUM(COUNTIF(artists!E:E, SPLIT(D77, "",""))) &gt; 0, ""OTHER"", 0)"),0)</f>
        <v>0</v>
      </c>
    </row>
    <row r="78" spans="1:11" ht="14.25" customHeight="1">
      <c r="A78" s="21">
        <v>77</v>
      </c>
      <c r="B78" s="21">
        <v>12</v>
      </c>
      <c r="C78" s="21" t="s">
        <v>1967</v>
      </c>
      <c r="D78" s="21" t="s">
        <v>1968</v>
      </c>
      <c r="E78" s="21">
        <v>2</v>
      </c>
      <c r="F78" s="21">
        <v>123236</v>
      </c>
      <c r="G78" s="42">
        <v>-0.625</v>
      </c>
      <c r="H78" s="21" t="s">
        <v>1969</v>
      </c>
      <c r="I78" s="39">
        <f ca="1">IFERROR(__xludf.DUMMYFUNCTION("IF(SUM(COUNTIF(artists!A:A, SPLIT(D78, "",""))) &gt; 0, ""UA"", 0)"),0)</f>
        <v>0</v>
      </c>
      <c r="J78" s="40" t="str">
        <f ca="1">IFERROR(__xludf.DUMMYFUNCTION("IF(SUM(COUNTIF(artists!C:C, SPLIT(D78, "",""))) &gt; 0, ""RU"", 0)"),"RU")</f>
        <v>RU</v>
      </c>
      <c r="K78" s="39">
        <f ca="1">IFERROR(__xludf.DUMMYFUNCTION("IF(SUM(COUNTIF(artists!E:E, SPLIT(D78, "",""))) &gt; 0, ""OTHER"", 0)"),0)</f>
        <v>0</v>
      </c>
    </row>
    <row r="79" spans="1:11" ht="14.25" customHeight="1">
      <c r="A79" s="21">
        <v>78</v>
      </c>
      <c r="B79" s="21">
        <v>91</v>
      </c>
      <c r="C79" s="21" t="s">
        <v>1970</v>
      </c>
      <c r="D79" s="21" t="s">
        <v>1971</v>
      </c>
      <c r="E79" s="21">
        <v>26</v>
      </c>
      <c r="F79" s="21">
        <v>121949</v>
      </c>
      <c r="G79" s="42">
        <v>0.19900000000000001</v>
      </c>
      <c r="H79" s="21" t="s">
        <v>1972</v>
      </c>
      <c r="I79" s="39">
        <f ca="1">IFERROR(__xludf.DUMMYFUNCTION("IF(SUM(COUNTIF(artists!A:A, SPLIT(D79, "",""))) &gt; 0, ""UA"", 0)"),0)</f>
        <v>0</v>
      </c>
      <c r="J79" s="40" t="str">
        <f ca="1">IFERROR(__xludf.DUMMYFUNCTION("IF(SUM(COUNTIF(artists!C:C, SPLIT(D79, "",""))) &gt; 0, ""RU"", 0)"),"RU")</f>
        <v>RU</v>
      </c>
      <c r="K79" s="39">
        <f ca="1">IFERROR(__xludf.DUMMYFUNCTION("IF(SUM(COUNTIF(artists!E:E, SPLIT(D79, "",""))) &gt; 0, ""OTHER"", 0)"),0)</f>
        <v>0</v>
      </c>
    </row>
    <row r="80" spans="1:11" ht="14.25" customHeight="1">
      <c r="A80" s="21">
        <v>79</v>
      </c>
      <c r="B80" s="21">
        <v>81</v>
      </c>
      <c r="C80" s="21" t="s">
        <v>1337</v>
      </c>
      <c r="D80" s="21" t="s">
        <v>1338</v>
      </c>
      <c r="E80" s="21">
        <v>11</v>
      </c>
      <c r="F80" s="21">
        <v>121823</v>
      </c>
      <c r="G80" s="42">
        <v>0.124</v>
      </c>
      <c r="H80" s="21" t="s">
        <v>1339</v>
      </c>
      <c r="I80" s="39">
        <f ca="1">IFERROR(__xludf.DUMMYFUNCTION("IF(SUM(COUNTIF(artists!A:A, SPLIT(D80, "",""))) &gt; 0, ""UA"", 0)"),0)</f>
        <v>0</v>
      </c>
      <c r="J80" s="40">
        <f ca="1">IFERROR(__xludf.DUMMYFUNCTION("IF(SUM(COUNTIF(artists!C:C, SPLIT(D80, "",""))) &gt; 0, ""RU"", 0)"),0)</f>
        <v>0</v>
      </c>
      <c r="K80" s="39" t="str">
        <f ca="1">IFERROR(__xludf.DUMMYFUNCTION("IF(SUM(COUNTIF(artists!E:E, SPLIT(D80, "",""))) &gt; 0, ""OTHER"", 0)"),"OTHER")</f>
        <v>OTHER</v>
      </c>
    </row>
    <row r="81" spans="1:11" ht="14.25" customHeight="1">
      <c r="A81" s="21">
        <v>80</v>
      </c>
      <c r="C81" s="21" t="s">
        <v>1763</v>
      </c>
      <c r="D81" s="21" t="s">
        <v>81</v>
      </c>
      <c r="E81" s="21">
        <v>23</v>
      </c>
      <c r="F81" s="21">
        <v>120908</v>
      </c>
      <c r="H81" s="21" t="s">
        <v>1764</v>
      </c>
      <c r="I81" s="39" t="str">
        <f ca="1">IFERROR(__xludf.DUMMYFUNCTION("IF(SUM(COUNTIF(artists!A:A, SPLIT(D81, "",""))) &gt; 0, ""UA"", 0)"),"UA")</f>
        <v>UA</v>
      </c>
      <c r="J81" s="40">
        <f ca="1">IFERROR(__xludf.DUMMYFUNCTION("IF(SUM(COUNTIF(artists!C:C, SPLIT(D81, "",""))) &gt; 0, ""RU"", 0)"),0)</f>
        <v>0</v>
      </c>
      <c r="K81" s="39">
        <f ca="1">IFERROR(__xludf.DUMMYFUNCTION("IF(SUM(COUNTIF(artists!E:E, SPLIT(D81, "",""))) &gt; 0, ""OTHER"", 0)"),0)</f>
        <v>0</v>
      </c>
    </row>
    <row r="82" spans="1:11" ht="14.25" customHeight="1">
      <c r="A82" s="21">
        <v>81</v>
      </c>
      <c r="B82" s="21">
        <v>58</v>
      </c>
      <c r="C82" s="21" t="s">
        <v>408</v>
      </c>
      <c r="D82" s="21" t="s">
        <v>409</v>
      </c>
      <c r="E82" s="21">
        <v>3</v>
      </c>
      <c r="F82" s="21">
        <v>120754</v>
      </c>
      <c r="G82" s="42">
        <v>-4.9000000000000002E-2</v>
      </c>
      <c r="H82" s="21" t="s">
        <v>410</v>
      </c>
      <c r="I82" s="39" t="str">
        <f ca="1">IFERROR(__xludf.DUMMYFUNCTION("IF(SUM(COUNTIF(artists!A:A, SPLIT(D82, "",""))) &gt; 0, ""UA"", 0)"),"UA")</f>
        <v>UA</v>
      </c>
      <c r="J82" s="40">
        <f ca="1">IFERROR(__xludf.DUMMYFUNCTION("IF(SUM(COUNTIF(artists!C:C, SPLIT(D82, "",""))) &gt; 0, ""RU"", 0)"),0)</f>
        <v>0</v>
      </c>
      <c r="K82" s="39">
        <f ca="1">IFERROR(__xludf.DUMMYFUNCTION("IF(SUM(COUNTIF(artists!E:E, SPLIT(D82, "",""))) &gt; 0, ""OTHER"", 0)"),0)</f>
        <v>0</v>
      </c>
    </row>
    <row r="83" spans="1:11" ht="14.25" customHeight="1">
      <c r="A83" s="21">
        <v>82</v>
      </c>
      <c r="B83" s="21">
        <v>86</v>
      </c>
      <c r="C83" s="21" t="s">
        <v>1392</v>
      </c>
      <c r="D83" s="21" t="s">
        <v>1393</v>
      </c>
      <c r="E83" s="21">
        <v>7</v>
      </c>
      <c r="F83" s="21">
        <v>116259</v>
      </c>
      <c r="G83" s="42">
        <v>0.114</v>
      </c>
      <c r="H83" s="21" t="s">
        <v>1394</v>
      </c>
      <c r="I83" s="39">
        <f ca="1">IFERROR(__xludf.DUMMYFUNCTION("IF(SUM(COUNTIF(artists!A:A, SPLIT(D83, "",""))) &gt; 0, ""UA"", 0)"),0)</f>
        <v>0</v>
      </c>
      <c r="J83" s="40" t="str">
        <f ca="1">IFERROR(__xludf.DUMMYFUNCTION("IF(SUM(COUNTIF(artists!C:C, SPLIT(D83, "",""))) &gt; 0, ""RU"", 0)"),"RU")</f>
        <v>RU</v>
      </c>
      <c r="K83" s="39">
        <f ca="1">IFERROR(__xludf.DUMMYFUNCTION("IF(SUM(COUNTIF(artists!E:E, SPLIT(D83, "",""))) &gt; 0, ""OTHER"", 0)"),0)</f>
        <v>0</v>
      </c>
    </row>
    <row r="84" spans="1:11" ht="14.25" customHeight="1">
      <c r="A84" s="21">
        <v>83</v>
      </c>
      <c r="B84" s="21">
        <v>80</v>
      </c>
      <c r="C84" s="21" t="s">
        <v>1774</v>
      </c>
      <c r="D84" s="21" t="s">
        <v>1775</v>
      </c>
      <c r="E84" s="21">
        <v>20</v>
      </c>
      <c r="F84" s="21">
        <v>116165</v>
      </c>
      <c r="G84" s="42">
        <v>7.1999999999999995E-2</v>
      </c>
      <c r="H84" s="21" t="s">
        <v>1776</v>
      </c>
      <c r="I84" s="39">
        <f ca="1">IFERROR(__xludf.DUMMYFUNCTION("IF(SUM(COUNTIF(artists!A:A, SPLIT(D84, "",""))) &gt; 0, ""UA"", 0)"),0)</f>
        <v>0</v>
      </c>
      <c r="J84" s="40" t="str">
        <f ca="1">IFERROR(__xludf.DUMMYFUNCTION("IF(SUM(COUNTIF(artists!C:C, SPLIT(D84, "",""))) &gt; 0, ""RU"", 0)"),"RU")</f>
        <v>RU</v>
      </c>
      <c r="K84" s="39">
        <f ca="1">IFERROR(__xludf.DUMMYFUNCTION("IF(SUM(COUNTIF(artists!E:E, SPLIT(D84, "",""))) &gt; 0, ""OTHER"", 0)"),0)</f>
        <v>0</v>
      </c>
    </row>
    <row r="85" spans="1:11" ht="14.25" customHeight="1">
      <c r="A85" s="21">
        <v>84</v>
      </c>
      <c r="B85" s="21">
        <v>79</v>
      </c>
      <c r="C85" s="21" t="s">
        <v>1887</v>
      </c>
      <c r="D85" s="21" t="s">
        <v>1099</v>
      </c>
      <c r="E85" s="21">
        <v>10</v>
      </c>
      <c r="F85" s="21">
        <v>115496</v>
      </c>
      <c r="G85" s="42">
        <v>6.3E-2</v>
      </c>
      <c r="H85" s="21" t="s">
        <v>1888</v>
      </c>
      <c r="I85" s="39">
        <f ca="1">IFERROR(__xludf.DUMMYFUNCTION("IF(SUM(COUNTIF(artists!A:A, SPLIT(D85, "",""))) &gt; 0, ""UA"", 0)"),0)</f>
        <v>0</v>
      </c>
      <c r="J85" s="40" t="str">
        <f ca="1">IFERROR(__xludf.DUMMYFUNCTION("IF(SUM(COUNTIF(artists!C:C, SPLIT(D85, "",""))) &gt; 0, ""RU"", 0)"),"RU")</f>
        <v>RU</v>
      </c>
      <c r="K85" s="39">
        <f ca="1">IFERROR(__xludf.DUMMYFUNCTION("IF(SUM(COUNTIF(artists!E:E, SPLIT(D85, "",""))) &gt; 0, ""OTHER"", 0)"),0)</f>
        <v>0</v>
      </c>
    </row>
    <row r="86" spans="1:11" ht="14.25" customHeight="1">
      <c r="A86" s="21">
        <v>85</v>
      </c>
      <c r="C86" s="21" t="s">
        <v>1670</v>
      </c>
      <c r="D86" s="21" t="s">
        <v>969</v>
      </c>
      <c r="E86" s="21">
        <v>13</v>
      </c>
      <c r="F86" s="21">
        <v>115356</v>
      </c>
      <c r="H86" s="21" t="s">
        <v>1671</v>
      </c>
      <c r="I86" s="39" t="str">
        <f ca="1">IFERROR(__xludf.DUMMYFUNCTION("IF(SUM(COUNTIF(artists!A:A, SPLIT(D86, "",""))) &gt; 0, ""UA"", 0)"),"UA")</f>
        <v>UA</v>
      </c>
      <c r="J86" s="40">
        <f ca="1">IFERROR(__xludf.DUMMYFUNCTION("IF(SUM(COUNTIF(artists!C:C, SPLIT(D86, "",""))) &gt; 0, ""RU"", 0)"),0)</f>
        <v>0</v>
      </c>
      <c r="K86" s="39">
        <f ca="1">IFERROR(__xludf.DUMMYFUNCTION("IF(SUM(COUNTIF(artists!E:E, SPLIT(D86, "",""))) &gt; 0, ""OTHER"", 0)"),0)</f>
        <v>0</v>
      </c>
    </row>
    <row r="87" spans="1:11" ht="14.25" customHeight="1">
      <c r="A87" s="21">
        <v>86</v>
      </c>
      <c r="B87" s="21">
        <v>72</v>
      </c>
      <c r="C87" s="21" t="s">
        <v>1483</v>
      </c>
      <c r="D87" s="21" t="s">
        <v>972</v>
      </c>
      <c r="E87" s="21">
        <v>18</v>
      </c>
      <c r="F87" s="21">
        <v>115199</v>
      </c>
      <c r="G87" s="42">
        <v>4.0000000000000001E-3</v>
      </c>
      <c r="H87" s="21" t="s">
        <v>1484</v>
      </c>
      <c r="I87" s="39">
        <f ca="1">IFERROR(__xludf.DUMMYFUNCTION("IF(SUM(COUNTIF(artists!A:A, SPLIT(D87, "",""))) &gt; 0, ""UA"", 0)"),0)</f>
        <v>0</v>
      </c>
      <c r="J87" s="40">
        <f ca="1">IFERROR(__xludf.DUMMYFUNCTION("IF(SUM(COUNTIF(artists!C:C, SPLIT(D87, "",""))) &gt; 0, ""RU"", 0)"),0)</f>
        <v>0</v>
      </c>
      <c r="K87" s="39" t="str">
        <f ca="1">IFERROR(__xludf.DUMMYFUNCTION("IF(SUM(COUNTIF(artists!E:E, SPLIT(D87, "",""))) &gt; 0, ""OTHER"", 0)"),"OTHER")</f>
        <v>OTHER</v>
      </c>
    </row>
    <row r="88" spans="1:11" ht="14.25" customHeight="1">
      <c r="A88" s="21">
        <v>87</v>
      </c>
      <c r="B88" s="21">
        <v>88</v>
      </c>
      <c r="C88" s="21" t="s">
        <v>1942</v>
      </c>
      <c r="D88" s="21" t="s">
        <v>1637</v>
      </c>
      <c r="E88" s="21">
        <v>33</v>
      </c>
      <c r="F88" s="21">
        <v>114592</v>
      </c>
      <c r="G88" s="43">
        <v>0.11</v>
      </c>
      <c r="H88" s="21" t="s">
        <v>1943</v>
      </c>
      <c r="I88" s="39">
        <f ca="1">IFERROR(__xludf.DUMMYFUNCTION("IF(SUM(COUNTIF(artists!A:A, SPLIT(D88, "",""))) &gt; 0, ""UA"", 0)"),0)</f>
        <v>0</v>
      </c>
      <c r="J88" s="40" t="str">
        <f ca="1">IFERROR(__xludf.DUMMYFUNCTION("IF(SUM(COUNTIF(artists!C:C, SPLIT(D88, "",""))) &gt; 0, ""RU"", 0)"),"RU")</f>
        <v>RU</v>
      </c>
      <c r="K88" s="39">
        <f ca="1">IFERROR(__xludf.DUMMYFUNCTION("IF(SUM(COUNTIF(artists!E:E, SPLIT(D88, "",""))) &gt; 0, ""OTHER"", 0)"),0)</f>
        <v>0</v>
      </c>
    </row>
    <row r="89" spans="1:11" ht="14.25" customHeight="1">
      <c r="A89" s="21">
        <v>88</v>
      </c>
      <c r="B89" s="21">
        <v>94</v>
      </c>
      <c r="C89" s="21" t="s">
        <v>1327</v>
      </c>
      <c r="D89" s="21" t="s">
        <v>89</v>
      </c>
      <c r="E89" s="21">
        <v>23</v>
      </c>
      <c r="F89" s="21">
        <v>114375</v>
      </c>
      <c r="G89" s="42">
        <v>0.16500000000000001</v>
      </c>
      <c r="H89" s="21" t="s">
        <v>1328</v>
      </c>
      <c r="I89" s="39" t="str">
        <f ca="1">IFERROR(__xludf.DUMMYFUNCTION("IF(SUM(COUNTIF(artists!A:A, SPLIT(D89, "",""))) &gt; 0, ""UA"", 0)"),"UA")</f>
        <v>UA</v>
      </c>
      <c r="J89" s="40">
        <f ca="1">IFERROR(__xludf.DUMMYFUNCTION("IF(SUM(COUNTIF(artists!C:C, SPLIT(D89, "",""))) &gt; 0, ""RU"", 0)"),0)</f>
        <v>0</v>
      </c>
      <c r="K89" s="39">
        <f ca="1">IFERROR(__xludf.DUMMYFUNCTION("IF(SUM(COUNTIF(artists!E:E, SPLIT(D89, "",""))) &gt; 0, ""OTHER"", 0)"),0)</f>
        <v>0</v>
      </c>
    </row>
    <row r="90" spans="1:11" ht="14.25" customHeight="1">
      <c r="A90" s="21">
        <v>89</v>
      </c>
      <c r="C90" s="21" t="s">
        <v>1820</v>
      </c>
      <c r="D90" s="21" t="s">
        <v>1439</v>
      </c>
      <c r="E90" s="21">
        <v>1</v>
      </c>
      <c r="F90" s="21">
        <v>113701</v>
      </c>
      <c r="H90" s="21" t="s">
        <v>1821</v>
      </c>
      <c r="I90" s="39" t="str">
        <f ca="1">IFERROR(__xludf.DUMMYFUNCTION("IF(SUM(COUNTIF(artists!A:A, SPLIT(D90, "",""))) &gt; 0, ""UA"", 0)"),"UA")</f>
        <v>UA</v>
      </c>
      <c r="J90" s="40">
        <f ca="1">IFERROR(__xludf.DUMMYFUNCTION("IF(SUM(COUNTIF(artists!C:C, SPLIT(D90, "",""))) &gt; 0, ""RU"", 0)"),0)</f>
        <v>0</v>
      </c>
      <c r="K90" s="39">
        <f ca="1">IFERROR(__xludf.DUMMYFUNCTION("IF(SUM(COUNTIF(artists!E:E, SPLIT(D90, "",""))) &gt; 0, ""OTHER"", 0)"),0)</f>
        <v>0</v>
      </c>
    </row>
    <row r="91" spans="1:11" ht="14.25" customHeight="1">
      <c r="A91" s="21">
        <v>90</v>
      </c>
      <c r="B91" s="21">
        <v>53</v>
      </c>
      <c r="C91" s="21" t="s">
        <v>1973</v>
      </c>
      <c r="D91" s="21" t="s">
        <v>1974</v>
      </c>
      <c r="E91" s="21">
        <v>5</v>
      </c>
      <c r="F91" s="21">
        <v>113632</v>
      </c>
      <c r="G91" s="42">
        <v>-0.14499999999999999</v>
      </c>
      <c r="H91" s="21" t="s">
        <v>1975</v>
      </c>
      <c r="I91" s="39">
        <f ca="1">IFERROR(__xludf.DUMMYFUNCTION("IF(SUM(COUNTIF(artists!A:A, SPLIT(D91, "",""))) &gt; 0, ""UA"", 0)"),0)</f>
        <v>0</v>
      </c>
      <c r="J91" s="40" t="str">
        <f ca="1">IFERROR(__xludf.DUMMYFUNCTION("IF(SUM(COUNTIF(artists!C:C, SPLIT(D91, "",""))) &gt; 0, ""RU"", 0)"),"RU")</f>
        <v>RU</v>
      </c>
      <c r="K91" s="39">
        <f ca="1">IFERROR(__xludf.DUMMYFUNCTION("IF(SUM(COUNTIF(artists!E:E, SPLIT(D91, "",""))) &gt; 0, ""OTHER"", 0)"),0)</f>
        <v>0</v>
      </c>
    </row>
    <row r="92" spans="1:11" ht="14.25" customHeight="1">
      <c r="A92" s="21">
        <v>91</v>
      </c>
      <c r="B92" s="21">
        <v>62</v>
      </c>
      <c r="C92" s="21" t="s">
        <v>1822</v>
      </c>
      <c r="D92" s="21" t="s">
        <v>1823</v>
      </c>
      <c r="E92" s="21">
        <v>3</v>
      </c>
      <c r="F92" s="21">
        <v>112657</v>
      </c>
      <c r="G92" s="42">
        <v>-8.6999999999999994E-2</v>
      </c>
      <c r="H92" s="21" t="s">
        <v>1824</v>
      </c>
      <c r="I92" s="39" t="str">
        <f ca="1">IFERROR(__xludf.DUMMYFUNCTION("IF(SUM(COUNTIF(artists!A:A, SPLIT(D92, "",""))) &gt; 0, ""UA"", 0)"),"UA")</f>
        <v>UA</v>
      </c>
      <c r="J92" s="40">
        <f ca="1">IFERROR(__xludf.DUMMYFUNCTION("IF(SUM(COUNTIF(artists!C:C, SPLIT(D92, "",""))) &gt; 0, ""RU"", 0)"),0)</f>
        <v>0</v>
      </c>
      <c r="K92" s="39">
        <f ca="1">IFERROR(__xludf.DUMMYFUNCTION("IF(SUM(COUNTIF(artists!E:E, SPLIT(D92, "",""))) &gt; 0, ""OTHER"", 0)"),0)</f>
        <v>0</v>
      </c>
    </row>
    <row r="93" spans="1:11" ht="14.25" customHeight="1">
      <c r="A93" s="21">
        <v>92</v>
      </c>
      <c r="C93" s="21" t="s">
        <v>1976</v>
      </c>
      <c r="D93" s="21" t="s">
        <v>1977</v>
      </c>
      <c r="E93" s="21">
        <v>29</v>
      </c>
      <c r="F93" s="21">
        <v>112602</v>
      </c>
      <c r="H93" s="21" t="s">
        <v>1978</v>
      </c>
      <c r="I93" s="39">
        <f ca="1">IFERROR(__xludf.DUMMYFUNCTION("IF(SUM(COUNTIF(artists!A:A, SPLIT(D93, "",""))) &gt; 0, ""UA"", 0)"),0)</f>
        <v>0</v>
      </c>
      <c r="J93" s="40" t="str">
        <f ca="1">IFERROR(__xludf.DUMMYFUNCTION("IF(SUM(COUNTIF(artists!C:C, SPLIT(D93, "",""))) &gt; 0, ""RU"", 0)"),"RU")</f>
        <v>RU</v>
      </c>
      <c r="K93" s="39">
        <f ca="1">IFERROR(__xludf.DUMMYFUNCTION("IF(SUM(COUNTIF(artists!E:E, SPLIT(D93, "",""))) &gt; 0, ""OTHER"", 0)"),0)</f>
        <v>0</v>
      </c>
    </row>
    <row r="94" spans="1:11" ht="14.25" customHeight="1">
      <c r="A94" s="21">
        <v>93</v>
      </c>
      <c r="C94" s="21" t="s">
        <v>489</v>
      </c>
      <c r="D94" s="21" t="s">
        <v>490</v>
      </c>
      <c r="E94" s="21">
        <v>1</v>
      </c>
      <c r="F94" s="21">
        <v>108215</v>
      </c>
      <c r="H94" s="21" t="s">
        <v>491</v>
      </c>
      <c r="I94" s="39" t="str">
        <f ca="1">IFERROR(__xludf.DUMMYFUNCTION("IF(SUM(COUNTIF(artists!A:A, SPLIT(D94, "",""))) &gt; 0, ""UA"", 0)"),"UA")</f>
        <v>UA</v>
      </c>
      <c r="J94" s="40">
        <f ca="1">IFERROR(__xludf.DUMMYFUNCTION("IF(SUM(COUNTIF(artists!C:C, SPLIT(D94, "",""))) &gt; 0, ""RU"", 0)"),0)</f>
        <v>0</v>
      </c>
      <c r="K94" s="39">
        <f ca="1">IFERROR(__xludf.DUMMYFUNCTION("IF(SUM(COUNTIF(artists!E:E, SPLIT(D94, "",""))) &gt; 0, ""OTHER"", 0)"),0)</f>
        <v>0</v>
      </c>
    </row>
    <row r="95" spans="1:11" ht="14.25" customHeight="1">
      <c r="A95" s="21">
        <v>94</v>
      </c>
      <c r="C95" s="21" t="s">
        <v>1979</v>
      </c>
      <c r="D95" s="21" t="s">
        <v>805</v>
      </c>
      <c r="E95" s="21">
        <v>3</v>
      </c>
      <c r="F95" s="21">
        <v>107563</v>
      </c>
      <c r="H95" s="21" t="s">
        <v>1980</v>
      </c>
      <c r="I95" s="39" t="str">
        <f ca="1">IFERROR(__xludf.DUMMYFUNCTION("IF(SUM(COUNTIF(artists!A:A, SPLIT(D95, "",""))) &gt; 0, ""UA"", 0)"),"UA")</f>
        <v>UA</v>
      </c>
      <c r="J95" s="40">
        <f ca="1">IFERROR(__xludf.DUMMYFUNCTION("IF(SUM(COUNTIF(artists!C:C, SPLIT(D95, "",""))) &gt; 0, ""RU"", 0)"),0)</f>
        <v>0</v>
      </c>
      <c r="K95" s="39">
        <f ca="1">IFERROR(__xludf.DUMMYFUNCTION("IF(SUM(COUNTIF(artists!E:E, SPLIT(D95, "",""))) &gt; 0, ""OTHER"", 0)"),0)</f>
        <v>0</v>
      </c>
    </row>
    <row r="96" spans="1:11" ht="14.25" customHeight="1">
      <c r="A96" s="21">
        <v>95</v>
      </c>
      <c r="C96" s="21" t="s">
        <v>1981</v>
      </c>
      <c r="D96" s="21" t="s">
        <v>1982</v>
      </c>
      <c r="E96" s="21">
        <v>1</v>
      </c>
      <c r="F96" s="21">
        <v>106219</v>
      </c>
      <c r="H96" s="21" t="s">
        <v>1983</v>
      </c>
      <c r="I96" s="39">
        <f ca="1">IFERROR(__xludf.DUMMYFUNCTION("IF(SUM(COUNTIF(artists!A:A, SPLIT(D96, "",""))) &gt; 0, ""UA"", 0)"),0)</f>
        <v>0</v>
      </c>
      <c r="J96" s="40" t="str">
        <f ca="1">IFERROR(__xludf.DUMMYFUNCTION("IF(SUM(COUNTIF(artists!C:C, SPLIT(D96, "",""))) &gt; 0, ""RU"", 0)"),"RU")</f>
        <v>RU</v>
      </c>
      <c r="K96" s="39">
        <f ca="1">IFERROR(__xludf.DUMMYFUNCTION("IF(SUM(COUNTIF(artists!E:E, SPLIT(D96, "",""))) &gt; 0, ""OTHER"", 0)"),0)</f>
        <v>0</v>
      </c>
    </row>
    <row r="97" spans="1:11" ht="14.25" customHeight="1">
      <c r="A97" s="21">
        <v>96</v>
      </c>
      <c r="B97" s="21">
        <v>75</v>
      </c>
      <c r="C97" s="21" t="s">
        <v>1984</v>
      </c>
      <c r="D97" s="21" t="s">
        <v>1985</v>
      </c>
      <c r="E97" s="21">
        <v>8</v>
      </c>
      <c r="F97" s="21">
        <v>105890</v>
      </c>
      <c r="G97" s="42">
        <v>-5.5E-2</v>
      </c>
      <c r="H97" s="21" t="s">
        <v>1986</v>
      </c>
      <c r="I97" s="39">
        <f ca="1">IFERROR(__xludf.DUMMYFUNCTION("IF(SUM(COUNTIF(artists!A:A, SPLIT(D97, "",""))) &gt; 0, ""UA"", 0)"),0)</f>
        <v>0</v>
      </c>
      <c r="J97" s="40" t="str">
        <f ca="1">IFERROR(__xludf.DUMMYFUNCTION("IF(SUM(COUNTIF(artists!C:C, SPLIT(D97, "",""))) &gt; 0, ""RU"", 0)"),"RU")</f>
        <v>RU</v>
      </c>
      <c r="K97" s="39">
        <f ca="1">IFERROR(__xludf.DUMMYFUNCTION("IF(SUM(COUNTIF(artists!E:E, SPLIT(D97, "",""))) &gt; 0, ""OTHER"", 0)"),0)</f>
        <v>0</v>
      </c>
    </row>
    <row r="98" spans="1:11" ht="14.25" customHeight="1">
      <c r="A98" s="21">
        <v>97</v>
      </c>
      <c r="B98" s="21">
        <v>84</v>
      </c>
      <c r="C98" s="21" t="s">
        <v>1987</v>
      </c>
      <c r="D98" s="21" t="s">
        <v>1988</v>
      </c>
      <c r="E98" s="21">
        <v>7</v>
      </c>
      <c r="F98" s="21">
        <v>105887</v>
      </c>
      <c r="G98" s="42">
        <v>7.0000000000000001E-3</v>
      </c>
      <c r="H98" s="21" t="s">
        <v>1989</v>
      </c>
      <c r="I98" s="39">
        <f ca="1">IFERROR(__xludf.DUMMYFUNCTION("IF(SUM(COUNTIF(artists!A:A, SPLIT(D98, "",""))) &gt; 0, ""UA"", 0)"),0)</f>
        <v>0</v>
      </c>
      <c r="J98" s="40" t="str">
        <f ca="1">IFERROR(__xludf.DUMMYFUNCTION("IF(SUM(COUNTIF(artists!C:C, SPLIT(D98, "",""))) &gt; 0, ""RU"", 0)"),"RU")</f>
        <v>RU</v>
      </c>
      <c r="K98" s="39">
        <f ca="1">IFERROR(__xludf.DUMMYFUNCTION("IF(SUM(COUNTIF(artists!E:E, SPLIT(D98, "",""))) &gt; 0, ""OTHER"", 0)"),0)</f>
        <v>0</v>
      </c>
    </row>
    <row r="99" spans="1:11" ht="14.25" customHeight="1">
      <c r="A99" s="21">
        <v>98</v>
      </c>
      <c r="B99" s="21">
        <v>98</v>
      </c>
      <c r="C99" s="21" t="s">
        <v>1609</v>
      </c>
      <c r="D99" s="21" t="s">
        <v>586</v>
      </c>
      <c r="E99" s="21">
        <v>13</v>
      </c>
      <c r="F99" s="21">
        <v>105339</v>
      </c>
      <c r="G99" s="42">
        <v>0.10100000000000001</v>
      </c>
      <c r="H99" s="21" t="s">
        <v>1610</v>
      </c>
      <c r="I99" s="39" t="str">
        <f ca="1">IFERROR(__xludf.DUMMYFUNCTION("IF(SUM(COUNTIF(artists!A:A, SPLIT(D99, "",""))) &gt; 0, ""UA"", 0)"),"UA")</f>
        <v>UA</v>
      </c>
      <c r="J99" s="40">
        <f ca="1">IFERROR(__xludf.DUMMYFUNCTION("IF(SUM(COUNTIF(artists!C:C, SPLIT(D99, "",""))) &gt; 0, ""RU"", 0)"),0)</f>
        <v>0</v>
      </c>
      <c r="K99" s="39">
        <f ca="1">IFERROR(__xludf.DUMMYFUNCTION("IF(SUM(COUNTIF(artists!E:E, SPLIT(D99, "",""))) &gt; 0, ""OTHER"", 0)"),0)</f>
        <v>0</v>
      </c>
    </row>
    <row r="100" spans="1:11" ht="14.25" customHeight="1">
      <c r="A100" s="21">
        <v>99</v>
      </c>
      <c r="B100" s="21">
        <v>90</v>
      </c>
      <c r="C100" s="21" t="s">
        <v>613</v>
      </c>
      <c r="D100" s="21" t="s">
        <v>614</v>
      </c>
      <c r="E100" s="21">
        <v>13</v>
      </c>
      <c r="F100" s="21">
        <v>104895</v>
      </c>
      <c r="G100" s="43">
        <v>0.03</v>
      </c>
      <c r="H100" s="21" t="s">
        <v>615</v>
      </c>
      <c r="I100" s="39">
        <f ca="1">IFERROR(__xludf.DUMMYFUNCTION("IF(SUM(COUNTIF(artists!A:A, SPLIT(D100, "",""))) &gt; 0, ""UA"", 0)"),0)</f>
        <v>0</v>
      </c>
      <c r="J100" s="40" t="str">
        <f ca="1">IFERROR(__xludf.DUMMYFUNCTION("IF(SUM(COUNTIF(artists!C:C, SPLIT(D100, "",""))) &gt; 0, ""RU"", 0)"),"RU")</f>
        <v>RU</v>
      </c>
      <c r="K100" s="39">
        <f ca="1">IFERROR(__xludf.DUMMYFUNCTION("IF(SUM(COUNTIF(artists!E:E, SPLIT(D100, "",""))) &gt; 0, ""OTHER"", 0)"),0)</f>
        <v>0</v>
      </c>
    </row>
    <row r="101" spans="1:11" ht="14.25" customHeight="1">
      <c r="A101" s="21">
        <v>100</v>
      </c>
      <c r="B101" s="21">
        <v>36</v>
      </c>
      <c r="C101" s="21" t="s">
        <v>1990</v>
      </c>
      <c r="D101" s="21" t="s">
        <v>910</v>
      </c>
      <c r="E101" s="21">
        <v>2</v>
      </c>
      <c r="F101" s="21">
        <v>102224</v>
      </c>
      <c r="G101" s="42">
        <v>-0.371</v>
      </c>
      <c r="H101" s="21" t="s">
        <v>1991</v>
      </c>
      <c r="I101" s="39" t="str">
        <f ca="1">IFERROR(__xludf.DUMMYFUNCTION("IF(SUM(COUNTIF(artists!A:A, SPLIT(D101, "",""))) &gt; 0, ""UA"", 0)"),"UA")</f>
        <v>UA</v>
      </c>
      <c r="J101" s="40">
        <f ca="1">IFERROR(__xludf.DUMMYFUNCTION("IF(SUM(COUNTIF(artists!C:C, SPLIT(D101, "",""))) &gt; 0, ""RU"", 0)"),0)</f>
        <v>0</v>
      </c>
      <c r="K101" s="39">
        <f ca="1">IFERROR(__xludf.DUMMYFUNCTION("IF(SUM(COUNTIF(artists!E:E, SPLIT(D101, "",""))) &gt; 0, ""OTHER"", 0)"),0)</f>
        <v>0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21" priority="1">
      <formula>AND($I2=0, $J2=0, $K2=0)</formula>
    </cfRule>
    <cfRule type="expression" dxfId="20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400-000000000000}">
  <sheetPr codeName="Аркуш53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4" width="8.6640625" customWidth="1"/>
    <col min="5" max="5" width="8.6640625" hidden="1" customWidth="1"/>
    <col min="6" max="6" width="8.6640625" customWidth="1"/>
    <col min="7" max="7" width="13.10937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B2" s="21">
        <v>1</v>
      </c>
      <c r="C2" s="21" t="s">
        <v>645</v>
      </c>
      <c r="D2" s="21" t="s">
        <v>352</v>
      </c>
      <c r="E2" s="21">
        <v>5</v>
      </c>
      <c r="F2" s="21">
        <v>938991</v>
      </c>
      <c r="G2" s="42">
        <v>0.41299999999999998</v>
      </c>
      <c r="H2" s="21" t="s">
        <v>647</v>
      </c>
      <c r="I2" s="39" t="str">
        <f ca="1">IFERROR(__xludf.DUMMYFUNCTION("IF(SUM(COUNTIF(artists!A:A, SPLIT(D2, "",""))) &gt; 0, ""UA"", 0)"),"UA")</f>
        <v>UA</v>
      </c>
      <c r="J2" s="40">
        <f ca="1">IFERROR(__xludf.DUMMYFUNCTION("IF(SUM(COUNTIF(artists!C:C, SPLIT(D2, "",""))) &gt; 0, ""RU"", 0)"),0)</f>
        <v>0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C3" s="21" t="s">
        <v>1909</v>
      </c>
      <c r="D3" s="21" t="s">
        <v>1534</v>
      </c>
      <c r="E3" s="21">
        <v>1</v>
      </c>
      <c r="F3" s="21">
        <v>754466</v>
      </c>
      <c r="H3" s="21" t="s">
        <v>1910</v>
      </c>
      <c r="I3" s="39">
        <f ca="1">IFERROR(__xludf.DUMMYFUNCTION("IF(SUM(COUNTIF(artists!A:A, SPLIT(D3, "",""))) &gt; 0, ""UA"", 0)"),0)</f>
        <v>0</v>
      </c>
      <c r="J3" s="40" t="str">
        <f ca="1">IFERROR(__xludf.DUMMYFUNCTION("IF(SUM(COUNTIF(artists!C:C, SPLIT(D3, "",""))) &gt; 0, ""RU"", 0)"),"RU")</f>
        <v>RU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B4" s="21">
        <v>2</v>
      </c>
      <c r="C4" s="21" t="s">
        <v>1263</v>
      </c>
      <c r="D4" s="21" t="s">
        <v>1264</v>
      </c>
      <c r="E4" s="21">
        <v>18</v>
      </c>
      <c r="F4" s="21">
        <v>704676</v>
      </c>
      <c r="G4" s="42">
        <v>0.21299999999999999</v>
      </c>
      <c r="H4" s="21" t="s">
        <v>1265</v>
      </c>
      <c r="I4" s="39">
        <f ca="1">IFERROR(__xludf.DUMMYFUNCTION("IF(SUM(COUNTIF(artists!A:A, SPLIT(D4, "",""))) &gt; 0, ""UA"", 0)"),0)</f>
        <v>0</v>
      </c>
      <c r="J4" s="40" t="str">
        <f ca="1">IFERROR(__xludf.DUMMYFUNCTION("IF(SUM(COUNTIF(artists!C:C, SPLIT(D4, "",""))) &gt; 0, ""RU"", 0)"),"RU")</f>
        <v>RU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B5" s="21">
        <v>5</v>
      </c>
      <c r="C5" s="21" t="s">
        <v>895</v>
      </c>
      <c r="D5" s="21" t="s">
        <v>896</v>
      </c>
      <c r="E5" s="21">
        <v>4</v>
      </c>
      <c r="F5" s="21">
        <v>669696</v>
      </c>
      <c r="G5" s="43">
        <v>0.95</v>
      </c>
      <c r="H5" s="21" t="s">
        <v>897</v>
      </c>
      <c r="I5" s="39" t="str">
        <f ca="1">IFERROR(__xludf.DUMMYFUNCTION("IF(SUM(COUNTIF(artists!A:A, SPLIT(D5, "",""))) &gt; 0, ""UA"", 0)"),"UA")</f>
        <v>UA</v>
      </c>
      <c r="J5" s="40">
        <f ca="1">IFERROR(__xludf.DUMMYFUNCTION("IF(SUM(COUNTIF(artists!C:C, SPLIT(D5, "",""))) &gt; 0, ""RU"", 0)"),0)</f>
        <v>0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C6" s="21" t="s">
        <v>1471</v>
      </c>
      <c r="D6" s="21" t="s">
        <v>1472</v>
      </c>
      <c r="E6" s="21">
        <v>1</v>
      </c>
      <c r="F6" s="21">
        <v>569159</v>
      </c>
      <c r="H6" s="21" t="s">
        <v>1473</v>
      </c>
      <c r="I6" s="39" t="str">
        <f ca="1">IFERROR(__xludf.DUMMYFUNCTION("IF(SUM(COUNTIF(artists!A:A, SPLIT(D6, "",""))) &gt; 0, ""UA"", 0)"),"UA")</f>
        <v>UA</v>
      </c>
      <c r="J6" s="40">
        <f ca="1">IFERROR(__xludf.DUMMYFUNCTION("IF(SUM(COUNTIF(artists!C:C, SPLIT(D6, "",""))) &gt; 0, ""RU"", 0)"),0)</f>
        <v>0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B7" s="21">
        <v>13</v>
      </c>
      <c r="C7" s="21" t="s">
        <v>909</v>
      </c>
      <c r="D7" s="21" t="s">
        <v>910</v>
      </c>
      <c r="E7" s="21">
        <v>2</v>
      </c>
      <c r="F7" s="21">
        <v>565707</v>
      </c>
      <c r="G7" s="42">
        <v>2.0259999999999998</v>
      </c>
      <c r="H7" s="21" t="s">
        <v>911</v>
      </c>
      <c r="I7" s="39" t="str">
        <f ca="1">IFERROR(__xludf.DUMMYFUNCTION("IF(SUM(COUNTIF(artists!A:A, SPLIT(D7, "",""))) &gt; 0, ""UA"", 0)"),"UA")</f>
        <v>UA</v>
      </c>
      <c r="J7" s="40">
        <f ca="1">IFERROR(__xludf.DUMMYFUNCTION("IF(SUM(COUNTIF(artists!C:C, SPLIT(D7, "",""))) &gt; 0, ""RU"", 0)"),0)</f>
        <v>0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B8" s="21">
        <v>4</v>
      </c>
      <c r="C8" s="21" t="s">
        <v>935</v>
      </c>
      <c r="D8" s="21" t="s">
        <v>936</v>
      </c>
      <c r="E8" s="21">
        <v>19</v>
      </c>
      <c r="F8" s="21">
        <v>451299</v>
      </c>
      <c r="G8" s="43">
        <v>0.11</v>
      </c>
      <c r="H8" s="21" t="s">
        <v>937</v>
      </c>
      <c r="I8" s="39">
        <f ca="1">IFERROR(__xludf.DUMMYFUNCTION("IF(SUM(COUNTIF(artists!A:A, SPLIT(D8, "",""))) &gt; 0, ""UA"", 0)"),0)</f>
        <v>0</v>
      </c>
      <c r="J8" s="40" t="str">
        <f ca="1">IFERROR(__xludf.DUMMYFUNCTION("IF(SUM(COUNTIF(artists!C:C, SPLIT(D8, "",""))) &gt; 0, ""RU"", 0)"),"RU")</f>
        <v>RU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B9" s="21">
        <v>3</v>
      </c>
      <c r="C9" s="21" t="s">
        <v>1487</v>
      </c>
      <c r="D9" s="21" t="s">
        <v>409</v>
      </c>
      <c r="E9" s="21">
        <v>2</v>
      </c>
      <c r="F9" s="21">
        <v>433584</v>
      </c>
      <c r="G9" s="42">
        <v>6.0999999999999999E-2</v>
      </c>
      <c r="H9" s="21" t="s">
        <v>1488</v>
      </c>
      <c r="I9" s="39" t="str">
        <f ca="1">IFERROR(__xludf.DUMMYFUNCTION("IF(SUM(COUNTIF(artists!A:A, SPLIT(D9, "",""))) &gt; 0, ""UA"", 0)"),"UA")</f>
        <v>UA</v>
      </c>
      <c r="J9" s="40">
        <f ca="1">IFERROR(__xludf.DUMMYFUNCTION("IF(SUM(COUNTIF(artists!C:C, SPLIT(D9, "",""))) &gt; 0, ""RU"", 0)"),0)</f>
        <v>0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B10" s="21">
        <v>6</v>
      </c>
      <c r="C10" s="21" t="s">
        <v>1496</v>
      </c>
      <c r="D10" s="21" t="s">
        <v>969</v>
      </c>
      <c r="E10" s="21">
        <v>42</v>
      </c>
      <c r="F10" s="21">
        <v>431839</v>
      </c>
      <c r="G10" s="42">
        <v>0.34899999999999998</v>
      </c>
      <c r="H10" s="21" t="s">
        <v>1497</v>
      </c>
      <c r="I10" s="39" t="str">
        <f ca="1">IFERROR(__xludf.DUMMYFUNCTION("IF(SUM(COUNTIF(artists!A:A, SPLIT(D10, "",""))) &gt; 0, ""UA"", 0)"),"UA")</f>
        <v>UA</v>
      </c>
      <c r="J10" s="40">
        <f ca="1">IFERROR(__xludf.DUMMYFUNCTION("IF(SUM(COUNTIF(artists!C:C, SPLIT(D10, "",""))) &gt; 0, ""RU"", 0)"),0)</f>
        <v>0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B11" s="21">
        <v>10</v>
      </c>
      <c r="C11" s="21" t="s">
        <v>1500</v>
      </c>
      <c r="D11" s="21" t="s">
        <v>907</v>
      </c>
      <c r="E11" s="21">
        <v>22</v>
      </c>
      <c r="F11" s="21">
        <v>360214</v>
      </c>
      <c r="G11" s="42">
        <v>0.23300000000000001</v>
      </c>
      <c r="H11" s="21" t="s">
        <v>1501</v>
      </c>
      <c r="I11" s="39">
        <f ca="1">IFERROR(__xludf.DUMMYFUNCTION("IF(SUM(COUNTIF(artists!A:A, SPLIT(D11, "",""))) &gt; 0, ""UA"", 0)"),0)</f>
        <v>0</v>
      </c>
      <c r="J11" s="40" t="str">
        <f ca="1">IFERROR(__xludf.DUMMYFUNCTION("IF(SUM(COUNTIF(artists!C:C, SPLIT(D11, "",""))) &gt; 0, ""RU"", 0)"),"RU")</f>
        <v>RU</v>
      </c>
      <c r="K11" s="39">
        <f ca="1">IFERROR(__xludf.DUMMYFUNCTION("IF(SUM(COUNTIF(artists!E:E, SPLIT(D11, "",""))) &gt; 0, ""OTHER"", 0)"),0)</f>
        <v>0</v>
      </c>
    </row>
    <row r="12" spans="1:11" ht="14.25" customHeight="1">
      <c r="A12" s="21">
        <v>11</v>
      </c>
      <c r="B12" s="21">
        <v>9</v>
      </c>
      <c r="C12" s="21" t="s">
        <v>1325</v>
      </c>
      <c r="D12" s="21" t="s">
        <v>1237</v>
      </c>
      <c r="E12" s="21">
        <v>42</v>
      </c>
      <c r="F12" s="21">
        <v>329981</v>
      </c>
      <c r="G12" s="42">
        <v>0.105</v>
      </c>
      <c r="H12" s="21" t="s">
        <v>1326</v>
      </c>
      <c r="I12" s="39">
        <f ca="1">IFERROR(__xludf.DUMMYFUNCTION("IF(SUM(COUNTIF(artists!A:A, SPLIT(D12, "",""))) &gt; 0, ""UA"", 0)"),0)</f>
        <v>0</v>
      </c>
      <c r="J12" s="40" t="str">
        <f ca="1">IFERROR(__xludf.DUMMYFUNCTION("IF(SUM(COUNTIF(artists!C:C, SPLIT(D12, "",""))) &gt; 0, ""RU"", 0)"),"RU")</f>
        <v>RU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C13" s="21" t="s">
        <v>1967</v>
      </c>
      <c r="D13" s="21" t="s">
        <v>1968</v>
      </c>
      <c r="E13" s="21">
        <v>1</v>
      </c>
      <c r="F13" s="21">
        <v>328294</v>
      </c>
      <c r="H13" s="21" t="s">
        <v>1969</v>
      </c>
      <c r="I13" s="39">
        <f ca="1">IFERROR(__xludf.DUMMYFUNCTION("IF(SUM(COUNTIF(artists!A:A, SPLIT(D13, "",""))) &gt; 0, ""UA"", 0)"),0)</f>
        <v>0</v>
      </c>
      <c r="J13" s="40" t="str">
        <f ca="1">IFERROR(__xludf.DUMMYFUNCTION("IF(SUM(COUNTIF(artists!C:C, SPLIT(D13, "",""))) &gt; 0, ""RU"", 0)"),"RU")</f>
        <v>RU</v>
      </c>
      <c r="K13" s="39">
        <f ca="1">IFERROR(__xludf.DUMMYFUNCTION("IF(SUM(COUNTIF(artists!E:E, SPLIT(D13, "",""))) &gt; 0, ""OTHER"", 0)"),0)</f>
        <v>0</v>
      </c>
    </row>
    <row r="14" spans="1:11" ht="14.25" customHeight="1">
      <c r="A14" s="21">
        <v>13</v>
      </c>
      <c r="B14" s="21">
        <v>8</v>
      </c>
      <c r="C14" s="21" t="s">
        <v>1777</v>
      </c>
      <c r="D14" s="21" t="s">
        <v>1778</v>
      </c>
      <c r="E14" s="21">
        <v>2</v>
      </c>
      <c r="F14" s="21">
        <v>299274</v>
      </c>
      <c r="G14" s="42">
        <v>1E-3</v>
      </c>
      <c r="H14" s="21" t="s">
        <v>1779</v>
      </c>
      <c r="I14" s="39" t="str">
        <f ca="1">IFERROR(__xludf.DUMMYFUNCTION("IF(SUM(COUNTIF(artists!A:A, SPLIT(D14, "",""))) &gt; 0, ""UA"", 0)"),"UA")</f>
        <v>UA</v>
      </c>
      <c r="J14" s="40">
        <f ca="1">IFERROR(__xludf.DUMMYFUNCTION("IF(SUM(COUNTIF(artists!C:C, SPLIT(D14, "",""))) &gt; 0, ""RU"", 0)"),0)</f>
        <v>0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C15" s="21" t="s">
        <v>1659</v>
      </c>
      <c r="D15" s="21" t="s">
        <v>1660</v>
      </c>
      <c r="E15" s="21">
        <v>1</v>
      </c>
      <c r="F15" s="21">
        <v>288364</v>
      </c>
      <c r="H15" s="21" t="s">
        <v>1661</v>
      </c>
      <c r="I15" s="39">
        <f ca="1">IFERROR(__xludf.DUMMYFUNCTION("IF(SUM(COUNTIF(artists!A:A, SPLIT(D15, "",""))) &gt; 0, ""UA"", 0)"),0)</f>
        <v>0</v>
      </c>
      <c r="J15" s="40" t="str">
        <f ca="1">IFERROR(__xludf.DUMMYFUNCTION("IF(SUM(COUNTIF(artists!C:C, SPLIT(D15, "",""))) &gt; 0, ""RU"", 0)"),"RU")</f>
        <v>RU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B16" s="21">
        <v>7</v>
      </c>
      <c r="C16" s="21" t="s">
        <v>1839</v>
      </c>
      <c r="D16" s="21" t="s">
        <v>1840</v>
      </c>
      <c r="E16" s="21">
        <v>8</v>
      </c>
      <c r="F16" s="21">
        <v>277064</v>
      </c>
      <c r="G16" s="42">
        <v>-0.128</v>
      </c>
      <c r="H16" s="21" t="s">
        <v>1841</v>
      </c>
      <c r="I16" s="39">
        <f ca="1">IFERROR(__xludf.DUMMYFUNCTION("IF(SUM(COUNTIF(artists!A:A, SPLIT(D16, "",""))) &gt; 0, ""UA"", 0)"),0)</f>
        <v>0</v>
      </c>
      <c r="J16" s="40" t="str">
        <f ca="1">IFERROR(__xludf.DUMMYFUNCTION("IF(SUM(COUNTIF(artists!C:C, SPLIT(D16, "",""))) &gt; 0, ""RU"", 0)"),"RU")</f>
        <v>RU</v>
      </c>
      <c r="K16" s="39">
        <f ca="1">IFERROR(__xludf.DUMMYFUNCTION("IF(SUM(COUNTIF(artists!E:E, SPLIT(D16, "",""))) &gt; 0, ""OTHER"", 0)"),0)</f>
        <v>0</v>
      </c>
    </row>
    <row r="17" spans="1:11" ht="14.25" customHeight="1">
      <c r="A17" s="21">
        <v>16</v>
      </c>
      <c r="C17" s="21" t="s">
        <v>1934</v>
      </c>
      <c r="D17" s="21" t="s">
        <v>1795</v>
      </c>
      <c r="E17" s="21">
        <v>2</v>
      </c>
      <c r="F17" s="21">
        <v>256488</v>
      </c>
      <c r="H17" s="21" t="s">
        <v>1935</v>
      </c>
      <c r="I17" s="39" t="str">
        <f ca="1">IFERROR(__xludf.DUMMYFUNCTION("IF(SUM(COUNTIF(artists!A:A, SPLIT(D17, "",""))) &gt; 0, ""UA"", 0)"),"UA")</f>
        <v>UA</v>
      </c>
      <c r="J17" s="40">
        <f ca="1">IFERROR(__xludf.DUMMYFUNCTION("IF(SUM(COUNTIF(artists!C:C, SPLIT(D17, "",""))) &gt; 0, ""RU"", 0)"),0)</f>
        <v>0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B18" s="21">
        <v>32</v>
      </c>
      <c r="C18" s="21" t="s">
        <v>1849</v>
      </c>
      <c r="D18" s="21" t="s">
        <v>598</v>
      </c>
      <c r="E18" s="21">
        <v>2</v>
      </c>
      <c r="F18" s="21">
        <v>232260</v>
      </c>
      <c r="G18" s="42">
        <v>0.78300000000000003</v>
      </c>
      <c r="H18" s="21" t="s">
        <v>1850</v>
      </c>
      <c r="I18" s="39" t="str">
        <f ca="1">IFERROR(__xludf.DUMMYFUNCTION("IF(SUM(COUNTIF(artists!A:A, SPLIT(D18, "",""))) &gt; 0, ""UA"", 0)"),"UA")</f>
        <v>UA</v>
      </c>
      <c r="J18" s="40">
        <f ca="1">IFERROR(__xludf.DUMMYFUNCTION("IF(SUM(COUNTIF(artists!C:C, SPLIT(D18, "",""))) &gt; 0, ""RU"", 0)"),0)</f>
        <v>0</v>
      </c>
      <c r="K18" s="39">
        <f ca="1">IFERROR(__xludf.DUMMYFUNCTION("IF(SUM(COUNTIF(artists!E:E, SPLIT(D18, "",""))) &gt; 0, ""OTHER"", 0)"),0)</f>
        <v>0</v>
      </c>
    </row>
    <row r="19" spans="1:11" ht="14.25" customHeight="1">
      <c r="A19" s="21">
        <v>18</v>
      </c>
      <c r="B19" s="21">
        <v>12</v>
      </c>
      <c r="C19" s="21" t="s">
        <v>1631</v>
      </c>
      <c r="D19" s="21" t="s">
        <v>409</v>
      </c>
      <c r="E19" s="21">
        <v>2</v>
      </c>
      <c r="F19" s="21">
        <v>231331</v>
      </c>
      <c r="G19" s="42">
        <v>0.155</v>
      </c>
      <c r="H19" s="21" t="s">
        <v>1632</v>
      </c>
      <c r="I19" s="39" t="str">
        <f ca="1">IFERROR(__xludf.DUMMYFUNCTION("IF(SUM(COUNTIF(artists!A:A, SPLIT(D19, "",""))) &gt; 0, ""UA"", 0)"),"UA")</f>
        <v>UA</v>
      </c>
      <c r="J19" s="40">
        <f ca="1">IFERROR(__xludf.DUMMYFUNCTION("IF(SUM(COUNTIF(artists!C:C, SPLIT(D19, "",""))) &gt; 0, ""RU"", 0)"),0)</f>
        <v>0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B20" s="21">
        <v>20</v>
      </c>
      <c r="C20" s="21" t="s">
        <v>1636</v>
      </c>
      <c r="D20" s="21" t="s">
        <v>1637</v>
      </c>
      <c r="E20" s="21">
        <v>7</v>
      </c>
      <c r="F20" s="21">
        <v>210587</v>
      </c>
      <c r="G20" s="42">
        <v>0.38600000000000001</v>
      </c>
      <c r="H20" s="21" t="s">
        <v>1638</v>
      </c>
      <c r="I20" s="39">
        <f ca="1">IFERROR(__xludf.DUMMYFUNCTION("IF(SUM(COUNTIF(artists!A:A, SPLIT(D20, "",""))) &gt; 0, ""UA"", 0)"),0)</f>
        <v>0</v>
      </c>
      <c r="J20" s="40" t="str">
        <f ca="1">IFERROR(__xludf.DUMMYFUNCTION("IF(SUM(COUNTIF(artists!C:C, SPLIT(D20, "",""))) &gt; 0, ""RU"", 0)"),"RU")</f>
        <v>RU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B21" s="21">
        <v>15</v>
      </c>
      <c r="C21" s="21" t="s">
        <v>1825</v>
      </c>
      <c r="D21" s="21" t="s">
        <v>1895</v>
      </c>
      <c r="E21" s="21">
        <v>46</v>
      </c>
      <c r="F21" s="21">
        <v>206389</v>
      </c>
      <c r="G21" s="42">
        <v>0.23699999999999999</v>
      </c>
      <c r="H21" s="21" t="s">
        <v>1827</v>
      </c>
      <c r="I21" s="39">
        <f ca="1">IFERROR(__xludf.DUMMYFUNCTION("IF(SUM(COUNTIF(artists!A:A, SPLIT(D21, "",""))) &gt; 0, ""UA"", 0)"),0)</f>
        <v>0</v>
      </c>
      <c r="J21" s="40">
        <f ca="1">IFERROR(__xludf.DUMMYFUNCTION("IF(SUM(COUNTIF(artists!C:C, SPLIT(D21, "",""))) &gt; 0, ""RU"", 0)"),0)</f>
        <v>0</v>
      </c>
      <c r="K21" s="39" t="str">
        <f ca="1">IFERROR(__xludf.DUMMYFUNCTION("IF(SUM(COUNTIF(artists!E:E, SPLIT(D21, "",""))) &gt; 0, ""OTHER"", 0)"),"OTHER")</f>
        <v>OTHER</v>
      </c>
    </row>
    <row r="22" spans="1:11" ht="14.25" customHeight="1">
      <c r="A22" s="21">
        <v>21</v>
      </c>
      <c r="B22" s="21">
        <v>39</v>
      </c>
      <c r="C22" s="21" t="s">
        <v>1797</v>
      </c>
      <c r="D22" s="21" t="s">
        <v>945</v>
      </c>
      <c r="E22" s="21">
        <v>24</v>
      </c>
      <c r="F22" s="21">
        <v>205808</v>
      </c>
      <c r="G22" s="42">
        <v>0.752</v>
      </c>
      <c r="H22" s="21" t="s">
        <v>1798</v>
      </c>
      <c r="I22" s="39" t="str">
        <f ca="1">IFERROR(__xludf.DUMMYFUNCTION("IF(SUM(COUNTIF(artists!A:A, SPLIT(D22, "",""))) &gt; 0, ""UA"", 0)"),"UA")</f>
        <v>UA</v>
      </c>
      <c r="J22" s="40">
        <f ca="1">IFERROR(__xludf.DUMMYFUNCTION("IF(SUM(COUNTIF(artists!C:C, SPLIT(D22, "",""))) &gt; 0, ""RU"", 0)"),0)</f>
        <v>0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B23" s="21">
        <v>24</v>
      </c>
      <c r="C23" s="21" t="s">
        <v>1616</v>
      </c>
      <c r="D23" s="21" t="s">
        <v>1617</v>
      </c>
      <c r="E23" s="21">
        <v>38</v>
      </c>
      <c r="F23" s="21">
        <v>196867</v>
      </c>
      <c r="G23" s="42">
        <v>0.35699999999999998</v>
      </c>
      <c r="H23" s="21" t="s">
        <v>1618</v>
      </c>
      <c r="I23" s="39">
        <f ca="1">IFERROR(__xludf.DUMMYFUNCTION("IF(SUM(COUNTIF(artists!A:A, SPLIT(D23, "",""))) &gt; 0, ""UA"", 0)"),0)</f>
        <v>0</v>
      </c>
      <c r="J23" s="40" t="str">
        <f ca="1">IFERROR(__xludf.DUMMYFUNCTION("IF(SUM(COUNTIF(artists!C:C, SPLIT(D23, "",""))) &gt; 0, ""RU"", 0)"),"RU")</f>
        <v>RU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B24" s="21">
        <v>14</v>
      </c>
      <c r="C24" s="21" t="s">
        <v>1007</v>
      </c>
      <c r="D24" s="21" t="s">
        <v>907</v>
      </c>
      <c r="E24" s="21">
        <v>3</v>
      </c>
      <c r="F24" s="21">
        <v>190566</v>
      </c>
      <c r="G24" s="42">
        <v>5.2999999999999999E-2</v>
      </c>
      <c r="H24" s="21" t="s">
        <v>1009</v>
      </c>
      <c r="I24" s="39">
        <f ca="1">IFERROR(__xludf.DUMMYFUNCTION("IF(SUM(COUNTIF(artists!A:A, SPLIT(D24, "",""))) &gt; 0, ""UA"", 0)"),0)</f>
        <v>0</v>
      </c>
      <c r="J24" s="40" t="str">
        <f ca="1">IFERROR(__xludf.DUMMYFUNCTION("IF(SUM(COUNTIF(artists!C:C, SPLIT(D24, "",""))) &gt; 0, ""RU"", 0)"),"RU")</f>
        <v>RU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B25" s="21">
        <v>19</v>
      </c>
      <c r="C25" s="21" t="s">
        <v>1674</v>
      </c>
      <c r="D25" s="21" t="s">
        <v>172</v>
      </c>
      <c r="E25" s="21">
        <v>8</v>
      </c>
      <c r="F25" s="21">
        <v>189793</v>
      </c>
      <c r="G25" s="42">
        <v>0.246</v>
      </c>
      <c r="H25" s="21" t="s">
        <v>1675</v>
      </c>
      <c r="I25" s="39">
        <f ca="1">IFERROR(__xludf.DUMMYFUNCTION("IF(SUM(COUNTIF(artists!A:A, SPLIT(D25, "",""))) &gt; 0, ""UA"", 0)"),0)</f>
        <v>0</v>
      </c>
      <c r="J25" s="40" t="str">
        <f ca="1">IFERROR(__xludf.DUMMYFUNCTION("IF(SUM(COUNTIF(artists!C:C, SPLIT(D25, "",""))) &gt; 0, ""RU"", 0)"),"RU")</f>
        <v>RU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B26" s="21">
        <v>11</v>
      </c>
      <c r="C26" s="21" t="s">
        <v>1530</v>
      </c>
      <c r="D26" s="21" t="s">
        <v>1531</v>
      </c>
      <c r="E26" s="21">
        <v>2</v>
      </c>
      <c r="F26" s="21">
        <v>185687</v>
      </c>
      <c r="G26" s="42">
        <v>-0.16900000000000001</v>
      </c>
      <c r="H26" s="21" t="s">
        <v>1532</v>
      </c>
      <c r="I26" s="39">
        <f ca="1">IFERROR(__xludf.DUMMYFUNCTION("IF(SUM(COUNTIF(artists!A:A, SPLIT(D26, "",""))) &gt; 0, ""UA"", 0)"),0)</f>
        <v>0</v>
      </c>
      <c r="J26" s="40">
        <f ca="1">IFERROR(__xludf.DUMMYFUNCTION("IF(SUM(COUNTIF(artists!C:C, SPLIT(D26, "",""))) &gt; 0, ""RU"", 0)"),0)</f>
        <v>0</v>
      </c>
      <c r="K26" s="39" t="str">
        <f ca="1">IFERROR(__xludf.DUMMYFUNCTION("IF(SUM(COUNTIF(artists!E:E, SPLIT(D26, "",""))) &gt; 0, ""OTHER"", 0)"),"OTHER")</f>
        <v>OTHER</v>
      </c>
    </row>
    <row r="27" spans="1:11" ht="14.25" customHeight="1">
      <c r="A27" s="21">
        <v>26</v>
      </c>
      <c r="B27" s="21">
        <v>30</v>
      </c>
      <c r="C27" s="21" t="s">
        <v>1896</v>
      </c>
      <c r="D27" s="21" t="s">
        <v>1099</v>
      </c>
      <c r="E27" s="21">
        <v>49</v>
      </c>
      <c r="F27" s="21">
        <v>181852</v>
      </c>
      <c r="G27" s="42">
        <v>0.36599999999999999</v>
      </c>
      <c r="H27" s="21" t="s">
        <v>1897</v>
      </c>
      <c r="I27" s="39">
        <f ca="1">IFERROR(__xludf.DUMMYFUNCTION("IF(SUM(COUNTIF(artists!A:A, SPLIT(D27, "",""))) &gt; 0, ""UA"", 0)"),0)</f>
        <v>0</v>
      </c>
      <c r="J27" s="40" t="str">
        <f ca="1">IFERROR(__xludf.DUMMYFUNCTION("IF(SUM(COUNTIF(artists!C:C, SPLIT(D27, "",""))) &gt; 0, ""RU"", 0)"),"RU")</f>
        <v>RU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B28" s="21">
        <v>22</v>
      </c>
      <c r="C28" s="21" t="s">
        <v>1956</v>
      </c>
      <c r="D28" s="21" t="s">
        <v>1957</v>
      </c>
      <c r="E28" s="21">
        <v>20</v>
      </c>
      <c r="F28" s="21">
        <v>179735</v>
      </c>
      <c r="G28" s="42">
        <v>0.219</v>
      </c>
      <c r="H28" s="21" t="s">
        <v>1958</v>
      </c>
      <c r="I28" s="39">
        <f ca="1">IFERROR(__xludf.DUMMYFUNCTION("IF(SUM(COUNTIF(artists!A:A, SPLIT(D28, "",""))) &gt; 0, ""UA"", 0)"),0)</f>
        <v>0</v>
      </c>
      <c r="J28" s="40" t="str">
        <f ca="1">IFERROR(__xludf.DUMMYFUNCTION("IF(SUM(COUNTIF(artists!C:C, SPLIT(D28, "",""))) &gt; 0, ""RU"", 0)"),"RU")</f>
        <v>RU</v>
      </c>
      <c r="K28" s="39">
        <f ca="1">IFERROR(__xludf.DUMMYFUNCTION("IF(SUM(COUNTIF(artists!E:E, SPLIT(D28, "",""))) &gt; 0, ""OTHER"", 0)"),0)</f>
        <v>0</v>
      </c>
    </row>
    <row r="29" spans="1:11" ht="14.25" customHeight="1">
      <c r="A29" s="21">
        <v>28</v>
      </c>
      <c r="B29" s="21">
        <v>17</v>
      </c>
      <c r="C29" s="21" t="s">
        <v>1810</v>
      </c>
      <c r="D29" s="21" t="s">
        <v>15</v>
      </c>
      <c r="E29" s="21">
        <v>2</v>
      </c>
      <c r="F29" s="21">
        <v>175289</v>
      </c>
      <c r="G29" s="42">
        <v>9.5000000000000001E-2</v>
      </c>
      <c r="H29" s="21" t="s">
        <v>1811</v>
      </c>
      <c r="I29" s="39">
        <f ca="1">IFERROR(__xludf.DUMMYFUNCTION("IF(SUM(COUNTIF(artists!A:A, SPLIT(D29, "",""))) &gt; 0, ""UA"", 0)"),0)</f>
        <v>0</v>
      </c>
      <c r="J29" s="40">
        <f ca="1">IFERROR(__xludf.DUMMYFUNCTION("IF(SUM(COUNTIF(artists!C:C, SPLIT(D29, "",""))) &gt; 0, ""RU"", 0)"),0)</f>
        <v>0</v>
      </c>
      <c r="K29" s="39" t="str">
        <f ca="1">IFERROR(__xludf.DUMMYFUNCTION("IF(SUM(COUNTIF(artists!E:E, SPLIT(D29, "",""))) &gt; 0, ""OTHER"", 0)"),"OTHER")</f>
        <v>OTHER</v>
      </c>
    </row>
    <row r="30" spans="1:11" ht="14.25" customHeight="1">
      <c r="A30" s="21">
        <v>29</v>
      </c>
      <c r="C30" s="21" t="s">
        <v>1992</v>
      </c>
      <c r="D30" s="21" t="s">
        <v>1993</v>
      </c>
      <c r="E30" s="21">
        <v>1</v>
      </c>
      <c r="F30" s="21">
        <v>170608</v>
      </c>
      <c r="H30" s="21" t="s">
        <v>1994</v>
      </c>
      <c r="I30" s="39" t="str">
        <f ca="1">IFERROR(__xludf.DUMMYFUNCTION("IF(SUM(COUNTIF(artists!A:A, SPLIT(D30, "",""))) &gt; 0, ""UA"", 0)"),"UA")</f>
        <v>UA</v>
      </c>
      <c r="J30" s="40">
        <f ca="1">IFERROR(__xludf.DUMMYFUNCTION("IF(SUM(COUNTIF(artists!C:C, SPLIT(D30, "",""))) &gt; 0, ""RU"", 0)"),0)</f>
        <v>0</v>
      </c>
      <c r="K30" s="39">
        <f ca="1">IFERROR(__xludf.DUMMYFUNCTION("IF(SUM(COUNTIF(artists!E:E, SPLIT(D30, "",""))) &gt; 0, ""OTHER"", 0)"),0)</f>
        <v>0</v>
      </c>
    </row>
    <row r="31" spans="1:11" ht="14.25" customHeight="1">
      <c r="A31" s="21">
        <v>30</v>
      </c>
      <c r="B31" s="21">
        <v>28</v>
      </c>
      <c r="C31" s="21" t="s">
        <v>1911</v>
      </c>
      <c r="D31" s="21" t="s">
        <v>1912</v>
      </c>
      <c r="E31" s="21">
        <v>4</v>
      </c>
      <c r="F31" s="21">
        <v>170485</v>
      </c>
      <c r="G31" s="43">
        <v>0.23</v>
      </c>
      <c r="H31" s="21" t="s">
        <v>1913</v>
      </c>
      <c r="I31" s="39">
        <f ca="1">IFERROR(__xludf.DUMMYFUNCTION("IF(SUM(COUNTIF(artists!A:A, SPLIT(D31, "",""))) &gt; 0, ""UA"", 0)"),0)</f>
        <v>0</v>
      </c>
      <c r="J31" s="40" t="str">
        <f ca="1">IFERROR(__xludf.DUMMYFUNCTION("IF(SUM(COUNTIF(artists!C:C, SPLIT(D31, "",""))) &gt; 0, ""RU"", 0)"),"RU")</f>
        <v>RU</v>
      </c>
      <c r="K31" s="39">
        <f ca="1">IFERROR(__xludf.DUMMYFUNCTION("IF(SUM(COUNTIF(artists!E:E, SPLIT(D31, "",""))) &gt; 0, ""OTHER"", 0)"),0)</f>
        <v>0</v>
      </c>
    </row>
    <row r="32" spans="1:11" ht="14.25" customHeight="1">
      <c r="A32" s="21">
        <v>31</v>
      </c>
      <c r="C32" s="21" t="s">
        <v>1713</v>
      </c>
      <c r="D32" s="21" t="s">
        <v>969</v>
      </c>
      <c r="E32" s="21">
        <v>25</v>
      </c>
      <c r="F32" s="21">
        <v>170223</v>
      </c>
      <c r="H32" s="21" t="s">
        <v>1714</v>
      </c>
      <c r="I32" s="39" t="str">
        <f ca="1">IFERROR(__xludf.DUMMYFUNCTION("IF(SUM(COUNTIF(artists!A:A, SPLIT(D32, "",""))) &gt; 0, ""UA"", 0)"),"UA")</f>
        <v>UA</v>
      </c>
      <c r="J32" s="40">
        <f ca="1">IFERROR(__xludf.DUMMYFUNCTION("IF(SUM(COUNTIF(artists!C:C, SPLIT(D32, "",""))) &gt; 0, ""RU"", 0)"),0)</f>
        <v>0</v>
      </c>
      <c r="K32" s="39">
        <f ca="1">IFERROR(__xludf.DUMMYFUNCTION("IF(SUM(COUNTIF(artists!E:E, SPLIT(D32, "",""))) &gt; 0, ""OTHER"", 0)"),0)</f>
        <v>0</v>
      </c>
    </row>
    <row r="33" spans="1:11" ht="14.25" customHeight="1">
      <c r="A33" s="21">
        <v>32</v>
      </c>
      <c r="B33" s="21">
        <v>34</v>
      </c>
      <c r="C33" s="21" t="s">
        <v>1729</v>
      </c>
      <c r="D33" s="21" t="s">
        <v>1730</v>
      </c>
      <c r="E33" s="21">
        <v>43</v>
      </c>
      <c r="F33" s="21">
        <v>169417</v>
      </c>
      <c r="G33" s="42">
        <v>0.33700000000000002</v>
      </c>
      <c r="H33" s="21" t="s">
        <v>1731</v>
      </c>
      <c r="I33" s="39">
        <f ca="1">IFERROR(__xludf.DUMMYFUNCTION("IF(SUM(COUNTIF(artists!A:A, SPLIT(D33, "",""))) &gt; 0, ""UA"", 0)"),0)</f>
        <v>0</v>
      </c>
      <c r="J33" s="40" t="str">
        <f ca="1">IFERROR(__xludf.DUMMYFUNCTION("IF(SUM(COUNTIF(artists!C:C, SPLIT(D33, "",""))) &gt; 0, ""RU"", 0)"),"RU")</f>
        <v>RU</v>
      </c>
      <c r="K33" s="39">
        <f ca="1">IFERROR(__xludf.DUMMYFUNCTION("IF(SUM(COUNTIF(artists!E:E, SPLIT(D33, "",""))) &gt; 0, ""OTHER"", 0)"),0)</f>
        <v>0</v>
      </c>
    </row>
    <row r="34" spans="1:11" ht="14.25" customHeight="1">
      <c r="A34" s="21">
        <v>33</v>
      </c>
      <c r="B34" s="21">
        <v>54</v>
      </c>
      <c r="C34" s="21" t="s">
        <v>118</v>
      </c>
      <c r="D34" s="21" t="s">
        <v>586</v>
      </c>
      <c r="E34" s="21">
        <v>2</v>
      </c>
      <c r="F34" s="21">
        <v>167992</v>
      </c>
      <c r="G34" s="42">
        <v>0.75900000000000001</v>
      </c>
      <c r="H34" s="21" t="s">
        <v>587</v>
      </c>
      <c r="I34" s="39" t="str">
        <f ca="1">IFERROR(__xludf.DUMMYFUNCTION("IF(SUM(COUNTIF(artists!A:A, SPLIT(D34, "",""))) &gt; 0, ""UA"", 0)"),"UA")</f>
        <v>UA</v>
      </c>
      <c r="J34" s="40">
        <f ca="1">IFERROR(__xludf.DUMMYFUNCTION("IF(SUM(COUNTIF(artists!C:C, SPLIT(D34, "",""))) &gt; 0, ""RU"", 0)"),0)</f>
        <v>0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B35" s="21">
        <v>33</v>
      </c>
      <c r="C35" s="21" t="s">
        <v>1995</v>
      </c>
      <c r="D35" s="21" t="s">
        <v>1996</v>
      </c>
      <c r="E35" s="21">
        <v>41</v>
      </c>
      <c r="F35" s="21">
        <v>166708</v>
      </c>
      <c r="G35" s="42">
        <v>0.29599999999999999</v>
      </c>
      <c r="H35" s="21" t="s">
        <v>1997</v>
      </c>
      <c r="I35" s="39">
        <f ca="1">IFERROR(__xludf.DUMMYFUNCTION("IF(SUM(COUNTIF(artists!A:A, SPLIT(D35, "",""))) &gt; 0, ""UA"", 0)"),0)</f>
        <v>0</v>
      </c>
      <c r="J35" s="40" t="str">
        <f ca="1">IFERROR(__xludf.DUMMYFUNCTION("IF(SUM(COUNTIF(artists!C:C, SPLIT(D35, "",""))) &gt; 0, ""RU"", 0)"),"RU")</f>
        <v>RU</v>
      </c>
      <c r="K35" s="39">
        <f ca="1">IFERROR(__xludf.DUMMYFUNCTION("IF(SUM(COUNTIF(artists!E:E, SPLIT(D35, "",""))) &gt; 0, ""OTHER"", 0)"),0)</f>
        <v>0</v>
      </c>
    </row>
    <row r="36" spans="1:11" ht="14.25" customHeight="1">
      <c r="A36" s="21">
        <v>35</v>
      </c>
      <c r="B36" s="21">
        <v>18</v>
      </c>
      <c r="C36" s="21" t="s">
        <v>1863</v>
      </c>
      <c r="D36" s="21" t="s">
        <v>1660</v>
      </c>
      <c r="E36" s="21">
        <v>8</v>
      </c>
      <c r="F36" s="21">
        <v>163482</v>
      </c>
      <c r="G36" s="42">
        <v>6.8000000000000005E-2</v>
      </c>
      <c r="H36" s="21" t="s">
        <v>1864</v>
      </c>
      <c r="I36" s="39">
        <f ca="1">IFERROR(__xludf.DUMMYFUNCTION("IF(SUM(COUNTIF(artists!A:A, SPLIT(D36, "",""))) &gt; 0, ""UA"", 0)"),0)</f>
        <v>0</v>
      </c>
      <c r="J36" s="40" t="str">
        <f ca="1">IFERROR(__xludf.DUMMYFUNCTION("IF(SUM(COUNTIF(artists!C:C, SPLIT(D36, "",""))) &gt; 0, ""RU"", 0)"),"RU")</f>
        <v>RU</v>
      </c>
      <c r="K36" s="39">
        <f ca="1">IFERROR(__xludf.DUMMYFUNCTION("IF(SUM(COUNTIF(artists!E:E, SPLIT(D36, "",""))) &gt; 0, ""OTHER"", 0)"),0)</f>
        <v>0</v>
      </c>
    </row>
    <row r="37" spans="1:11" ht="14.25" customHeight="1">
      <c r="A37" s="21">
        <v>36</v>
      </c>
      <c r="C37" s="21" t="s">
        <v>1990</v>
      </c>
      <c r="D37" s="21" t="s">
        <v>910</v>
      </c>
      <c r="E37" s="21">
        <v>1</v>
      </c>
      <c r="F37" s="21">
        <v>162624</v>
      </c>
      <c r="H37" s="21" t="s">
        <v>1991</v>
      </c>
      <c r="I37" s="39" t="str">
        <f ca="1">IFERROR(__xludf.DUMMYFUNCTION("IF(SUM(COUNTIF(artists!A:A, SPLIT(D37, "",""))) &gt; 0, ""UA"", 0)"),"UA")</f>
        <v>UA</v>
      </c>
      <c r="J37" s="40">
        <f ca="1">IFERROR(__xludf.DUMMYFUNCTION("IF(SUM(COUNTIF(artists!C:C, SPLIT(D37, "",""))) &gt; 0, ""RU"", 0)"),0)</f>
        <v>0</v>
      </c>
      <c r="K37" s="39">
        <f ca="1">IFERROR(__xludf.DUMMYFUNCTION("IF(SUM(COUNTIF(artists!E:E, SPLIT(D37, "",""))) &gt; 0, ""OTHER"", 0)"),0)</f>
        <v>0</v>
      </c>
    </row>
    <row r="38" spans="1:11" ht="14.25" customHeight="1">
      <c r="A38" s="21">
        <v>37</v>
      </c>
      <c r="B38" s="21">
        <v>27</v>
      </c>
      <c r="C38" s="21" t="s">
        <v>1907</v>
      </c>
      <c r="D38" s="21" t="s">
        <v>409</v>
      </c>
      <c r="E38" s="21">
        <v>2</v>
      </c>
      <c r="F38" s="21">
        <v>155470</v>
      </c>
      <c r="G38" s="42">
        <v>0.114</v>
      </c>
      <c r="H38" s="21" t="s">
        <v>1908</v>
      </c>
      <c r="I38" s="39" t="str">
        <f ca="1">IFERROR(__xludf.DUMMYFUNCTION("IF(SUM(COUNTIF(artists!A:A, SPLIT(D38, "",""))) &gt; 0, ""UA"", 0)"),"UA")</f>
        <v>UA</v>
      </c>
      <c r="J38" s="40">
        <f ca="1">IFERROR(__xludf.DUMMYFUNCTION("IF(SUM(COUNTIF(artists!C:C, SPLIT(D38, "",""))) &gt; 0, ""RU"", 0)"),0)</f>
        <v>0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C39" s="21" t="s">
        <v>1474</v>
      </c>
      <c r="D39" s="21" t="s">
        <v>1998</v>
      </c>
      <c r="E39" s="21">
        <v>1</v>
      </c>
      <c r="F39" s="21">
        <v>155288</v>
      </c>
      <c r="H39" s="21" t="s">
        <v>1999</v>
      </c>
      <c r="I39" s="39" t="str">
        <f ca="1">IFERROR(__xludf.DUMMYFUNCTION("IF(SUM(COUNTIF(artists!A:A, SPLIT(D39, "",""))) &gt; 0, ""UA"", 0)"),"UA")</f>
        <v>UA</v>
      </c>
      <c r="J39" s="40">
        <f ca="1">IFERROR(__xludf.DUMMYFUNCTION("IF(SUM(COUNTIF(artists!C:C, SPLIT(D39, "",""))) &gt; 0, ""RU"", 0)"),0)</f>
        <v>0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B40" s="21">
        <v>21</v>
      </c>
      <c r="C40" s="21" t="s">
        <v>1944</v>
      </c>
      <c r="D40" s="21" t="s">
        <v>1945</v>
      </c>
      <c r="E40" s="21">
        <v>16</v>
      </c>
      <c r="F40" s="21">
        <v>154083</v>
      </c>
      <c r="G40" s="42">
        <v>1.7999999999999999E-2</v>
      </c>
      <c r="H40" s="21" t="s">
        <v>1946</v>
      </c>
      <c r="I40" s="39">
        <f ca="1">IFERROR(__xludf.DUMMYFUNCTION("IF(SUM(COUNTIF(artists!A:A, SPLIT(D40, "",""))) &gt; 0, ""UA"", 0)"),0)</f>
        <v>0</v>
      </c>
      <c r="J40" s="40" t="str">
        <f ca="1">IFERROR(__xludf.DUMMYFUNCTION("IF(SUM(COUNTIF(artists!C:C, SPLIT(D40, "",""))) &gt; 0, ""RU"", 0)"),"RU")</f>
        <v>RU</v>
      </c>
      <c r="K40" s="39">
        <f ca="1">IFERROR(__xludf.DUMMYFUNCTION("IF(SUM(COUNTIF(artists!E:E, SPLIT(D40, "",""))) &gt; 0, ""OTHER"", 0)"),0)</f>
        <v>0</v>
      </c>
    </row>
    <row r="41" spans="1:11" ht="14.25" customHeight="1">
      <c r="A41" s="21">
        <v>40</v>
      </c>
      <c r="B41" s="21">
        <v>37</v>
      </c>
      <c r="C41" s="21" t="s">
        <v>1651</v>
      </c>
      <c r="D41" s="21" t="s">
        <v>1652</v>
      </c>
      <c r="E41" s="21">
        <v>20</v>
      </c>
      <c r="F41" s="21">
        <v>153431</v>
      </c>
      <c r="G41" s="43">
        <v>0.24</v>
      </c>
      <c r="H41" s="21" t="s">
        <v>1959</v>
      </c>
      <c r="I41" s="39">
        <f ca="1">IFERROR(__xludf.DUMMYFUNCTION("IF(SUM(COUNTIF(artists!A:A, SPLIT(D41, "",""))) &gt; 0, ""UA"", 0)"),0)</f>
        <v>0</v>
      </c>
      <c r="J41" s="40" t="str">
        <f ca="1">IFERROR(__xludf.DUMMYFUNCTION("IF(SUM(COUNTIF(artists!C:C, SPLIT(D41, "",""))) &gt; 0, ""RU"", 0)"),"RU")</f>
        <v>RU</v>
      </c>
      <c r="K41" s="39">
        <f ca="1">IFERROR(__xludf.DUMMYFUNCTION("IF(SUM(COUNTIF(artists!E:E, SPLIT(D41, "",""))) &gt; 0, ""OTHER"", 0)"),0)</f>
        <v>0</v>
      </c>
    </row>
    <row r="42" spans="1:11" ht="14.25" customHeight="1">
      <c r="A42" s="21">
        <v>41</v>
      </c>
      <c r="B42" s="21">
        <v>36</v>
      </c>
      <c r="C42" s="21" t="s">
        <v>906</v>
      </c>
      <c r="D42" s="21" t="s">
        <v>907</v>
      </c>
      <c r="E42" s="21">
        <v>13</v>
      </c>
      <c r="F42" s="21">
        <v>152788</v>
      </c>
      <c r="G42" s="42">
        <v>0.224</v>
      </c>
      <c r="H42" s="21" t="s">
        <v>908</v>
      </c>
      <c r="I42" s="39">
        <f ca="1">IFERROR(__xludf.DUMMYFUNCTION("IF(SUM(COUNTIF(artists!A:A, SPLIT(D42, "",""))) &gt; 0, ""UA"", 0)"),0)</f>
        <v>0</v>
      </c>
      <c r="J42" s="40" t="str">
        <f ca="1">IFERROR(__xludf.DUMMYFUNCTION("IF(SUM(COUNTIF(artists!C:C, SPLIT(D42, "",""))) &gt; 0, ""RU"", 0)"),"RU")</f>
        <v>RU</v>
      </c>
      <c r="K42" s="39">
        <f ca="1">IFERROR(__xludf.DUMMYFUNCTION("IF(SUM(COUNTIF(artists!E:E, SPLIT(D42, "",""))) &gt; 0, ""OTHER"", 0)"),0)</f>
        <v>0</v>
      </c>
    </row>
    <row r="43" spans="1:11" ht="14.25" customHeight="1">
      <c r="A43" s="21">
        <v>42</v>
      </c>
      <c r="B43" s="21">
        <v>91</v>
      </c>
      <c r="C43" s="21" t="s">
        <v>1369</v>
      </c>
      <c r="D43" s="21" t="s">
        <v>1370</v>
      </c>
      <c r="E43" s="21">
        <v>2</v>
      </c>
      <c r="F43" s="21">
        <v>152624</v>
      </c>
      <c r="G43" s="42">
        <v>1.2450000000000001</v>
      </c>
      <c r="H43" s="21" t="s">
        <v>1371</v>
      </c>
      <c r="I43" s="39" t="str">
        <f ca="1">IFERROR(__xludf.DUMMYFUNCTION("IF(SUM(COUNTIF(artists!A:A, SPLIT(D43, "",""))) &gt; 0, ""UA"", 0)"),"UA")</f>
        <v>UA</v>
      </c>
      <c r="J43" s="40">
        <f ca="1">IFERROR(__xludf.DUMMYFUNCTION("IF(SUM(COUNTIF(artists!C:C, SPLIT(D43, "",""))) &gt; 0, ""RU"", 0)"),0)</f>
        <v>0</v>
      </c>
      <c r="K43" s="39">
        <f ca="1">IFERROR(__xludf.DUMMYFUNCTION("IF(SUM(COUNTIF(artists!E:E, SPLIT(D43, "",""))) &gt; 0, ""OTHER"", 0)"),0)</f>
        <v>0</v>
      </c>
    </row>
    <row r="44" spans="1:11" ht="14.25" customHeight="1">
      <c r="A44" s="21">
        <v>43</v>
      </c>
      <c r="C44" s="21" t="s">
        <v>1354</v>
      </c>
      <c r="D44" s="21" t="s">
        <v>1355</v>
      </c>
      <c r="E44" s="21">
        <v>22</v>
      </c>
      <c r="F44" s="21">
        <v>149362</v>
      </c>
      <c r="H44" s="21" t="s">
        <v>1356</v>
      </c>
      <c r="I44" s="39" t="str">
        <f ca="1">IFERROR(__xludf.DUMMYFUNCTION("IF(SUM(COUNTIF(artists!A:A, SPLIT(D44, "",""))) &gt; 0, ""UA"", 0)"),"UA")</f>
        <v>UA</v>
      </c>
      <c r="J44" s="40">
        <f ca="1">IFERROR(__xludf.DUMMYFUNCTION("IF(SUM(COUNTIF(artists!C:C, SPLIT(D44, "",""))) &gt; 0, ""RU"", 0)"),0)</f>
        <v>0</v>
      </c>
      <c r="K44" s="39">
        <f ca="1">IFERROR(__xludf.DUMMYFUNCTION("IF(SUM(COUNTIF(artists!E:E, SPLIT(D44, "",""))) &gt; 0, ""OTHER"", 0)"),0)</f>
        <v>0</v>
      </c>
    </row>
    <row r="45" spans="1:11" ht="14.25" customHeight="1">
      <c r="A45" s="21">
        <v>44</v>
      </c>
      <c r="B45" s="21">
        <v>29</v>
      </c>
      <c r="C45" s="21" t="s">
        <v>1964</v>
      </c>
      <c r="D45" s="21" t="s">
        <v>1965</v>
      </c>
      <c r="E45" s="21">
        <v>19</v>
      </c>
      <c r="F45" s="21">
        <v>148451</v>
      </c>
      <c r="G45" s="43">
        <v>0.11</v>
      </c>
      <c r="H45" s="21" t="s">
        <v>1966</v>
      </c>
      <c r="I45" s="39">
        <f ca="1">IFERROR(__xludf.DUMMYFUNCTION("IF(SUM(COUNTIF(artists!A:A, SPLIT(D45, "",""))) &gt; 0, ""UA"", 0)"),0)</f>
        <v>0</v>
      </c>
      <c r="J45" s="40" t="str">
        <f ca="1">IFERROR(__xludf.DUMMYFUNCTION("IF(SUM(COUNTIF(artists!C:C, SPLIT(D45, "",""))) &gt; 0, ""RU"", 0)"),"RU")</f>
        <v>RU</v>
      </c>
      <c r="K45" s="39">
        <f ca="1">IFERROR(__xludf.DUMMYFUNCTION("IF(SUM(COUNTIF(artists!E:E, SPLIT(D45, "",""))) &gt; 0, ""OTHER"", 0)"),0)</f>
        <v>0</v>
      </c>
    </row>
    <row r="46" spans="1:11" ht="14.25" customHeight="1">
      <c r="A46" s="21">
        <v>45</v>
      </c>
      <c r="B46" s="21">
        <v>23</v>
      </c>
      <c r="C46" s="21" t="s">
        <v>1939</v>
      </c>
      <c r="D46" s="21" t="s">
        <v>1940</v>
      </c>
      <c r="E46" s="21">
        <v>11</v>
      </c>
      <c r="F46" s="21">
        <v>144023</v>
      </c>
      <c r="G46" s="43">
        <v>-0.01</v>
      </c>
      <c r="H46" s="21" t="s">
        <v>1941</v>
      </c>
      <c r="I46" s="39">
        <f ca="1">IFERROR(__xludf.DUMMYFUNCTION("IF(SUM(COUNTIF(artists!A:A, SPLIT(D46, "",""))) &gt; 0, ""UA"", 0)"),0)</f>
        <v>0</v>
      </c>
      <c r="J46" s="40" t="str">
        <f ca="1">IFERROR(__xludf.DUMMYFUNCTION("IF(SUM(COUNTIF(artists!C:C, SPLIT(D46, "",""))) &gt; 0, ""RU"", 0)"),"RU")</f>
        <v>RU</v>
      </c>
      <c r="K46" s="39">
        <f ca="1">IFERROR(__xludf.DUMMYFUNCTION("IF(SUM(COUNTIF(artists!E:E, SPLIT(D46, "",""))) &gt; 0, ""OTHER"", 0)"),0)</f>
        <v>0</v>
      </c>
    </row>
    <row r="47" spans="1:11" ht="14.25" customHeight="1">
      <c r="A47" s="21">
        <v>46</v>
      </c>
      <c r="B47" s="21">
        <v>48</v>
      </c>
      <c r="C47" s="21" t="s">
        <v>1676</v>
      </c>
      <c r="D47" s="21" t="s">
        <v>743</v>
      </c>
      <c r="E47" s="21">
        <v>18</v>
      </c>
      <c r="F47" s="21">
        <v>143707</v>
      </c>
      <c r="G47" s="42">
        <v>0.39700000000000002</v>
      </c>
      <c r="H47" s="21" t="s">
        <v>1677</v>
      </c>
      <c r="I47" s="39">
        <f ca="1">IFERROR(__xludf.DUMMYFUNCTION("IF(SUM(COUNTIF(artists!A:A, SPLIT(D47, "",""))) &gt; 0, ""UA"", 0)"),0)</f>
        <v>0</v>
      </c>
      <c r="J47" s="40" t="str">
        <f ca="1">IFERROR(__xludf.DUMMYFUNCTION("IF(SUM(COUNTIF(artists!C:C, SPLIT(D47, "",""))) &gt; 0, ""RU"", 0)"),"RU")</f>
        <v>RU</v>
      </c>
      <c r="K47" s="39">
        <f ca="1">IFERROR(__xludf.DUMMYFUNCTION("IF(SUM(COUNTIF(artists!E:E, SPLIT(D47, "",""))) &gt; 0, ""OTHER"", 0)"),0)</f>
        <v>0</v>
      </c>
    </row>
    <row r="48" spans="1:11" ht="14.25" customHeight="1">
      <c r="A48" s="21">
        <v>47</v>
      </c>
      <c r="B48" s="21">
        <v>16</v>
      </c>
      <c r="C48" s="21" t="s">
        <v>1518</v>
      </c>
      <c r="D48" s="21" t="s">
        <v>108</v>
      </c>
      <c r="E48" s="21">
        <v>4</v>
      </c>
      <c r="F48" s="21">
        <v>143680</v>
      </c>
      <c r="G48" s="42">
        <v>-0.11700000000000001</v>
      </c>
      <c r="H48" s="21" t="s">
        <v>1519</v>
      </c>
      <c r="I48" s="39" t="str">
        <f ca="1">IFERROR(__xludf.DUMMYFUNCTION("IF(SUM(COUNTIF(artists!A:A, SPLIT(D48, "",""))) &gt; 0, ""UA"", 0)"),"UA")</f>
        <v>UA</v>
      </c>
      <c r="J48" s="40">
        <f ca="1">IFERROR(__xludf.DUMMYFUNCTION("IF(SUM(COUNTIF(artists!C:C, SPLIT(D48, "",""))) &gt; 0, ""RU"", 0)"),0)</f>
        <v>0</v>
      </c>
      <c r="K48" s="39">
        <f ca="1">IFERROR(__xludf.DUMMYFUNCTION("IF(SUM(COUNTIF(artists!E:E, SPLIT(D48, "",""))) &gt; 0, ""OTHER"", 0)"),0)</f>
        <v>0</v>
      </c>
    </row>
    <row r="49" spans="1:11" ht="14.25" customHeight="1">
      <c r="A49" s="21">
        <v>48</v>
      </c>
      <c r="B49" s="21">
        <v>52</v>
      </c>
      <c r="C49" s="21" t="s">
        <v>1858</v>
      </c>
      <c r="D49" s="21" t="s">
        <v>1859</v>
      </c>
      <c r="E49" s="21">
        <v>3</v>
      </c>
      <c r="F49" s="21">
        <v>143428</v>
      </c>
      <c r="G49" s="42">
        <v>0.46200000000000002</v>
      </c>
      <c r="H49" s="21" t="s">
        <v>1860</v>
      </c>
      <c r="I49" s="39">
        <f ca="1">IFERROR(__xludf.DUMMYFUNCTION("IF(SUM(COUNTIF(artists!A:A, SPLIT(D49, "",""))) &gt; 0, ""UA"", 0)"),0)</f>
        <v>0</v>
      </c>
      <c r="J49" s="40" t="str">
        <f ca="1">IFERROR(__xludf.DUMMYFUNCTION("IF(SUM(COUNTIF(artists!C:C, SPLIT(D49, "",""))) &gt; 0, ""RU"", 0)"),"RU")</f>
        <v>RU</v>
      </c>
      <c r="K49" s="39">
        <f ca="1">IFERROR(__xludf.DUMMYFUNCTION("IF(SUM(COUNTIF(artists!E:E, SPLIT(D49, "",""))) &gt; 0, ""OTHER"", 0)"),0)</f>
        <v>0</v>
      </c>
    </row>
    <row r="50" spans="1:11" ht="14.25" customHeight="1">
      <c r="A50" s="21">
        <v>49</v>
      </c>
      <c r="B50" s="21">
        <v>59</v>
      </c>
      <c r="C50" s="21" t="s">
        <v>493</v>
      </c>
      <c r="D50" s="21" t="s">
        <v>494</v>
      </c>
      <c r="E50" s="21">
        <v>7</v>
      </c>
      <c r="F50" s="21">
        <v>143410</v>
      </c>
      <c r="G50" s="42">
        <v>0.57899999999999996</v>
      </c>
      <c r="H50" s="21" t="s">
        <v>495</v>
      </c>
      <c r="I50" s="39" t="str">
        <f ca="1">IFERROR(__xludf.DUMMYFUNCTION("IF(SUM(COUNTIF(artists!A:A, SPLIT(D50, "",""))) &gt; 0, ""UA"", 0)"),"UA")</f>
        <v>UA</v>
      </c>
      <c r="J50" s="40">
        <f ca="1">IFERROR(__xludf.DUMMYFUNCTION("IF(SUM(COUNTIF(artists!C:C, SPLIT(D50, "",""))) &gt; 0, ""RU"", 0)"),0)</f>
        <v>0</v>
      </c>
      <c r="K50" s="39">
        <f ca="1">IFERROR(__xludf.DUMMYFUNCTION("IF(SUM(COUNTIF(artists!E:E, SPLIT(D50, "",""))) &gt; 0, ""OTHER"", 0)"),0)</f>
        <v>0</v>
      </c>
    </row>
    <row r="51" spans="1:11" ht="14.25" customHeight="1">
      <c r="A51" s="21">
        <v>50</v>
      </c>
      <c r="B51" s="21">
        <v>57</v>
      </c>
      <c r="C51" s="21" t="s">
        <v>1588</v>
      </c>
      <c r="D51" s="21" t="s">
        <v>776</v>
      </c>
      <c r="E51" s="21">
        <v>5</v>
      </c>
      <c r="F51" s="21">
        <v>143227</v>
      </c>
      <c r="G51" s="42">
        <v>0.54500000000000004</v>
      </c>
      <c r="H51" s="21" t="s">
        <v>1589</v>
      </c>
      <c r="I51" s="39" t="str">
        <f ca="1">IFERROR(__xludf.DUMMYFUNCTION("IF(SUM(COUNTIF(artists!A:A, SPLIT(D51, "",""))) &gt; 0, ""UA"", 0)"),"UA")</f>
        <v>UA</v>
      </c>
      <c r="J51" s="40">
        <f ca="1">IFERROR(__xludf.DUMMYFUNCTION("IF(SUM(COUNTIF(artists!C:C, SPLIT(D51, "",""))) &gt; 0, ""RU"", 0)"),0)</f>
        <v>0</v>
      </c>
      <c r="K51" s="39">
        <f ca="1">IFERROR(__xludf.DUMMYFUNCTION("IF(SUM(COUNTIF(artists!E:E, SPLIT(D51, "",""))) &gt; 0, ""OTHER"", 0)"),0)</f>
        <v>0</v>
      </c>
    </row>
    <row r="52" spans="1:11" ht="14.25" customHeight="1">
      <c r="A52" s="21">
        <v>51</v>
      </c>
      <c r="B52" s="21">
        <v>43</v>
      </c>
      <c r="C52" s="21" t="s">
        <v>1261</v>
      </c>
      <c r="D52" s="21" t="s">
        <v>137</v>
      </c>
      <c r="E52" s="21">
        <v>17</v>
      </c>
      <c r="F52" s="21">
        <v>136132</v>
      </c>
      <c r="G52" s="42">
        <v>0.23699999999999999</v>
      </c>
      <c r="H52" s="21" t="s">
        <v>1262</v>
      </c>
      <c r="I52" s="39" t="str">
        <f ca="1">IFERROR(__xludf.DUMMYFUNCTION("IF(SUM(COUNTIF(artists!A:A, SPLIT(D52, "",""))) &gt; 0, ""UA"", 0)"),"UA")</f>
        <v>UA</v>
      </c>
      <c r="J52" s="40">
        <f ca="1">IFERROR(__xludf.DUMMYFUNCTION("IF(SUM(COUNTIF(artists!C:C, SPLIT(D52, "",""))) &gt; 0, ""RU"", 0)"),0)</f>
        <v>0</v>
      </c>
      <c r="K52" s="39">
        <f ca="1">IFERROR(__xludf.DUMMYFUNCTION("IF(SUM(COUNTIF(artists!E:E, SPLIT(D52, "",""))) &gt; 0, ""OTHER"", 0)"),0)</f>
        <v>0</v>
      </c>
    </row>
    <row r="53" spans="1:11" ht="14.25" customHeight="1">
      <c r="A53" s="21">
        <v>52</v>
      </c>
      <c r="C53" s="21" t="s">
        <v>1502</v>
      </c>
      <c r="D53" s="21" t="s">
        <v>1503</v>
      </c>
      <c r="E53" s="21">
        <v>22</v>
      </c>
      <c r="F53" s="21">
        <v>135289</v>
      </c>
      <c r="H53" s="21" t="s">
        <v>1504</v>
      </c>
      <c r="I53" s="39" t="str">
        <f ca="1">IFERROR(__xludf.DUMMYFUNCTION("IF(SUM(COUNTIF(artists!A:A, SPLIT(D53, "",""))) &gt; 0, ""UA"", 0)"),"UA")</f>
        <v>UA</v>
      </c>
      <c r="J53" s="40">
        <f ca="1">IFERROR(__xludf.DUMMYFUNCTION("IF(SUM(COUNTIF(artists!C:C, SPLIT(D53, "",""))) &gt; 0, ""RU"", 0)"),0)</f>
        <v>0</v>
      </c>
      <c r="K53" s="39">
        <f ca="1">IFERROR(__xludf.DUMMYFUNCTION("IF(SUM(COUNTIF(artists!E:E, SPLIT(D53, "",""))) &gt; 0, ""OTHER"", 0)"),0)</f>
        <v>0</v>
      </c>
    </row>
    <row r="54" spans="1:11" ht="14.25" customHeight="1">
      <c r="A54" s="21">
        <v>53</v>
      </c>
      <c r="B54" s="21">
        <v>41</v>
      </c>
      <c r="C54" s="21" t="s">
        <v>1973</v>
      </c>
      <c r="D54" s="21" t="s">
        <v>1974</v>
      </c>
      <c r="E54" s="21">
        <v>4</v>
      </c>
      <c r="F54" s="21">
        <v>132909</v>
      </c>
      <c r="G54" s="42">
        <v>0.17199999999999999</v>
      </c>
      <c r="H54" s="21" t="s">
        <v>1975</v>
      </c>
      <c r="I54" s="39">
        <f ca="1">IFERROR(__xludf.DUMMYFUNCTION("IF(SUM(COUNTIF(artists!A:A, SPLIT(D54, "",""))) &gt; 0, ""UA"", 0)"),0)</f>
        <v>0</v>
      </c>
      <c r="J54" s="40" t="str">
        <f ca="1">IFERROR(__xludf.DUMMYFUNCTION("IF(SUM(COUNTIF(artists!C:C, SPLIT(D54, "",""))) &gt; 0, ""RU"", 0)"),"RU")</f>
        <v>RU</v>
      </c>
      <c r="K54" s="39">
        <f ca="1">IFERROR(__xludf.DUMMYFUNCTION("IF(SUM(COUNTIF(artists!E:E, SPLIT(D54, "",""))) &gt; 0, ""OTHER"", 0)"),0)</f>
        <v>0</v>
      </c>
    </row>
    <row r="55" spans="1:11" ht="14.25" customHeight="1">
      <c r="A55" s="21">
        <v>54</v>
      </c>
      <c r="B55" s="21">
        <v>51</v>
      </c>
      <c r="C55" s="21" t="s">
        <v>1601</v>
      </c>
      <c r="D55" s="21" t="s">
        <v>1602</v>
      </c>
      <c r="E55" s="21">
        <v>5</v>
      </c>
      <c r="F55" s="21">
        <v>132799</v>
      </c>
      <c r="G55" s="42">
        <v>0.32600000000000001</v>
      </c>
      <c r="H55" s="21" t="s">
        <v>1603</v>
      </c>
      <c r="I55" s="39">
        <f ca="1">IFERROR(__xludf.DUMMYFUNCTION("IF(SUM(COUNTIF(artists!A:A, SPLIT(D55, "",""))) &gt; 0, ""UA"", 0)"),0)</f>
        <v>0</v>
      </c>
      <c r="J55" s="40" t="str">
        <f ca="1">IFERROR(__xludf.DUMMYFUNCTION("IF(SUM(COUNTIF(artists!C:C, SPLIT(D55, "",""))) &gt; 0, ""RU"", 0)"),"RU")</f>
        <v>RU</v>
      </c>
      <c r="K55" s="39">
        <f ca="1">IFERROR(__xludf.DUMMYFUNCTION("IF(SUM(COUNTIF(artists!E:E, SPLIT(D55, "",""))) &gt; 0, ""OTHER"", 0)"),0)</f>
        <v>0</v>
      </c>
    </row>
    <row r="56" spans="1:11" ht="14.25" customHeight="1">
      <c r="A56" s="21">
        <v>55</v>
      </c>
      <c r="B56" s="21">
        <v>58</v>
      </c>
      <c r="C56" s="21" t="s">
        <v>1867</v>
      </c>
      <c r="D56" s="21" t="s">
        <v>1099</v>
      </c>
      <c r="E56" s="21">
        <v>16</v>
      </c>
      <c r="F56" s="21">
        <v>132467</v>
      </c>
      <c r="G56" s="42">
        <v>0.45300000000000001</v>
      </c>
      <c r="H56" s="21" t="s">
        <v>1868</v>
      </c>
      <c r="I56" s="39">
        <f ca="1">IFERROR(__xludf.DUMMYFUNCTION("IF(SUM(COUNTIF(artists!A:A, SPLIT(D56, "",""))) &gt; 0, ""UA"", 0)"),0)</f>
        <v>0</v>
      </c>
      <c r="J56" s="40" t="str">
        <f ca="1">IFERROR(__xludf.DUMMYFUNCTION("IF(SUM(COUNTIF(artists!C:C, SPLIT(D56, "",""))) &gt; 0, ""RU"", 0)"),"RU")</f>
        <v>RU</v>
      </c>
      <c r="K56" s="39">
        <f ca="1">IFERROR(__xludf.DUMMYFUNCTION("IF(SUM(COUNTIF(artists!E:E, SPLIT(D56, "",""))) &gt; 0, ""OTHER"", 0)"),0)</f>
        <v>0</v>
      </c>
    </row>
    <row r="57" spans="1:11" ht="14.25" customHeight="1">
      <c r="A57" s="21">
        <v>56</v>
      </c>
      <c r="C57" s="21" t="s">
        <v>2000</v>
      </c>
      <c r="D57" s="21" t="s">
        <v>137</v>
      </c>
      <c r="E57" s="21">
        <v>46</v>
      </c>
      <c r="F57" s="21">
        <v>131042</v>
      </c>
      <c r="H57" s="21" t="s">
        <v>2001</v>
      </c>
      <c r="I57" s="39" t="str">
        <f ca="1">IFERROR(__xludf.DUMMYFUNCTION("IF(SUM(COUNTIF(artists!A:A, SPLIT(D57, "",""))) &gt; 0, ""UA"", 0)"),"UA")</f>
        <v>UA</v>
      </c>
      <c r="J57" s="40">
        <f ca="1">IFERROR(__xludf.DUMMYFUNCTION("IF(SUM(COUNTIF(artists!C:C, SPLIT(D57, "",""))) &gt; 0, ""RU"", 0)"),0)</f>
        <v>0</v>
      </c>
      <c r="K57" s="39">
        <f ca="1">IFERROR(__xludf.DUMMYFUNCTION("IF(SUM(COUNTIF(artists!E:E, SPLIT(D57, "",""))) &gt; 0, ""OTHER"", 0)"),0)</f>
        <v>0</v>
      </c>
    </row>
    <row r="58" spans="1:11" ht="14.25" customHeight="1">
      <c r="A58" s="21">
        <v>57</v>
      </c>
      <c r="B58" s="21">
        <v>35</v>
      </c>
      <c r="C58" s="21" t="s">
        <v>1726</v>
      </c>
      <c r="D58" s="21" t="s">
        <v>1727</v>
      </c>
      <c r="E58" s="21">
        <v>2</v>
      </c>
      <c r="F58" s="21">
        <v>127666</v>
      </c>
      <c r="G58" s="42">
        <v>1.4E-2</v>
      </c>
      <c r="H58" s="21" t="s">
        <v>1728</v>
      </c>
      <c r="I58" s="39" t="str">
        <f ca="1">IFERROR(__xludf.DUMMYFUNCTION("IF(SUM(COUNTIF(artists!A:A, SPLIT(D58, "",""))) &gt; 0, ""UA"", 0)"),"UA")</f>
        <v>UA</v>
      </c>
      <c r="J58" s="40">
        <f ca="1">IFERROR(__xludf.DUMMYFUNCTION("IF(SUM(COUNTIF(artists!C:C, SPLIT(D58, "",""))) &gt; 0, ""RU"", 0)"),0)</f>
        <v>0</v>
      </c>
      <c r="K58" s="39">
        <f ca="1">IFERROR(__xludf.DUMMYFUNCTION("IF(SUM(COUNTIF(artists!E:E, SPLIT(D58, "",""))) &gt; 0, ""OTHER"", 0)"),0)</f>
        <v>0</v>
      </c>
    </row>
    <row r="59" spans="1:11" ht="14.25" customHeight="1">
      <c r="A59" s="21">
        <v>58</v>
      </c>
      <c r="B59" s="21">
        <v>45</v>
      </c>
      <c r="C59" s="21" t="s">
        <v>408</v>
      </c>
      <c r="D59" s="21" t="s">
        <v>409</v>
      </c>
      <c r="E59" s="21">
        <v>2</v>
      </c>
      <c r="F59" s="21">
        <v>126981</v>
      </c>
      <c r="G59" s="43">
        <v>0.16</v>
      </c>
      <c r="H59" s="21" t="s">
        <v>410</v>
      </c>
      <c r="I59" s="39" t="str">
        <f ca="1">IFERROR(__xludf.DUMMYFUNCTION("IF(SUM(COUNTIF(artists!A:A, SPLIT(D59, "",""))) &gt; 0, ""UA"", 0)"),"UA")</f>
        <v>UA</v>
      </c>
      <c r="J59" s="40">
        <f ca="1">IFERROR(__xludf.DUMMYFUNCTION("IF(SUM(COUNTIF(artists!C:C, SPLIT(D59, "",""))) &gt; 0, ""RU"", 0)"),0)</f>
        <v>0</v>
      </c>
      <c r="K59" s="39">
        <f ca="1">IFERROR(__xludf.DUMMYFUNCTION("IF(SUM(COUNTIF(artists!E:E, SPLIT(D59, "",""))) &gt; 0, ""OTHER"", 0)"),0)</f>
        <v>0</v>
      </c>
    </row>
    <row r="60" spans="1:11" ht="14.25" customHeight="1">
      <c r="A60" s="21">
        <v>59</v>
      </c>
      <c r="B60" s="21">
        <v>63</v>
      </c>
      <c r="C60" s="21" t="s">
        <v>968</v>
      </c>
      <c r="D60" s="21" t="s">
        <v>969</v>
      </c>
      <c r="E60" s="21">
        <v>12</v>
      </c>
      <c r="F60" s="21">
        <v>126895</v>
      </c>
      <c r="G60" s="42">
        <v>0.46200000000000002</v>
      </c>
      <c r="H60" s="21" t="s">
        <v>970</v>
      </c>
      <c r="I60" s="39" t="str">
        <f ca="1">IFERROR(__xludf.DUMMYFUNCTION("IF(SUM(COUNTIF(artists!A:A, SPLIT(D60, "",""))) &gt; 0, ""UA"", 0)"),"UA")</f>
        <v>UA</v>
      </c>
      <c r="J60" s="40">
        <f ca="1">IFERROR(__xludf.DUMMYFUNCTION("IF(SUM(COUNTIF(artists!C:C, SPLIT(D60, "",""))) &gt; 0, ""RU"", 0)"),0)</f>
        <v>0</v>
      </c>
      <c r="K60" s="39">
        <f ca="1">IFERROR(__xludf.DUMMYFUNCTION("IF(SUM(COUNTIF(artists!E:E, SPLIT(D60, "",""))) &gt; 0, ""OTHER"", 0)"),0)</f>
        <v>0</v>
      </c>
    </row>
    <row r="61" spans="1:11" ht="14.25" customHeight="1">
      <c r="A61" s="21">
        <v>60</v>
      </c>
      <c r="B61" s="21">
        <v>87</v>
      </c>
      <c r="C61" s="21" t="s">
        <v>841</v>
      </c>
      <c r="D61" s="21" t="s">
        <v>842</v>
      </c>
      <c r="E61" s="21">
        <v>8</v>
      </c>
      <c r="F61" s="21">
        <v>125415</v>
      </c>
      <c r="G61" s="42">
        <v>0.80400000000000005</v>
      </c>
      <c r="H61" s="21" t="s">
        <v>843</v>
      </c>
      <c r="I61" s="39">
        <f ca="1">IFERROR(__xludf.DUMMYFUNCTION("IF(SUM(COUNTIF(artists!A:A, SPLIT(D61, "",""))) &gt; 0, ""UA"", 0)"),0)</f>
        <v>0</v>
      </c>
      <c r="J61" s="40">
        <f ca="1">IFERROR(__xludf.DUMMYFUNCTION("IF(SUM(COUNTIF(artists!C:C, SPLIT(D61, "",""))) &gt; 0, ""RU"", 0)"),0)</f>
        <v>0</v>
      </c>
      <c r="K61" s="39" t="str">
        <f ca="1">IFERROR(__xludf.DUMMYFUNCTION("IF(SUM(COUNTIF(artists!E:E, SPLIT(D61, "",""))) &gt; 0, ""OTHER"", 0)"),"OTHER")</f>
        <v>OTHER</v>
      </c>
    </row>
    <row r="62" spans="1:11" ht="14.25" customHeight="1">
      <c r="A62" s="21">
        <v>61</v>
      </c>
      <c r="B62" s="21">
        <v>42</v>
      </c>
      <c r="C62" s="21" t="s">
        <v>1889</v>
      </c>
      <c r="D62" s="21" t="s">
        <v>1890</v>
      </c>
      <c r="E62" s="21">
        <v>3</v>
      </c>
      <c r="F62" s="21">
        <v>124122</v>
      </c>
      <c r="G62" s="42">
        <v>0.112</v>
      </c>
      <c r="H62" s="21" t="s">
        <v>1891</v>
      </c>
      <c r="I62" s="39" t="str">
        <f ca="1">IFERROR(__xludf.DUMMYFUNCTION("IF(SUM(COUNTIF(artists!A:A, SPLIT(D62, "",""))) &gt; 0, ""UA"", 0)"),"UA")</f>
        <v>UA</v>
      </c>
      <c r="J62" s="40">
        <f ca="1">IFERROR(__xludf.DUMMYFUNCTION("IF(SUM(COUNTIF(artists!C:C, SPLIT(D62, "",""))) &gt; 0, ""RU"", 0)"),0)</f>
        <v>0</v>
      </c>
      <c r="K62" s="39">
        <f ca="1">IFERROR(__xludf.DUMMYFUNCTION("IF(SUM(COUNTIF(artists!E:E, SPLIT(D62, "",""))) &gt; 0, ""OTHER"", 0)"),0)</f>
        <v>0</v>
      </c>
    </row>
    <row r="63" spans="1:11" ht="14.25" customHeight="1">
      <c r="A63" s="21">
        <v>62</v>
      </c>
      <c r="B63" s="21">
        <v>53</v>
      </c>
      <c r="C63" s="21" t="s">
        <v>1822</v>
      </c>
      <c r="D63" s="21" t="s">
        <v>1823</v>
      </c>
      <c r="E63" s="21">
        <v>2</v>
      </c>
      <c r="F63" s="21">
        <v>123347</v>
      </c>
      <c r="G63" s="42">
        <v>0.27400000000000002</v>
      </c>
      <c r="H63" s="21" t="s">
        <v>1824</v>
      </c>
      <c r="I63" s="39" t="str">
        <f ca="1">IFERROR(__xludf.DUMMYFUNCTION("IF(SUM(COUNTIF(artists!A:A, SPLIT(D63, "",""))) &gt; 0, ""UA"", 0)"),"UA")</f>
        <v>UA</v>
      </c>
      <c r="J63" s="40">
        <f ca="1">IFERROR(__xludf.DUMMYFUNCTION("IF(SUM(COUNTIF(artists!C:C, SPLIT(D63, "",""))) &gt; 0, ""RU"", 0)"),0)</f>
        <v>0</v>
      </c>
      <c r="K63" s="39">
        <f ca="1">IFERROR(__xludf.DUMMYFUNCTION("IF(SUM(COUNTIF(artists!E:E, SPLIT(D63, "",""))) &gt; 0, ""OTHER"", 0)"),0)</f>
        <v>0</v>
      </c>
    </row>
    <row r="64" spans="1:11" ht="14.25" customHeight="1">
      <c r="A64" s="21">
        <v>63</v>
      </c>
      <c r="B64" s="21">
        <v>68</v>
      </c>
      <c r="C64" s="21" t="s">
        <v>1812</v>
      </c>
      <c r="D64" s="21" t="s">
        <v>133</v>
      </c>
      <c r="E64" s="21">
        <v>2</v>
      </c>
      <c r="F64" s="21">
        <v>122789</v>
      </c>
      <c r="G64" s="42">
        <v>0.47099999999999997</v>
      </c>
      <c r="H64" s="21" t="s">
        <v>1813</v>
      </c>
      <c r="I64" s="39" t="str">
        <f ca="1">IFERROR(__xludf.DUMMYFUNCTION("IF(SUM(COUNTIF(artists!A:A, SPLIT(D64, "",""))) &gt; 0, ""UA"", 0)"),"UA")</f>
        <v>UA</v>
      </c>
      <c r="J64" s="40">
        <f ca="1">IFERROR(__xludf.DUMMYFUNCTION("IF(SUM(COUNTIF(artists!C:C, SPLIT(D64, "",""))) &gt; 0, ""RU"", 0)"),0)</f>
        <v>0</v>
      </c>
      <c r="K64" s="39">
        <f ca="1">IFERROR(__xludf.DUMMYFUNCTION("IF(SUM(COUNTIF(artists!E:E, SPLIT(D64, "",""))) &gt; 0, ""OTHER"", 0)"),0)</f>
        <v>0</v>
      </c>
    </row>
    <row r="65" spans="1:11" ht="14.25" customHeight="1">
      <c r="A65" s="21">
        <v>64</v>
      </c>
      <c r="C65" s="21" t="s">
        <v>1498</v>
      </c>
      <c r="D65" s="21" t="s">
        <v>969</v>
      </c>
      <c r="E65" s="21">
        <v>24</v>
      </c>
      <c r="F65" s="21">
        <v>119943</v>
      </c>
      <c r="H65" s="21" t="s">
        <v>1499</v>
      </c>
      <c r="I65" s="39" t="str">
        <f ca="1">IFERROR(__xludf.DUMMYFUNCTION("IF(SUM(COUNTIF(artists!A:A, SPLIT(D65, "",""))) &gt; 0, ""UA"", 0)"),"UA")</f>
        <v>UA</v>
      </c>
      <c r="J65" s="40">
        <f ca="1">IFERROR(__xludf.DUMMYFUNCTION("IF(SUM(COUNTIF(artists!C:C, SPLIT(D65, "",""))) &gt; 0, ""RU"", 0)"),0)</f>
        <v>0</v>
      </c>
      <c r="K65" s="39">
        <f ca="1">IFERROR(__xludf.DUMMYFUNCTION("IF(SUM(COUNTIF(artists!E:E, SPLIT(D65, "",""))) &gt; 0, ""OTHER"", 0)"),0)</f>
        <v>0</v>
      </c>
    </row>
    <row r="66" spans="1:11" ht="14.25" customHeight="1">
      <c r="A66" s="21">
        <v>65</v>
      </c>
      <c r="B66" s="21">
        <v>49</v>
      </c>
      <c r="C66" s="21" t="s">
        <v>1678</v>
      </c>
      <c r="D66" s="21" t="s">
        <v>1679</v>
      </c>
      <c r="E66" s="21">
        <v>34</v>
      </c>
      <c r="F66" s="21">
        <v>119705</v>
      </c>
      <c r="G66" s="42">
        <v>0.16800000000000001</v>
      </c>
      <c r="H66" s="21" t="s">
        <v>1680</v>
      </c>
      <c r="I66" s="39">
        <f ca="1">IFERROR(__xludf.DUMMYFUNCTION("IF(SUM(COUNTIF(artists!A:A, SPLIT(D66, "",""))) &gt; 0, ""UA"", 0)"),0)</f>
        <v>0</v>
      </c>
      <c r="J66" s="40" t="str">
        <f ca="1">IFERROR(__xludf.DUMMYFUNCTION("IF(SUM(COUNTIF(artists!C:C, SPLIT(D66, "",""))) &gt; 0, ""RU"", 0)"),"RU")</f>
        <v>RU</v>
      </c>
      <c r="K66" s="39">
        <f ca="1">IFERROR(__xludf.DUMMYFUNCTION("IF(SUM(COUNTIF(artists!E:E, SPLIT(D66, "",""))) &gt; 0, ""OTHER"", 0)"),0)</f>
        <v>0</v>
      </c>
    </row>
    <row r="67" spans="1:11" ht="14.25" customHeight="1">
      <c r="A67" s="21">
        <v>66</v>
      </c>
      <c r="B67" s="21">
        <v>62</v>
      </c>
      <c r="C67" s="21" t="s">
        <v>1865</v>
      </c>
      <c r="D67" s="21" t="s">
        <v>1646</v>
      </c>
      <c r="E67" s="21">
        <v>13</v>
      </c>
      <c r="F67" s="21">
        <v>119158</v>
      </c>
      <c r="G67" s="42">
        <v>0.35399999999999998</v>
      </c>
      <c r="H67" s="21" t="s">
        <v>1866</v>
      </c>
      <c r="I67" s="39">
        <f ca="1">IFERROR(__xludf.DUMMYFUNCTION("IF(SUM(COUNTIF(artists!A:A, SPLIT(D67, "",""))) &gt; 0, ""UA"", 0)"),0)</f>
        <v>0</v>
      </c>
      <c r="J67" s="40" t="str">
        <f ca="1">IFERROR(__xludf.DUMMYFUNCTION("IF(SUM(COUNTIF(artists!C:C, SPLIT(D67, "",""))) &gt; 0, ""RU"", 0)"),"RU")</f>
        <v>RU</v>
      </c>
      <c r="K67" s="39">
        <f ca="1">IFERROR(__xludf.DUMMYFUNCTION("IF(SUM(COUNTIF(artists!E:E, SPLIT(D67, "",""))) &gt; 0, ""OTHER"", 0)"),0)</f>
        <v>0</v>
      </c>
    </row>
    <row r="68" spans="1:11" ht="14.25" customHeight="1">
      <c r="A68" s="21">
        <v>67</v>
      </c>
      <c r="B68" s="21">
        <v>25</v>
      </c>
      <c r="C68" s="21" t="s">
        <v>1882</v>
      </c>
      <c r="D68" s="21" t="s">
        <v>133</v>
      </c>
      <c r="E68" s="21">
        <v>2</v>
      </c>
      <c r="F68" s="21">
        <v>118624</v>
      </c>
      <c r="G68" s="42">
        <v>-0.17399999999999999</v>
      </c>
      <c r="H68" s="21" t="s">
        <v>1883</v>
      </c>
      <c r="I68" s="39" t="str">
        <f ca="1">IFERROR(__xludf.DUMMYFUNCTION("IF(SUM(COUNTIF(artists!A:A, SPLIT(D68, "",""))) &gt; 0, ""UA"", 0)"),"UA")</f>
        <v>UA</v>
      </c>
      <c r="J68" s="40">
        <f ca="1">IFERROR(__xludf.DUMMYFUNCTION("IF(SUM(COUNTIF(artists!C:C, SPLIT(D68, "",""))) &gt; 0, ""RU"", 0)"),0)</f>
        <v>0</v>
      </c>
      <c r="K68" s="39">
        <f ca="1">IFERROR(__xludf.DUMMYFUNCTION("IF(SUM(COUNTIF(artists!E:E, SPLIT(D68, "",""))) &gt; 0, ""OTHER"", 0)"),0)</f>
        <v>0</v>
      </c>
    </row>
    <row r="69" spans="1:11" ht="14.25" customHeight="1">
      <c r="A69" s="21">
        <v>68</v>
      </c>
      <c r="C69" s="21" t="s">
        <v>1923</v>
      </c>
      <c r="D69" s="21" t="s">
        <v>1534</v>
      </c>
      <c r="E69" s="21">
        <v>1</v>
      </c>
      <c r="F69" s="21">
        <v>118266</v>
      </c>
      <c r="H69" s="21" t="s">
        <v>1924</v>
      </c>
      <c r="I69" s="39">
        <f ca="1">IFERROR(__xludf.DUMMYFUNCTION("IF(SUM(COUNTIF(artists!A:A, SPLIT(D69, "",""))) &gt; 0, ""UA"", 0)"),0)</f>
        <v>0</v>
      </c>
      <c r="J69" s="40" t="str">
        <f ca="1">IFERROR(__xludf.DUMMYFUNCTION("IF(SUM(COUNTIF(artists!C:C, SPLIT(D69, "",""))) &gt; 0, ""RU"", 0)"),"RU")</f>
        <v>RU</v>
      </c>
      <c r="K69" s="39">
        <f ca="1">IFERROR(__xludf.DUMMYFUNCTION("IF(SUM(COUNTIF(artists!E:E, SPLIT(D69, "",""))) &gt; 0, ""OTHER"", 0)"),0)</f>
        <v>0</v>
      </c>
    </row>
    <row r="70" spans="1:11" ht="14.25" customHeight="1">
      <c r="A70" s="21">
        <v>69</v>
      </c>
      <c r="C70" s="21" t="s">
        <v>748</v>
      </c>
      <c r="D70" s="21" t="s">
        <v>586</v>
      </c>
      <c r="E70" s="21">
        <v>1</v>
      </c>
      <c r="F70" s="21">
        <v>116495</v>
      </c>
      <c r="H70" s="21" t="s">
        <v>749</v>
      </c>
      <c r="I70" s="39" t="str">
        <f ca="1">IFERROR(__xludf.DUMMYFUNCTION("IF(SUM(COUNTIF(artists!A:A, SPLIT(D70, "",""))) &gt; 0, ""UA"", 0)"),"UA")</f>
        <v>UA</v>
      </c>
      <c r="J70" s="40">
        <f ca="1">IFERROR(__xludf.DUMMYFUNCTION("IF(SUM(COUNTIF(artists!C:C, SPLIT(D70, "",""))) &gt; 0, ""RU"", 0)"),0)</f>
        <v>0</v>
      </c>
      <c r="K70" s="39">
        <f ca="1">IFERROR(__xludf.DUMMYFUNCTION("IF(SUM(COUNTIF(artists!E:E, SPLIT(D70, "",""))) &gt; 0, ""OTHER"", 0)"),0)</f>
        <v>0</v>
      </c>
    </row>
    <row r="71" spans="1:11" ht="14.25" customHeight="1">
      <c r="A71" s="21">
        <v>70</v>
      </c>
      <c r="C71" s="21" t="s">
        <v>470</v>
      </c>
      <c r="D71" s="21" t="s">
        <v>598</v>
      </c>
      <c r="E71" s="21">
        <v>14</v>
      </c>
      <c r="F71" s="21">
        <v>115344</v>
      </c>
      <c r="H71" s="21" t="s">
        <v>1274</v>
      </c>
      <c r="I71" s="39" t="str">
        <f ca="1">IFERROR(__xludf.DUMMYFUNCTION("IF(SUM(COUNTIF(artists!A:A, SPLIT(D71, "",""))) &gt; 0, ""UA"", 0)"),"UA")</f>
        <v>UA</v>
      </c>
      <c r="J71" s="40">
        <f ca="1">IFERROR(__xludf.DUMMYFUNCTION("IF(SUM(COUNTIF(artists!C:C, SPLIT(D71, "",""))) &gt; 0, ""RU"", 0)"),0)</f>
        <v>0</v>
      </c>
      <c r="K71" s="39">
        <f ca="1">IFERROR(__xludf.DUMMYFUNCTION("IF(SUM(COUNTIF(artists!E:E, SPLIT(D71, "",""))) &gt; 0, ""OTHER"", 0)"),0)</f>
        <v>0</v>
      </c>
    </row>
    <row r="72" spans="1:11" ht="14.25" customHeight="1">
      <c r="A72" s="21">
        <v>71</v>
      </c>
      <c r="C72" s="21" t="s">
        <v>799</v>
      </c>
      <c r="D72" s="21" t="s">
        <v>494</v>
      </c>
      <c r="E72" s="21">
        <v>1</v>
      </c>
      <c r="F72" s="21">
        <v>114732</v>
      </c>
      <c r="H72" s="21" t="s">
        <v>800</v>
      </c>
      <c r="I72" s="39" t="str">
        <f ca="1">IFERROR(__xludf.DUMMYFUNCTION("IF(SUM(COUNTIF(artists!A:A, SPLIT(D72, "",""))) &gt; 0, ""UA"", 0)"),"UA")</f>
        <v>UA</v>
      </c>
      <c r="J72" s="40">
        <f ca="1">IFERROR(__xludf.DUMMYFUNCTION("IF(SUM(COUNTIF(artists!C:C, SPLIT(D72, "",""))) &gt; 0, ""RU"", 0)"),0)</f>
        <v>0</v>
      </c>
      <c r="K72" s="39">
        <f ca="1">IFERROR(__xludf.DUMMYFUNCTION("IF(SUM(COUNTIF(artists!E:E, SPLIT(D72, "",""))) &gt; 0, ""OTHER"", 0)"),0)</f>
        <v>0</v>
      </c>
    </row>
    <row r="73" spans="1:11" ht="14.25" customHeight="1">
      <c r="A73" s="21">
        <v>72</v>
      </c>
      <c r="B73" s="21">
        <v>56</v>
      </c>
      <c r="C73" s="21" t="s">
        <v>1483</v>
      </c>
      <c r="D73" s="21" t="s">
        <v>972</v>
      </c>
      <c r="E73" s="21">
        <v>17</v>
      </c>
      <c r="F73" s="21">
        <v>114716</v>
      </c>
      <c r="G73" s="42">
        <v>0.216</v>
      </c>
      <c r="H73" s="21" t="s">
        <v>1484</v>
      </c>
      <c r="I73" s="39">
        <f ca="1">IFERROR(__xludf.DUMMYFUNCTION("IF(SUM(COUNTIF(artists!A:A, SPLIT(D73, "",""))) &gt; 0, ""UA"", 0)"),0)</f>
        <v>0</v>
      </c>
      <c r="J73" s="40">
        <f ca="1">IFERROR(__xludf.DUMMYFUNCTION("IF(SUM(COUNTIF(artists!C:C, SPLIT(D73, "",""))) &gt; 0, ""RU"", 0)"),0)</f>
        <v>0</v>
      </c>
      <c r="K73" s="39" t="str">
        <f ca="1">IFERROR(__xludf.DUMMYFUNCTION("IF(SUM(COUNTIF(artists!E:E, SPLIT(D73, "",""))) &gt; 0, ""OTHER"", 0)"),"OTHER")</f>
        <v>OTHER</v>
      </c>
    </row>
    <row r="74" spans="1:11" ht="14.25" customHeight="1">
      <c r="A74" s="21">
        <v>73</v>
      </c>
      <c r="C74" s="21" t="s">
        <v>2002</v>
      </c>
      <c r="D74" s="21" t="s">
        <v>2003</v>
      </c>
      <c r="E74" s="21">
        <v>34</v>
      </c>
      <c r="F74" s="21">
        <v>113395</v>
      </c>
      <c r="H74" s="21" t="s">
        <v>2004</v>
      </c>
      <c r="I74" s="39">
        <f ca="1">IFERROR(__xludf.DUMMYFUNCTION("IF(SUM(COUNTIF(artists!A:A, SPLIT(D74, "",""))) &gt; 0, ""UA"", 0)"),0)</f>
        <v>0</v>
      </c>
      <c r="J74" s="40" t="str">
        <f ca="1">IFERROR(__xludf.DUMMYFUNCTION("IF(SUM(COUNTIF(artists!C:C, SPLIT(D74, "",""))) &gt; 0, ""RU"", 0)"),"RU")</f>
        <v>RU</v>
      </c>
      <c r="K74" s="39">
        <f ca="1">IFERROR(__xludf.DUMMYFUNCTION("IF(SUM(COUNTIF(artists!E:E, SPLIT(D74, "",""))) &gt; 0, ""OTHER"", 0)"),0)</f>
        <v>0</v>
      </c>
    </row>
    <row r="75" spans="1:11" ht="14.25" customHeight="1">
      <c r="A75" s="21">
        <v>74</v>
      </c>
      <c r="B75" s="21">
        <v>89</v>
      </c>
      <c r="C75" s="21" t="s">
        <v>1447</v>
      </c>
      <c r="D75" s="21" t="s">
        <v>969</v>
      </c>
      <c r="E75" s="21">
        <v>12</v>
      </c>
      <c r="F75" s="21">
        <v>113331</v>
      </c>
      <c r="G75" s="42">
        <v>0.63800000000000001</v>
      </c>
      <c r="H75" s="21" t="s">
        <v>1448</v>
      </c>
      <c r="I75" s="39" t="str">
        <f ca="1">IFERROR(__xludf.DUMMYFUNCTION("IF(SUM(COUNTIF(artists!A:A, SPLIT(D75, "",""))) &gt; 0, ""UA"", 0)"),"UA")</f>
        <v>UA</v>
      </c>
      <c r="J75" s="40">
        <f ca="1">IFERROR(__xludf.DUMMYFUNCTION("IF(SUM(COUNTIF(artists!C:C, SPLIT(D75, "",""))) &gt; 0, ""RU"", 0)"),0)</f>
        <v>0</v>
      </c>
      <c r="K75" s="39">
        <f ca="1">IFERROR(__xludf.DUMMYFUNCTION("IF(SUM(COUNTIF(artists!E:E, SPLIT(D75, "",""))) &gt; 0, ""OTHER"", 0)"),0)</f>
        <v>0</v>
      </c>
    </row>
    <row r="76" spans="1:11" ht="14.25" customHeight="1">
      <c r="A76" s="21">
        <v>75</v>
      </c>
      <c r="B76" s="21">
        <v>47</v>
      </c>
      <c r="C76" s="21" t="s">
        <v>1984</v>
      </c>
      <c r="D76" s="21" t="s">
        <v>1985</v>
      </c>
      <c r="E76" s="21">
        <v>7</v>
      </c>
      <c r="F76" s="21">
        <v>111994</v>
      </c>
      <c r="G76" s="42">
        <v>8.3000000000000004E-2</v>
      </c>
      <c r="H76" s="21" t="s">
        <v>1986</v>
      </c>
      <c r="I76" s="39">
        <f ca="1">IFERROR(__xludf.DUMMYFUNCTION("IF(SUM(COUNTIF(artists!A:A, SPLIT(D76, "",""))) &gt; 0, ""UA"", 0)"),0)</f>
        <v>0</v>
      </c>
      <c r="J76" s="40" t="str">
        <f ca="1">IFERROR(__xludf.DUMMYFUNCTION("IF(SUM(COUNTIF(artists!C:C, SPLIT(D76, "",""))) &gt; 0, ""RU"", 0)"),"RU")</f>
        <v>RU</v>
      </c>
      <c r="K76" s="39">
        <f ca="1">IFERROR(__xludf.DUMMYFUNCTION("IF(SUM(COUNTIF(artists!E:E, SPLIT(D76, "",""))) &gt; 0, ""OTHER"", 0)"),0)</f>
        <v>0</v>
      </c>
    </row>
    <row r="77" spans="1:11" ht="14.25" customHeight="1">
      <c r="A77" s="21">
        <v>76</v>
      </c>
      <c r="B77" s="21">
        <v>40</v>
      </c>
      <c r="C77" s="21" t="s">
        <v>1960</v>
      </c>
      <c r="D77" s="21" t="s">
        <v>1050</v>
      </c>
      <c r="E77" s="21">
        <v>8</v>
      </c>
      <c r="F77" s="21">
        <v>111893</v>
      </c>
      <c r="G77" s="42">
        <v>-2.5000000000000001E-2</v>
      </c>
      <c r="H77" s="21" t="s">
        <v>1961</v>
      </c>
      <c r="I77" s="39">
        <f ca="1">IFERROR(__xludf.DUMMYFUNCTION("IF(SUM(COUNTIF(artists!A:A, SPLIT(D77, "",""))) &gt; 0, ""UA"", 0)"),0)</f>
        <v>0</v>
      </c>
      <c r="J77" s="40" t="str">
        <f ca="1">IFERROR(__xludf.DUMMYFUNCTION("IF(SUM(COUNTIF(artists!C:C, SPLIT(D77, "",""))) &gt; 0, ""RU"", 0)"),"RU")</f>
        <v>RU</v>
      </c>
      <c r="K77" s="39">
        <f ca="1">IFERROR(__xludf.DUMMYFUNCTION("IF(SUM(COUNTIF(artists!E:E, SPLIT(D77, "",""))) &gt; 0, ""OTHER"", 0)"),0)</f>
        <v>0</v>
      </c>
    </row>
    <row r="78" spans="1:11" ht="14.25" customHeight="1">
      <c r="A78" s="21">
        <v>77</v>
      </c>
      <c r="C78" s="21" t="s">
        <v>1431</v>
      </c>
      <c r="D78" s="21" t="s">
        <v>969</v>
      </c>
      <c r="E78" s="21">
        <v>22</v>
      </c>
      <c r="F78" s="21">
        <v>111100</v>
      </c>
      <c r="H78" s="21" t="s">
        <v>1432</v>
      </c>
      <c r="I78" s="39" t="str">
        <f ca="1">IFERROR(__xludf.DUMMYFUNCTION("IF(SUM(COUNTIF(artists!A:A, SPLIT(D78, "",""))) &gt; 0, ""UA"", 0)"),"UA")</f>
        <v>UA</v>
      </c>
      <c r="J78" s="40">
        <f ca="1">IFERROR(__xludf.DUMMYFUNCTION("IF(SUM(COUNTIF(artists!C:C, SPLIT(D78, "",""))) &gt; 0, ""RU"", 0)"),0)</f>
        <v>0</v>
      </c>
      <c r="K78" s="39">
        <f ca="1">IFERROR(__xludf.DUMMYFUNCTION("IF(SUM(COUNTIF(artists!E:E, SPLIT(D78, "",""))) &gt; 0, ""OTHER"", 0)"),0)</f>
        <v>0</v>
      </c>
    </row>
    <row r="79" spans="1:11" ht="14.25" customHeight="1">
      <c r="A79" s="21">
        <v>78</v>
      </c>
      <c r="B79" s="21">
        <v>44</v>
      </c>
      <c r="C79" s="21" t="s">
        <v>1282</v>
      </c>
      <c r="D79" s="21" t="s">
        <v>108</v>
      </c>
      <c r="E79" s="21">
        <v>20</v>
      </c>
      <c r="F79" s="21">
        <v>109128</v>
      </c>
      <c r="G79" s="42">
        <v>-7.0000000000000001E-3</v>
      </c>
      <c r="H79" s="21" t="s">
        <v>1283</v>
      </c>
      <c r="I79" s="39" t="str">
        <f ca="1">IFERROR(__xludf.DUMMYFUNCTION("IF(SUM(COUNTIF(artists!A:A, SPLIT(D79, "",""))) &gt; 0, ""UA"", 0)"),"UA")</f>
        <v>UA</v>
      </c>
      <c r="J79" s="40">
        <f ca="1">IFERROR(__xludf.DUMMYFUNCTION("IF(SUM(COUNTIF(artists!C:C, SPLIT(D79, "",""))) &gt; 0, ""RU"", 0)"),0)</f>
        <v>0</v>
      </c>
      <c r="K79" s="39">
        <f ca="1">IFERROR(__xludf.DUMMYFUNCTION("IF(SUM(COUNTIF(artists!E:E, SPLIT(D79, "",""))) &gt; 0, ""OTHER"", 0)"),0)</f>
        <v>0</v>
      </c>
    </row>
    <row r="80" spans="1:11" ht="14.25" customHeight="1">
      <c r="A80" s="21">
        <v>79</v>
      </c>
      <c r="B80" s="21">
        <v>77</v>
      </c>
      <c r="C80" s="21" t="s">
        <v>1887</v>
      </c>
      <c r="D80" s="21" t="s">
        <v>1099</v>
      </c>
      <c r="E80" s="21">
        <v>9</v>
      </c>
      <c r="F80" s="21">
        <v>108665</v>
      </c>
      <c r="G80" s="42">
        <v>0.38900000000000001</v>
      </c>
      <c r="H80" s="21" t="s">
        <v>1888</v>
      </c>
      <c r="I80" s="39">
        <f ca="1">IFERROR(__xludf.DUMMYFUNCTION("IF(SUM(COUNTIF(artists!A:A, SPLIT(D80, "",""))) &gt; 0, ""UA"", 0)"),0)</f>
        <v>0</v>
      </c>
      <c r="J80" s="40" t="str">
        <f ca="1">IFERROR(__xludf.DUMMYFUNCTION("IF(SUM(COUNTIF(artists!C:C, SPLIT(D80, "",""))) &gt; 0, ""RU"", 0)"),"RU")</f>
        <v>RU</v>
      </c>
      <c r="K80" s="39">
        <f ca="1">IFERROR(__xludf.DUMMYFUNCTION("IF(SUM(COUNTIF(artists!E:E, SPLIT(D80, "",""))) &gt; 0, ""OTHER"", 0)"),0)</f>
        <v>0</v>
      </c>
    </row>
    <row r="81" spans="1:11" ht="14.25" customHeight="1">
      <c r="A81" s="21">
        <v>80</v>
      </c>
      <c r="B81" s="21">
        <v>84</v>
      </c>
      <c r="C81" s="21" t="s">
        <v>1774</v>
      </c>
      <c r="D81" s="21" t="s">
        <v>1775</v>
      </c>
      <c r="E81" s="21">
        <v>19</v>
      </c>
      <c r="F81" s="21">
        <v>108370</v>
      </c>
      <c r="G81" s="42">
        <v>0.52500000000000002</v>
      </c>
      <c r="H81" s="21" t="s">
        <v>1776</v>
      </c>
      <c r="I81" s="39">
        <f ca="1">IFERROR(__xludf.DUMMYFUNCTION("IF(SUM(COUNTIF(artists!A:A, SPLIT(D81, "",""))) &gt; 0, ""UA"", 0)"),0)</f>
        <v>0</v>
      </c>
      <c r="J81" s="40" t="str">
        <f ca="1">IFERROR(__xludf.DUMMYFUNCTION("IF(SUM(COUNTIF(artists!C:C, SPLIT(D81, "",""))) &gt; 0, ""RU"", 0)"),"RU")</f>
        <v>RU</v>
      </c>
      <c r="K81" s="39">
        <f ca="1">IFERROR(__xludf.DUMMYFUNCTION("IF(SUM(COUNTIF(artists!E:E, SPLIT(D81, "",""))) &gt; 0, ""OTHER"", 0)"),0)</f>
        <v>0</v>
      </c>
    </row>
    <row r="82" spans="1:11" ht="14.25" customHeight="1">
      <c r="A82" s="21">
        <v>81</v>
      </c>
      <c r="B82" s="21">
        <v>76</v>
      </c>
      <c r="C82" s="21" t="s">
        <v>1337</v>
      </c>
      <c r="D82" s="21" t="s">
        <v>1338</v>
      </c>
      <c r="E82" s="21">
        <v>10</v>
      </c>
      <c r="F82" s="21">
        <v>108344</v>
      </c>
      <c r="G82" s="42">
        <v>0.373</v>
      </c>
      <c r="H82" s="21" t="s">
        <v>1339</v>
      </c>
      <c r="I82" s="39">
        <f ca="1">IFERROR(__xludf.DUMMYFUNCTION("IF(SUM(COUNTIF(artists!A:A, SPLIT(D82, "",""))) &gt; 0, ""UA"", 0)"),0)</f>
        <v>0</v>
      </c>
      <c r="J82" s="40">
        <f ca="1">IFERROR(__xludf.DUMMYFUNCTION("IF(SUM(COUNTIF(artists!C:C, SPLIT(D82, "",""))) &gt; 0, ""RU"", 0)"),0)</f>
        <v>0</v>
      </c>
      <c r="K82" s="39" t="str">
        <f ca="1">IFERROR(__xludf.DUMMYFUNCTION("IF(SUM(COUNTIF(artists!E:E, SPLIT(D82, "",""))) &gt; 0, ""OTHER"", 0)"),"OTHER")</f>
        <v>OTHER</v>
      </c>
    </row>
    <row r="83" spans="1:11" ht="14.25" customHeight="1">
      <c r="A83" s="21">
        <v>82</v>
      </c>
      <c r="B83" s="21">
        <v>61</v>
      </c>
      <c r="C83" s="21" t="s">
        <v>2005</v>
      </c>
      <c r="D83" s="21" t="s">
        <v>1593</v>
      </c>
      <c r="E83" s="21">
        <v>20</v>
      </c>
      <c r="F83" s="21">
        <v>107454</v>
      </c>
      <c r="G83" s="42">
        <v>0.19600000000000001</v>
      </c>
      <c r="H83" s="21" t="s">
        <v>2006</v>
      </c>
      <c r="I83" s="39">
        <f ca="1">IFERROR(__xludf.DUMMYFUNCTION("IF(SUM(COUNTIF(artists!A:A, SPLIT(D83, "",""))) &gt; 0, ""UA"", 0)"),0)</f>
        <v>0</v>
      </c>
      <c r="J83" s="40" t="str">
        <f ca="1">IFERROR(__xludf.DUMMYFUNCTION("IF(SUM(COUNTIF(artists!C:C, SPLIT(D83, "",""))) &gt; 0, ""RU"", 0)"),"RU")</f>
        <v>RU</v>
      </c>
      <c r="K83" s="39">
        <f ca="1">IFERROR(__xludf.DUMMYFUNCTION("IF(SUM(COUNTIF(artists!E:E, SPLIT(D83, "",""))) &gt; 0, ""OTHER"", 0)"),0)</f>
        <v>0</v>
      </c>
    </row>
    <row r="84" spans="1:11" ht="14.25" customHeight="1">
      <c r="A84" s="21">
        <v>83</v>
      </c>
      <c r="B84" s="21">
        <v>70</v>
      </c>
      <c r="C84" s="21" t="s">
        <v>1861</v>
      </c>
      <c r="D84" s="21" t="s">
        <v>409</v>
      </c>
      <c r="E84" s="21">
        <v>2</v>
      </c>
      <c r="F84" s="21">
        <v>107172</v>
      </c>
      <c r="G84" s="42">
        <v>0.308</v>
      </c>
      <c r="H84" s="21" t="s">
        <v>1862</v>
      </c>
      <c r="I84" s="39" t="str">
        <f ca="1">IFERROR(__xludf.DUMMYFUNCTION("IF(SUM(COUNTIF(artists!A:A, SPLIT(D84, "",""))) &gt; 0, ""UA"", 0)"),"UA")</f>
        <v>UA</v>
      </c>
      <c r="J84" s="40">
        <f ca="1">IFERROR(__xludf.DUMMYFUNCTION("IF(SUM(COUNTIF(artists!C:C, SPLIT(D84, "",""))) &gt; 0, ""RU"", 0)"),0)</f>
        <v>0</v>
      </c>
      <c r="K84" s="39">
        <f ca="1">IFERROR(__xludf.DUMMYFUNCTION("IF(SUM(COUNTIF(artists!E:E, SPLIT(D84, "",""))) &gt; 0, ""OTHER"", 0)"),0)</f>
        <v>0</v>
      </c>
    </row>
    <row r="85" spans="1:11" ht="14.25" customHeight="1">
      <c r="A85" s="21">
        <v>84</v>
      </c>
      <c r="B85" s="21">
        <v>60</v>
      </c>
      <c r="C85" s="21" t="s">
        <v>1987</v>
      </c>
      <c r="D85" s="21" t="s">
        <v>1988</v>
      </c>
      <c r="E85" s="21">
        <v>6</v>
      </c>
      <c r="F85" s="21">
        <v>105139</v>
      </c>
      <c r="G85" s="43">
        <v>0.17</v>
      </c>
      <c r="H85" s="21" t="s">
        <v>1989</v>
      </c>
      <c r="I85" s="39">
        <f ca="1">IFERROR(__xludf.DUMMYFUNCTION("IF(SUM(COUNTIF(artists!A:A, SPLIT(D85, "",""))) &gt; 0, ""UA"", 0)"),0)</f>
        <v>0</v>
      </c>
      <c r="J85" s="40" t="str">
        <f ca="1">IFERROR(__xludf.DUMMYFUNCTION("IF(SUM(COUNTIF(artists!C:C, SPLIT(D85, "",""))) &gt; 0, ""RU"", 0)"),"RU")</f>
        <v>RU</v>
      </c>
      <c r="K85" s="39">
        <f ca="1">IFERROR(__xludf.DUMMYFUNCTION("IF(SUM(COUNTIF(artists!E:E, SPLIT(D85, "",""))) &gt; 0, ""OTHER"", 0)"),0)</f>
        <v>0</v>
      </c>
    </row>
    <row r="86" spans="1:11" ht="14.25" customHeight="1">
      <c r="A86" s="21">
        <v>85</v>
      </c>
      <c r="C86" s="21" t="s">
        <v>1654</v>
      </c>
      <c r="D86" s="21" t="s">
        <v>1655</v>
      </c>
      <c r="E86" s="21">
        <v>23</v>
      </c>
      <c r="F86" s="21">
        <v>104505</v>
      </c>
      <c r="H86" s="21" t="s">
        <v>1656</v>
      </c>
      <c r="I86" s="39">
        <f ca="1">IFERROR(__xludf.DUMMYFUNCTION("IF(SUM(COUNTIF(artists!A:A, SPLIT(D86, "",""))) &gt; 0, ""UA"", 0)"),0)</f>
        <v>0</v>
      </c>
      <c r="J86" s="40" t="str">
        <f ca="1">IFERROR(__xludf.DUMMYFUNCTION("IF(SUM(COUNTIF(artists!C:C, SPLIT(D86, "",""))) &gt; 0, ""RU"", 0)"),"RU")</f>
        <v>RU</v>
      </c>
      <c r="K86" s="39">
        <f ca="1">IFERROR(__xludf.DUMMYFUNCTION("IF(SUM(COUNTIF(artists!E:E, SPLIT(D86, "",""))) &gt; 0, ""OTHER"", 0)"),0)</f>
        <v>0</v>
      </c>
    </row>
    <row r="87" spans="1:11" ht="14.25" customHeight="1">
      <c r="A87" s="21">
        <v>86</v>
      </c>
      <c r="B87" s="21">
        <v>86</v>
      </c>
      <c r="C87" s="21" t="s">
        <v>1392</v>
      </c>
      <c r="D87" s="21" t="s">
        <v>1393</v>
      </c>
      <c r="E87" s="21">
        <v>6</v>
      </c>
      <c r="F87" s="21">
        <v>104387</v>
      </c>
      <c r="G87" s="42">
        <v>0.49099999999999999</v>
      </c>
      <c r="H87" s="21" t="s">
        <v>1394</v>
      </c>
      <c r="I87" s="39">
        <f ca="1">IFERROR(__xludf.DUMMYFUNCTION("IF(SUM(COUNTIF(artists!A:A, SPLIT(D87, "",""))) &gt; 0, ""UA"", 0)"),0)</f>
        <v>0</v>
      </c>
      <c r="J87" s="40" t="str">
        <f ca="1">IFERROR(__xludf.DUMMYFUNCTION("IF(SUM(COUNTIF(artists!C:C, SPLIT(D87, "",""))) &gt; 0, ""RU"", 0)"),"RU")</f>
        <v>RU</v>
      </c>
      <c r="K87" s="39">
        <f ca="1">IFERROR(__xludf.DUMMYFUNCTION("IF(SUM(COUNTIF(artists!E:E, SPLIT(D87, "",""))) &gt; 0, ""OTHER"", 0)"),0)</f>
        <v>0</v>
      </c>
    </row>
    <row r="88" spans="1:11" ht="14.25" customHeight="1">
      <c r="A88" s="21">
        <v>87</v>
      </c>
      <c r="B88" s="21">
        <v>81</v>
      </c>
      <c r="C88" s="21" t="s">
        <v>1842</v>
      </c>
      <c r="D88" s="21" t="s">
        <v>1843</v>
      </c>
      <c r="E88" s="21">
        <v>2</v>
      </c>
      <c r="F88" s="21">
        <v>103843</v>
      </c>
      <c r="G88" s="42">
        <v>0.41299999999999998</v>
      </c>
      <c r="H88" s="21" t="s">
        <v>1844</v>
      </c>
      <c r="I88" s="39">
        <f ca="1">IFERROR(__xludf.DUMMYFUNCTION("IF(SUM(COUNTIF(artists!A:A, SPLIT(D88, "",""))) &gt; 0, ""UA"", 0)"),0)</f>
        <v>0</v>
      </c>
      <c r="J88" s="40" t="str">
        <f ca="1">IFERROR(__xludf.DUMMYFUNCTION("IF(SUM(COUNTIF(artists!C:C, SPLIT(D88, "",""))) &gt; 0, ""RU"", 0)"),"RU")</f>
        <v>RU</v>
      </c>
      <c r="K88" s="39">
        <f ca="1">IFERROR(__xludf.DUMMYFUNCTION("IF(SUM(COUNTIF(artists!E:E, SPLIT(D88, "",""))) &gt; 0, ""OTHER"", 0)"),0)</f>
        <v>0</v>
      </c>
    </row>
    <row r="89" spans="1:11" ht="14.25" customHeight="1">
      <c r="A89" s="21">
        <v>88</v>
      </c>
      <c r="C89" s="21" t="s">
        <v>1942</v>
      </c>
      <c r="D89" s="21" t="s">
        <v>1637</v>
      </c>
      <c r="E89" s="21">
        <v>32</v>
      </c>
      <c r="F89" s="21">
        <v>103214</v>
      </c>
      <c r="H89" s="21" t="s">
        <v>1943</v>
      </c>
      <c r="I89" s="39">
        <f ca="1">IFERROR(__xludf.DUMMYFUNCTION("IF(SUM(COUNTIF(artists!A:A, SPLIT(D89, "",""))) &gt; 0, ""UA"", 0)"),0)</f>
        <v>0</v>
      </c>
      <c r="J89" s="40" t="str">
        <f ca="1">IFERROR(__xludf.DUMMYFUNCTION("IF(SUM(COUNTIF(artists!C:C, SPLIT(D89, "",""))) &gt; 0, ""RU"", 0)"),"RU")</f>
        <v>RU</v>
      </c>
      <c r="K89" s="39">
        <f ca="1">IFERROR(__xludf.DUMMYFUNCTION("IF(SUM(COUNTIF(artists!E:E, SPLIT(D89, "",""))) &gt; 0, ""OTHER"", 0)"),0)</f>
        <v>0</v>
      </c>
    </row>
    <row r="90" spans="1:11" ht="14.25" customHeight="1">
      <c r="A90" s="21">
        <v>89</v>
      </c>
      <c r="C90" s="21" t="s">
        <v>1879</v>
      </c>
      <c r="D90" s="21" t="s">
        <v>1880</v>
      </c>
      <c r="E90" s="21">
        <v>6</v>
      </c>
      <c r="F90" s="21">
        <v>101966</v>
      </c>
      <c r="H90" s="21" t="s">
        <v>1881</v>
      </c>
      <c r="I90" s="39" t="str">
        <f ca="1">IFERROR(__xludf.DUMMYFUNCTION("IF(SUM(COUNTIF(artists!A:A, SPLIT(D90, "",""))) &gt; 0, ""UA"", 0)"),"UA")</f>
        <v>UA</v>
      </c>
      <c r="J90" s="40">
        <f ca="1">IFERROR(__xludf.DUMMYFUNCTION("IF(SUM(COUNTIF(artists!C:C, SPLIT(D90, "",""))) &gt; 0, ""RU"", 0)"),0)</f>
        <v>0</v>
      </c>
      <c r="K90" s="39">
        <f ca="1">IFERROR(__xludf.DUMMYFUNCTION("IF(SUM(COUNTIF(artists!E:E, SPLIT(D90, "",""))) &gt; 0, ""OTHER"", 0)"),0)</f>
        <v>0</v>
      </c>
    </row>
    <row r="91" spans="1:11" ht="14.25" customHeight="1">
      <c r="A91" s="21">
        <v>90</v>
      </c>
      <c r="B91" s="21">
        <v>78</v>
      </c>
      <c r="C91" s="21" t="s">
        <v>613</v>
      </c>
      <c r="D91" s="21" t="s">
        <v>614</v>
      </c>
      <c r="E91" s="21">
        <v>12</v>
      </c>
      <c r="F91" s="21">
        <v>101856</v>
      </c>
      <c r="G91" s="43">
        <v>0.31</v>
      </c>
      <c r="H91" s="21" t="s">
        <v>615</v>
      </c>
      <c r="I91" s="39">
        <f ca="1">IFERROR(__xludf.DUMMYFUNCTION("IF(SUM(COUNTIF(artists!A:A, SPLIT(D91, "",""))) &gt; 0, ""UA"", 0)"),0)</f>
        <v>0</v>
      </c>
      <c r="J91" s="40" t="str">
        <f ca="1">IFERROR(__xludf.DUMMYFUNCTION("IF(SUM(COUNTIF(artists!C:C, SPLIT(D91, "",""))) &gt; 0, ""RU"", 0)"),"RU")</f>
        <v>RU</v>
      </c>
      <c r="K91" s="39">
        <f ca="1">IFERROR(__xludf.DUMMYFUNCTION("IF(SUM(COUNTIF(artists!E:E, SPLIT(D91, "",""))) &gt; 0, ""OTHER"", 0)"),0)</f>
        <v>0</v>
      </c>
    </row>
    <row r="92" spans="1:11" ht="14.25" customHeight="1">
      <c r="A92" s="21">
        <v>91</v>
      </c>
      <c r="C92" s="21" t="s">
        <v>1970</v>
      </c>
      <c r="D92" s="21" t="s">
        <v>1971</v>
      </c>
      <c r="E92" s="21">
        <v>25</v>
      </c>
      <c r="F92" s="21">
        <v>101705</v>
      </c>
      <c r="H92" s="21" t="s">
        <v>1972</v>
      </c>
      <c r="I92" s="39">
        <f ca="1">IFERROR(__xludf.DUMMYFUNCTION("IF(SUM(COUNTIF(artists!A:A, SPLIT(D92, "",""))) &gt; 0, ""UA"", 0)"),0)</f>
        <v>0</v>
      </c>
      <c r="J92" s="40" t="str">
        <f ca="1">IFERROR(__xludf.DUMMYFUNCTION("IF(SUM(COUNTIF(artists!C:C, SPLIT(D92, "",""))) &gt; 0, ""RU"", 0)"),"RU")</f>
        <v>RU</v>
      </c>
      <c r="K92" s="39">
        <f ca="1">IFERROR(__xludf.DUMMYFUNCTION("IF(SUM(COUNTIF(artists!E:E, SPLIT(D92, "",""))) &gt; 0, ""OTHER"", 0)"),0)</f>
        <v>0</v>
      </c>
    </row>
    <row r="93" spans="1:11" ht="14.25" customHeight="1">
      <c r="A93" s="21">
        <v>92</v>
      </c>
      <c r="B93" s="21">
        <v>69</v>
      </c>
      <c r="C93" s="21" t="s">
        <v>2007</v>
      </c>
      <c r="D93" s="21" t="s">
        <v>1652</v>
      </c>
      <c r="E93" s="21">
        <v>20</v>
      </c>
      <c r="F93" s="21">
        <v>101041</v>
      </c>
      <c r="G93" s="42">
        <v>0.21299999999999999</v>
      </c>
      <c r="H93" s="21" t="s">
        <v>2008</v>
      </c>
      <c r="I93" s="39">
        <f ca="1">IFERROR(__xludf.DUMMYFUNCTION("IF(SUM(COUNTIF(artists!A:A, SPLIT(D93, "",""))) &gt; 0, ""UA"", 0)"),0)</f>
        <v>0</v>
      </c>
      <c r="J93" s="40" t="str">
        <f ca="1">IFERROR(__xludf.DUMMYFUNCTION("IF(SUM(COUNTIF(artists!C:C, SPLIT(D93, "",""))) &gt; 0, ""RU"", 0)"),"RU")</f>
        <v>RU</v>
      </c>
      <c r="K93" s="39">
        <f ca="1">IFERROR(__xludf.DUMMYFUNCTION("IF(SUM(COUNTIF(artists!E:E, SPLIT(D93, "",""))) &gt; 0, ""OTHER"", 0)"),0)</f>
        <v>0</v>
      </c>
    </row>
    <row r="94" spans="1:11" ht="14.25" customHeight="1">
      <c r="A94" s="21">
        <v>93</v>
      </c>
      <c r="B94" s="21">
        <v>75</v>
      </c>
      <c r="C94" s="21" t="s">
        <v>1454</v>
      </c>
      <c r="D94" s="21" t="s">
        <v>384</v>
      </c>
      <c r="E94" s="21">
        <v>2</v>
      </c>
      <c r="F94" s="21">
        <v>98883</v>
      </c>
      <c r="G94" s="42">
        <v>0.253</v>
      </c>
      <c r="H94" s="21" t="s">
        <v>386</v>
      </c>
      <c r="I94" s="39">
        <f ca="1">IFERROR(__xludf.DUMMYFUNCTION("IF(SUM(COUNTIF(artists!A:A, SPLIT(D94, "",""))) &gt; 0, ""UA"", 0)"),0)</f>
        <v>0</v>
      </c>
      <c r="J94" s="40">
        <f ca="1">IFERROR(__xludf.DUMMYFUNCTION("IF(SUM(COUNTIF(artists!C:C, SPLIT(D94, "",""))) &gt; 0, ""RU"", 0)"),0)</f>
        <v>0</v>
      </c>
      <c r="K94" s="39" t="str">
        <f ca="1">IFERROR(__xludf.DUMMYFUNCTION("IF(SUM(COUNTIF(artists!E:E, SPLIT(D94, "",""))) &gt; 0, ""OTHER"", 0)"),"OTHER")</f>
        <v>OTHER</v>
      </c>
    </row>
    <row r="95" spans="1:11" ht="14.25" customHeight="1">
      <c r="A95" s="21">
        <v>94</v>
      </c>
      <c r="C95" s="21" t="s">
        <v>1327</v>
      </c>
      <c r="D95" s="21" t="s">
        <v>89</v>
      </c>
      <c r="E95" s="21">
        <v>22</v>
      </c>
      <c r="F95" s="21">
        <v>98142</v>
      </c>
      <c r="H95" s="21" t="s">
        <v>1328</v>
      </c>
      <c r="I95" s="39" t="str">
        <f ca="1">IFERROR(__xludf.DUMMYFUNCTION("IF(SUM(COUNTIF(artists!A:A, SPLIT(D95, "",""))) &gt; 0, ""UA"", 0)"),"UA")</f>
        <v>UA</v>
      </c>
      <c r="J95" s="40">
        <f ca="1">IFERROR(__xludf.DUMMYFUNCTION("IF(SUM(COUNTIF(artists!C:C, SPLIT(D95, "",""))) &gt; 0, ""RU"", 0)"),0)</f>
        <v>0</v>
      </c>
      <c r="K95" s="39">
        <f ca="1">IFERROR(__xludf.DUMMYFUNCTION("IF(SUM(COUNTIF(artists!E:E, SPLIT(D95, "",""))) &gt; 0, ""OTHER"", 0)"),0)</f>
        <v>0</v>
      </c>
    </row>
    <row r="96" spans="1:11" ht="14.25" customHeight="1">
      <c r="A96" s="21">
        <v>95</v>
      </c>
      <c r="B96" s="21">
        <v>55</v>
      </c>
      <c r="C96" s="21" t="s">
        <v>2009</v>
      </c>
      <c r="D96" s="21" t="s">
        <v>2010</v>
      </c>
      <c r="E96" s="21">
        <v>11</v>
      </c>
      <c r="F96" s="21">
        <v>97909</v>
      </c>
      <c r="G96" s="42">
        <v>2.5999999999999999E-2</v>
      </c>
      <c r="H96" s="21" t="s">
        <v>2011</v>
      </c>
      <c r="I96" s="39">
        <f ca="1">IFERROR(__xludf.DUMMYFUNCTION("IF(SUM(COUNTIF(artists!A:A, SPLIT(D96, "",""))) &gt; 0, ""UA"", 0)"),0)</f>
        <v>0</v>
      </c>
      <c r="J96" s="40" t="str">
        <f ca="1">IFERROR(__xludf.DUMMYFUNCTION("IF(SUM(COUNTIF(artists!C:C, SPLIT(D96, "",""))) &gt; 0, ""RU"", 0)"),"RU")</f>
        <v>RU</v>
      </c>
      <c r="K96" s="39">
        <f ca="1">IFERROR(__xludf.DUMMYFUNCTION("IF(SUM(COUNTIF(artists!E:E, SPLIT(D96, "",""))) &gt; 0, ""OTHER"", 0)"),0)</f>
        <v>0</v>
      </c>
    </row>
    <row r="97" spans="1:11" ht="14.25" customHeight="1">
      <c r="A97" s="21">
        <v>96</v>
      </c>
      <c r="C97" s="21" t="s">
        <v>470</v>
      </c>
      <c r="D97" s="21" t="s">
        <v>81</v>
      </c>
      <c r="E97" s="21">
        <v>1</v>
      </c>
      <c r="F97" s="21">
        <v>97034</v>
      </c>
      <c r="H97" s="21" t="s">
        <v>472</v>
      </c>
      <c r="I97" s="39" t="str">
        <f ca="1">IFERROR(__xludf.DUMMYFUNCTION("IF(SUM(COUNTIF(artists!A:A, SPLIT(D97, "",""))) &gt; 0, ""UA"", 0)"),"UA")</f>
        <v>UA</v>
      </c>
      <c r="J97" s="40">
        <f ca="1">IFERROR(__xludf.DUMMYFUNCTION("IF(SUM(COUNTIF(artists!C:C, SPLIT(D97, "",""))) &gt; 0, ""RU"", 0)"),0)</f>
        <v>0</v>
      </c>
      <c r="K97" s="39">
        <f ca="1">IFERROR(__xludf.DUMMYFUNCTION("IF(SUM(COUNTIF(artists!E:E, SPLIT(D97, "",""))) &gt; 0, ""OTHER"", 0)"),0)</f>
        <v>0</v>
      </c>
    </row>
    <row r="98" spans="1:11" ht="14.25" customHeight="1">
      <c r="A98" s="21">
        <v>97</v>
      </c>
      <c r="C98" s="21" t="s">
        <v>1477</v>
      </c>
      <c r="D98" s="21" t="s">
        <v>1478</v>
      </c>
      <c r="E98" s="21">
        <v>1</v>
      </c>
      <c r="F98" s="21">
        <v>96498</v>
      </c>
      <c r="H98" s="21" t="s">
        <v>1479</v>
      </c>
      <c r="I98" s="39" t="str">
        <f ca="1">IFERROR(__xludf.DUMMYFUNCTION("IF(SUM(COUNTIF(artists!A:A, SPLIT(D98, "",""))) &gt; 0, ""UA"", 0)"),"UA")</f>
        <v>UA</v>
      </c>
      <c r="J98" s="40">
        <f ca="1">IFERROR(__xludf.DUMMYFUNCTION("IF(SUM(COUNTIF(artists!C:C, SPLIT(D98, "",""))) &gt; 0, ""RU"", 0)"),0)</f>
        <v>0</v>
      </c>
      <c r="K98" s="39">
        <f ca="1">IFERROR(__xludf.DUMMYFUNCTION("IF(SUM(COUNTIF(artists!E:E, SPLIT(D98, "",""))) &gt; 0, ""OTHER"", 0)"),0)</f>
        <v>0</v>
      </c>
    </row>
    <row r="99" spans="1:11" ht="14.25" customHeight="1">
      <c r="A99" s="21">
        <v>98</v>
      </c>
      <c r="C99" s="21" t="s">
        <v>1609</v>
      </c>
      <c r="D99" s="21" t="s">
        <v>586</v>
      </c>
      <c r="E99" s="21">
        <v>12</v>
      </c>
      <c r="F99" s="21">
        <v>95695</v>
      </c>
      <c r="H99" s="21" t="s">
        <v>1610</v>
      </c>
      <c r="I99" s="39" t="str">
        <f ca="1">IFERROR(__xludf.DUMMYFUNCTION("IF(SUM(COUNTIF(artists!A:A, SPLIT(D99, "",""))) &gt; 0, ""UA"", 0)"),"UA")</f>
        <v>UA</v>
      </c>
      <c r="J99" s="40">
        <f ca="1">IFERROR(__xludf.DUMMYFUNCTION("IF(SUM(COUNTIF(artists!C:C, SPLIT(D99, "",""))) &gt; 0, ""RU"", 0)"),0)</f>
        <v>0</v>
      </c>
      <c r="K99" s="39">
        <f ca="1">IFERROR(__xludf.DUMMYFUNCTION("IF(SUM(COUNTIF(artists!E:E, SPLIT(D99, "",""))) &gt; 0, ""OTHER"", 0)"),0)</f>
        <v>0</v>
      </c>
    </row>
    <row r="100" spans="1:11" ht="14.25" customHeight="1">
      <c r="A100" s="21">
        <v>99</v>
      </c>
      <c r="B100" s="21">
        <v>64</v>
      </c>
      <c r="C100" s="21" t="s">
        <v>1222</v>
      </c>
      <c r="D100" s="21" t="s">
        <v>1223</v>
      </c>
      <c r="E100" s="21">
        <v>20</v>
      </c>
      <c r="F100" s="21">
        <v>95594</v>
      </c>
      <c r="G100" s="43">
        <v>0.12</v>
      </c>
      <c r="H100" s="21" t="s">
        <v>1224</v>
      </c>
      <c r="I100" s="39">
        <f ca="1">IFERROR(__xludf.DUMMYFUNCTION("IF(SUM(COUNTIF(artists!A:A, SPLIT(D100, "",""))) &gt; 0, ""UA"", 0)"),0)</f>
        <v>0</v>
      </c>
      <c r="J100" s="40" t="str">
        <f ca="1">IFERROR(__xludf.DUMMYFUNCTION("IF(SUM(COUNTIF(artists!C:C, SPLIT(D100, "",""))) &gt; 0, ""RU"", 0)"),"RU")</f>
        <v>RU</v>
      </c>
      <c r="K100" s="39">
        <f ca="1">IFERROR(__xludf.DUMMYFUNCTION("IF(SUM(COUNTIF(artists!E:E, SPLIT(D100, "",""))) &gt; 0, ""OTHER"", 0)"),0)</f>
        <v>0</v>
      </c>
    </row>
    <row r="101" spans="1:11" ht="14.25" customHeight="1">
      <c r="A101" s="21">
        <v>100</v>
      </c>
      <c r="C101" s="21" t="s">
        <v>1219</v>
      </c>
      <c r="D101" s="21" t="s">
        <v>1220</v>
      </c>
      <c r="E101" s="21">
        <v>22</v>
      </c>
      <c r="F101" s="21">
        <v>95558</v>
      </c>
      <c r="H101" s="21" t="s">
        <v>1221</v>
      </c>
      <c r="I101" s="39">
        <f ca="1">IFERROR(__xludf.DUMMYFUNCTION("IF(SUM(COUNTIF(artists!A:A, SPLIT(D101, "",""))) &gt; 0, ""UA"", 0)"),0)</f>
        <v>0</v>
      </c>
      <c r="J101" s="40">
        <f ca="1">IFERROR(__xludf.DUMMYFUNCTION("IF(SUM(COUNTIF(artists!C:C, SPLIT(D101, "",""))) &gt; 0, ""RU"", 0)"),0)</f>
        <v>0</v>
      </c>
      <c r="K101" s="39" t="str">
        <f ca="1">IFERROR(__xludf.DUMMYFUNCTION("IF(SUM(COUNTIF(artists!E:E, SPLIT(D101, "",""))) &gt; 0, ""OTHER"", 0)"),"OTHER")</f>
        <v>OTHER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19" priority="1">
      <formula>AND($I2=0, $J2=0, $K2=0)</formula>
    </cfRule>
    <cfRule type="expression" dxfId="18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500-000000000000}">
  <sheetPr codeName="Аркуш54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4" width="8.6640625" customWidth="1"/>
    <col min="5" max="5" width="8.6640625" hidden="1" customWidth="1"/>
    <col min="6" max="6" width="8.6640625" customWidth="1"/>
    <col min="7" max="7" width="13.10937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B2" s="21">
        <v>4</v>
      </c>
      <c r="C2" s="21" t="s">
        <v>645</v>
      </c>
      <c r="D2" s="21" t="s">
        <v>352</v>
      </c>
      <c r="E2" s="21">
        <v>4</v>
      </c>
      <c r="F2" s="21">
        <v>664318</v>
      </c>
      <c r="G2" s="42">
        <v>-0.19700000000000001</v>
      </c>
      <c r="H2" s="21" t="s">
        <v>647</v>
      </c>
      <c r="I2" s="39" t="str">
        <f ca="1">IFERROR(__xludf.DUMMYFUNCTION("IF(SUM(COUNTIF(artists!A:A, SPLIT(D2, "",""))) &gt; 0, ""UA"", 0)"),"UA")</f>
        <v>UA</v>
      </c>
      <c r="J2" s="40">
        <f ca="1">IFERROR(__xludf.DUMMYFUNCTION("IF(SUM(COUNTIF(artists!C:C, SPLIT(D2, "",""))) &gt; 0, ""RU"", 0)"),0)</f>
        <v>0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B3" s="21">
        <v>1</v>
      </c>
      <c r="C3" s="21" t="s">
        <v>1263</v>
      </c>
      <c r="D3" s="21" t="s">
        <v>1264</v>
      </c>
      <c r="E3" s="21">
        <v>17</v>
      </c>
      <c r="F3" s="21">
        <v>581160</v>
      </c>
      <c r="G3" s="42">
        <v>-0.63400000000000001</v>
      </c>
      <c r="H3" s="21" t="s">
        <v>1265</v>
      </c>
      <c r="I3" s="39">
        <f ca="1">IFERROR(__xludf.DUMMYFUNCTION("IF(SUM(COUNTIF(artists!A:A, SPLIT(D3, "",""))) &gt; 0, ""UA"", 0)"),0)</f>
        <v>0</v>
      </c>
      <c r="J3" s="40" t="str">
        <f ca="1">IFERROR(__xludf.DUMMYFUNCTION("IF(SUM(COUNTIF(artists!C:C, SPLIT(D3, "",""))) &gt; 0, ""RU"", 0)"),"RU")</f>
        <v>RU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C4" s="21" t="s">
        <v>1487</v>
      </c>
      <c r="D4" s="21" t="s">
        <v>409</v>
      </c>
      <c r="E4" s="21">
        <v>1</v>
      </c>
      <c r="F4" s="21">
        <v>408778</v>
      </c>
      <c r="H4" s="21" t="s">
        <v>1488</v>
      </c>
      <c r="I4" s="39" t="str">
        <f ca="1">IFERROR(__xludf.DUMMYFUNCTION("IF(SUM(COUNTIF(artists!A:A, SPLIT(D4, "",""))) &gt; 0, ""UA"", 0)"),"UA")</f>
        <v>UA</v>
      </c>
      <c r="J4" s="40">
        <f ca="1">IFERROR(__xludf.DUMMYFUNCTION("IF(SUM(COUNTIF(artists!C:C, SPLIT(D4, "",""))) &gt; 0, ""RU"", 0)"),0)</f>
        <v>0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B5" s="21">
        <v>2</v>
      </c>
      <c r="C5" s="21" t="s">
        <v>935</v>
      </c>
      <c r="D5" s="21" t="s">
        <v>936</v>
      </c>
      <c r="E5" s="21">
        <v>18</v>
      </c>
      <c r="F5" s="21">
        <v>406446</v>
      </c>
      <c r="G5" s="42">
        <v>-0.64300000000000002</v>
      </c>
      <c r="H5" s="21" t="s">
        <v>937</v>
      </c>
      <c r="I5" s="39">
        <f ca="1">IFERROR(__xludf.DUMMYFUNCTION("IF(SUM(COUNTIF(artists!A:A, SPLIT(D5, "",""))) &gt; 0, ""UA"", 0)"),0)</f>
        <v>0</v>
      </c>
      <c r="J5" s="40" t="str">
        <f ca="1">IFERROR(__xludf.DUMMYFUNCTION("IF(SUM(COUNTIF(artists!C:C, SPLIT(D5, "",""))) &gt; 0, ""RU"", 0)"),"RU")</f>
        <v>RU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B6" s="21">
        <v>52</v>
      </c>
      <c r="C6" s="21" t="s">
        <v>895</v>
      </c>
      <c r="D6" s="21" t="s">
        <v>896</v>
      </c>
      <c r="E6" s="21">
        <v>3</v>
      </c>
      <c r="F6" s="21">
        <v>343423</v>
      </c>
      <c r="G6" s="42">
        <v>0.38300000000000001</v>
      </c>
      <c r="H6" s="21" t="s">
        <v>897</v>
      </c>
      <c r="I6" s="39" t="str">
        <f ca="1">IFERROR(__xludf.DUMMYFUNCTION("IF(SUM(COUNTIF(artists!A:A, SPLIT(D6, "",""))) &gt; 0, ""UA"", 0)"),"UA")</f>
        <v>UA</v>
      </c>
      <c r="J6" s="40">
        <f ca="1">IFERROR(__xludf.DUMMYFUNCTION("IF(SUM(COUNTIF(artists!C:C, SPLIT(D6, "",""))) &gt; 0, ""RU"", 0)"),0)</f>
        <v>0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B7" s="21">
        <v>8</v>
      </c>
      <c r="C7" s="21" t="s">
        <v>1496</v>
      </c>
      <c r="D7" s="21" t="s">
        <v>969</v>
      </c>
      <c r="E7" s="21">
        <v>41</v>
      </c>
      <c r="F7" s="21">
        <v>320212</v>
      </c>
      <c r="G7" s="42">
        <v>-0.50600000000000001</v>
      </c>
      <c r="H7" s="21" t="s">
        <v>1497</v>
      </c>
      <c r="I7" s="39" t="str">
        <f ca="1">IFERROR(__xludf.DUMMYFUNCTION("IF(SUM(COUNTIF(artists!A:A, SPLIT(D7, "",""))) &gt; 0, ""UA"", 0)"),"UA")</f>
        <v>UA</v>
      </c>
      <c r="J7" s="40">
        <f ca="1">IFERROR(__xludf.DUMMYFUNCTION("IF(SUM(COUNTIF(artists!C:C, SPLIT(D7, "",""))) &gt; 0, ""RU"", 0)"),0)</f>
        <v>0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B8" s="21">
        <v>23</v>
      </c>
      <c r="C8" s="21" t="s">
        <v>1839</v>
      </c>
      <c r="D8" s="21" t="s">
        <v>1840</v>
      </c>
      <c r="E8" s="21">
        <v>7</v>
      </c>
      <c r="F8" s="21">
        <v>317790</v>
      </c>
      <c r="G8" s="42">
        <v>-0.152</v>
      </c>
      <c r="H8" s="21" t="s">
        <v>1841</v>
      </c>
      <c r="I8" s="39">
        <f ca="1">IFERROR(__xludf.DUMMYFUNCTION("IF(SUM(COUNTIF(artists!A:A, SPLIT(D8, "",""))) &gt; 0, ""UA"", 0)"),0)</f>
        <v>0</v>
      </c>
      <c r="J8" s="40" t="str">
        <f ca="1">IFERROR(__xludf.DUMMYFUNCTION("IF(SUM(COUNTIF(artists!C:C, SPLIT(D8, "",""))) &gt; 0, ""RU"", 0)"),"RU")</f>
        <v>RU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C9" s="21" t="s">
        <v>1777</v>
      </c>
      <c r="D9" s="21" t="s">
        <v>1778</v>
      </c>
      <c r="E9" s="21">
        <v>1</v>
      </c>
      <c r="F9" s="21">
        <v>298988</v>
      </c>
      <c r="H9" s="21" t="s">
        <v>1779</v>
      </c>
      <c r="I9" s="39" t="str">
        <f ca="1">IFERROR(__xludf.DUMMYFUNCTION("IF(SUM(COUNTIF(artists!A:A, SPLIT(D9, "",""))) &gt; 0, ""UA"", 0)"),"UA")</f>
        <v>UA</v>
      </c>
      <c r="J9" s="40">
        <f ca="1">IFERROR(__xludf.DUMMYFUNCTION("IF(SUM(COUNTIF(artists!C:C, SPLIT(D9, "",""))) &gt; 0, ""RU"", 0)"),0)</f>
        <v>0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B10" s="21">
        <v>10</v>
      </c>
      <c r="C10" s="21" t="s">
        <v>1325</v>
      </c>
      <c r="D10" s="21" t="s">
        <v>1237</v>
      </c>
      <c r="E10" s="21">
        <v>41</v>
      </c>
      <c r="F10" s="21">
        <v>298754</v>
      </c>
      <c r="G10" s="43">
        <v>-0.49</v>
      </c>
      <c r="H10" s="21" t="s">
        <v>1326</v>
      </c>
      <c r="I10" s="39">
        <f ca="1">IFERROR(__xludf.DUMMYFUNCTION("IF(SUM(COUNTIF(artists!A:A, SPLIT(D10, "",""))) &gt; 0, ""UA"", 0)"),0)</f>
        <v>0</v>
      </c>
      <c r="J10" s="40" t="str">
        <f ca="1">IFERROR(__xludf.DUMMYFUNCTION("IF(SUM(COUNTIF(artists!C:C, SPLIT(D10, "",""))) &gt; 0, ""RU"", 0)"),"RU")</f>
        <v>RU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B11" s="21">
        <v>7</v>
      </c>
      <c r="C11" s="21" t="s">
        <v>1500</v>
      </c>
      <c r="D11" s="21" t="s">
        <v>907</v>
      </c>
      <c r="E11" s="21">
        <v>21</v>
      </c>
      <c r="F11" s="21">
        <v>292174</v>
      </c>
      <c r="G11" s="42">
        <v>-0.58299999999999996</v>
      </c>
      <c r="H11" s="21" t="s">
        <v>1501</v>
      </c>
      <c r="I11" s="39">
        <f ca="1">IFERROR(__xludf.DUMMYFUNCTION("IF(SUM(COUNTIF(artists!A:A, SPLIT(D11, "",""))) &gt; 0, ""UA"", 0)"),0)</f>
        <v>0</v>
      </c>
      <c r="J11" s="40" t="str">
        <f ca="1">IFERROR(__xludf.DUMMYFUNCTION("IF(SUM(COUNTIF(artists!C:C, SPLIT(D11, "",""))) &gt; 0, ""RU"", 0)"),"RU")</f>
        <v>RU</v>
      </c>
      <c r="K11" s="39">
        <f ca="1">IFERROR(__xludf.DUMMYFUNCTION("IF(SUM(COUNTIF(artists!E:E, SPLIT(D11, "",""))) &gt; 0, ""OTHER"", 0)"),0)</f>
        <v>0</v>
      </c>
    </row>
    <row r="12" spans="1:11" ht="14.25" customHeight="1">
      <c r="A12" s="21">
        <v>11</v>
      </c>
      <c r="C12" s="21" t="s">
        <v>1530</v>
      </c>
      <c r="D12" s="21" t="s">
        <v>1531</v>
      </c>
      <c r="E12" s="21">
        <v>1</v>
      </c>
      <c r="F12" s="21">
        <v>223576</v>
      </c>
      <c r="H12" s="21" t="s">
        <v>1532</v>
      </c>
      <c r="I12" s="39">
        <f ca="1">IFERROR(__xludf.DUMMYFUNCTION("IF(SUM(COUNTIF(artists!A:A, SPLIT(D12, "",""))) &gt; 0, ""UA"", 0)"),0)</f>
        <v>0</v>
      </c>
      <c r="J12" s="40">
        <f ca="1">IFERROR(__xludf.DUMMYFUNCTION("IF(SUM(COUNTIF(artists!C:C, SPLIT(D12, "",""))) &gt; 0, ""RU"", 0)"),0)</f>
        <v>0</v>
      </c>
      <c r="K12" s="39" t="str">
        <f ca="1">IFERROR(__xludf.DUMMYFUNCTION("IF(SUM(COUNTIF(artists!E:E, SPLIT(D12, "",""))) &gt; 0, ""OTHER"", 0)"),"OTHER")</f>
        <v>OTHER</v>
      </c>
    </row>
    <row r="13" spans="1:11" ht="14.25" customHeight="1">
      <c r="A13" s="21">
        <v>12</v>
      </c>
      <c r="C13" s="21" t="s">
        <v>1631</v>
      </c>
      <c r="D13" s="21" t="s">
        <v>409</v>
      </c>
      <c r="E13" s="21">
        <v>1</v>
      </c>
      <c r="F13" s="21">
        <v>200265</v>
      </c>
      <c r="H13" s="21" t="s">
        <v>1632</v>
      </c>
      <c r="I13" s="39" t="str">
        <f ca="1">IFERROR(__xludf.DUMMYFUNCTION("IF(SUM(COUNTIF(artists!A:A, SPLIT(D13, "",""))) &gt; 0, ""UA"", 0)"),"UA")</f>
        <v>UA</v>
      </c>
      <c r="J13" s="40">
        <f ca="1">IFERROR(__xludf.DUMMYFUNCTION("IF(SUM(COUNTIF(artists!C:C, SPLIT(D13, "",""))) &gt; 0, ""RU"", 0)"),0)</f>
        <v>0</v>
      </c>
      <c r="K13" s="39">
        <f ca="1">IFERROR(__xludf.DUMMYFUNCTION("IF(SUM(COUNTIF(artists!E:E, SPLIT(D13, "",""))) &gt; 0, ""OTHER"", 0)"),0)</f>
        <v>0</v>
      </c>
    </row>
    <row r="14" spans="1:11" ht="14.25" customHeight="1">
      <c r="A14" s="21">
        <v>13</v>
      </c>
      <c r="C14" s="21" t="s">
        <v>909</v>
      </c>
      <c r="D14" s="21" t="s">
        <v>910</v>
      </c>
      <c r="E14" s="21">
        <v>1</v>
      </c>
      <c r="F14" s="21">
        <v>186942</v>
      </c>
      <c r="H14" s="21" t="s">
        <v>911</v>
      </c>
      <c r="I14" s="39" t="str">
        <f ca="1">IFERROR(__xludf.DUMMYFUNCTION("IF(SUM(COUNTIF(artists!A:A, SPLIT(D14, "",""))) &gt; 0, ""UA"", 0)"),"UA")</f>
        <v>UA</v>
      </c>
      <c r="J14" s="40">
        <f ca="1">IFERROR(__xludf.DUMMYFUNCTION("IF(SUM(COUNTIF(artists!C:C, SPLIT(D14, "",""))) &gt; 0, ""RU"", 0)"),0)</f>
        <v>0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B15" s="21">
        <v>14</v>
      </c>
      <c r="C15" s="21" t="s">
        <v>1007</v>
      </c>
      <c r="D15" s="21" t="s">
        <v>907</v>
      </c>
      <c r="E15" s="21">
        <v>2</v>
      </c>
      <c r="F15" s="21">
        <v>180961</v>
      </c>
      <c r="G15" s="42">
        <v>-0.61399999999999999</v>
      </c>
      <c r="H15" s="21" t="s">
        <v>1009</v>
      </c>
      <c r="I15" s="39">
        <f ca="1">IFERROR(__xludf.DUMMYFUNCTION("IF(SUM(COUNTIF(artists!A:A, SPLIT(D15, "",""))) &gt; 0, ""UA"", 0)"),0)</f>
        <v>0</v>
      </c>
      <c r="J15" s="40" t="str">
        <f ca="1">IFERROR(__xludf.DUMMYFUNCTION("IF(SUM(COUNTIF(artists!C:C, SPLIT(D15, "",""))) &gt; 0, ""RU"", 0)"),"RU")</f>
        <v>RU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B16" s="21">
        <v>13</v>
      </c>
      <c r="C16" s="21" t="s">
        <v>1825</v>
      </c>
      <c r="D16" s="21" t="s">
        <v>1895</v>
      </c>
      <c r="E16" s="21">
        <v>45</v>
      </c>
      <c r="F16" s="21">
        <v>166877</v>
      </c>
      <c r="G16" s="42">
        <v>-0.65900000000000003</v>
      </c>
      <c r="H16" s="21" t="s">
        <v>1827</v>
      </c>
      <c r="I16" s="39">
        <f ca="1">IFERROR(__xludf.DUMMYFUNCTION("IF(SUM(COUNTIF(artists!A:A, SPLIT(D16, "",""))) &gt; 0, ""UA"", 0)"),0)</f>
        <v>0</v>
      </c>
      <c r="J16" s="40">
        <f ca="1">IFERROR(__xludf.DUMMYFUNCTION("IF(SUM(COUNTIF(artists!C:C, SPLIT(D16, "",""))) &gt; 0, ""RU"", 0)"),0)</f>
        <v>0</v>
      </c>
      <c r="K16" s="39" t="str">
        <f ca="1">IFERROR(__xludf.DUMMYFUNCTION("IF(SUM(COUNTIF(artists!E:E, SPLIT(D16, "",""))) &gt; 0, ""OTHER"", 0)"),"OTHER")</f>
        <v>OTHER</v>
      </c>
    </row>
    <row r="17" spans="1:11" ht="14.25" customHeight="1">
      <c r="A17" s="21">
        <v>16</v>
      </c>
      <c r="B17" s="21">
        <v>6</v>
      </c>
      <c r="C17" s="21" t="s">
        <v>1518</v>
      </c>
      <c r="D17" s="21" t="s">
        <v>108</v>
      </c>
      <c r="E17" s="21">
        <v>3</v>
      </c>
      <c r="F17" s="21">
        <v>162635</v>
      </c>
      <c r="G17" s="42">
        <v>-0.77800000000000002</v>
      </c>
      <c r="H17" s="21" t="s">
        <v>1519</v>
      </c>
      <c r="I17" s="39" t="str">
        <f ca="1">IFERROR(__xludf.DUMMYFUNCTION("IF(SUM(COUNTIF(artists!A:A, SPLIT(D17, "",""))) &gt; 0, ""UA"", 0)"),"UA")</f>
        <v>UA</v>
      </c>
      <c r="J17" s="40">
        <f ca="1">IFERROR(__xludf.DUMMYFUNCTION("IF(SUM(COUNTIF(artists!C:C, SPLIT(D17, "",""))) &gt; 0, ""RU"", 0)"),0)</f>
        <v>0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C18" s="21" t="s">
        <v>1810</v>
      </c>
      <c r="D18" s="21" t="s">
        <v>15</v>
      </c>
      <c r="E18" s="21">
        <v>1</v>
      </c>
      <c r="F18" s="21">
        <v>160072</v>
      </c>
      <c r="H18" s="21" t="s">
        <v>1811</v>
      </c>
      <c r="I18" s="39">
        <f ca="1">IFERROR(__xludf.DUMMYFUNCTION("IF(SUM(COUNTIF(artists!A:A, SPLIT(D18, "",""))) &gt; 0, ""UA"", 0)"),0)</f>
        <v>0</v>
      </c>
      <c r="J18" s="40">
        <f ca="1">IFERROR(__xludf.DUMMYFUNCTION("IF(SUM(COUNTIF(artists!C:C, SPLIT(D18, "",""))) &gt; 0, ""RU"", 0)"),0)</f>
        <v>0</v>
      </c>
      <c r="K18" s="39" t="str">
        <f ca="1">IFERROR(__xludf.DUMMYFUNCTION("IF(SUM(COUNTIF(artists!E:E, SPLIT(D18, "",""))) &gt; 0, ""OTHER"", 0)"),"OTHER")</f>
        <v>OTHER</v>
      </c>
    </row>
    <row r="19" spans="1:11" ht="14.25" customHeight="1">
      <c r="A19" s="21">
        <v>18</v>
      </c>
      <c r="B19" s="21">
        <v>40</v>
      </c>
      <c r="C19" s="21" t="s">
        <v>1863</v>
      </c>
      <c r="D19" s="21" t="s">
        <v>1660</v>
      </c>
      <c r="E19" s="21">
        <v>7</v>
      </c>
      <c r="F19" s="21">
        <v>153107</v>
      </c>
      <c r="G19" s="42">
        <v>-0.45700000000000002</v>
      </c>
      <c r="H19" s="21" t="s">
        <v>1864</v>
      </c>
      <c r="I19" s="39">
        <f ca="1">IFERROR(__xludf.DUMMYFUNCTION("IF(SUM(COUNTIF(artists!A:A, SPLIT(D19, "",""))) &gt; 0, ""UA"", 0)"),0)</f>
        <v>0</v>
      </c>
      <c r="J19" s="40" t="str">
        <f ca="1">IFERROR(__xludf.DUMMYFUNCTION("IF(SUM(COUNTIF(artists!C:C, SPLIT(D19, "",""))) &gt; 0, ""RU"", 0)"),"RU")</f>
        <v>RU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B20" s="21">
        <v>3</v>
      </c>
      <c r="C20" s="21" t="s">
        <v>1674</v>
      </c>
      <c r="D20" s="21" t="s">
        <v>172</v>
      </c>
      <c r="E20" s="21">
        <v>7</v>
      </c>
      <c r="F20" s="21">
        <v>152281</v>
      </c>
      <c r="G20" s="42">
        <v>-0.82199999999999995</v>
      </c>
      <c r="H20" s="21" t="s">
        <v>1675</v>
      </c>
      <c r="I20" s="39">
        <f ca="1">IFERROR(__xludf.DUMMYFUNCTION("IF(SUM(COUNTIF(artists!A:A, SPLIT(D20, "",""))) &gt; 0, ""UA"", 0)"),0)</f>
        <v>0</v>
      </c>
      <c r="J20" s="40" t="str">
        <f ca="1">IFERROR(__xludf.DUMMYFUNCTION("IF(SUM(COUNTIF(artists!C:C, SPLIT(D20, "",""))) &gt; 0, ""RU"", 0)"),"RU")</f>
        <v>RU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B21" s="21">
        <v>5</v>
      </c>
      <c r="C21" s="21" t="s">
        <v>1636</v>
      </c>
      <c r="D21" s="21" t="s">
        <v>1637</v>
      </c>
      <c r="E21" s="21">
        <v>6</v>
      </c>
      <c r="F21" s="21">
        <v>151929</v>
      </c>
      <c r="G21" s="42">
        <v>-0.80500000000000005</v>
      </c>
      <c r="H21" s="21" t="s">
        <v>1638</v>
      </c>
      <c r="I21" s="39">
        <f ca="1">IFERROR(__xludf.DUMMYFUNCTION("IF(SUM(COUNTIF(artists!A:A, SPLIT(D21, "",""))) &gt; 0, ""UA"", 0)"),0)</f>
        <v>0</v>
      </c>
      <c r="J21" s="40" t="str">
        <f ca="1">IFERROR(__xludf.DUMMYFUNCTION("IF(SUM(COUNTIF(artists!C:C, SPLIT(D21, "",""))) &gt; 0, ""RU"", 0)"),"RU")</f>
        <v>RU</v>
      </c>
      <c r="K21" s="39">
        <f ca="1">IFERROR(__xludf.DUMMYFUNCTION("IF(SUM(COUNTIF(artists!E:E, SPLIT(D21, "",""))) &gt; 0, ""OTHER"", 0)"),0)</f>
        <v>0</v>
      </c>
    </row>
    <row r="22" spans="1:11" ht="14.25" customHeight="1">
      <c r="A22" s="21">
        <v>21</v>
      </c>
      <c r="B22" s="21">
        <v>35</v>
      </c>
      <c r="C22" s="21" t="s">
        <v>1944</v>
      </c>
      <c r="D22" s="21" t="s">
        <v>1945</v>
      </c>
      <c r="E22" s="21">
        <v>15</v>
      </c>
      <c r="F22" s="21">
        <v>151413</v>
      </c>
      <c r="G22" s="42">
        <v>-0.47499999999999998</v>
      </c>
      <c r="H22" s="21" t="s">
        <v>1946</v>
      </c>
      <c r="I22" s="39">
        <f ca="1">IFERROR(__xludf.DUMMYFUNCTION("IF(SUM(COUNTIF(artists!A:A, SPLIT(D22, "",""))) &gt; 0, ""UA"", 0)"),0)</f>
        <v>0</v>
      </c>
      <c r="J22" s="40" t="str">
        <f ca="1">IFERROR(__xludf.DUMMYFUNCTION("IF(SUM(COUNTIF(artists!C:C, SPLIT(D22, "",""))) &gt; 0, ""RU"", 0)"),"RU")</f>
        <v>RU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B23" s="21">
        <v>11</v>
      </c>
      <c r="C23" s="21" t="s">
        <v>1956</v>
      </c>
      <c r="D23" s="21" t="s">
        <v>1957</v>
      </c>
      <c r="E23" s="21">
        <v>19</v>
      </c>
      <c r="F23" s="21">
        <v>147469</v>
      </c>
      <c r="G23" s="42">
        <v>-0.746</v>
      </c>
      <c r="H23" s="21" t="s">
        <v>1958</v>
      </c>
      <c r="I23" s="39">
        <f ca="1">IFERROR(__xludf.DUMMYFUNCTION("IF(SUM(COUNTIF(artists!A:A, SPLIT(D23, "",""))) &gt; 0, ""UA"", 0)"),0)</f>
        <v>0</v>
      </c>
      <c r="J23" s="40" t="str">
        <f ca="1">IFERROR(__xludf.DUMMYFUNCTION("IF(SUM(COUNTIF(artists!C:C, SPLIT(D23, "",""))) &gt; 0, ""RU"", 0)"),"RU")</f>
        <v>RU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B24" s="21">
        <v>22</v>
      </c>
      <c r="C24" s="21" t="s">
        <v>1939</v>
      </c>
      <c r="D24" s="21" t="s">
        <v>1940</v>
      </c>
      <c r="E24" s="21">
        <v>10</v>
      </c>
      <c r="F24" s="21">
        <v>145503</v>
      </c>
      <c r="G24" s="42">
        <v>-0.61499999999999999</v>
      </c>
      <c r="H24" s="21" t="s">
        <v>1941</v>
      </c>
      <c r="I24" s="39">
        <f ca="1">IFERROR(__xludf.DUMMYFUNCTION("IF(SUM(COUNTIF(artists!A:A, SPLIT(D24, "",""))) &gt; 0, ""UA"", 0)"),0)</f>
        <v>0</v>
      </c>
      <c r="J24" s="40" t="str">
        <f ca="1">IFERROR(__xludf.DUMMYFUNCTION("IF(SUM(COUNTIF(artists!C:C, SPLIT(D24, "",""))) &gt; 0, ""RU"", 0)"),"RU")</f>
        <v>RU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B25" s="21">
        <v>19</v>
      </c>
      <c r="C25" s="21" t="s">
        <v>1616</v>
      </c>
      <c r="D25" s="21" t="s">
        <v>1617</v>
      </c>
      <c r="E25" s="21">
        <v>37</v>
      </c>
      <c r="F25" s="21">
        <v>145070</v>
      </c>
      <c r="G25" s="42">
        <v>-0.66100000000000003</v>
      </c>
      <c r="H25" s="21" t="s">
        <v>1618</v>
      </c>
      <c r="I25" s="39">
        <f ca="1">IFERROR(__xludf.DUMMYFUNCTION("IF(SUM(COUNTIF(artists!A:A, SPLIT(D25, "",""))) &gt; 0, ""UA"", 0)"),0)</f>
        <v>0</v>
      </c>
      <c r="J25" s="40" t="str">
        <f ca="1">IFERROR(__xludf.DUMMYFUNCTION("IF(SUM(COUNTIF(artists!C:C, SPLIT(D25, "",""))) &gt; 0, ""RU"", 0)"),"RU")</f>
        <v>RU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C26" s="21" t="s">
        <v>1882</v>
      </c>
      <c r="D26" s="21" t="s">
        <v>133</v>
      </c>
      <c r="E26" s="21">
        <v>1</v>
      </c>
      <c r="F26" s="21">
        <v>143560</v>
      </c>
      <c r="H26" s="21" t="s">
        <v>1883</v>
      </c>
      <c r="I26" s="39" t="str">
        <f ca="1">IFERROR(__xludf.DUMMYFUNCTION("IF(SUM(COUNTIF(artists!A:A, SPLIT(D26, "",""))) &gt; 0, ""UA"", 0)"),"UA")</f>
        <v>UA</v>
      </c>
      <c r="J26" s="40">
        <f ca="1">IFERROR(__xludf.DUMMYFUNCTION("IF(SUM(COUNTIF(artists!C:C, SPLIT(D26, "",""))) &gt; 0, ""RU"", 0)"),0)</f>
        <v>0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B27" s="21">
        <v>17</v>
      </c>
      <c r="C27" s="21" t="s">
        <v>2012</v>
      </c>
      <c r="D27" s="21" t="s">
        <v>125</v>
      </c>
      <c r="E27" s="21">
        <v>23</v>
      </c>
      <c r="F27" s="21">
        <v>139851</v>
      </c>
      <c r="G27" s="42">
        <v>-0.67600000000000005</v>
      </c>
      <c r="H27" s="21" t="s">
        <v>2013</v>
      </c>
      <c r="I27" s="39">
        <f ca="1">IFERROR(__xludf.DUMMYFUNCTION("IF(SUM(COUNTIF(artists!A:A, SPLIT(D27, "",""))) &gt; 0, ""UA"", 0)"),0)</f>
        <v>0</v>
      </c>
      <c r="J27" s="40" t="str">
        <f ca="1">IFERROR(__xludf.DUMMYFUNCTION("IF(SUM(COUNTIF(artists!C:C, SPLIT(D27, "",""))) &gt; 0, ""RU"", 0)"),"RU")</f>
        <v>RU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C28" s="21" t="s">
        <v>1907</v>
      </c>
      <c r="D28" s="21" t="s">
        <v>409</v>
      </c>
      <c r="E28" s="21">
        <v>1</v>
      </c>
      <c r="F28" s="21">
        <v>139596</v>
      </c>
      <c r="H28" s="21" t="s">
        <v>1908</v>
      </c>
      <c r="I28" s="39" t="str">
        <f ca="1">IFERROR(__xludf.DUMMYFUNCTION("IF(SUM(COUNTIF(artists!A:A, SPLIT(D28, "",""))) &gt; 0, ""UA"", 0)"),"UA")</f>
        <v>UA</v>
      </c>
      <c r="J28" s="40">
        <f ca="1">IFERROR(__xludf.DUMMYFUNCTION("IF(SUM(COUNTIF(artists!C:C, SPLIT(D28, "",""))) &gt; 0, ""RU"", 0)"),0)</f>
        <v>0</v>
      </c>
      <c r="K28" s="39">
        <f ca="1">IFERROR(__xludf.DUMMYFUNCTION("IF(SUM(COUNTIF(artists!E:E, SPLIT(D28, "",""))) &gt; 0, ""OTHER"", 0)"),0)</f>
        <v>0</v>
      </c>
    </row>
    <row r="29" spans="1:11" ht="14.25" customHeight="1">
      <c r="A29" s="21">
        <v>28</v>
      </c>
      <c r="B29" s="21">
        <v>60</v>
      </c>
      <c r="C29" s="21" t="s">
        <v>1911</v>
      </c>
      <c r="D29" s="21" t="s">
        <v>1912</v>
      </c>
      <c r="E29" s="21">
        <v>3</v>
      </c>
      <c r="F29" s="21">
        <v>138639</v>
      </c>
      <c r="G29" s="42">
        <v>-0.34499999999999997</v>
      </c>
      <c r="H29" s="21" t="s">
        <v>1913</v>
      </c>
      <c r="I29" s="39">
        <f ca="1">IFERROR(__xludf.DUMMYFUNCTION("IF(SUM(COUNTIF(artists!A:A, SPLIT(D29, "",""))) &gt; 0, ""UA"", 0)"),0)</f>
        <v>0</v>
      </c>
      <c r="J29" s="40" t="str">
        <f ca="1">IFERROR(__xludf.DUMMYFUNCTION("IF(SUM(COUNTIF(artists!C:C, SPLIT(D29, "",""))) &gt; 0, ""RU"", 0)"),"RU")</f>
        <v>RU</v>
      </c>
      <c r="K29" s="39">
        <f ca="1">IFERROR(__xludf.DUMMYFUNCTION("IF(SUM(COUNTIF(artists!E:E, SPLIT(D29, "",""))) &gt; 0, ""OTHER"", 0)"),0)</f>
        <v>0</v>
      </c>
    </row>
    <row r="30" spans="1:11" ht="14.25" customHeight="1">
      <c r="A30" s="21">
        <v>29</v>
      </c>
      <c r="B30" s="21">
        <v>28</v>
      </c>
      <c r="C30" s="21" t="s">
        <v>1964</v>
      </c>
      <c r="D30" s="21" t="s">
        <v>1965</v>
      </c>
      <c r="E30" s="21">
        <v>18</v>
      </c>
      <c r="F30" s="21">
        <v>133735</v>
      </c>
      <c r="G30" s="42">
        <v>-0.61299999999999999</v>
      </c>
      <c r="H30" s="21" t="s">
        <v>1966</v>
      </c>
      <c r="I30" s="39">
        <f ca="1">IFERROR(__xludf.DUMMYFUNCTION("IF(SUM(COUNTIF(artists!A:A, SPLIT(D30, "",""))) &gt; 0, ""UA"", 0)"),0)</f>
        <v>0</v>
      </c>
      <c r="J30" s="40" t="str">
        <f ca="1">IFERROR(__xludf.DUMMYFUNCTION("IF(SUM(COUNTIF(artists!C:C, SPLIT(D30, "",""))) &gt; 0, ""RU"", 0)"),"RU")</f>
        <v>RU</v>
      </c>
      <c r="K30" s="39">
        <f ca="1">IFERROR(__xludf.DUMMYFUNCTION("IF(SUM(COUNTIF(artists!E:E, SPLIT(D30, "",""))) &gt; 0, ""OTHER"", 0)"),0)</f>
        <v>0</v>
      </c>
    </row>
    <row r="31" spans="1:11" ht="14.25" customHeight="1">
      <c r="A31" s="21">
        <v>30</v>
      </c>
      <c r="B31" s="21">
        <v>27</v>
      </c>
      <c r="C31" s="21" t="s">
        <v>1896</v>
      </c>
      <c r="D31" s="21" t="s">
        <v>1099</v>
      </c>
      <c r="E31" s="21">
        <v>48</v>
      </c>
      <c r="F31" s="21">
        <v>133149</v>
      </c>
      <c r="G31" s="42">
        <v>-0.63200000000000001</v>
      </c>
      <c r="H31" s="21" t="s">
        <v>1897</v>
      </c>
      <c r="I31" s="39">
        <f ca="1">IFERROR(__xludf.DUMMYFUNCTION("IF(SUM(COUNTIF(artists!A:A, SPLIT(D31, "",""))) &gt; 0, ""UA"", 0)"),0)</f>
        <v>0</v>
      </c>
      <c r="J31" s="40" t="str">
        <f ca="1">IFERROR(__xludf.DUMMYFUNCTION("IF(SUM(COUNTIF(artists!C:C, SPLIT(D31, "",""))) &gt; 0, ""RU"", 0)"),"RU")</f>
        <v>RU</v>
      </c>
      <c r="K31" s="39">
        <f ca="1">IFERROR(__xludf.DUMMYFUNCTION("IF(SUM(COUNTIF(artists!E:E, SPLIT(D31, "",""))) &gt; 0, ""OTHER"", 0)"),0)</f>
        <v>0</v>
      </c>
    </row>
    <row r="32" spans="1:11" ht="14.25" customHeight="1">
      <c r="A32" s="21">
        <v>31</v>
      </c>
      <c r="C32" s="21" t="s">
        <v>2014</v>
      </c>
      <c r="D32" s="21" t="s">
        <v>2015</v>
      </c>
      <c r="E32" s="21">
        <v>21</v>
      </c>
      <c r="F32" s="21">
        <v>131022</v>
      </c>
      <c r="H32" s="21" t="s">
        <v>2016</v>
      </c>
      <c r="I32" s="39">
        <f ca="1">IFERROR(__xludf.DUMMYFUNCTION("IF(SUM(COUNTIF(artists!A:A, SPLIT(D32, "",""))) &gt; 0, ""UA"", 0)"),0)</f>
        <v>0</v>
      </c>
      <c r="J32" s="40" t="str">
        <f ca="1">IFERROR(__xludf.DUMMYFUNCTION("IF(SUM(COUNTIF(artists!C:C, SPLIT(D32, "",""))) &gt; 0, ""RU"", 0)"),"RU")</f>
        <v>RU</v>
      </c>
      <c r="K32" s="39">
        <f ca="1">IFERROR(__xludf.DUMMYFUNCTION("IF(SUM(COUNTIF(artists!E:E, SPLIT(D32, "",""))) &gt; 0, ""OTHER"", 0)"),0)</f>
        <v>0</v>
      </c>
    </row>
    <row r="33" spans="1:11" ht="14.25" customHeight="1">
      <c r="A33" s="21">
        <v>32</v>
      </c>
      <c r="C33" s="21" t="s">
        <v>1849</v>
      </c>
      <c r="D33" s="21" t="s">
        <v>598</v>
      </c>
      <c r="E33" s="21">
        <v>1</v>
      </c>
      <c r="F33" s="21">
        <v>130290</v>
      </c>
      <c r="H33" s="21" t="s">
        <v>1850</v>
      </c>
      <c r="I33" s="39" t="str">
        <f ca="1">IFERROR(__xludf.DUMMYFUNCTION("IF(SUM(COUNTIF(artists!A:A, SPLIT(D33, "",""))) &gt; 0, ""UA"", 0)"),"UA")</f>
        <v>UA</v>
      </c>
      <c r="J33" s="40">
        <f ca="1">IFERROR(__xludf.DUMMYFUNCTION("IF(SUM(COUNTIF(artists!C:C, SPLIT(D33, "",""))) &gt; 0, ""RU"", 0)"),0)</f>
        <v>0</v>
      </c>
      <c r="K33" s="39">
        <f ca="1">IFERROR(__xludf.DUMMYFUNCTION("IF(SUM(COUNTIF(artists!E:E, SPLIT(D33, "",""))) &gt; 0, ""OTHER"", 0)"),0)</f>
        <v>0</v>
      </c>
    </row>
    <row r="34" spans="1:11" ht="14.25" customHeight="1">
      <c r="A34" s="21">
        <v>33</v>
      </c>
      <c r="B34" s="21">
        <v>26</v>
      </c>
      <c r="C34" s="21" t="s">
        <v>1995</v>
      </c>
      <c r="D34" s="21" t="s">
        <v>1996</v>
      </c>
      <c r="E34" s="21">
        <v>40</v>
      </c>
      <c r="F34" s="21">
        <v>128617</v>
      </c>
      <c r="G34" s="43">
        <v>-0.65</v>
      </c>
      <c r="H34" s="21" t="s">
        <v>1997</v>
      </c>
      <c r="I34" s="39">
        <f ca="1">IFERROR(__xludf.DUMMYFUNCTION("IF(SUM(COUNTIF(artists!A:A, SPLIT(D34, "",""))) &gt; 0, ""UA"", 0)"),0)</f>
        <v>0</v>
      </c>
      <c r="J34" s="40" t="str">
        <f ca="1">IFERROR(__xludf.DUMMYFUNCTION("IF(SUM(COUNTIF(artists!C:C, SPLIT(D34, "",""))) &gt; 0, ""RU"", 0)"),"RU")</f>
        <v>RU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B35" s="21">
        <v>18</v>
      </c>
      <c r="C35" s="21" t="s">
        <v>1729</v>
      </c>
      <c r="D35" s="21" t="s">
        <v>1730</v>
      </c>
      <c r="E35" s="21">
        <v>42</v>
      </c>
      <c r="F35" s="21">
        <v>126706</v>
      </c>
      <c r="G35" s="42">
        <v>-0.70699999999999996</v>
      </c>
      <c r="H35" s="21" t="s">
        <v>1731</v>
      </c>
      <c r="I35" s="39">
        <f ca="1">IFERROR(__xludf.DUMMYFUNCTION("IF(SUM(COUNTIF(artists!A:A, SPLIT(D35, "",""))) &gt; 0, ""UA"", 0)"),0)</f>
        <v>0</v>
      </c>
      <c r="J35" s="40" t="str">
        <f ca="1">IFERROR(__xludf.DUMMYFUNCTION("IF(SUM(COUNTIF(artists!C:C, SPLIT(D35, "",""))) &gt; 0, ""RU"", 0)"),"RU")</f>
        <v>RU</v>
      </c>
      <c r="K35" s="39">
        <f ca="1">IFERROR(__xludf.DUMMYFUNCTION("IF(SUM(COUNTIF(artists!E:E, SPLIT(D35, "",""))) &gt; 0, ""OTHER"", 0)"),0)</f>
        <v>0</v>
      </c>
    </row>
    <row r="36" spans="1:11" ht="14.25" customHeight="1">
      <c r="A36" s="21">
        <v>35</v>
      </c>
      <c r="C36" s="21" t="s">
        <v>1726</v>
      </c>
      <c r="D36" s="21" t="s">
        <v>1727</v>
      </c>
      <c r="E36" s="21">
        <v>1</v>
      </c>
      <c r="F36" s="21">
        <v>125864</v>
      </c>
      <c r="H36" s="21" t="s">
        <v>1728</v>
      </c>
      <c r="I36" s="39" t="str">
        <f ca="1">IFERROR(__xludf.DUMMYFUNCTION("IF(SUM(COUNTIF(artists!A:A, SPLIT(D36, "",""))) &gt; 0, ""UA"", 0)"),"UA")</f>
        <v>UA</v>
      </c>
      <c r="J36" s="40">
        <f ca="1">IFERROR(__xludf.DUMMYFUNCTION("IF(SUM(COUNTIF(artists!C:C, SPLIT(D36, "",""))) &gt; 0, ""RU"", 0)"),0)</f>
        <v>0</v>
      </c>
      <c r="K36" s="39">
        <f ca="1">IFERROR(__xludf.DUMMYFUNCTION("IF(SUM(COUNTIF(artists!E:E, SPLIT(D36, "",""))) &gt; 0, ""OTHER"", 0)"),0)</f>
        <v>0</v>
      </c>
    </row>
    <row r="37" spans="1:11" ht="14.25" customHeight="1">
      <c r="A37" s="21">
        <v>36</v>
      </c>
      <c r="B37" s="21">
        <v>25</v>
      </c>
      <c r="C37" s="21" t="s">
        <v>906</v>
      </c>
      <c r="D37" s="21" t="s">
        <v>907</v>
      </c>
      <c r="E37" s="21">
        <v>12</v>
      </c>
      <c r="F37" s="21">
        <v>124846</v>
      </c>
      <c r="G37" s="42">
        <v>-0.66400000000000003</v>
      </c>
      <c r="H37" s="21" t="s">
        <v>908</v>
      </c>
      <c r="I37" s="39">
        <f ca="1">IFERROR(__xludf.DUMMYFUNCTION("IF(SUM(COUNTIF(artists!A:A, SPLIT(D37, "",""))) &gt; 0, ""UA"", 0)"),0)</f>
        <v>0</v>
      </c>
      <c r="J37" s="40" t="str">
        <f ca="1">IFERROR(__xludf.DUMMYFUNCTION("IF(SUM(COUNTIF(artists!C:C, SPLIT(D37, "",""))) &gt; 0, ""RU"", 0)"),"RU")</f>
        <v>RU</v>
      </c>
      <c r="K37" s="39">
        <f ca="1">IFERROR(__xludf.DUMMYFUNCTION("IF(SUM(COUNTIF(artists!E:E, SPLIT(D37, "",""))) &gt; 0, ""OTHER"", 0)"),0)</f>
        <v>0</v>
      </c>
    </row>
    <row r="38" spans="1:11" ht="14.25" customHeight="1">
      <c r="A38" s="21">
        <v>37</v>
      </c>
      <c r="B38" s="21">
        <v>33</v>
      </c>
      <c r="C38" s="21" t="s">
        <v>1651</v>
      </c>
      <c r="D38" s="21" t="s">
        <v>1652</v>
      </c>
      <c r="E38" s="21">
        <v>19</v>
      </c>
      <c r="F38" s="21">
        <v>123752</v>
      </c>
      <c r="G38" s="42">
        <v>-0.58599999999999997</v>
      </c>
      <c r="H38" s="21" t="s">
        <v>1959</v>
      </c>
      <c r="I38" s="39">
        <f ca="1">IFERROR(__xludf.DUMMYFUNCTION("IF(SUM(COUNTIF(artists!A:A, SPLIT(D38, "",""))) &gt; 0, ""UA"", 0)"),0)</f>
        <v>0</v>
      </c>
      <c r="J38" s="40" t="str">
        <f ca="1">IFERROR(__xludf.DUMMYFUNCTION("IF(SUM(COUNTIF(artists!C:C, SPLIT(D38, "",""))) &gt; 0, ""RU"", 0)"),"RU")</f>
        <v>RU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B39" s="21">
        <v>38</v>
      </c>
      <c r="C39" s="21" t="s">
        <v>2017</v>
      </c>
      <c r="D39" s="21" t="s">
        <v>2018</v>
      </c>
      <c r="E39" s="21">
        <v>41</v>
      </c>
      <c r="F39" s="21">
        <v>119305</v>
      </c>
      <c r="G39" s="42">
        <v>-0.57899999999999996</v>
      </c>
      <c r="H39" s="21" t="s">
        <v>2019</v>
      </c>
      <c r="I39" s="39">
        <f ca="1">IFERROR(__xludf.DUMMYFUNCTION("IF(SUM(COUNTIF(artists!A:A, SPLIT(D39, "",""))) &gt; 0, ""UA"", 0)"),0)</f>
        <v>0</v>
      </c>
      <c r="J39" s="40" t="str">
        <f ca="1">IFERROR(__xludf.DUMMYFUNCTION("IF(SUM(COUNTIF(artists!C:C, SPLIT(D39, "",""))) &gt; 0, ""RU"", 0)"),"RU")</f>
        <v>RU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C40" s="21" t="s">
        <v>1797</v>
      </c>
      <c r="D40" s="21" t="s">
        <v>945</v>
      </c>
      <c r="E40" s="21">
        <v>23</v>
      </c>
      <c r="F40" s="21">
        <v>117469</v>
      </c>
      <c r="H40" s="21" t="s">
        <v>1798</v>
      </c>
      <c r="I40" s="39" t="str">
        <f ca="1">IFERROR(__xludf.DUMMYFUNCTION("IF(SUM(COUNTIF(artists!A:A, SPLIT(D40, "",""))) &gt; 0, ""UA"", 0)"),"UA")</f>
        <v>UA</v>
      </c>
      <c r="J40" s="40">
        <f ca="1">IFERROR(__xludf.DUMMYFUNCTION("IF(SUM(COUNTIF(artists!C:C, SPLIT(D40, "",""))) &gt; 0, ""RU"", 0)"),0)</f>
        <v>0</v>
      </c>
      <c r="K40" s="39">
        <f ca="1">IFERROR(__xludf.DUMMYFUNCTION("IF(SUM(COUNTIF(artists!E:E, SPLIT(D40, "",""))) &gt; 0, ""OTHER"", 0)"),0)</f>
        <v>0</v>
      </c>
    </row>
    <row r="41" spans="1:11" ht="14.25" customHeight="1">
      <c r="A41" s="21">
        <v>40</v>
      </c>
      <c r="B41" s="21">
        <v>59</v>
      </c>
      <c r="C41" s="21" t="s">
        <v>1960</v>
      </c>
      <c r="D41" s="21" t="s">
        <v>1050</v>
      </c>
      <c r="E41" s="21">
        <v>7</v>
      </c>
      <c r="F41" s="21">
        <v>114805</v>
      </c>
      <c r="G41" s="42">
        <v>-0.46100000000000002</v>
      </c>
      <c r="H41" s="21" t="s">
        <v>1961</v>
      </c>
      <c r="I41" s="39">
        <f ca="1">IFERROR(__xludf.DUMMYFUNCTION("IF(SUM(COUNTIF(artists!A:A, SPLIT(D41, "",""))) &gt; 0, ""UA"", 0)"),0)</f>
        <v>0</v>
      </c>
      <c r="J41" s="40" t="str">
        <f ca="1">IFERROR(__xludf.DUMMYFUNCTION("IF(SUM(COUNTIF(artists!C:C, SPLIT(D41, "",""))) &gt; 0, ""RU"", 0)"),"RU")</f>
        <v>RU</v>
      </c>
      <c r="K41" s="39">
        <f ca="1">IFERROR(__xludf.DUMMYFUNCTION("IF(SUM(COUNTIF(artists!E:E, SPLIT(D41, "",""))) &gt; 0, ""OTHER"", 0)"),0)</f>
        <v>0</v>
      </c>
    </row>
    <row r="42" spans="1:11" ht="14.25" customHeight="1">
      <c r="A42" s="21">
        <v>41</v>
      </c>
      <c r="B42" s="21">
        <v>12</v>
      </c>
      <c r="C42" s="21" t="s">
        <v>1973</v>
      </c>
      <c r="D42" s="21" t="s">
        <v>1974</v>
      </c>
      <c r="E42" s="21">
        <v>3</v>
      </c>
      <c r="F42" s="21">
        <v>113406</v>
      </c>
      <c r="G42" s="42">
        <v>-0.79800000000000004</v>
      </c>
      <c r="H42" s="21" t="s">
        <v>1975</v>
      </c>
      <c r="I42" s="39">
        <f ca="1">IFERROR(__xludf.DUMMYFUNCTION("IF(SUM(COUNTIF(artists!A:A, SPLIT(D42, "",""))) &gt; 0, ""UA"", 0)"),0)</f>
        <v>0</v>
      </c>
      <c r="J42" s="40" t="str">
        <f ca="1">IFERROR(__xludf.DUMMYFUNCTION("IF(SUM(COUNTIF(artists!C:C, SPLIT(D42, "",""))) &gt; 0, ""RU"", 0)"),"RU")</f>
        <v>RU</v>
      </c>
      <c r="K42" s="39">
        <f ca="1">IFERROR(__xludf.DUMMYFUNCTION("IF(SUM(COUNTIF(artists!E:E, SPLIT(D42, "",""))) &gt; 0, ""OTHER"", 0)"),0)</f>
        <v>0</v>
      </c>
    </row>
    <row r="43" spans="1:11" ht="14.25" customHeight="1">
      <c r="A43" s="21">
        <v>42</v>
      </c>
      <c r="B43" s="21">
        <v>89</v>
      </c>
      <c r="C43" s="21" t="s">
        <v>1889</v>
      </c>
      <c r="D43" s="21" t="s">
        <v>1890</v>
      </c>
      <c r="E43" s="21">
        <v>2</v>
      </c>
      <c r="F43" s="21">
        <v>111670</v>
      </c>
      <c r="G43" s="42">
        <v>-0.216</v>
      </c>
      <c r="H43" s="21" t="s">
        <v>1891</v>
      </c>
      <c r="I43" s="39" t="str">
        <f ca="1">IFERROR(__xludf.DUMMYFUNCTION("IF(SUM(COUNTIF(artists!A:A, SPLIT(D43, "",""))) &gt; 0, ""UA"", 0)"),"UA")</f>
        <v>UA</v>
      </c>
      <c r="J43" s="40">
        <f ca="1">IFERROR(__xludf.DUMMYFUNCTION("IF(SUM(COUNTIF(artists!C:C, SPLIT(D43, "",""))) &gt; 0, ""RU"", 0)"),0)</f>
        <v>0</v>
      </c>
      <c r="K43" s="39">
        <f ca="1">IFERROR(__xludf.DUMMYFUNCTION("IF(SUM(COUNTIF(artists!E:E, SPLIT(D43, "",""))) &gt; 0, ""OTHER"", 0)"),0)</f>
        <v>0</v>
      </c>
    </row>
    <row r="44" spans="1:11" ht="14.25" customHeight="1">
      <c r="A44" s="21">
        <v>43</v>
      </c>
      <c r="B44" s="21">
        <v>24</v>
      </c>
      <c r="C44" s="21" t="s">
        <v>1261</v>
      </c>
      <c r="D44" s="21" t="s">
        <v>137</v>
      </c>
      <c r="E44" s="21">
        <v>16</v>
      </c>
      <c r="F44" s="21">
        <v>110014</v>
      </c>
      <c r="G44" s="42">
        <v>-0.70499999999999996</v>
      </c>
      <c r="H44" s="21" t="s">
        <v>1262</v>
      </c>
      <c r="I44" s="39" t="str">
        <f ca="1">IFERROR(__xludf.DUMMYFUNCTION("IF(SUM(COUNTIF(artists!A:A, SPLIT(D44, "",""))) &gt; 0, ""UA"", 0)"),"UA")</f>
        <v>UA</v>
      </c>
      <c r="J44" s="40">
        <f ca="1">IFERROR(__xludf.DUMMYFUNCTION("IF(SUM(COUNTIF(artists!C:C, SPLIT(D44, "",""))) &gt; 0, ""RU"", 0)"),0)</f>
        <v>0</v>
      </c>
      <c r="K44" s="39">
        <f ca="1">IFERROR(__xludf.DUMMYFUNCTION("IF(SUM(COUNTIF(artists!E:E, SPLIT(D44, "",""))) &gt; 0, ""OTHER"", 0)"),0)</f>
        <v>0</v>
      </c>
    </row>
    <row r="45" spans="1:11" ht="14.25" customHeight="1">
      <c r="A45" s="21">
        <v>44</v>
      </c>
      <c r="B45" s="21">
        <v>29</v>
      </c>
      <c r="C45" s="21" t="s">
        <v>1282</v>
      </c>
      <c r="D45" s="21" t="s">
        <v>108</v>
      </c>
      <c r="E45" s="21">
        <v>19</v>
      </c>
      <c r="F45" s="21">
        <v>109891</v>
      </c>
      <c r="G45" s="42">
        <v>-0.67800000000000005</v>
      </c>
      <c r="H45" s="21" t="s">
        <v>1283</v>
      </c>
      <c r="I45" s="39" t="str">
        <f ca="1">IFERROR(__xludf.DUMMYFUNCTION("IF(SUM(COUNTIF(artists!A:A, SPLIT(D45, "",""))) &gt; 0, ""UA"", 0)"),"UA")</f>
        <v>UA</v>
      </c>
      <c r="J45" s="40">
        <f ca="1">IFERROR(__xludf.DUMMYFUNCTION("IF(SUM(COUNTIF(artists!C:C, SPLIT(D45, "",""))) &gt; 0, ""RU"", 0)"),0)</f>
        <v>0</v>
      </c>
      <c r="K45" s="39">
        <f ca="1">IFERROR(__xludf.DUMMYFUNCTION("IF(SUM(COUNTIF(artists!E:E, SPLIT(D45, "",""))) &gt; 0, ""OTHER"", 0)"),0)</f>
        <v>0</v>
      </c>
    </row>
    <row r="46" spans="1:11" ht="14.25" customHeight="1">
      <c r="A46" s="21">
        <v>45</v>
      </c>
      <c r="C46" s="21" t="s">
        <v>408</v>
      </c>
      <c r="D46" s="21" t="s">
        <v>409</v>
      </c>
      <c r="E46" s="21">
        <v>1</v>
      </c>
      <c r="F46" s="21">
        <v>109458</v>
      </c>
      <c r="H46" s="21" t="s">
        <v>410</v>
      </c>
      <c r="I46" s="39" t="str">
        <f ca="1">IFERROR(__xludf.DUMMYFUNCTION("IF(SUM(COUNTIF(artists!A:A, SPLIT(D46, "",""))) &gt; 0, ""UA"", 0)"),"UA")</f>
        <v>UA</v>
      </c>
      <c r="J46" s="40">
        <f ca="1">IFERROR(__xludf.DUMMYFUNCTION("IF(SUM(COUNTIF(artists!C:C, SPLIT(D46, "",""))) &gt; 0, ""RU"", 0)"),0)</f>
        <v>0</v>
      </c>
      <c r="K46" s="39">
        <f ca="1">IFERROR(__xludf.DUMMYFUNCTION("IF(SUM(COUNTIF(artists!E:E, SPLIT(D46, "",""))) &gt; 0, ""OTHER"", 0)"),0)</f>
        <v>0</v>
      </c>
    </row>
    <row r="47" spans="1:11" ht="14.25" customHeight="1">
      <c r="A47" s="21">
        <v>46</v>
      </c>
      <c r="C47" s="21" t="s">
        <v>2020</v>
      </c>
      <c r="D47" s="21" t="s">
        <v>2021</v>
      </c>
      <c r="E47" s="21">
        <v>1</v>
      </c>
      <c r="F47" s="21">
        <v>108912</v>
      </c>
      <c r="H47" s="21" t="s">
        <v>2022</v>
      </c>
      <c r="I47" s="39">
        <f ca="1">IFERROR(__xludf.DUMMYFUNCTION("IF(SUM(COUNTIF(artists!A:A, SPLIT(D47, "",""))) &gt; 0, ""UA"", 0)"),0)</f>
        <v>0</v>
      </c>
      <c r="J47" s="40" t="str">
        <f ca="1">IFERROR(__xludf.DUMMYFUNCTION("IF(SUM(COUNTIF(artists!C:C, SPLIT(D47, "",""))) &gt; 0, ""RU"", 0)"),"RU")</f>
        <v>RU</v>
      </c>
      <c r="K47" s="39">
        <f ca="1">IFERROR(__xludf.DUMMYFUNCTION("IF(SUM(COUNTIF(artists!E:E, SPLIT(D47, "",""))) &gt; 0, ""OTHER"", 0)"),0)</f>
        <v>0</v>
      </c>
    </row>
    <row r="48" spans="1:11" ht="14.25" customHeight="1">
      <c r="A48" s="21">
        <v>47</v>
      </c>
      <c r="B48" s="21">
        <v>63</v>
      </c>
      <c r="C48" s="21" t="s">
        <v>1984</v>
      </c>
      <c r="D48" s="21" t="s">
        <v>1985</v>
      </c>
      <c r="E48" s="21">
        <v>6</v>
      </c>
      <c r="F48" s="21">
        <v>103373</v>
      </c>
      <c r="G48" s="42">
        <v>-0.48299999999999998</v>
      </c>
      <c r="H48" s="21" t="s">
        <v>1986</v>
      </c>
      <c r="I48" s="39">
        <f ca="1">IFERROR(__xludf.DUMMYFUNCTION("IF(SUM(COUNTIF(artists!A:A, SPLIT(D48, "",""))) &gt; 0, ""UA"", 0)"),0)</f>
        <v>0</v>
      </c>
      <c r="J48" s="40" t="str">
        <f ca="1">IFERROR(__xludf.DUMMYFUNCTION("IF(SUM(COUNTIF(artists!C:C, SPLIT(D48, "",""))) &gt; 0, ""RU"", 0)"),"RU")</f>
        <v>RU</v>
      </c>
      <c r="K48" s="39">
        <f ca="1">IFERROR(__xludf.DUMMYFUNCTION("IF(SUM(COUNTIF(artists!E:E, SPLIT(D48, "",""))) &gt; 0, ""OTHER"", 0)"),0)</f>
        <v>0</v>
      </c>
    </row>
    <row r="49" spans="1:11" ht="14.25" customHeight="1">
      <c r="A49" s="21">
        <v>48</v>
      </c>
      <c r="B49" s="21">
        <v>16</v>
      </c>
      <c r="C49" s="21" t="s">
        <v>1676</v>
      </c>
      <c r="D49" s="21" t="s">
        <v>743</v>
      </c>
      <c r="E49" s="21">
        <v>17</v>
      </c>
      <c r="F49" s="21">
        <v>102871</v>
      </c>
      <c r="G49" s="42">
        <v>-0.76400000000000001</v>
      </c>
      <c r="H49" s="21" t="s">
        <v>1677</v>
      </c>
      <c r="I49" s="39">
        <f ca="1">IFERROR(__xludf.DUMMYFUNCTION("IF(SUM(COUNTIF(artists!A:A, SPLIT(D49, "",""))) &gt; 0, ""UA"", 0)"),0)</f>
        <v>0</v>
      </c>
      <c r="J49" s="40" t="str">
        <f ca="1">IFERROR(__xludf.DUMMYFUNCTION("IF(SUM(COUNTIF(artists!C:C, SPLIT(D49, "",""))) &gt; 0, ""RU"", 0)"),"RU")</f>
        <v>RU</v>
      </c>
      <c r="K49" s="39">
        <f ca="1">IFERROR(__xludf.DUMMYFUNCTION("IF(SUM(COUNTIF(artists!E:E, SPLIT(D49, "",""))) &gt; 0, ""OTHER"", 0)"),0)</f>
        <v>0</v>
      </c>
    </row>
    <row r="50" spans="1:11" ht="14.25" customHeight="1">
      <c r="A50" s="21">
        <v>49</v>
      </c>
      <c r="C50" s="21" t="s">
        <v>1678</v>
      </c>
      <c r="D50" s="21" t="s">
        <v>1679</v>
      </c>
      <c r="E50" s="21">
        <v>33</v>
      </c>
      <c r="F50" s="21">
        <v>102505</v>
      </c>
      <c r="H50" s="21" t="s">
        <v>1680</v>
      </c>
      <c r="I50" s="39">
        <f ca="1">IFERROR(__xludf.DUMMYFUNCTION("IF(SUM(COUNTIF(artists!A:A, SPLIT(D50, "",""))) &gt; 0, ""UA"", 0)"),0)</f>
        <v>0</v>
      </c>
      <c r="J50" s="40" t="str">
        <f ca="1">IFERROR(__xludf.DUMMYFUNCTION("IF(SUM(COUNTIF(artists!C:C, SPLIT(D50, "",""))) &gt; 0, ""RU"", 0)"),"RU")</f>
        <v>RU</v>
      </c>
      <c r="K50" s="39">
        <f ca="1">IFERROR(__xludf.DUMMYFUNCTION("IF(SUM(COUNTIF(artists!E:E, SPLIT(D50, "",""))) &gt; 0, ""OTHER"", 0)"),0)</f>
        <v>0</v>
      </c>
    </row>
    <row r="51" spans="1:11" ht="14.25" customHeight="1">
      <c r="A51" s="21">
        <v>50</v>
      </c>
      <c r="C51" s="21" t="s">
        <v>2023</v>
      </c>
      <c r="D51" s="21" t="s">
        <v>936</v>
      </c>
      <c r="E51" s="21">
        <v>1</v>
      </c>
      <c r="F51" s="21">
        <v>100624</v>
      </c>
      <c r="H51" s="21" t="s">
        <v>2024</v>
      </c>
      <c r="I51" s="39">
        <f ca="1">IFERROR(__xludf.DUMMYFUNCTION("IF(SUM(COUNTIF(artists!A:A, SPLIT(D51, "",""))) &gt; 0, ""UA"", 0)"),0)</f>
        <v>0</v>
      </c>
      <c r="J51" s="40" t="str">
        <f ca="1">IFERROR(__xludf.DUMMYFUNCTION("IF(SUM(COUNTIF(artists!C:C, SPLIT(D51, "",""))) &gt; 0, ""RU"", 0)"),"RU")</f>
        <v>RU</v>
      </c>
      <c r="K51" s="39">
        <f ca="1">IFERROR(__xludf.DUMMYFUNCTION("IF(SUM(COUNTIF(artists!E:E, SPLIT(D51, "",""))) &gt; 0, ""OTHER"", 0)"),0)</f>
        <v>0</v>
      </c>
    </row>
    <row r="52" spans="1:11" ht="14.25" customHeight="1">
      <c r="A52" s="21">
        <v>51</v>
      </c>
      <c r="B52" s="21">
        <v>30</v>
      </c>
      <c r="C52" s="21" t="s">
        <v>1601</v>
      </c>
      <c r="D52" s="21" t="s">
        <v>1602</v>
      </c>
      <c r="E52" s="21">
        <v>4</v>
      </c>
      <c r="F52" s="21">
        <v>100146</v>
      </c>
      <c r="G52" s="42">
        <v>-0.69899999999999995</v>
      </c>
      <c r="H52" s="21" t="s">
        <v>1603</v>
      </c>
      <c r="I52" s="39">
        <f ca="1">IFERROR(__xludf.DUMMYFUNCTION("IF(SUM(COUNTIF(artists!A:A, SPLIT(D52, "",""))) &gt; 0, ""UA"", 0)"),0)</f>
        <v>0</v>
      </c>
      <c r="J52" s="40" t="str">
        <f ca="1">IFERROR(__xludf.DUMMYFUNCTION("IF(SUM(COUNTIF(artists!C:C, SPLIT(D52, "",""))) &gt; 0, ""RU"", 0)"),"RU")</f>
        <v>RU</v>
      </c>
      <c r="K52" s="39">
        <f ca="1">IFERROR(__xludf.DUMMYFUNCTION("IF(SUM(COUNTIF(artists!E:E, SPLIT(D52, "",""))) &gt; 0, ""OTHER"", 0)"),0)</f>
        <v>0</v>
      </c>
    </row>
    <row r="53" spans="1:11" ht="14.25" customHeight="1">
      <c r="A53" s="21">
        <v>52</v>
      </c>
      <c r="B53" s="21">
        <v>53</v>
      </c>
      <c r="C53" s="21" t="s">
        <v>1858</v>
      </c>
      <c r="D53" s="21" t="s">
        <v>1859</v>
      </c>
      <c r="E53" s="21">
        <v>2</v>
      </c>
      <c r="F53" s="21">
        <v>98127</v>
      </c>
      <c r="G53" s="42">
        <v>-0.59099999999999997</v>
      </c>
      <c r="H53" s="21" t="s">
        <v>1860</v>
      </c>
      <c r="I53" s="39">
        <f ca="1">IFERROR(__xludf.DUMMYFUNCTION("IF(SUM(COUNTIF(artists!A:A, SPLIT(D53, "",""))) &gt; 0, ""UA"", 0)"),0)</f>
        <v>0</v>
      </c>
      <c r="J53" s="40" t="str">
        <f ca="1">IFERROR(__xludf.DUMMYFUNCTION("IF(SUM(COUNTIF(artists!C:C, SPLIT(D53, "",""))) &gt; 0, ""RU"", 0)"),"RU")</f>
        <v>RU</v>
      </c>
      <c r="K53" s="39">
        <f ca="1">IFERROR(__xludf.DUMMYFUNCTION("IF(SUM(COUNTIF(artists!E:E, SPLIT(D53, "",""))) &gt; 0, ""OTHER"", 0)"),0)</f>
        <v>0</v>
      </c>
    </row>
    <row r="54" spans="1:11" ht="14.25" customHeight="1">
      <c r="A54" s="21">
        <v>53</v>
      </c>
      <c r="C54" s="21" t="s">
        <v>1822</v>
      </c>
      <c r="D54" s="21" t="s">
        <v>1823</v>
      </c>
      <c r="E54" s="21">
        <v>1</v>
      </c>
      <c r="F54" s="21">
        <v>96817</v>
      </c>
      <c r="H54" s="21" t="s">
        <v>1824</v>
      </c>
      <c r="I54" s="39" t="str">
        <f ca="1">IFERROR(__xludf.DUMMYFUNCTION("IF(SUM(COUNTIF(artists!A:A, SPLIT(D54, "",""))) &gt; 0, ""UA"", 0)"),"UA")</f>
        <v>UA</v>
      </c>
      <c r="J54" s="40">
        <f ca="1">IFERROR(__xludf.DUMMYFUNCTION("IF(SUM(COUNTIF(artists!C:C, SPLIT(D54, "",""))) &gt; 0, ""RU"", 0)"),0)</f>
        <v>0</v>
      </c>
      <c r="K54" s="39">
        <f ca="1">IFERROR(__xludf.DUMMYFUNCTION("IF(SUM(COUNTIF(artists!E:E, SPLIT(D54, "",""))) &gt; 0, ""OTHER"", 0)"),0)</f>
        <v>0</v>
      </c>
    </row>
    <row r="55" spans="1:11" ht="14.25" customHeight="1">
      <c r="A55" s="21">
        <v>54</v>
      </c>
      <c r="C55" s="21" t="s">
        <v>118</v>
      </c>
      <c r="D55" s="21" t="s">
        <v>586</v>
      </c>
      <c r="E55" s="21">
        <v>1</v>
      </c>
      <c r="F55" s="21">
        <v>95509</v>
      </c>
      <c r="H55" s="21" t="s">
        <v>587</v>
      </c>
      <c r="I55" s="39" t="str">
        <f ca="1">IFERROR(__xludf.DUMMYFUNCTION("IF(SUM(COUNTIF(artists!A:A, SPLIT(D55, "",""))) &gt; 0, ""UA"", 0)"),"UA")</f>
        <v>UA</v>
      </c>
      <c r="J55" s="40">
        <f ca="1">IFERROR(__xludf.DUMMYFUNCTION("IF(SUM(COUNTIF(artists!C:C, SPLIT(D55, "",""))) &gt; 0, ""RU"", 0)"),0)</f>
        <v>0</v>
      </c>
      <c r="K55" s="39">
        <f ca="1">IFERROR(__xludf.DUMMYFUNCTION("IF(SUM(COUNTIF(artists!E:E, SPLIT(D55, "",""))) &gt; 0, ""OTHER"", 0)"),0)</f>
        <v>0</v>
      </c>
    </row>
    <row r="56" spans="1:11" ht="14.25" customHeight="1">
      <c r="A56" s="21">
        <v>55</v>
      </c>
      <c r="B56" s="21">
        <v>62</v>
      </c>
      <c r="C56" s="21" t="s">
        <v>2009</v>
      </c>
      <c r="D56" s="21" t="s">
        <v>2010</v>
      </c>
      <c r="E56" s="21">
        <v>10</v>
      </c>
      <c r="F56" s="21">
        <v>95440</v>
      </c>
      <c r="G56" s="42">
        <v>-0.53700000000000003</v>
      </c>
      <c r="H56" s="21" t="s">
        <v>2011</v>
      </c>
      <c r="I56" s="39">
        <f ca="1">IFERROR(__xludf.DUMMYFUNCTION("IF(SUM(COUNTIF(artists!A:A, SPLIT(D56, "",""))) &gt; 0, ""UA"", 0)"),0)</f>
        <v>0</v>
      </c>
      <c r="J56" s="40" t="str">
        <f ca="1">IFERROR(__xludf.DUMMYFUNCTION("IF(SUM(COUNTIF(artists!C:C, SPLIT(D56, "",""))) &gt; 0, ""RU"", 0)"),"RU")</f>
        <v>RU</v>
      </c>
      <c r="K56" s="39">
        <f ca="1">IFERROR(__xludf.DUMMYFUNCTION("IF(SUM(COUNTIF(artists!E:E, SPLIT(D56, "",""))) &gt; 0, ""OTHER"", 0)"),0)</f>
        <v>0</v>
      </c>
    </row>
    <row r="57" spans="1:11" ht="14.25" customHeight="1">
      <c r="A57" s="21">
        <v>56</v>
      </c>
      <c r="B57" s="21">
        <v>72</v>
      </c>
      <c r="C57" s="21" t="s">
        <v>1483</v>
      </c>
      <c r="D57" s="21" t="s">
        <v>972</v>
      </c>
      <c r="E57" s="21">
        <v>16</v>
      </c>
      <c r="F57" s="21">
        <v>94350</v>
      </c>
      <c r="G57" s="42">
        <v>-0.47199999999999998</v>
      </c>
      <c r="H57" s="21" t="s">
        <v>1484</v>
      </c>
      <c r="I57" s="39">
        <f ca="1">IFERROR(__xludf.DUMMYFUNCTION("IF(SUM(COUNTIF(artists!A:A, SPLIT(D57, "",""))) &gt; 0, ""UA"", 0)"),0)</f>
        <v>0</v>
      </c>
      <c r="J57" s="40">
        <f ca="1">IFERROR(__xludf.DUMMYFUNCTION("IF(SUM(COUNTIF(artists!C:C, SPLIT(D57, "",""))) &gt; 0, ""RU"", 0)"),0)</f>
        <v>0</v>
      </c>
      <c r="K57" s="39" t="str">
        <f ca="1">IFERROR(__xludf.DUMMYFUNCTION("IF(SUM(COUNTIF(artists!E:E, SPLIT(D57, "",""))) &gt; 0, ""OTHER"", 0)"),"OTHER")</f>
        <v>OTHER</v>
      </c>
    </row>
    <row r="58" spans="1:11" ht="14.25" customHeight="1">
      <c r="A58" s="21">
        <v>57</v>
      </c>
      <c r="B58" s="21">
        <v>83</v>
      </c>
      <c r="C58" s="21" t="s">
        <v>1588</v>
      </c>
      <c r="D58" s="21" t="s">
        <v>776</v>
      </c>
      <c r="E58" s="21">
        <v>4</v>
      </c>
      <c r="F58" s="21">
        <v>92709</v>
      </c>
      <c r="G58" s="42">
        <v>-0.39300000000000002</v>
      </c>
      <c r="H58" s="21" t="s">
        <v>1589</v>
      </c>
      <c r="I58" s="39" t="str">
        <f ca="1">IFERROR(__xludf.DUMMYFUNCTION("IF(SUM(COUNTIF(artists!A:A, SPLIT(D58, "",""))) &gt; 0, ""UA"", 0)"),"UA")</f>
        <v>UA</v>
      </c>
      <c r="J58" s="40">
        <f ca="1">IFERROR(__xludf.DUMMYFUNCTION("IF(SUM(COUNTIF(artists!C:C, SPLIT(D58, "",""))) &gt; 0, ""RU"", 0)"),0)</f>
        <v>0</v>
      </c>
      <c r="K58" s="39">
        <f ca="1">IFERROR(__xludf.DUMMYFUNCTION("IF(SUM(COUNTIF(artists!E:E, SPLIT(D58, "",""))) &gt; 0, ""OTHER"", 0)"),0)</f>
        <v>0</v>
      </c>
    </row>
    <row r="59" spans="1:11" ht="14.25" customHeight="1">
      <c r="A59" s="21">
        <v>58</v>
      </c>
      <c r="B59" s="21">
        <v>34</v>
      </c>
      <c r="C59" s="21" t="s">
        <v>1867</v>
      </c>
      <c r="D59" s="21" t="s">
        <v>1099</v>
      </c>
      <c r="E59" s="21">
        <v>15</v>
      </c>
      <c r="F59" s="21">
        <v>91190</v>
      </c>
      <c r="G59" s="42">
        <v>-0.69299999999999995</v>
      </c>
      <c r="H59" s="21" t="s">
        <v>1868</v>
      </c>
      <c r="I59" s="39">
        <f ca="1">IFERROR(__xludf.DUMMYFUNCTION("IF(SUM(COUNTIF(artists!A:A, SPLIT(D59, "",""))) &gt; 0, ""UA"", 0)"),0)</f>
        <v>0</v>
      </c>
      <c r="J59" s="40" t="str">
        <f ca="1">IFERROR(__xludf.DUMMYFUNCTION("IF(SUM(COUNTIF(artists!C:C, SPLIT(D59, "",""))) &gt; 0, ""RU"", 0)"),"RU")</f>
        <v>RU</v>
      </c>
      <c r="K59" s="39">
        <f ca="1">IFERROR(__xludf.DUMMYFUNCTION("IF(SUM(COUNTIF(artists!E:E, SPLIT(D59, "",""))) &gt; 0, ""OTHER"", 0)"),0)</f>
        <v>0</v>
      </c>
    </row>
    <row r="60" spans="1:11" ht="14.25" customHeight="1">
      <c r="A60" s="21">
        <v>59</v>
      </c>
      <c r="C60" s="21" t="s">
        <v>493</v>
      </c>
      <c r="D60" s="21" t="s">
        <v>494</v>
      </c>
      <c r="E60" s="21">
        <v>6</v>
      </c>
      <c r="F60" s="21">
        <v>90840</v>
      </c>
      <c r="H60" s="21" t="s">
        <v>495</v>
      </c>
      <c r="I60" s="39" t="str">
        <f ca="1">IFERROR(__xludf.DUMMYFUNCTION("IF(SUM(COUNTIF(artists!A:A, SPLIT(D60, "",""))) &gt; 0, ""UA"", 0)"),"UA")</f>
        <v>UA</v>
      </c>
      <c r="J60" s="40">
        <f ca="1">IFERROR(__xludf.DUMMYFUNCTION("IF(SUM(COUNTIF(artists!C:C, SPLIT(D60, "",""))) &gt; 0, ""RU"", 0)"),0)</f>
        <v>0</v>
      </c>
      <c r="K60" s="39">
        <f ca="1">IFERROR(__xludf.DUMMYFUNCTION("IF(SUM(COUNTIF(artists!E:E, SPLIT(D60, "",""))) &gt; 0, ""OTHER"", 0)"),0)</f>
        <v>0</v>
      </c>
    </row>
    <row r="61" spans="1:11" ht="14.25" customHeight="1">
      <c r="A61" s="21">
        <v>60</v>
      </c>
      <c r="B61" s="21">
        <v>15</v>
      </c>
      <c r="C61" s="21" t="s">
        <v>1987</v>
      </c>
      <c r="D61" s="21" t="s">
        <v>1988</v>
      </c>
      <c r="E61" s="21">
        <v>5</v>
      </c>
      <c r="F61" s="21">
        <v>89858</v>
      </c>
      <c r="G61" s="42">
        <v>-0.80300000000000005</v>
      </c>
      <c r="H61" s="21" t="s">
        <v>1989</v>
      </c>
      <c r="I61" s="39">
        <f ca="1">IFERROR(__xludf.DUMMYFUNCTION("IF(SUM(COUNTIF(artists!A:A, SPLIT(D61, "",""))) &gt; 0, ""UA"", 0)"),0)</f>
        <v>0</v>
      </c>
      <c r="J61" s="40" t="str">
        <f ca="1">IFERROR(__xludf.DUMMYFUNCTION("IF(SUM(COUNTIF(artists!C:C, SPLIT(D61, "",""))) &gt; 0, ""RU"", 0)"),"RU")</f>
        <v>RU</v>
      </c>
      <c r="K61" s="39">
        <f ca="1">IFERROR(__xludf.DUMMYFUNCTION("IF(SUM(COUNTIF(artists!E:E, SPLIT(D61, "",""))) &gt; 0, ""OTHER"", 0)"),0)</f>
        <v>0</v>
      </c>
    </row>
    <row r="62" spans="1:11" ht="14.25" customHeight="1">
      <c r="A62" s="21">
        <v>61</v>
      </c>
      <c r="B62" s="21">
        <v>50</v>
      </c>
      <c r="C62" s="21" t="s">
        <v>2005</v>
      </c>
      <c r="D62" s="21" t="s">
        <v>1593</v>
      </c>
      <c r="E62" s="21">
        <v>19</v>
      </c>
      <c r="F62" s="21">
        <v>89813</v>
      </c>
      <c r="G62" s="42">
        <v>-0.64600000000000002</v>
      </c>
      <c r="H62" s="21" t="s">
        <v>2006</v>
      </c>
      <c r="I62" s="39">
        <f ca="1">IFERROR(__xludf.DUMMYFUNCTION("IF(SUM(COUNTIF(artists!A:A, SPLIT(D62, "",""))) &gt; 0, ""UA"", 0)"),0)</f>
        <v>0</v>
      </c>
      <c r="J62" s="40" t="str">
        <f ca="1">IFERROR(__xludf.DUMMYFUNCTION("IF(SUM(COUNTIF(artists!C:C, SPLIT(D62, "",""))) &gt; 0, ""RU"", 0)"),"RU")</f>
        <v>RU</v>
      </c>
      <c r="K62" s="39">
        <f ca="1">IFERROR(__xludf.DUMMYFUNCTION("IF(SUM(COUNTIF(artists!E:E, SPLIT(D62, "",""))) &gt; 0, ""OTHER"", 0)"),0)</f>
        <v>0</v>
      </c>
    </row>
    <row r="63" spans="1:11" ht="14.25" customHeight="1">
      <c r="A63" s="21">
        <v>62</v>
      </c>
      <c r="B63" s="21">
        <v>44</v>
      </c>
      <c r="C63" s="21" t="s">
        <v>1865</v>
      </c>
      <c r="D63" s="21" t="s">
        <v>1646</v>
      </c>
      <c r="E63" s="21">
        <v>12</v>
      </c>
      <c r="F63" s="21">
        <v>87977</v>
      </c>
      <c r="G63" s="42">
        <v>-0.66900000000000004</v>
      </c>
      <c r="H63" s="21" t="s">
        <v>1866</v>
      </c>
      <c r="I63" s="39">
        <f ca="1">IFERROR(__xludf.DUMMYFUNCTION("IF(SUM(COUNTIF(artists!A:A, SPLIT(D63, "",""))) &gt; 0, ""UA"", 0)"),0)</f>
        <v>0</v>
      </c>
      <c r="J63" s="40" t="str">
        <f ca="1">IFERROR(__xludf.DUMMYFUNCTION("IF(SUM(COUNTIF(artists!C:C, SPLIT(D63, "",""))) &gt; 0, ""RU"", 0)"),"RU")</f>
        <v>RU</v>
      </c>
      <c r="K63" s="39">
        <f ca="1">IFERROR(__xludf.DUMMYFUNCTION("IF(SUM(COUNTIF(artists!E:E, SPLIT(D63, "",""))) &gt; 0, ""OTHER"", 0)"),0)</f>
        <v>0</v>
      </c>
    </row>
    <row r="64" spans="1:11" ht="14.25" customHeight="1">
      <c r="A64" s="21">
        <v>63</v>
      </c>
      <c r="B64" s="21">
        <v>46</v>
      </c>
      <c r="C64" s="21" t="s">
        <v>968</v>
      </c>
      <c r="D64" s="21" t="s">
        <v>969</v>
      </c>
      <c r="E64" s="21">
        <v>11</v>
      </c>
      <c r="F64" s="21">
        <v>86793</v>
      </c>
      <c r="G64" s="42">
        <v>-0.67100000000000004</v>
      </c>
      <c r="H64" s="21" t="s">
        <v>970</v>
      </c>
      <c r="I64" s="39" t="str">
        <f ca="1">IFERROR(__xludf.DUMMYFUNCTION("IF(SUM(COUNTIF(artists!A:A, SPLIT(D64, "",""))) &gt; 0, ""UA"", 0)"),"UA")</f>
        <v>UA</v>
      </c>
      <c r="J64" s="40">
        <f ca="1">IFERROR(__xludf.DUMMYFUNCTION("IF(SUM(COUNTIF(artists!C:C, SPLIT(D64, "",""))) &gt; 0, ""RU"", 0)"),0)</f>
        <v>0</v>
      </c>
      <c r="K64" s="39">
        <f ca="1">IFERROR(__xludf.DUMMYFUNCTION("IF(SUM(COUNTIF(artists!E:E, SPLIT(D64, "",""))) &gt; 0, ""OTHER"", 0)"),0)</f>
        <v>0</v>
      </c>
    </row>
    <row r="65" spans="1:11" ht="14.25" customHeight="1">
      <c r="A65" s="21">
        <v>64</v>
      </c>
      <c r="B65" s="21">
        <v>94</v>
      </c>
      <c r="C65" s="21" t="s">
        <v>1222</v>
      </c>
      <c r="D65" s="21" t="s">
        <v>1223</v>
      </c>
      <c r="E65" s="21">
        <v>19</v>
      </c>
      <c r="F65" s="21">
        <v>85347</v>
      </c>
      <c r="G65" s="42">
        <v>-0.36699999999999999</v>
      </c>
      <c r="H65" s="21" t="s">
        <v>1224</v>
      </c>
      <c r="I65" s="39">
        <f ca="1">IFERROR(__xludf.DUMMYFUNCTION("IF(SUM(COUNTIF(artists!A:A, SPLIT(D65, "",""))) &gt; 0, ""UA"", 0)"),0)</f>
        <v>0</v>
      </c>
      <c r="J65" s="40" t="str">
        <f ca="1">IFERROR(__xludf.DUMMYFUNCTION("IF(SUM(COUNTIF(artists!C:C, SPLIT(D65, "",""))) &gt; 0, ""RU"", 0)"),"RU")</f>
        <v>RU</v>
      </c>
      <c r="K65" s="39">
        <f ca="1">IFERROR(__xludf.DUMMYFUNCTION("IF(SUM(COUNTIF(artists!E:E, SPLIT(D65, "",""))) &gt; 0, ""OTHER"", 0)"),0)</f>
        <v>0</v>
      </c>
    </row>
    <row r="66" spans="1:11" ht="14.25" customHeight="1">
      <c r="A66" s="21">
        <v>65</v>
      </c>
      <c r="B66" s="21">
        <v>68</v>
      </c>
      <c r="C66" s="21" t="s">
        <v>1851</v>
      </c>
      <c r="D66" s="21" t="s">
        <v>1852</v>
      </c>
      <c r="E66" s="21">
        <v>3</v>
      </c>
      <c r="F66" s="21">
        <v>84738</v>
      </c>
      <c r="G66" s="42">
        <v>-0.55100000000000005</v>
      </c>
      <c r="H66" s="21" t="s">
        <v>1853</v>
      </c>
      <c r="I66" s="39">
        <f ca="1">IFERROR(__xludf.DUMMYFUNCTION("IF(SUM(COUNTIF(artists!A:A, SPLIT(D66, "",""))) &gt; 0, ""UA"", 0)"),0)</f>
        <v>0</v>
      </c>
      <c r="J66" s="40" t="str">
        <f ca="1">IFERROR(__xludf.DUMMYFUNCTION("IF(SUM(COUNTIF(artists!C:C, SPLIT(D66, "",""))) &gt; 0, ""RU"", 0)"),"RU")</f>
        <v>RU</v>
      </c>
      <c r="K66" s="39">
        <f ca="1">IFERROR(__xludf.DUMMYFUNCTION("IF(SUM(COUNTIF(artists!E:E, SPLIT(D66, "",""))) &gt; 0, ""OTHER"", 0)"),0)</f>
        <v>0</v>
      </c>
    </row>
    <row r="67" spans="1:11" ht="14.25" customHeight="1">
      <c r="A67" s="21">
        <v>66</v>
      </c>
      <c r="C67" s="21" t="s">
        <v>2025</v>
      </c>
      <c r="D67" s="21" t="s">
        <v>1833</v>
      </c>
      <c r="E67" s="21">
        <v>1</v>
      </c>
      <c r="F67" s="21">
        <v>84726</v>
      </c>
      <c r="H67" s="21" t="s">
        <v>2026</v>
      </c>
      <c r="I67" s="39" t="str">
        <f ca="1">IFERROR(__xludf.DUMMYFUNCTION("IF(SUM(COUNTIF(artists!A:A, SPLIT(D67, "",""))) &gt; 0, ""UA"", 0)"),"UA")</f>
        <v>UA</v>
      </c>
      <c r="J67" s="40">
        <f ca="1">IFERROR(__xludf.DUMMYFUNCTION("IF(SUM(COUNTIF(artists!C:C, SPLIT(D67, "",""))) &gt; 0, ""RU"", 0)"),0)</f>
        <v>0</v>
      </c>
      <c r="K67" s="39">
        <f ca="1">IFERROR(__xludf.DUMMYFUNCTION("IF(SUM(COUNTIF(artists!E:E, SPLIT(D67, "",""))) &gt; 0, ""OTHER"", 0)"),0)</f>
        <v>0</v>
      </c>
    </row>
    <row r="68" spans="1:11" ht="14.25" customHeight="1">
      <c r="A68" s="21">
        <v>67</v>
      </c>
      <c r="C68" s="21" t="s">
        <v>2027</v>
      </c>
      <c r="D68" s="21" t="s">
        <v>959</v>
      </c>
      <c r="E68" s="21">
        <v>16</v>
      </c>
      <c r="F68" s="21">
        <v>84042</v>
      </c>
      <c r="H68" s="21" t="s">
        <v>2028</v>
      </c>
      <c r="I68" s="39">
        <f ca="1">IFERROR(__xludf.DUMMYFUNCTION("IF(SUM(COUNTIF(artists!A:A, SPLIT(D68, "",""))) &gt; 0, ""UA"", 0)"),0)</f>
        <v>0</v>
      </c>
      <c r="J68" s="40" t="str">
        <f ca="1">IFERROR(__xludf.DUMMYFUNCTION("IF(SUM(COUNTIF(artists!C:C, SPLIT(D68, "",""))) &gt; 0, ""RU"", 0)"),"RU")</f>
        <v>RU</v>
      </c>
      <c r="K68" s="39">
        <f ca="1">IFERROR(__xludf.DUMMYFUNCTION("IF(SUM(COUNTIF(artists!E:E, SPLIT(D68, "",""))) &gt; 0, ""OTHER"", 0)"),0)</f>
        <v>0</v>
      </c>
    </row>
    <row r="69" spans="1:11" ht="14.25" customHeight="1">
      <c r="A69" s="21">
        <v>68</v>
      </c>
      <c r="C69" s="21" t="s">
        <v>1812</v>
      </c>
      <c r="D69" s="21" t="s">
        <v>133</v>
      </c>
      <c r="E69" s="21">
        <v>1</v>
      </c>
      <c r="F69" s="21">
        <v>83465</v>
      </c>
      <c r="H69" s="21" t="s">
        <v>1813</v>
      </c>
      <c r="I69" s="39" t="str">
        <f ca="1">IFERROR(__xludf.DUMMYFUNCTION("IF(SUM(COUNTIF(artists!A:A, SPLIT(D69, "",""))) &gt; 0, ""UA"", 0)"),"UA")</f>
        <v>UA</v>
      </c>
      <c r="J69" s="40">
        <f ca="1">IFERROR(__xludf.DUMMYFUNCTION("IF(SUM(COUNTIF(artists!C:C, SPLIT(D69, "",""))) &gt; 0, ""RU"", 0)"),0)</f>
        <v>0</v>
      </c>
      <c r="K69" s="39">
        <f ca="1">IFERROR(__xludf.DUMMYFUNCTION("IF(SUM(COUNTIF(artists!E:E, SPLIT(D69, "",""))) &gt; 0, ""OTHER"", 0)"),0)</f>
        <v>0</v>
      </c>
    </row>
    <row r="70" spans="1:11" ht="14.25" customHeight="1">
      <c r="A70" s="21">
        <v>69</v>
      </c>
      <c r="B70" s="21">
        <v>67</v>
      </c>
      <c r="C70" s="21" t="s">
        <v>2007</v>
      </c>
      <c r="D70" s="21" t="s">
        <v>1652</v>
      </c>
      <c r="E70" s="21">
        <v>19</v>
      </c>
      <c r="F70" s="21">
        <v>83280</v>
      </c>
      <c r="G70" s="42">
        <v>-0.55900000000000005</v>
      </c>
      <c r="H70" s="21" t="s">
        <v>2008</v>
      </c>
      <c r="I70" s="39">
        <f ca="1">IFERROR(__xludf.DUMMYFUNCTION("IF(SUM(COUNTIF(artists!A:A, SPLIT(D70, "",""))) &gt; 0, ""UA"", 0)"),0)</f>
        <v>0</v>
      </c>
      <c r="J70" s="40" t="str">
        <f ca="1">IFERROR(__xludf.DUMMYFUNCTION("IF(SUM(COUNTIF(artists!C:C, SPLIT(D70, "",""))) &gt; 0, ""RU"", 0)"),"RU")</f>
        <v>RU</v>
      </c>
      <c r="K70" s="39">
        <f ca="1">IFERROR(__xludf.DUMMYFUNCTION("IF(SUM(COUNTIF(artists!E:E, SPLIT(D70, "",""))) &gt; 0, ""OTHER"", 0)"),0)</f>
        <v>0</v>
      </c>
    </row>
    <row r="71" spans="1:11" ht="14.25" customHeight="1">
      <c r="A71" s="21">
        <v>70</v>
      </c>
      <c r="C71" s="21" t="s">
        <v>1861</v>
      </c>
      <c r="D71" s="21" t="s">
        <v>409</v>
      </c>
      <c r="E71" s="21">
        <v>1</v>
      </c>
      <c r="F71" s="21">
        <v>81954</v>
      </c>
      <c r="H71" s="21" t="s">
        <v>1862</v>
      </c>
      <c r="I71" s="39" t="str">
        <f ca="1">IFERROR(__xludf.DUMMYFUNCTION("IF(SUM(COUNTIF(artists!A:A, SPLIT(D71, "",""))) &gt; 0, ""UA"", 0)"),"UA")</f>
        <v>UA</v>
      </c>
      <c r="J71" s="40">
        <f ca="1">IFERROR(__xludf.DUMMYFUNCTION("IF(SUM(COUNTIF(artists!C:C, SPLIT(D71, "",""))) &gt; 0, ""RU"", 0)"),0)</f>
        <v>0</v>
      </c>
      <c r="K71" s="40">
        <f ca="1">IFERROR(__xludf.DUMMYFUNCTION("IF(SUM(COUNTIF(artists!D:D, SPLIT(E71, "",""))) &gt; 0, ""RU"", 0)"),0)</f>
        <v>0</v>
      </c>
    </row>
    <row r="72" spans="1:11" ht="14.25" customHeight="1">
      <c r="A72" s="21">
        <v>71</v>
      </c>
      <c r="C72" s="21" t="s">
        <v>2029</v>
      </c>
      <c r="D72" s="21" t="s">
        <v>2030</v>
      </c>
      <c r="E72" s="21">
        <v>1</v>
      </c>
      <c r="F72" s="21">
        <v>81515</v>
      </c>
      <c r="H72" s="21" t="s">
        <v>2031</v>
      </c>
      <c r="I72" s="39">
        <f ca="1">IFERROR(__xludf.DUMMYFUNCTION("IF(SUM(COUNTIF(artists!A:A, SPLIT(D72, "",""))) &gt; 0, ""UA"", 0)"),0)</f>
        <v>0</v>
      </c>
      <c r="J72" s="40" t="str">
        <f ca="1">IFERROR(__xludf.DUMMYFUNCTION("IF(SUM(COUNTIF(artists!C:C, SPLIT(D72, "",""))) &gt; 0, ""RU"", 0)"),"RU")</f>
        <v>RU</v>
      </c>
      <c r="K72" s="39">
        <f ca="1">IFERROR(__xludf.DUMMYFUNCTION("IF(SUM(COUNTIF(artists!E:E, SPLIT(D72, "",""))) &gt; 0, ""OTHER"", 0)"),0)</f>
        <v>0</v>
      </c>
    </row>
    <row r="73" spans="1:11" ht="14.25" customHeight="1">
      <c r="A73" s="21">
        <v>72</v>
      </c>
      <c r="B73" s="21">
        <v>56</v>
      </c>
      <c r="C73" s="21" t="s">
        <v>2032</v>
      </c>
      <c r="D73" s="21" t="s">
        <v>2033</v>
      </c>
      <c r="E73" s="21">
        <v>7</v>
      </c>
      <c r="F73" s="21">
        <v>81492</v>
      </c>
      <c r="G73" s="42">
        <v>-0.65500000000000003</v>
      </c>
      <c r="H73" s="21" t="s">
        <v>2034</v>
      </c>
      <c r="I73" s="39">
        <f ca="1">IFERROR(__xludf.DUMMYFUNCTION("IF(SUM(COUNTIF(artists!A:A, SPLIT(D73, "",""))) &gt; 0, ""UA"", 0)"),0)</f>
        <v>0</v>
      </c>
      <c r="J73" s="40" t="str">
        <f ca="1">IFERROR(__xludf.DUMMYFUNCTION("IF(SUM(COUNTIF(artists!C:C, SPLIT(D73, "",""))) &gt; 0, ""RU"", 0)"),"RU")</f>
        <v>RU</v>
      </c>
      <c r="K73" s="39">
        <f ca="1">IFERROR(__xludf.DUMMYFUNCTION("IF(SUM(COUNTIF(artists!E:E, SPLIT(D73, "",""))) &gt; 0, ""OTHER"", 0)"),0)</f>
        <v>0</v>
      </c>
    </row>
    <row r="74" spans="1:11" ht="14.25" customHeight="1">
      <c r="A74" s="21">
        <v>73</v>
      </c>
      <c r="B74" s="21">
        <v>32</v>
      </c>
      <c r="C74" s="21" t="s">
        <v>1953</v>
      </c>
      <c r="D74" s="21" t="s">
        <v>1954</v>
      </c>
      <c r="E74" s="21">
        <v>3</v>
      </c>
      <c r="F74" s="21">
        <v>79803</v>
      </c>
      <c r="G74" s="42">
        <v>-0.752</v>
      </c>
      <c r="H74" s="21" t="s">
        <v>1955</v>
      </c>
      <c r="I74" s="39">
        <f ca="1">IFERROR(__xludf.DUMMYFUNCTION("IF(SUM(COUNTIF(artists!A:A, SPLIT(D74, "",""))) &gt; 0, ""UA"", 0)"),0)</f>
        <v>0</v>
      </c>
      <c r="J74" s="40" t="str">
        <f ca="1">IFERROR(__xludf.DUMMYFUNCTION("IF(SUM(COUNTIF(artists!C:C, SPLIT(D74, "",""))) &gt; 0, ""RU"", 0)"),"RU")</f>
        <v>RU</v>
      </c>
      <c r="K74" s="39">
        <f ca="1">IFERROR(__xludf.DUMMYFUNCTION("IF(SUM(COUNTIF(artists!E:E, SPLIT(D74, "",""))) &gt; 0, ""OTHER"", 0)"),0)</f>
        <v>0</v>
      </c>
    </row>
    <row r="75" spans="1:11" ht="14.25" customHeight="1">
      <c r="A75" s="21">
        <v>74</v>
      </c>
      <c r="C75" s="21" t="s">
        <v>2035</v>
      </c>
      <c r="D75" s="21" t="s">
        <v>2036</v>
      </c>
      <c r="E75" s="21">
        <v>1</v>
      </c>
      <c r="F75" s="21">
        <v>79418</v>
      </c>
      <c r="H75" s="21" t="s">
        <v>2037</v>
      </c>
      <c r="I75" s="39">
        <f ca="1">IFERROR(__xludf.DUMMYFUNCTION("IF(SUM(COUNTIF(artists!A:A, SPLIT(D75, "",""))) &gt; 0, ""UA"", 0)"),0)</f>
        <v>0</v>
      </c>
      <c r="J75" s="40" t="str">
        <f ca="1">IFERROR(__xludf.DUMMYFUNCTION("IF(SUM(COUNTIF(artists!C:C, SPLIT(D75, "",""))) &gt; 0, ""RU"", 0)"),"RU")</f>
        <v>RU</v>
      </c>
      <c r="K75" s="39">
        <f ca="1">IFERROR(__xludf.DUMMYFUNCTION("IF(SUM(COUNTIF(artists!E:E, SPLIT(D75, "",""))) &gt; 0, ""OTHER"", 0)"),0)</f>
        <v>0</v>
      </c>
    </row>
    <row r="76" spans="1:11" ht="14.25" customHeight="1">
      <c r="A76" s="21">
        <v>75</v>
      </c>
      <c r="C76" s="21" t="s">
        <v>1454</v>
      </c>
      <c r="D76" s="21" t="s">
        <v>384</v>
      </c>
      <c r="E76" s="21">
        <v>1</v>
      </c>
      <c r="F76" s="21">
        <v>78907</v>
      </c>
      <c r="H76" s="21" t="s">
        <v>386</v>
      </c>
      <c r="I76" s="39">
        <f ca="1">IFERROR(__xludf.DUMMYFUNCTION("IF(SUM(COUNTIF(artists!A:A, SPLIT(D76, "",""))) &gt; 0, ""UA"", 0)"),0)</f>
        <v>0</v>
      </c>
      <c r="J76" s="40">
        <f ca="1">IFERROR(__xludf.DUMMYFUNCTION("IF(SUM(COUNTIF(artists!C:C, SPLIT(D76, "",""))) &gt; 0, ""RU"", 0)"),0)</f>
        <v>0</v>
      </c>
      <c r="K76" s="39" t="str">
        <f ca="1">IFERROR(__xludf.DUMMYFUNCTION("IF(SUM(COUNTIF(artists!E:E, SPLIT(D76, "",""))) &gt; 0, ""OTHER"", 0)"),"OTHER")</f>
        <v>OTHER</v>
      </c>
    </row>
    <row r="77" spans="1:11" ht="14.25" customHeight="1">
      <c r="A77" s="21">
        <v>76</v>
      </c>
      <c r="B77" s="21">
        <v>66</v>
      </c>
      <c r="C77" s="21" t="s">
        <v>1337</v>
      </c>
      <c r="D77" s="21" t="s">
        <v>1338</v>
      </c>
      <c r="E77" s="21">
        <v>9</v>
      </c>
      <c r="F77" s="21">
        <v>78886</v>
      </c>
      <c r="G77" s="42">
        <v>-0.58499999999999996</v>
      </c>
      <c r="H77" s="21" t="s">
        <v>1339</v>
      </c>
      <c r="I77" s="39">
        <f ca="1">IFERROR(__xludf.DUMMYFUNCTION("IF(SUM(COUNTIF(artists!A:A, SPLIT(D77, "",""))) &gt; 0, ""UA"", 0)"),0)</f>
        <v>0</v>
      </c>
      <c r="J77" s="40">
        <f ca="1">IFERROR(__xludf.DUMMYFUNCTION("IF(SUM(COUNTIF(artists!C:C, SPLIT(D77, "",""))) &gt; 0, ""RU"", 0)"),0)</f>
        <v>0</v>
      </c>
      <c r="K77" s="39" t="str">
        <f ca="1">IFERROR(__xludf.DUMMYFUNCTION("IF(SUM(COUNTIF(artists!E:E, SPLIT(D77, "",""))) &gt; 0, ""OTHER"", 0)"),"OTHER")</f>
        <v>OTHER</v>
      </c>
    </row>
    <row r="78" spans="1:11" ht="14.25" customHeight="1">
      <c r="A78" s="21">
        <v>77</v>
      </c>
      <c r="B78" s="21">
        <v>55</v>
      </c>
      <c r="C78" s="21" t="s">
        <v>1887</v>
      </c>
      <c r="D78" s="21" t="s">
        <v>1099</v>
      </c>
      <c r="E78" s="21">
        <v>8</v>
      </c>
      <c r="F78" s="21">
        <v>78259</v>
      </c>
      <c r="G78" s="42">
        <v>-0.67300000000000004</v>
      </c>
      <c r="H78" s="21" t="s">
        <v>1888</v>
      </c>
      <c r="I78" s="39">
        <f ca="1">IFERROR(__xludf.DUMMYFUNCTION("IF(SUM(COUNTIF(artists!A:A, SPLIT(D78, "",""))) &gt; 0, ""UA"", 0)"),0)</f>
        <v>0</v>
      </c>
      <c r="J78" s="40" t="str">
        <f ca="1">IFERROR(__xludf.DUMMYFUNCTION("IF(SUM(COUNTIF(artists!C:C, SPLIT(D78, "",""))) &gt; 0, ""RU"", 0)"),"RU")</f>
        <v>RU</v>
      </c>
      <c r="K78" s="39">
        <f ca="1">IFERROR(__xludf.DUMMYFUNCTION("IF(SUM(COUNTIF(artists!E:E, SPLIT(D78, "",""))) &gt; 0, ""OTHER"", 0)"),0)</f>
        <v>0</v>
      </c>
    </row>
    <row r="79" spans="1:11" ht="14.25" customHeight="1">
      <c r="A79" s="21">
        <v>78</v>
      </c>
      <c r="B79" s="21">
        <v>57</v>
      </c>
      <c r="C79" s="21" t="s">
        <v>613</v>
      </c>
      <c r="D79" s="21" t="s">
        <v>614</v>
      </c>
      <c r="E79" s="21">
        <v>11</v>
      </c>
      <c r="F79" s="21">
        <v>77777</v>
      </c>
      <c r="G79" s="42">
        <v>-0.65800000000000003</v>
      </c>
      <c r="H79" s="21" t="s">
        <v>615</v>
      </c>
      <c r="I79" s="39">
        <f ca="1">IFERROR(__xludf.DUMMYFUNCTION("IF(SUM(COUNTIF(artists!A:A, SPLIT(D79, "",""))) &gt; 0, ""UA"", 0)"),0)</f>
        <v>0</v>
      </c>
      <c r="J79" s="40" t="str">
        <f ca="1">IFERROR(__xludf.DUMMYFUNCTION("IF(SUM(COUNTIF(artists!C:C, SPLIT(D79, "",""))) &gt; 0, ""RU"", 0)"),"RU")</f>
        <v>RU</v>
      </c>
      <c r="K79" s="39">
        <f ca="1">IFERROR(__xludf.DUMMYFUNCTION("IF(SUM(COUNTIF(artists!E:E, SPLIT(D79, "",""))) &gt; 0, ""OTHER"", 0)"),0)</f>
        <v>0</v>
      </c>
    </row>
    <row r="80" spans="1:11" ht="14.25" customHeight="1">
      <c r="A80" s="21">
        <v>79</v>
      </c>
      <c r="C80" s="21" t="s">
        <v>2038</v>
      </c>
      <c r="D80" s="21" t="s">
        <v>2039</v>
      </c>
      <c r="E80" s="21">
        <v>2</v>
      </c>
      <c r="F80" s="21">
        <v>77692</v>
      </c>
      <c r="H80" s="21" t="s">
        <v>2040</v>
      </c>
      <c r="I80" s="39">
        <f ca="1">IFERROR(__xludf.DUMMYFUNCTION("IF(SUM(COUNTIF(artists!A:A, SPLIT(D80, "",""))) &gt; 0, ""UA"", 0)"),0)</f>
        <v>0</v>
      </c>
      <c r="J80" s="40" t="str">
        <f ca="1">IFERROR(__xludf.DUMMYFUNCTION("IF(SUM(COUNTIF(artists!C:C, SPLIT(D80, "",""))) &gt; 0, ""RU"", 0)"),"RU")</f>
        <v>RU</v>
      </c>
      <c r="K80" s="39">
        <f ca="1">IFERROR(__xludf.DUMMYFUNCTION("IF(SUM(COUNTIF(artists!E:E, SPLIT(D80, "",""))) &gt; 0, ""OTHER"", 0)"),0)</f>
        <v>0</v>
      </c>
    </row>
    <row r="81" spans="1:11" ht="14.25" customHeight="1">
      <c r="A81" s="21">
        <v>80</v>
      </c>
      <c r="B81" s="21">
        <v>21</v>
      </c>
      <c r="C81" s="21" t="s">
        <v>2041</v>
      </c>
      <c r="D81" s="21" t="s">
        <v>584</v>
      </c>
      <c r="E81" s="21">
        <v>12</v>
      </c>
      <c r="F81" s="21">
        <v>74796</v>
      </c>
      <c r="G81" s="42">
        <v>-0.80600000000000005</v>
      </c>
      <c r="H81" s="21" t="s">
        <v>2042</v>
      </c>
      <c r="I81" s="39">
        <f ca="1">IFERROR(__xludf.DUMMYFUNCTION("IF(SUM(COUNTIF(artists!A:A, SPLIT(D81, "",""))) &gt; 0, ""UA"", 0)"),0)</f>
        <v>0</v>
      </c>
      <c r="J81" s="40" t="str">
        <f ca="1">IFERROR(__xludf.DUMMYFUNCTION("IF(SUM(COUNTIF(artists!C:C, SPLIT(D81, "",""))) &gt; 0, ""RU"", 0)"),"RU")</f>
        <v>RU</v>
      </c>
      <c r="K81" s="39">
        <f ca="1">IFERROR(__xludf.DUMMYFUNCTION("IF(SUM(COUNTIF(artists!E:E, SPLIT(D81, "",""))) &gt; 0, ""OTHER"", 0)"),0)</f>
        <v>0</v>
      </c>
    </row>
    <row r="82" spans="1:11" ht="14.25" customHeight="1">
      <c r="A82" s="21">
        <v>81</v>
      </c>
      <c r="C82" s="21" t="s">
        <v>1842</v>
      </c>
      <c r="D82" s="21" t="s">
        <v>1843</v>
      </c>
      <c r="E82" s="21">
        <v>1</v>
      </c>
      <c r="F82" s="21">
        <v>73467</v>
      </c>
      <c r="H82" s="21" t="s">
        <v>1844</v>
      </c>
      <c r="I82" s="39">
        <f ca="1">IFERROR(__xludf.DUMMYFUNCTION("IF(SUM(COUNTIF(artists!A:A, SPLIT(D82, "",""))) &gt; 0, ""UA"", 0)"),0)</f>
        <v>0</v>
      </c>
      <c r="J82" s="40" t="str">
        <f ca="1">IFERROR(__xludf.DUMMYFUNCTION("IF(SUM(COUNTIF(artists!C:C, SPLIT(D82, "",""))) &gt; 0, ""RU"", 0)"),"RU")</f>
        <v>RU</v>
      </c>
      <c r="K82" s="39">
        <f ca="1">IFERROR(__xludf.DUMMYFUNCTION("IF(SUM(COUNTIF(artists!E:E, SPLIT(D82, "",""))) &gt; 0, ""OTHER"", 0)"),0)</f>
        <v>0</v>
      </c>
    </row>
    <row r="83" spans="1:11" ht="14.25" customHeight="1">
      <c r="A83" s="21">
        <v>82</v>
      </c>
      <c r="C83" s="21" t="s">
        <v>1875</v>
      </c>
      <c r="D83" s="21" t="s">
        <v>1259</v>
      </c>
      <c r="E83" s="21">
        <v>1</v>
      </c>
      <c r="F83" s="21">
        <v>72779</v>
      </c>
      <c r="H83" s="21" t="s">
        <v>1876</v>
      </c>
      <c r="I83" s="39" t="str">
        <f ca="1">IFERROR(__xludf.DUMMYFUNCTION("IF(SUM(COUNTIF(artists!A:A, SPLIT(D83, "",""))) &gt; 0, ""UA"", 0)"),"UA")</f>
        <v>UA</v>
      </c>
      <c r="J83" s="40">
        <f ca="1">IFERROR(__xludf.DUMMYFUNCTION("IF(SUM(COUNTIF(artists!C:C, SPLIT(D83, "",""))) &gt; 0, ""RU"", 0)"),0)</f>
        <v>0</v>
      </c>
      <c r="K83" s="39">
        <f ca="1">IFERROR(__xludf.DUMMYFUNCTION("IF(SUM(COUNTIF(artists!E:E, SPLIT(D83, "",""))) &gt; 0, ""OTHER"", 0)"),0)</f>
        <v>0</v>
      </c>
    </row>
    <row r="84" spans="1:11" ht="14.25" customHeight="1">
      <c r="A84" s="21">
        <v>83</v>
      </c>
      <c r="C84" s="21" t="s">
        <v>2043</v>
      </c>
      <c r="D84" s="21" t="s">
        <v>2044</v>
      </c>
      <c r="E84" s="21">
        <v>1</v>
      </c>
      <c r="F84" s="21">
        <v>71773</v>
      </c>
      <c r="H84" s="21" t="s">
        <v>2045</v>
      </c>
      <c r="I84" s="39">
        <f ca="1">IFERROR(__xludf.DUMMYFUNCTION("IF(SUM(COUNTIF(artists!A:A, SPLIT(D84, "",""))) &gt; 0, ""UA"", 0)"),0)</f>
        <v>0</v>
      </c>
      <c r="J84" s="40">
        <f ca="1">IFERROR(__xludf.DUMMYFUNCTION("IF(SUM(COUNTIF(artists!C:C, SPLIT(D84, "",""))) &gt; 0, ""RU"", 0)"),0)</f>
        <v>0</v>
      </c>
      <c r="K84" s="39" t="str">
        <f ca="1">IFERROR(__xludf.DUMMYFUNCTION("IF(SUM(COUNTIF(artists!E:E, SPLIT(D84, "",""))) &gt; 0, ""OTHER"", 0)"),"OTHER")</f>
        <v>OTHER</v>
      </c>
    </row>
    <row r="85" spans="1:11" ht="14.25" customHeight="1">
      <c r="A85" s="21">
        <v>84</v>
      </c>
      <c r="B85" s="21">
        <v>49</v>
      </c>
      <c r="C85" s="21" t="s">
        <v>1774</v>
      </c>
      <c r="D85" s="21" t="s">
        <v>1775</v>
      </c>
      <c r="E85" s="21">
        <v>18</v>
      </c>
      <c r="F85" s="21">
        <v>71080</v>
      </c>
      <c r="G85" s="42">
        <v>-0.72099999999999997</v>
      </c>
      <c r="H85" s="21" t="s">
        <v>1776</v>
      </c>
      <c r="I85" s="39">
        <f ca="1">IFERROR(__xludf.DUMMYFUNCTION("IF(SUM(COUNTIF(artists!A:A, SPLIT(D85, "",""))) &gt; 0, ""UA"", 0)"),0)</f>
        <v>0</v>
      </c>
      <c r="J85" s="40" t="str">
        <f ca="1">IFERROR(__xludf.DUMMYFUNCTION("IF(SUM(COUNTIF(artists!C:C, SPLIT(D85, "",""))) &gt; 0, ""RU"", 0)"),"RU")</f>
        <v>RU</v>
      </c>
      <c r="K85" s="39">
        <f ca="1">IFERROR(__xludf.DUMMYFUNCTION("IF(SUM(COUNTIF(artists!E:E, SPLIT(D85, "",""))) &gt; 0, ""OTHER"", 0)"),0)</f>
        <v>0</v>
      </c>
    </row>
    <row r="86" spans="1:11" ht="14.25" customHeight="1">
      <c r="A86" s="21">
        <v>85</v>
      </c>
      <c r="B86" s="21">
        <v>47</v>
      </c>
      <c r="C86" s="21" t="s">
        <v>1116</v>
      </c>
      <c r="D86" s="21" t="s">
        <v>1117</v>
      </c>
      <c r="E86" s="21">
        <v>14</v>
      </c>
      <c r="F86" s="21">
        <v>70848</v>
      </c>
      <c r="G86" s="42">
        <v>-0.72899999999999998</v>
      </c>
      <c r="H86" s="21" t="s">
        <v>1118</v>
      </c>
      <c r="I86" s="39">
        <f ca="1">IFERROR(__xludf.DUMMYFUNCTION("IF(SUM(COUNTIF(artists!A:A, SPLIT(D86, "",""))) &gt; 0, ""UA"", 0)"),0)</f>
        <v>0</v>
      </c>
      <c r="J86" s="40" t="str">
        <f ca="1">IFERROR(__xludf.DUMMYFUNCTION("IF(SUM(COUNTIF(artists!C:C, SPLIT(D86, "",""))) &gt; 0, ""RU"", 0)"),"RU")</f>
        <v>RU</v>
      </c>
      <c r="K86" s="39">
        <f ca="1">IFERROR(__xludf.DUMMYFUNCTION("IF(SUM(COUNTIF(artists!E:E, SPLIT(D86, "",""))) &gt; 0, ""OTHER"", 0)"),0)</f>
        <v>0</v>
      </c>
    </row>
    <row r="87" spans="1:11" ht="14.25" customHeight="1">
      <c r="A87" s="21">
        <v>86</v>
      </c>
      <c r="B87" s="21">
        <v>45</v>
      </c>
      <c r="C87" s="21" t="s">
        <v>1392</v>
      </c>
      <c r="D87" s="21" t="s">
        <v>1393</v>
      </c>
      <c r="E87" s="21">
        <v>5</v>
      </c>
      <c r="F87" s="21">
        <v>70028</v>
      </c>
      <c r="G87" s="42">
        <v>-0.73499999999999999</v>
      </c>
      <c r="H87" s="21" t="s">
        <v>1394</v>
      </c>
      <c r="I87" s="39">
        <f ca="1">IFERROR(__xludf.DUMMYFUNCTION("IF(SUM(COUNTIF(artists!A:A, SPLIT(D87, "",""))) &gt; 0, ""UA"", 0)"),0)</f>
        <v>0</v>
      </c>
      <c r="J87" s="40" t="str">
        <f ca="1">IFERROR(__xludf.DUMMYFUNCTION("IF(SUM(COUNTIF(artists!C:C, SPLIT(D87, "",""))) &gt; 0, ""RU"", 0)"),"RU")</f>
        <v>RU</v>
      </c>
      <c r="K87" s="39">
        <f ca="1">IFERROR(__xludf.DUMMYFUNCTION("IF(SUM(COUNTIF(artists!E:E, SPLIT(D87, "",""))) &gt; 0, ""OTHER"", 0)"),0)</f>
        <v>0</v>
      </c>
    </row>
    <row r="88" spans="1:11" ht="14.25" customHeight="1">
      <c r="A88" s="21">
        <v>87</v>
      </c>
      <c r="B88" s="21">
        <v>100</v>
      </c>
      <c r="C88" s="21" t="s">
        <v>841</v>
      </c>
      <c r="D88" s="21" t="s">
        <v>842</v>
      </c>
      <c r="E88" s="21">
        <v>7</v>
      </c>
      <c r="F88" s="21">
        <v>69507</v>
      </c>
      <c r="G88" s="42">
        <v>-0.45600000000000002</v>
      </c>
      <c r="H88" s="21" t="s">
        <v>843</v>
      </c>
      <c r="I88" s="39">
        <f ca="1">IFERROR(__xludf.DUMMYFUNCTION("IF(SUM(COUNTIF(artists!A:A, SPLIT(D88, "",""))) &gt; 0, ""UA"", 0)"),0)</f>
        <v>0</v>
      </c>
      <c r="J88" s="40">
        <f ca="1">IFERROR(__xludf.DUMMYFUNCTION("IF(SUM(COUNTIF(artists!C:C, SPLIT(D88, "",""))) &gt; 0, ""RU"", 0)"),0)</f>
        <v>0</v>
      </c>
      <c r="K88" s="39" t="str">
        <f ca="1">IFERROR(__xludf.DUMMYFUNCTION("IF(SUM(COUNTIF(artists!E:E, SPLIT(D88, "",""))) &gt; 0, ""OTHER"", 0)"),"OTHER")</f>
        <v>OTHER</v>
      </c>
    </row>
    <row r="89" spans="1:11" ht="14.25" customHeight="1">
      <c r="A89" s="21">
        <v>88</v>
      </c>
      <c r="C89" s="21" t="s">
        <v>2046</v>
      </c>
      <c r="D89" s="21" t="s">
        <v>409</v>
      </c>
      <c r="E89" s="21">
        <v>3</v>
      </c>
      <c r="F89" s="21">
        <v>69277</v>
      </c>
      <c r="H89" s="21" t="s">
        <v>2047</v>
      </c>
      <c r="I89" s="39" t="str">
        <f ca="1">IFERROR(__xludf.DUMMYFUNCTION("IF(SUM(COUNTIF(artists!A:A, SPLIT(D89, "",""))) &gt; 0, ""UA"", 0)"),"UA")</f>
        <v>UA</v>
      </c>
      <c r="J89" s="40">
        <f ca="1">IFERROR(__xludf.DUMMYFUNCTION("IF(SUM(COUNTIF(artists!C:C, SPLIT(D89, "",""))) &gt; 0, ""RU"", 0)"),0)</f>
        <v>0</v>
      </c>
      <c r="K89" s="39">
        <f ca="1">IFERROR(__xludf.DUMMYFUNCTION("IF(SUM(COUNTIF(artists!E:E, SPLIT(D89, "",""))) &gt; 0, ""OTHER"", 0)"),0)</f>
        <v>0</v>
      </c>
    </row>
    <row r="90" spans="1:11" ht="14.25" customHeight="1">
      <c r="A90" s="21">
        <v>89</v>
      </c>
      <c r="B90" s="21">
        <v>79</v>
      </c>
      <c r="C90" s="21" t="s">
        <v>1447</v>
      </c>
      <c r="D90" s="21" t="s">
        <v>969</v>
      </c>
      <c r="E90" s="21">
        <v>11</v>
      </c>
      <c r="F90" s="21">
        <v>69191</v>
      </c>
      <c r="G90" s="42">
        <v>-0.57699999999999996</v>
      </c>
      <c r="H90" s="21" t="s">
        <v>1448</v>
      </c>
      <c r="I90" s="39" t="str">
        <f ca="1">IFERROR(__xludf.DUMMYFUNCTION("IF(SUM(COUNTIF(artists!A:A, SPLIT(D90, "",""))) &gt; 0, ""UA"", 0)"),"UA")</f>
        <v>UA</v>
      </c>
      <c r="J90" s="40">
        <f ca="1">IFERROR(__xludf.DUMMYFUNCTION("IF(SUM(COUNTIF(artists!C:C, SPLIT(D90, "",""))) &gt; 0, ""RU"", 0)"),0)</f>
        <v>0</v>
      </c>
      <c r="K90" s="39">
        <f ca="1">IFERROR(__xludf.DUMMYFUNCTION("IF(SUM(COUNTIF(artists!E:E, SPLIT(D90, "",""))) &gt; 0, ""OTHER"", 0)"),0)</f>
        <v>0</v>
      </c>
    </row>
    <row r="91" spans="1:11" ht="14.25" customHeight="1">
      <c r="A91" s="21">
        <v>90</v>
      </c>
      <c r="C91" s="21" t="s">
        <v>2048</v>
      </c>
      <c r="D91" s="21" t="s">
        <v>2049</v>
      </c>
      <c r="E91" s="21">
        <v>1</v>
      </c>
      <c r="F91" s="21">
        <v>68886</v>
      </c>
      <c r="H91" s="21" t="s">
        <v>2050</v>
      </c>
      <c r="I91" s="39">
        <f ca="1">IFERROR(__xludf.DUMMYFUNCTION("IF(SUM(COUNTIF(artists!A:A, SPLIT(D91, "",""))) &gt; 0, ""UA"", 0)"),0)</f>
        <v>0</v>
      </c>
      <c r="J91" s="40">
        <f ca="1">IFERROR(__xludf.DUMMYFUNCTION("IF(SUM(COUNTIF(artists!C:C, SPLIT(D91, "",""))) &gt; 0, ""RU"", 0)"),0)</f>
        <v>0</v>
      </c>
      <c r="K91" s="39" t="str">
        <f ca="1">IFERROR(__xludf.DUMMYFUNCTION("IF(SUM(COUNTIF(artists!E:E, SPLIT(D91, "",""))) &gt; 0, ""OTHER"", 0)"),"OTHER")</f>
        <v>OTHER</v>
      </c>
    </row>
    <row r="92" spans="1:11" ht="14.25" customHeight="1">
      <c r="A92" s="21">
        <v>91</v>
      </c>
      <c r="C92" s="21" t="s">
        <v>1369</v>
      </c>
      <c r="D92" s="21" t="s">
        <v>1370</v>
      </c>
      <c r="E92" s="21">
        <v>1</v>
      </c>
      <c r="F92" s="21">
        <v>67978</v>
      </c>
      <c r="H92" s="21" t="s">
        <v>1371</v>
      </c>
      <c r="I92" s="39" t="str">
        <f ca="1">IFERROR(__xludf.DUMMYFUNCTION("IF(SUM(COUNTIF(artists!A:A, SPLIT(D92, "",""))) &gt; 0, ""UA"", 0)"),"UA")</f>
        <v>UA</v>
      </c>
      <c r="J92" s="40">
        <f ca="1">IFERROR(__xludf.DUMMYFUNCTION("IF(SUM(COUNTIF(artists!C:C, SPLIT(D92, "",""))) &gt; 0, ""RU"", 0)"),0)</f>
        <v>0</v>
      </c>
      <c r="K92" s="39">
        <f ca="1">IFERROR(__xludf.DUMMYFUNCTION("IF(SUM(COUNTIF(artists!E:E, SPLIT(D92, "",""))) &gt; 0, ""OTHER"", 0)"),0)</f>
        <v>0</v>
      </c>
    </row>
    <row r="93" spans="1:11" ht="14.25" customHeight="1">
      <c r="A93" s="21">
        <v>92</v>
      </c>
      <c r="B93" s="21">
        <v>54</v>
      </c>
      <c r="C93" s="21" t="s">
        <v>2051</v>
      </c>
      <c r="D93" s="21" t="s">
        <v>2052</v>
      </c>
      <c r="E93" s="21">
        <v>10</v>
      </c>
      <c r="F93" s="21">
        <v>67947</v>
      </c>
      <c r="G93" s="42">
        <v>-0.71699999999999997</v>
      </c>
      <c r="H93" s="21" t="s">
        <v>2053</v>
      </c>
      <c r="I93" s="39">
        <f ca="1">IFERROR(__xludf.DUMMYFUNCTION("IF(SUM(COUNTIF(artists!A:A, SPLIT(D93, "",""))) &gt; 0, ""UA"", 0)"),0)</f>
        <v>0</v>
      </c>
      <c r="J93" s="40" t="str">
        <f ca="1">IFERROR(__xludf.DUMMYFUNCTION("IF(SUM(COUNTIF(artists!C:C, SPLIT(D93, "",""))) &gt; 0, ""RU"", 0)"),"RU")</f>
        <v>RU</v>
      </c>
      <c r="K93" s="39">
        <f ca="1">IFERROR(__xludf.DUMMYFUNCTION("IF(SUM(COUNTIF(artists!E:E, SPLIT(D93, "",""))) &gt; 0, ""OTHER"", 0)"),0)</f>
        <v>0</v>
      </c>
    </row>
    <row r="94" spans="1:11" ht="14.25" customHeight="1">
      <c r="A94" s="21">
        <v>93</v>
      </c>
      <c r="B94" s="21">
        <v>73</v>
      </c>
      <c r="C94" s="21" t="s">
        <v>2054</v>
      </c>
      <c r="D94" s="21" t="s">
        <v>2055</v>
      </c>
      <c r="E94" s="21">
        <v>11</v>
      </c>
      <c r="F94" s="21">
        <v>67563</v>
      </c>
      <c r="G94" s="43">
        <v>-0.62</v>
      </c>
      <c r="H94" s="21" t="s">
        <v>2056</v>
      </c>
      <c r="I94" s="39">
        <f ca="1">IFERROR(__xludf.DUMMYFUNCTION("IF(SUM(COUNTIF(artists!A:A, SPLIT(D94, "",""))) &gt; 0, ""UA"", 0)"),0)</f>
        <v>0</v>
      </c>
      <c r="J94" s="40">
        <f ca="1">IFERROR(__xludf.DUMMYFUNCTION("IF(SUM(COUNTIF(artists!C:C, SPLIT(D94, "",""))) &gt; 0, ""RU"", 0)"),0)</f>
        <v>0</v>
      </c>
      <c r="K94" s="39" t="str">
        <f ca="1">IFERROR(__xludf.DUMMYFUNCTION("IF(SUM(COUNTIF(artists!E:E, SPLIT(D94, "",""))) &gt; 0, ""OTHER"", 0)"),"OTHER")</f>
        <v>OTHER</v>
      </c>
    </row>
    <row r="95" spans="1:11" ht="14.25" customHeight="1">
      <c r="A95" s="21">
        <v>94</v>
      </c>
      <c r="C95" s="21" t="s">
        <v>2057</v>
      </c>
      <c r="D95" s="21" t="s">
        <v>2058</v>
      </c>
      <c r="E95" s="21">
        <v>5</v>
      </c>
      <c r="F95" s="21">
        <v>66907</v>
      </c>
      <c r="H95" s="21" t="s">
        <v>2059</v>
      </c>
      <c r="I95" s="39">
        <f ca="1">IFERROR(__xludf.DUMMYFUNCTION("IF(SUM(COUNTIF(artists!A:A, SPLIT(D95, "",""))) &gt; 0, ""UA"", 0)"),0)</f>
        <v>0</v>
      </c>
      <c r="J95" s="40" t="str">
        <f ca="1">IFERROR(__xludf.DUMMYFUNCTION("IF(SUM(COUNTIF(artists!C:C, SPLIT(D95, "",""))) &gt; 0, ""RU"", 0)"),"RU")</f>
        <v>RU</v>
      </c>
      <c r="K95" s="39">
        <f ca="1">IFERROR(__xludf.DUMMYFUNCTION("IF(SUM(COUNTIF(artists!E:E, SPLIT(D95, "",""))) &gt; 0, ""OTHER"", 0)"),0)</f>
        <v>0</v>
      </c>
    </row>
    <row r="96" spans="1:11" ht="14.25" customHeight="1">
      <c r="A96" s="21">
        <v>95</v>
      </c>
      <c r="B96" s="21">
        <v>9</v>
      </c>
      <c r="C96" s="21" t="s">
        <v>1364</v>
      </c>
      <c r="D96" s="21" t="s">
        <v>104</v>
      </c>
      <c r="E96" s="21">
        <v>3</v>
      </c>
      <c r="F96" s="21">
        <v>66748</v>
      </c>
      <c r="G96" s="42">
        <v>-0.88900000000000001</v>
      </c>
      <c r="H96" s="21" t="s">
        <v>1365</v>
      </c>
      <c r="I96" s="39" t="str">
        <f ca="1">IFERROR(__xludf.DUMMYFUNCTION("IF(SUM(COUNTIF(artists!A:A, SPLIT(D96, "",""))) &gt; 0, ""UA"", 0)"),"UA")</f>
        <v>UA</v>
      </c>
      <c r="J96" s="40">
        <f ca="1">IFERROR(__xludf.DUMMYFUNCTION("IF(SUM(COUNTIF(artists!C:C, SPLIT(D96, "",""))) &gt; 0, ""RU"", 0)"),0)</f>
        <v>0</v>
      </c>
      <c r="K96" s="39">
        <f ca="1">IFERROR(__xludf.DUMMYFUNCTION("IF(SUM(COUNTIF(artists!E:E, SPLIT(D96, "",""))) &gt; 0, ""OTHER"", 0)"),0)</f>
        <v>0</v>
      </c>
    </row>
    <row r="97" spans="1:11" ht="14.25" customHeight="1">
      <c r="A97" s="21">
        <v>96</v>
      </c>
      <c r="B97" s="21">
        <v>64</v>
      </c>
      <c r="C97" s="21" t="s">
        <v>2060</v>
      </c>
      <c r="D97" s="21" t="s">
        <v>2061</v>
      </c>
      <c r="E97" s="21">
        <v>4</v>
      </c>
      <c r="F97" s="21">
        <v>66114</v>
      </c>
      <c r="G97" s="42">
        <v>-0.66800000000000004</v>
      </c>
      <c r="H97" s="21" t="s">
        <v>2062</v>
      </c>
      <c r="I97" s="39">
        <f ca="1">IFERROR(__xludf.DUMMYFUNCTION("IF(SUM(COUNTIF(artists!A:A, SPLIT(D97, "",""))) &gt; 0, ""UA"", 0)"),0)</f>
        <v>0</v>
      </c>
      <c r="J97" s="40" t="str">
        <f ca="1">IFERROR(__xludf.DUMMYFUNCTION("IF(SUM(COUNTIF(artists!C:C, SPLIT(D97, "",""))) &gt; 0, ""RU"", 0)"),"RU")</f>
        <v>RU</v>
      </c>
      <c r="K97" s="39">
        <f ca="1">IFERROR(__xludf.DUMMYFUNCTION("IF(SUM(COUNTIF(artists!E:E, SPLIT(D97, "",""))) &gt; 0, ""OTHER"", 0)"),0)</f>
        <v>0</v>
      </c>
    </row>
    <row r="98" spans="1:11" ht="14.25" customHeight="1">
      <c r="A98" s="21">
        <v>97</v>
      </c>
      <c r="B98" s="21">
        <v>39</v>
      </c>
      <c r="C98" s="21" t="s">
        <v>2063</v>
      </c>
      <c r="D98" s="21" t="s">
        <v>2064</v>
      </c>
      <c r="E98" s="21">
        <v>15</v>
      </c>
      <c r="F98" s="21">
        <v>65770</v>
      </c>
      <c r="G98" s="42">
        <v>-0.76700000000000002</v>
      </c>
      <c r="H98" s="21" t="s">
        <v>2065</v>
      </c>
      <c r="I98" s="39">
        <f ca="1">IFERROR(__xludf.DUMMYFUNCTION("IF(SUM(COUNTIF(artists!A:A, SPLIT(D98, "",""))) &gt; 0, ""UA"", 0)"),0)</f>
        <v>0</v>
      </c>
      <c r="J98" s="40" t="str">
        <f ca="1">IFERROR(__xludf.DUMMYFUNCTION("IF(SUM(COUNTIF(artists!C:C, SPLIT(D98, "",""))) &gt; 0, ""RU"", 0)"),"RU")</f>
        <v>RU</v>
      </c>
      <c r="K98" s="39">
        <f ca="1">IFERROR(__xludf.DUMMYFUNCTION("IF(SUM(COUNTIF(artists!E:E, SPLIT(D98, "",""))) &gt; 0, ""OTHER"", 0)"),0)</f>
        <v>0</v>
      </c>
    </row>
    <row r="99" spans="1:11" ht="14.25" customHeight="1">
      <c r="A99" s="21">
        <v>98</v>
      </c>
      <c r="C99" s="21" t="s">
        <v>2066</v>
      </c>
      <c r="D99" s="21" t="s">
        <v>1554</v>
      </c>
      <c r="E99" s="21">
        <v>32</v>
      </c>
      <c r="F99" s="21">
        <v>64451</v>
      </c>
      <c r="H99" s="21" t="s">
        <v>2067</v>
      </c>
      <c r="I99" s="39">
        <f ca="1">IFERROR(__xludf.DUMMYFUNCTION("IF(SUM(COUNTIF(artists!A:A, SPLIT(D99, "",""))) &gt; 0, ""UA"", 0)"),0)</f>
        <v>0</v>
      </c>
      <c r="J99" s="40" t="str">
        <f ca="1">IFERROR(__xludf.DUMMYFUNCTION("IF(SUM(COUNTIF(artists!C:C, SPLIT(D99, "",""))) &gt; 0, ""RU"", 0)"),"RU")</f>
        <v>RU</v>
      </c>
      <c r="K99" s="39">
        <f ca="1">IFERROR(__xludf.DUMMYFUNCTION("IF(SUM(COUNTIF(artists!E:E, SPLIT(D99, "",""))) &gt; 0, ""OTHER"", 0)"),0)</f>
        <v>0</v>
      </c>
    </row>
    <row r="100" spans="1:11" ht="14.25" customHeight="1">
      <c r="A100" s="21">
        <v>99</v>
      </c>
      <c r="C100" s="21" t="s">
        <v>2068</v>
      </c>
      <c r="D100" s="21" t="s">
        <v>2069</v>
      </c>
      <c r="E100" s="21">
        <v>26</v>
      </c>
      <c r="F100" s="21">
        <v>64352</v>
      </c>
      <c r="H100" s="21" t="s">
        <v>2070</v>
      </c>
      <c r="I100" s="39">
        <f ca="1">IFERROR(__xludf.DUMMYFUNCTION("IF(SUM(COUNTIF(artists!A:A, SPLIT(D100, "",""))) &gt; 0, ""UA"", 0)"),0)</f>
        <v>0</v>
      </c>
      <c r="J100" s="40" t="str">
        <f ca="1">IFERROR(__xludf.DUMMYFUNCTION("IF(SUM(COUNTIF(artists!C:C, SPLIT(D100, "",""))) &gt; 0, ""RU"", 0)"),"RU")</f>
        <v>RU</v>
      </c>
      <c r="K100" s="39">
        <f ca="1">IFERROR(__xludf.DUMMYFUNCTION("IF(SUM(COUNTIF(artists!E:E, SPLIT(D100, "",""))) &gt; 0, ""OTHER"", 0)"),0)</f>
        <v>0</v>
      </c>
    </row>
    <row r="101" spans="1:11" ht="14.25" customHeight="1">
      <c r="A101" s="21">
        <v>100</v>
      </c>
      <c r="B101" s="21">
        <v>51</v>
      </c>
      <c r="C101" s="21" t="s">
        <v>2071</v>
      </c>
      <c r="D101" s="21" t="s">
        <v>2072</v>
      </c>
      <c r="E101" s="21">
        <v>16</v>
      </c>
      <c r="F101" s="21">
        <v>63366</v>
      </c>
      <c r="G101" s="42">
        <v>-0.749</v>
      </c>
      <c r="H101" s="21" t="s">
        <v>2073</v>
      </c>
      <c r="I101" s="39">
        <f ca="1">IFERROR(__xludf.DUMMYFUNCTION("IF(SUM(COUNTIF(artists!A:A, SPLIT(D101, "",""))) &gt; 0, ""UA"", 0)"),0)</f>
        <v>0</v>
      </c>
      <c r="J101" s="40" t="str">
        <f ca="1">IFERROR(__xludf.DUMMYFUNCTION("IF(SUM(COUNTIF(artists!C:C, SPLIT(D101, "",""))) &gt; 0, ""RU"", 0)"),"RU")</f>
        <v>RU</v>
      </c>
      <c r="K101" s="39">
        <f ca="1">IFERROR(__xludf.DUMMYFUNCTION("IF(SUM(COUNTIF(artists!E:E, SPLIT(D101, "",""))) &gt; 0, ""OTHER"", 0)"),0)</f>
        <v>0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17" priority="1">
      <formula>AND($I2=0, $J2=0, $K2=0)</formula>
    </cfRule>
    <cfRule type="expression" dxfId="16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600-000000000000}">
  <sheetPr codeName="Аркуш55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4" width="8.6640625" customWidth="1"/>
    <col min="5" max="5" width="8.6640625" hidden="1" customWidth="1"/>
    <col min="6" max="6" width="8.6640625" customWidth="1"/>
    <col min="7" max="7" width="13.10937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B2" s="21">
        <v>1</v>
      </c>
      <c r="C2" s="21" t="s">
        <v>1263</v>
      </c>
      <c r="D2" s="21" t="s">
        <v>1264</v>
      </c>
      <c r="E2" s="21">
        <v>16</v>
      </c>
      <c r="F2" s="21">
        <v>1589476</v>
      </c>
      <c r="G2" s="42">
        <v>-7.5999999999999998E-2</v>
      </c>
      <c r="H2" s="21" t="s">
        <v>1265</v>
      </c>
      <c r="I2" s="39">
        <f ca="1">IFERROR(__xludf.DUMMYFUNCTION("IF(SUM(COUNTIF(artists!A:A, SPLIT(D2, "",""))) &gt; 0, ""UA"", 0)"),0)</f>
        <v>0</v>
      </c>
      <c r="J2" s="40" t="str">
        <f ca="1">IFERROR(__xludf.DUMMYFUNCTION("IF(SUM(COUNTIF(artists!C:C, SPLIT(D2, "",""))) &gt; 0, ""RU"", 0)"),"RU")</f>
        <v>RU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B3" s="21">
        <v>3</v>
      </c>
      <c r="C3" s="21" t="s">
        <v>935</v>
      </c>
      <c r="D3" s="21" t="s">
        <v>936</v>
      </c>
      <c r="E3" s="21">
        <v>17</v>
      </c>
      <c r="F3" s="21">
        <v>1139441</v>
      </c>
      <c r="G3" s="42">
        <v>-7.8E-2</v>
      </c>
      <c r="H3" s="21" t="s">
        <v>937</v>
      </c>
      <c r="I3" s="39">
        <f ca="1">IFERROR(__xludf.DUMMYFUNCTION("IF(SUM(COUNTIF(artists!A:A, SPLIT(D3, "",""))) &gt; 0, ""UA"", 0)"),0)</f>
        <v>0</v>
      </c>
      <c r="J3" s="40" t="str">
        <f ca="1">IFERROR(__xludf.DUMMYFUNCTION("IF(SUM(COUNTIF(artists!C:C, SPLIT(D3, "",""))) &gt; 0, ""RU"", 0)"),"RU")</f>
        <v>RU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B4" s="21">
        <v>7</v>
      </c>
      <c r="C4" s="21" t="s">
        <v>1674</v>
      </c>
      <c r="D4" s="21" t="s">
        <v>172</v>
      </c>
      <c r="E4" s="21">
        <v>6</v>
      </c>
      <c r="F4" s="21">
        <v>856167</v>
      </c>
      <c r="G4" s="42">
        <v>-7.1999999999999995E-2</v>
      </c>
      <c r="H4" s="21" t="s">
        <v>1675</v>
      </c>
      <c r="I4" s="39">
        <f ca="1">IFERROR(__xludf.DUMMYFUNCTION("IF(SUM(COUNTIF(artists!A:A, SPLIT(D4, "",""))) &gt; 0, ""UA"", 0)"),0)</f>
        <v>0</v>
      </c>
      <c r="J4" s="40" t="str">
        <f ca="1">IFERROR(__xludf.DUMMYFUNCTION("IF(SUM(COUNTIF(artists!C:C, SPLIT(D4, "",""))) &gt; 0, ""RU"", 0)"),"RU")</f>
        <v>RU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B5" s="21">
        <v>6</v>
      </c>
      <c r="C5" s="21" t="s">
        <v>645</v>
      </c>
      <c r="D5" s="21" t="s">
        <v>352</v>
      </c>
      <c r="E5" s="21">
        <v>3</v>
      </c>
      <c r="F5" s="21">
        <v>826962</v>
      </c>
      <c r="G5" s="42">
        <v>-0.104</v>
      </c>
      <c r="H5" s="21" t="s">
        <v>647</v>
      </c>
      <c r="I5" s="39" t="str">
        <f ca="1">IFERROR(__xludf.DUMMYFUNCTION("IF(SUM(COUNTIF(artists!A:A, SPLIT(D5, "",""))) &gt; 0, ""UA"", 0)"),"UA")</f>
        <v>UA</v>
      </c>
      <c r="J5" s="40">
        <f ca="1">IFERROR(__xludf.DUMMYFUNCTION("IF(SUM(COUNTIF(artists!C:C, SPLIT(D5, "",""))) &gt; 0, ""RU"", 0)"),0)</f>
        <v>0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B6" s="21">
        <v>5</v>
      </c>
      <c r="C6" s="21" t="s">
        <v>1636</v>
      </c>
      <c r="D6" s="21" t="s">
        <v>1637</v>
      </c>
      <c r="E6" s="21">
        <v>5</v>
      </c>
      <c r="F6" s="21">
        <v>777183</v>
      </c>
      <c r="G6" s="43">
        <v>-0.16</v>
      </c>
      <c r="H6" s="21" t="s">
        <v>1638</v>
      </c>
      <c r="I6" s="39">
        <f ca="1">IFERROR(__xludf.DUMMYFUNCTION("IF(SUM(COUNTIF(artists!A:A, SPLIT(D6, "",""))) &gt; 0, ""UA"", 0)"),0)</f>
        <v>0</v>
      </c>
      <c r="J6" s="40" t="str">
        <f ca="1">IFERROR(__xludf.DUMMYFUNCTION("IF(SUM(COUNTIF(artists!C:C, SPLIT(D6, "",""))) &gt; 0, ""RU"", 0)"),"RU")</f>
        <v>RU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B7" s="21">
        <v>2</v>
      </c>
      <c r="C7" s="21" t="s">
        <v>1518</v>
      </c>
      <c r="D7" s="21" t="s">
        <v>108</v>
      </c>
      <c r="E7" s="21">
        <v>2</v>
      </c>
      <c r="F7" s="21">
        <v>732833</v>
      </c>
      <c r="G7" s="42">
        <v>-0.52900000000000003</v>
      </c>
      <c r="H7" s="21" t="s">
        <v>1519</v>
      </c>
      <c r="I7" s="39" t="str">
        <f ca="1">IFERROR(__xludf.DUMMYFUNCTION("IF(SUM(COUNTIF(artists!A:A, SPLIT(D7, "",""))) &gt; 0, ""UA"", 0)"),"UA")</f>
        <v>UA</v>
      </c>
      <c r="J7" s="40">
        <f ca="1">IFERROR(__xludf.DUMMYFUNCTION("IF(SUM(COUNTIF(artists!C:C, SPLIT(D7, "",""))) &gt; 0, ""RU"", 0)"),0)</f>
        <v>0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B8" s="21">
        <v>9</v>
      </c>
      <c r="C8" s="21" t="s">
        <v>1500</v>
      </c>
      <c r="D8" s="21" t="s">
        <v>907</v>
      </c>
      <c r="E8" s="21">
        <v>20</v>
      </c>
      <c r="F8" s="21">
        <v>700050</v>
      </c>
      <c r="G8" s="43">
        <v>-0.01</v>
      </c>
      <c r="H8" s="21" t="s">
        <v>1501</v>
      </c>
      <c r="I8" s="39">
        <f ca="1">IFERROR(__xludf.DUMMYFUNCTION("IF(SUM(COUNTIF(artists!A:A, SPLIT(D8, "",""))) &gt; 0, ""UA"", 0)"),0)</f>
        <v>0</v>
      </c>
      <c r="J8" s="40" t="str">
        <f ca="1">IFERROR(__xludf.DUMMYFUNCTION("IF(SUM(COUNTIF(artists!C:C, SPLIT(D8, "",""))) &gt; 0, ""RU"", 0)"),"RU")</f>
        <v>RU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B9" s="21">
        <v>11</v>
      </c>
      <c r="C9" s="21" t="s">
        <v>1496</v>
      </c>
      <c r="D9" s="21" t="s">
        <v>969</v>
      </c>
      <c r="E9" s="21">
        <v>40</v>
      </c>
      <c r="F9" s="21">
        <v>648348</v>
      </c>
      <c r="G9" s="42">
        <v>3.6999999999999998E-2</v>
      </c>
      <c r="H9" s="21" t="s">
        <v>1497</v>
      </c>
      <c r="I9" s="39" t="str">
        <f ca="1">IFERROR(__xludf.DUMMYFUNCTION("IF(SUM(COUNTIF(artists!A:A, SPLIT(D9, "",""))) &gt; 0, ""UA"", 0)"),"UA")</f>
        <v>UA</v>
      </c>
      <c r="J9" s="40">
        <f ca="1">IFERROR(__xludf.DUMMYFUNCTION("IF(SUM(COUNTIF(artists!C:C, SPLIT(D9, "",""))) &gt; 0, ""RU"", 0)"),0)</f>
        <v>0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B10" s="21">
        <v>95</v>
      </c>
      <c r="C10" s="21" t="s">
        <v>1364</v>
      </c>
      <c r="D10" s="21" t="s">
        <v>104</v>
      </c>
      <c r="E10" s="21">
        <v>2</v>
      </c>
      <c r="F10" s="21">
        <v>601659</v>
      </c>
      <c r="G10" s="42">
        <v>2.7440000000000002</v>
      </c>
      <c r="H10" s="21" t="s">
        <v>1365</v>
      </c>
      <c r="I10" s="39" t="str">
        <f ca="1">IFERROR(__xludf.DUMMYFUNCTION("IF(SUM(COUNTIF(artists!A:A, SPLIT(D10, "",""))) &gt; 0, ""UA"", 0)"),"UA")</f>
        <v>UA</v>
      </c>
      <c r="J10" s="40">
        <f ca="1">IFERROR(__xludf.DUMMYFUNCTION("IF(SUM(COUNTIF(artists!C:C, SPLIT(D10, "",""))) &gt; 0, ""RU"", 0)"),0)</f>
        <v>0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B11" s="21">
        <v>10</v>
      </c>
      <c r="C11" s="21" t="s">
        <v>1325</v>
      </c>
      <c r="D11" s="21" t="s">
        <v>1237</v>
      </c>
      <c r="E11" s="21">
        <v>40</v>
      </c>
      <c r="F11" s="21">
        <v>585868</v>
      </c>
      <c r="G11" s="43">
        <v>-0.12</v>
      </c>
      <c r="H11" s="21" t="s">
        <v>1326</v>
      </c>
      <c r="I11" s="39">
        <f ca="1">IFERROR(__xludf.DUMMYFUNCTION("IF(SUM(COUNTIF(artists!A:A, SPLIT(D11, "",""))) &gt; 0, ""UA"", 0)"),0)</f>
        <v>0</v>
      </c>
      <c r="J11" s="40" t="str">
        <f ca="1">IFERROR(__xludf.DUMMYFUNCTION("IF(SUM(COUNTIF(artists!C:C, SPLIT(D11, "",""))) &gt; 0, ""RU"", 0)"),"RU")</f>
        <v>RU</v>
      </c>
      <c r="K11" s="39">
        <f ca="1">IFERROR(__xludf.DUMMYFUNCTION("IF(SUM(COUNTIF(artists!E:E, SPLIT(D11, "",""))) &gt; 0, ""OTHER"", 0)"),0)</f>
        <v>0</v>
      </c>
    </row>
    <row r="12" spans="1:11" ht="14.25" customHeight="1">
      <c r="A12" s="21">
        <v>11</v>
      </c>
      <c r="B12" s="21">
        <v>8</v>
      </c>
      <c r="C12" s="21" t="s">
        <v>1956</v>
      </c>
      <c r="D12" s="21" t="s">
        <v>1957</v>
      </c>
      <c r="E12" s="21">
        <v>18</v>
      </c>
      <c r="F12" s="21">
        <v>580992</v>
      </c>
      <c r="G12" s="42">
        <v>-0.18099999999999999</v>
      </c>
      <c r="H12" s="21" t="s">
        <v>1958</v>
      </c>
      <c r="I12" s="39">
        <f ca="1">IFERROR(__xludf.DUMMYFUNCTION("IF(SUM(COUNTIF(artists!A:A, SPLIT(D12, "",""))) &gt; 0, ""UA"", 0)"),0)</f>
        <v>0</v>
      </c>
      <c r="J12" s="40" t="str">
        <f ca="1">IFERROR(__xludf.DUMMYFUNCTION("IF(SUM(COUNTIF(artists!C:C, SPLIT(D12, "",""))) &gt; 0, ""RU"", 0)"),"RU")</f>
        <v>RU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B13" s="21">
        <v>4</v>
      </c>
      <c r="C13" s="21" t="s">
        <v>1973</v>
      </c>
      <c r="D13" s="21" t="s">
        <v>1974</v>
      </c>
      <c r="E13" s="21">
        <v>2</v>
      </c>
      <c r="F13" s="21">
        <v>561600</v>
      </c>
      <c r="G13" s="43">
        <v>-0.43</v>
      </c>
      <c r="H13" s="21" t="s">
        <v>1975</v>
      </c>
      <c r="I13" s="39">
        <f ca="1">IFERROR(__xludf.DUMMYFUNCTION("IF(SUM(COUNTIF(artists!A:A, SPLIT(D13, "",""))) &gt; 0, ""UA"", 0)"),0)</f>
        <v>0</v>
      </c>
      <c r="J13" s="40" t="str">
        <f ca="1">IFERROR(__xludf.DUMMYFUNCTION("IF(SUM(COUNTIF(artists!C:C, SPLIT(D13, "",""))) &gt; 0, ""RU"", 0)"),"RU")</f>
        <v>RU</v>
      </c>
      <c r="K13" s="39">
        <f ca="1">IFERROR(__xludf.DUMMYFUNCTION("IF(SUM(COUNTIF(artists!E:E, SPLIT(D13, "",""))) &gt; 0, ""OTHER"", 0)"),0)</f>
        <v>0</v>
      </c>
    </row>
    <row r="14" spans="1:11" ht="14.25" customHeight="1">
      <c r="A14" s="21">
        <v>13</v>
      </c>
      <c r="B14" s="21">
        <v>12</v>
      </c>
      <c r="C14" s="21" t="s">
        <v>1825</v>
      </c>
      <c r="D14" s="21" t="s">
        <v>1895</v>
      </c>
      <c r="E14" s="21">
        <v>44</v>
      </c>
      <c r="F14" s="21">
        <v>489935</v>
      </c>
      <c r="G14" s="42">
        <v>-0.125</v>
      </c>
      <c r="H14" s="21" t="s">
        <v>1827</v>
      </c>
      <c r="I14" s="39">
        <f ca="1">IFERROR(__xludf.DUMMYFUNCTION("IF(SUM(COUNTIF(artists!A:A, SPLIT(D14, "",""))) &gt; 0, ""UA"", 0)"),0)</f>
        <v>0</v>
      </c>
      <c r="J14" s="40">
        <f ca="1">IFERROR(__xludf.DUMMYFUNCTION("IF(SUM(COUNTIF(artists!C:C, SPLIT(D14, "",""))) &gt; 0, ""RU"", 0)"),0)</f>
        <v>0</v>
      </c>
      <c r="K14" s="39" t="str">
        <f ca="1">IFERROR(__xludf.DUMMYFUNCTION("IF(SUM(COUNTIF(artists!E:E, SPLIT(D14, "",""))) &gt; 0, ""OTHER"", 0)"),"OTHER")</f>
        <v>OTHER</v>
      </c>
    </row>
    <row r="15" spans="1:11" ht="14.25" customHeight="1">
      <c r="A15" s="21">
        <v>14</v>
      </c>
      <c r="C15" s="21" t="s">
        <v>1007</v>
      </c>
      <c r="D15" s="21" t="s">
        <v>907</v>
      </c>
      <c r="E15" s="21">
        <v>1</v>
      </c>
      <c r="F15" s="21">
        <v>468734</v>
      </c>
      <c r="H15" s="21" t="s">
        <v>1009</v>
      </c>
      <c r="I15" s="39">
        <f ca="1">IFERROR(__xludf.DUMMYFUNCTION("IF(SUM(COUNTIF(artists!A:A, SPLIT(D15, "",""))) &gt; 0, ""UA"", 0)"),0)</f>
        <v>0</v>
      </c>
      <c r="J15" s="40" t="str">
        <f ca="1">IFERROR(__xludf.DUMMYFUNCTION("IF(SUM(COUNTIF(artists!C:C, SPLIT(D15, "",""))) &gt; 0, ""RU"", 0)"),"RU")</f>
        <v>RU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B16" s="21">
        <v>15</v>
      </c>
      <c r="C16" s="21" t="s">
        <v>1987</v>
      </c>
      <c r="D16" s="21" t="s">
        <v>1988</v>
      </c>
      <c r="E16" s="21">
        <v>4</v>
      </c>
      <c r="F16" s="21">
        <v>455944</v>
      </c>
      <c r="G16" s="42">
        <v>-7.8E-2</v>
      </c>
      <c r="H16" s="21" t="s">
        <v>1989</v>
      </c>
      <c r="I16" s="39">
        <f ca="1">IFERROR(__xludf.DUMMYFUNCTION("IF(SUM(COUNTIF(artists!A:A, SPLIT(D16, "",""))) &gt; 0, ""UA"", 0)"),0)</f>
        <v>0</v>
      </c>
      <c r="J16" s="40" t="str">
        <f ca="1">IFERROR(__xludf.DUMMYFUNCTION("IF(SUM(COUNTIF(artists!C:C, SPLIT(D16, "",""))) &gt; 0, ""RU"", 0)"),"RU")</f>
        <v>RU</v>
      </c>
      <c r="K16" s="39">
        <f ca="1">IFERROR(__xludf.DUMMYFUNCTION("IF(SUM(COUNTIF(artists!E:E, SPLIT(D16, "",""))) &gt; 0, ""OTHER"", 0)"),0)</f>
        <v>0</v>
      </c>
    </row>
    <row r="17" spans="1:11" ht="14.25" customHeight="1">
      <c r="A17" s="21">
        <v>16</v>
      </c>
      <c r="B17" s="21">
        <v>13</v>
      </c>
      <c r="C17" s="21" t="s">
        <v>1676</v>
      </c>
      <c r="D17" s="21" t="s">
        <v>743</v>
      </c>
      <c r="E17" s="21">
        <v>16</v>
      </c>
      <c r="F17" s="21">
        <v>436452</v>
      </c>
      <c r="G17" s="42">
        <v>-0.14699999999999999</v>
      </c>
      <c r="H17" s="21" t="s">
        <v>1677</v>
      </c>
      <c r="I17" s="39">
        <f ca="1">IFERROR(__xludf.DUMMYFUNCTION("IF(SUM(COUNTIF(artists!A:A, SPLIT(D17, "",""))) &gt; 0, ""UA"", 0)"),0)</f>
        <v>0</v>
      </c>
      <c r="J17" s="40" t="str">
        <f ca="1">IFERROR(__xludf.DUMMYFUNCTION("IF(SUM(COUNTIF(artists!C:C, SPLIT(D17, "",""))) &gt; 0, ""RU"", 0)"),"RU")</f>
        <v>RU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B18" s="21">
        <v>35</v>
      </c>
      <c r="C18" s="21" t="s">
        <v>2012</v>
      </c>
      <c r="D18" s="21" t="s">
        <v>125</v>
      </c>
      <c r="E18" s="21">
        <v>22</v>
      </c>
      <c r="F18" s="21">
        <v>432264</v>
      </c>
      <c r="G18" s="42">
        <v>0.35499999999999998</v>
      </c>
      <c r="H18" s="21" t="s">
        <v>2013</v>
      </c>
      <c r="I18" s="39">
        <f ca="1">IFERROR(__xludf.DUMMYFUNCTION("IF(SUM(COUNTIF(artists!A:A, SPLIT(D18, "",""))) &gt; 0, ""UA"", 0)"),0)</f>
        <v>0</v>
      </c>
      <c r="J18" s="40" t="str">
        <f ca="1">IFERROR(__xludf.DUMMYFUNCTION("IF(SUM(COUNTIF(artists!C:C, SPLIT(D18, "",""))) &gt; 0, ""RU"", 0)"),"RU")</f>
        <v>RU</v>
      </c>
      <c r="K18" s="39">
        <f ca="1">IFERROR(__xludf.DUMMYFUNCTION("IF(SUM(COUNTIF(artists!E:E, SPLIT(D18, "",""))) &gt; 0, ""OTHER"", 0)"),0)</f>
        <v>0</v>
      </c>
    </row>
    <row r="19" spans="1:11" ht="14.25" customHeight="1">
      <c r="A19" s="21">
        <v>18</v>
      </c>
      <c r="B19" s="21">
        <v>14</v>
      </c>
      <c r="C19" s="21" t="s">
        <v>1729</v>
      </c>
      <c r="D19" s="21" t="s">
        <v>1730</v>
      </c>
      <c r="E19" s="21">
        <v>41</v>
      </c>
      <c r="F19" s="21">
        <v>432129</v>
      </c>
      <c r="G19" s="42">
        <v>-0.13800000000000001</v>
      </c>
      <c r="H19" s="21" t="s">
        <v>1731</v>
      </c>
      <c r="I19" s="39">
        <f ca="1">IFERROR(__xludf.DUMMYFUNCTION("IF(SUM(COUNTIF(artists!A:A, SPLIT(D19, "",""))) &gt; 0, ""UA"", 0)"),0)</f>
        <v>0</v>
      </c>
      <c r="J19" s="40" t="str">
        <f ca="1">IFERROR(__xludf.DUMMYFUNCTION("IF(SUM(COUNTIF(artists!C:C, SPLIT(D19, "",""))) &gt; 0, ""RU"", 0)"),"RU")</f>
        <v>RU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B20" s="21">
        <v>17</v>
      </c>
      <c r="C20" s="21" t="s">
        <v>1616</v>
      </c>
      <c r="D20" s="21" t="s">
        <v>1617</v>
      </c>
      <c r="E20" s="21">
        <v>36</v>
      </c>
      <c r="F20" s="21">
        <v>427997</v>
      </c>
      <c r="G20" s="42">
        <v>-0.107</v>
      </c>
      <c r="H20" s="21" t="s">
        <v>1618</v>
      </c>
      <c r="I20" s="39">
        <f ca="1">IFERROR(__xludf.DUMMYFUNCTION("IF(SUM(COUNTIF(artists!A:A, SPLIT(D20, "",""))) &gt; 0, ""UA"", 0)"),0)</f>
        <v>0</v>
      </c>
      <c r="J20" s="40" t="str">
        <f ca="1">IFERROR(__xludf.DUMMYFUNCTION("IF(SUM(COUNTIF(artists!C:C, SPLIT(D20, "",""))) &gt; 0, ""RU"", 0)"),"RU")</f>
        <v>RU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B21" s="21">
        <v>18</v>
      </c>
      <c r="C21" s="21" t="s">
        <v>2074</v>
      </c>
      <c r="D21" s="21" t="s">
        <v>584</v>
      </c>
      <c r="E21" s="21">
        <v>51</v>
      </c>
      <c r="F21" s="21">
        <v>395578</v>
      </c>
      <c r="G21" s="42">
        <v>-0.14699999999999999</v>
      </c>
      <c r="H21" s="21" t="s">
        <v>2075</v>
      </c>
      <c r="I21" s="39">
        <f ca="1">IFERROR(__xludf.DUMMYFUNCTION("IF(SUM(COUNTIF(artists!A:A, SPLIT(D21, "",""))) &gt; 0, ""UA"", 0)"),0)</f>
        <v>0</v>
      </c>
      <c r="J21" s="40" t="str">
        <f ca="1">IFERROR(__xludf.DUMMYFUNCTION("IF(SUM(COUNTIF(artists!C:C, SPLIT(D21, "",""))) &gt; 0, ""RU"", 0)"),"RU")</f>
        <v>RU</v>
      </c>
      <c r="K21" s="39">
        <f ca="1">IFERROR(__xludf.DUMMYFUNCTION("IF(SUM(COUNTIF(artists!E:E, SPLIT(D21, "",""))) &gt; 0, ""OTHER"", 0)"),0)</f>
        <v>0</v>
      </c>
    </row>
    <row r="22" spans="1:11" ht="14.25" customHeight="1">
      <c r="A22" s="21">
        <v>21</v>
      </c>
      <c r="B22" s="21">
        <v>16</v>
      </c>
      <c r="C22" s="21" t="s">
        <v>2041</v>
      </c>
      <c r="D22" s="21" t="s">
        <v>584</v>
      </c>
      <c r="E22" s="21">
        <v>11</v>
      </c>
      <c r="F22" s="21">
        <v>385703</v>
      </c>
      <c r="G22" s="43">
        <v>-0.21</v>
      </c>
      <c r="H22" s="21" t="s">
        <v>2042</v>
      </c>
      <c r="I22" s="39">
        <f ca="1">IFERROR(__xludf.DUMMYFUNCTION("IF(SUM(COUNTIF(artists!A:A, SPLIT(D22, "",""))) &gt; 0, ""UA"", 0)"),0)</f>
        <v>0</v>
      </c>
      <c r="J22" s="40" t="str">
        <f ca="1">IFERROR(__xludf.DUMMYFUNCTION("IF(SUM(COUNTIF(artists!C:C, SPLIT(D22, "",""))) &gt; 0, ""RU"", 0)"),"RU")</f>
        <v>RU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B23" s="21">
        <v>25</v>
      </c>
      <c r="C23" s="21" t="s">
        <v>1939</v>
      </c>
      <c r="D23" s="21" t="s">
        <v>1940</v>
      </c>
      <c r="E23" s="21">
        <v>9</v>
      </c>
      <c r="F23" s="21">
        <v>377942</v>
      </c>
      <c r="G23" s="43">
        <v>-0.05</v>
      </c>
      <c r="H23" s="21" t="s">
        <v>1941</v>
      </c>
      <c r="I23" s="39">
        <f ca="1">IFERROR(__xludf.DUMMYFUNCTION("IF(SUM(COUNTIF(artists!A:A, SPLIT(D23, "",""))) &gt; 0, ""UA"", 0)"),0)</f>
        <v>0</v>
      </c>
      <c r="J23" s="40" t="str">
        <f ca="1">IFERROR(__xludf.DUMMYFUNCTION("IF(SUM(COUNTIF(artists!C:C, SPLIT(D23, "",""))) &gt; 0, ""RU"", 0)"),"RU")</f>
        <v>RU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B24" s="21">
        <v>19</v>
      </c>
      <c r="C24" s="21" t="s">
        <v>1839</v>
      </c>
      <c r="D24" s="21" t="s">
        <v>1840</v>
      </c>
      <c r="E24" s="21">
        <v>6</v>
      </c>
      <c r="F24" s="21">
        <v>374599</v>
      </c>
      <c r="G24" s="43">
        <v>-0.16</v>
      </c>
      <c r="H24" s="21" t="s">
        <v>1841</v>
      </c>
      <c r="I24" s="39">
        <f ca="1">IFERROR(__xludf.DUMMYFUNCTION("IF(SUM(COUNTIF(artists!A:A, SPLIT(D24, "",""))) &gt; 0, ""UA"", 0)"),0)</f>
        <v>0</v>
      </c>
      <c r="J24" s="40" t="str">
        <f ca="1">IFERROR(__xludf.DUMMYFUNCTION("IF(SUM(COUNTIF(artists!C:C, SPLIT(D24, "",""))) &gt; 0, ""RU"", 0)"),"RU")</f>
        <v>RU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B25" s="21">
        <v>20</v>
      </c>
      <c r="C25" s="21" t="s">
        <v>1261</v>
      </c>
      <c r="D25" s="21" t="s">
        <v>137</v>
      </c>
      <c r="E25" s="21">
        <v>15</v>
      </c>
      <c r="F25" s="21">
        <v>372773</v>
      </c>
      <c r="G25" s="43">
        <v>-0.16</v>
      </c>
      <c r="H25" s="21" t="s">
        <v>1262</v>
      </c>
      <c r="I25" s="39" t="str">
        <f ca="1">IFERROR(__xludf.DUMMYFUNCTION("IF(SUM(COUNTIF(artists!A:A, SPLIT(D25, "",""))) &gt; 0, ""UA"", 0)"),"UA")</f>
        <v>UA</v>
      </c>
      <c r="J25" s="40">
        <f ca="1">IFERROR(__xludf.DUMMYFUNCTION("IF(SUM(COUNTIF(artists!C:C, SPLIT(D25, "",""))) &gt; 0, ""RU"", 0)"),0)</f>
        <v>0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B26" s="21">
        <v>22</v>
      </c>
      <c r="C26" s="21" t="s">
        <v>906</v>
      </c>
      <c r="D26" s="21" t="s">
        <v>907</v>
      </c>
      <c r="E26" s="21">
        <v>11</v>
      </c>
      <c r="F26" s="21">
        <v>372079</v>
      </c>
      <c r="G26" s="42">
        <v>-0.11600000000000001</v>
      </c>
      <c r="H26" s="21" t="s">
        <v>908</v>
      </c>
      <c r="I26" s="39">
        <f ca="1">IFERROR(__xludf.DUMMYFUNCTION("IF(SUM(COUNTIF(artists!A:A, SPLIT(D26, "",""))) &gt; 0, ""UA"", 0)"),0)</f>
        <v>0</v>
      </c>
      <c r="J26" s="40" t="str">
        <f ca="1">IFERROR(__xludf.DUMMYFUNCTION("IF(SUM(COUNTIF(artists!C:C, SPLIT(D26, "",""))) &gt; 0, ""RU"", 0)"),"RU")</f>
        <v>RU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B27" s="21">
        <v>23</v>
      </c>
      <c r="C27" s="21" t="s">
        <v>1995</v>
      </c>
      <c r="D27" s="21" t="s">
        <v>1996</v>
      </c>
      <c r="E27" s="21">
        <v>39</v>
      </c>
      <c r="F27" s="21">
        <v>367127</v>
      </c>
      <c r="G27" s="42">
        <v>-9.2999999999999999E-2</v>
      </c>
      <c r="H27" s="21" t="s">
        <v>1997</v>
      </c>
      <c r="I27" s="39">
        <f ca="1">IFERROR(__xludf.DUMMYFUNCTION("IF(SUM(COUNTIF(artists!A:A, SPLIT(D27, "",""))) &gt; 0, ""UA"", 0)"),0)</f>
        <v>0</v>
      </c>
      <c r="J27" s="40" t="str">
        <f ca="1">IFERROR(__xludf.DUMMYFUNCTION("IF(SUM(COUNTIF(artists!C:C, SPLIT(D27, "",""))) &gt; 0, ""RU"", 0)"),"RU")</f>
        <v>RU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B28" s="21">
        <v>24</v>
      </c>
      <c r="C28" s="21" t="s">
        <v>1896</v>
      </c>
      <c r="D28" s="21" t="s">
        <v>1099</v>
      </c>
      <c r="E28" s="21">
        <v>47</v>
      </c>
      <c r="F28" s="21">
        <v>361651</v>
      </c>
      <c r="G28" s="42">
        <v>-9.1999999999999998E-2</v>
      </c>
      <c r="H28" s="21" t="s">
        <v>1897</v>
      </c>
      <c r="I28" s="39">
        <f ca="1">IFERROR(__xludf.DUMMYFUNCTION("IF(SUM(COUNTIF(artists!A:A, SPLIT(D28, "",""))) &gt; 0, ""UA"", 0)"),0)</f>
        <v>0</v>
      </c>
      <c r="J28" s="40" t="str">
        <f ca="1">IFERROR(__xludf.DUMMYFUNCTION("IF(SUM(COUNTIF(artists!C:C, SPLIT(D28, "",""))) &gt; 0, ""RU"", 0)"),"RU")</f>
        <v>RU</v>
      </c>
      <c r="K28" s="39">
        <f ca="1">IFERROR(__xludf.DUMMYFUNCTION("IF(SUM(COUNTIF(artists!E:E, SPLIT(D28, "",""))) &gt; 0, ""OTHER"", 0)"),0)</f>
        <v>0</v>
      </c>
    </row>
    <row r="29" spans="1:11" ht="14.25" customHeight="1">
      <c r="A29" s="21">
        <v>28</v>
      </c>
      <c r="B29" s="21">
        <v>26</v>
      </c>
      <c r="C29" s="21" t="s">
        <v>1964</v>
      </c>
      <c r="D29" s="21" t="s">
        <v>1965</v>
      </c>
      <c r="E29" s="21">
        <v>17</v>
      </c>
      <c r="F29" s="21">
        <v>345455</v>
      </c>
      <c r="G29" s="43">
        <v>-0.1</v>
      </c>
      <c r="H29" s="21" t="s">
        <v>1966</v>
      </c>
      <c r="I29" s="39">
        <f ca="1">IFERROR(__xludf.DUMMYFUNCTION("IF(SUM(COUNTIF(artists!A:A, SPLIT(D29, "",""))) &gt; 0, ""UA"", 0)"),0)</f>
        <v>0</v>
      </c>
      <c r="J29" s="40" t="str">
        <f ca="1">IFERROR(__xludf.DUMMYFUNCTION("IF(SUM(COUNTIF(artists!C:C, SPLIT(D29, "",""))) &gt; 0, ""RU"", 0)"),"RU")</f>
        <v>RU</v>
      </c>
      <c r="K29" s="39">
        <f ca="1">IFERROR(__xludf.DUMMYFUNCTION("IF(SUM(COUNTIF(artists!E:E, SPLIT(D29, "",""))) &gt; 0, ""OTHER"", 0)"),0)</f>
        <v>0</v>
      </c>
    </row>
    <row r="30" spans="1:11" ht="14.25" customHeight="1">
      <c r="A30" s="21">
        <v>29</v>
      </c>
      <c r="B30" s="21">
        <v>21</v>
      </c>
      <c r="C30" s="21" t="s">
        <v>1282</v>
      </c>
      <c r="D30" s="21" t="s">
        <v>108</v>
      </c>
      <c r="E30" s="21">
        <v>18</v>
      </c>
      <c r="F30" s="21">
        <v>341413</v>
      </c>
      <c r="G30" s="42">
        <v>-0.193</v>
      </c>
      <c r="H30" s="21" t="s">
        <v>1283</v>
      </c>
      <c r="I30" s="39" t="str">
        <f ca="1">IFERROR(__xludf.DUMMYFUNCTION("IF(SUM(COUNTIF(artists!A:A, SPLIT(D30, "",""))) &gt; 0, ""UA"", 0)"),"UA")</f>
        <v>UA</v>
      </c>
      <c r="J30" s="40">
        <f ca="1">IFERROR(__xludf.DUMMYFUNCTION("IF(SUM(COUNTIF(artists!C:C, SPLIT(D30, "",""))) &gt; 0, ""RU"", 0)"),0)</f>
        <v>0</v>
      </c>
      <c r="K30" s="39">
        <f ca="1">IFERROR(__xludf.DUMMYFUNCTION("IF(SUM(COUNTIF(artists!E:E, SPLIT(D30, "",""))) &gt; 0, ""OTHER"", 0)"),0)</f>
        <v>0</v>
      </c>
    </row>
    <row r="31" spans="1:11" ht="14.25" customHeight="1">
      <c r="A31" s="21">
        <v>30</v>
      </c>
      <c r="B31" s="21">
        <v>28</v>
      </c>
      <c r="C31" s="21" t="s">
        <v>1601</v>
      </c>
      <c r="D31" s="21" t="s">
        <v>1602</v>
      </c>
      <c r="E31" s="21">
        <v>3</v>
      </c>
      <c r="F31" s="21">
        <v>332334</v>
      </c>
      <c r="G31" s="42">
        <v>-0.104</v>
      </c>
      <c r="H31" s="21" t="s">
        <v>1603</v>
      </c>
      <c r="I31" s="39">
        <f ca="1">IFERROR(__xludf.DUMMYFUNCTION("IF(SUM(COUNTIF(artists!A:A, SPLIT(D31, "",""))) &gt; 0, ""UA"", 0)"),0)</f>
        <v>0</v>
      </c>
      <c r="J31" s="40" t="str">
        <f ca="1">IFERROR(__xludf.DUMMYFUNCTION("IF(SUM(COUNTIF(artists!C:C, SPLIT(D31, "",""))) &gt; 0, ""RU"", 0)"),"RU")</f>
        <v>RU</v>
      </c>
      <c r="K31" s="39">
        <f ca="1">IFERROR(__xludf.DUMMYFUNCTION("IF(SUM(COUNTIF(artists!E:E, SPLIT(D31, "",""))) &gt; 0, ""OTHER"", 0)"),0)</f>
        <v>0</v>
      </c>
    </row>
    <row r="32" spans="1:11" ht="14.25" customHeight="1">
      <c r="A32" s="21">
        <v>31</v>
      </c>
      <c r="B32" s="21">
        <v>27</v>
      </c>
      <c r="C32" s="21" t="s">
        <v>2076</v>
      </c>
      <c r="D32" s="21" t="s">
        <v>1027</v>
      </c>
      <c r="E32" s="21">
        <v>40</v>
      </c>
      <c r="F32" s="21">
        <v>328159</v>
      </c>
      <c r="G32" s="43">
        <v>-0.13</v>
      </c>
      <c r="H32" s="21" t="s">
        <v>2077</v>
      </c>
      <c r="I32" s="39" t="str">
        <f ca="1">IFERROR(__xludf.DUMMYFUNCTION("IF(SUM(COUNTIF(artists!A:A, SPLIT(D32, "",""))) &gt; 0, ""UA"", 0)"),"UA")</f>
        <v>UA</v>
      </c>
      <c r="J32" s="40">
        <f ca="1">IFERROR(__xludf.DUMMYFUNCTION("IF(SUM(COUNTIF(artists!C:C, SPLIT(D32, "",""))) &gt; 0, ""RU"", 0)"),0)</f>
        <v>0</v>
      </c>
      <c r="K32" s="39">
        <f ca="1">IFERROR(__xludf.DUMMYFUNCTION("IF(SUM(COUNTIF(artists!E:E, SPLIT(D32, "",""))) &gt; 0, ""OTHER"", 0)"),0)</f>
        <v>0</v>
      </c>
    </row>
    <row r="33" spans="1:11" ht="14.25" customHeight="1">
      <c r="A33" s="21">
        <v>32</v>
      </c>
      <c r="B33" s="21">
        <v>88</v>
      </c>
      <c r="C33" s="21" t="s">
        <v>1953</v>
      </c>
      <c r="D33" s="21" t="s">
        <v>1954</v>
      </c>
      <c r="E33" s="21">
        <v>2</v>
      </c>
      <c r="F33" s="21">
        <v>321202</v>
      </c>
      <c r="G33" s="42">
        <v>0.84099999999999997</v>
      </c>
      <c r="H33" s="21" t="s">
        <v>1955</v>
      </c>
      <c r="I33" s="39">
        <f ca="1">IFERROR(__xludf.DUMMYFUNCTION("IF(SUM(COUNTIF(artists!A:A, SPLIT(D33, "",""))) &gt; 0, ""UA"", 0)"),0)</f>
        <v>0</v>
      </c>
      <c r="J33" s="40" t="str">
        <f ca="1">IFERROR(__xludf.DUMMYFUNCTION("IF(SUM(COUNTIF(artists!C:C, SPLIT(D33, "",""))) &gt; 0, ""RU"", 0)"),"RU")</f>
        <v>RU</v>
      </c>
      <c r="K33" s="39">
        <f ca="1">IFERROR(__xludf.DUMMYFUNCTION("IF(SUM(COUNTIF(artists!E:E, SPLIT(D33, "",""))) &gt; 0, ""OTHER"", 0)"),0)</f>
        <v>0</v>
      </c>
    </row>
    <row r="34" spans="1:11" ht="14.25" customHeight="1">
      <c r="A34" s="21">
        <v>33</v>
      </c>
      <c r="B34" s="21">
        <v>31</v>
      </c>
      <c r="C34" s="21" t="s">
        <v>1651</v>
      </c>
      <c r="D34" s="21" t="s">
        <v>1652</v>
      </c>
      <c r="E34" s="21">
        <v>18</v>
      </c>
      <c r="F34" s="21">
        <v>298651</v>
      </c>
      <c r="G34" s="42">
        <v>-0.127</v>
      </c>
      <c r="H34" s="21" t="s">
        <v>1959</v>
      </c>
      <c r="I34" s="39">
        <f ca="1">IFERROR(__xludf.DUMMYFUNCTION("IF(SUM(COUNTIF(artists!A:A, SPLIT(D34, "",""))) &gt; 0, ""UA"", 0)"),0)</f>
        <v>0</v>
      </c>
      <c r="J34" s="40" t="str">
        <f ca="1">IFERROR(__xludf.DUMMYFUNCTION("IF(SUM(COUNTIF(artists!C:C, SPLIT(D34, "",""))) &gt; 0, ""RU"", 0)"),"RU")</f>
        <v>RU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B35" s="21">
        <v>30</v>
      </c>
      <c r="C35" s="21" t="s">
        <v>1867</v>
      </c>
      <c r="D35" s="21" t="s">
        <v>1099</v>
      </c>
      <c r="E35" s="21">
        <v>14</v>
      </c>
      <c r="F35" s="21">
        <v>297121</v>
      </c>
      <c r="G35" s="42">
        <v>-0.14599999999999999</v>
      </c>
      <c r="H35" s="21" t="s">
        <v>1868</v>
      </c>
      <c r="I35" s="39">
        <f ca="1">IFERROR(__xludf.DUMMYFUNCTION("IF(SUM(COUNTIF(artists!A:A, SPLIT(D35, "",""))) &gt; 0, ""UA"", 0)"),0)</f>
        <v>0</v>
      </c>
      <c r="J35" s="40" t="str">
        <f ca="1">IFERROR(__xludf.DUMMYFUNCTION("IF(SUM(COUNTIF(artists!C:C, SPLIT(D35, "",""))) &gt; 0, ""RU"", 0)"),"RU")</f>
        <v>RU</v>
      </c>
      <c r="K35" s="39">
        <f ca="1">IFERROR(__xludf.DUMMYFUNCTION("IF(SUM(COUNTIF(artists!E:E, SPLIT(D35, "",""))) &gt; 0, ""OTHER"", 0)"),0)</f>
        <v>0</v>
      </c>
    </row>
    <row r="36" spans="1:11" ht="14.25" customHeight="1">
      <c r="A36" s="21">
        <v>35</v>
      </c>
      <c r="B36" s="21">
        <v>36</v>
      </c>
      <c r="C36" s="21" t="s">
        <v>1944</v>
      </c>
      <c r="D36" s="21" t="s">
        <v>1945</v>
      </c>
      <c r="E36" s="21">
        <v>14</v>
      </c>
      <c r="F36" s="21">
        <v>288595</v>
      </c>
      <c r="G36" s="42">
        <v>-9.5000000000000001E-2</v>
      </c>
      <c r="H36" s="21" t="s">
        <v>1946</v>
      </c>
      <c r="I36" s="39">
        <f ca="1">IFERROR(__xludf.DUMMYFUNCTION("IF(SUM(COUNTIF(artists!A:A, SPLIT(D36, "",""))) &gt; 0, ""UA"", 0)"),0)</f>
        <v>0</v>
      </c>
      <c r="J36" s="40" t="str">
        <f ca="1">IFERROR(__xludf.DUMMYFUNCTION("IF(SUM(COUNTIF(artists!C:C, SPLIT(D36, "",""))) &gt; 0, ""RU"", 0)"),"RU")</f>
        <v>RU</v>
      </c>
      <c r="K36" s="39">
        <f ca="1">IFERROR(__xludf.DUMMYFUNCTION("IF(SUM(COUNTIF(artists!E:E, SPLIT(D36, "",""))) &gt; 0, ""OTHER"", 0)"),0)</f>
        <v>0</v>
      </c>
    </row>
    <row r="37" spans="1:11" ht="14.25" customHeight="1">
      <c r="A37" s="21">
        <v>36</v>
      </c>
      <c r="B37" s="21">
        <v>32</v>
      </c>
      <c r="C37" s="21" t="s">
        <v>2078</v>
      </c>
      <c r="D37" s="21" t="s">
        <v>584</v>
      </c>
      <c r="E37" s="21">
        <v>21</v>
      </c>
      <c r="F37" s="21">
        <v>285251</v>
      </c>
      <c r="G37" s="42">
        <v>-0.159</v>
      </c>
      <c r="H37" s="21" t="s">
        <v>2079</v>
      </c>
      <c r="I37" s="39">
        <f ca="1">IFERROR(__xludf.DUMMYFUNCTION("IF(SUM(COUNTIF(artists!A:A, SPLIT(D37, "",""))) &gt; 0, ""UA"", 0)"),0)</f>
        <v>0</v>
      </c>
      <c r="J37" s="40" t="str">
        <f ca="1">IFERROR(__xludf.DUMMYFUNCTION("IF(SUM(COUNTIF(artists!C:C, SPLIT(D37, "",""))) &gt; 0, ""RU"", 0)"),"RU")</f>
        <v>RU</v>
      </c>
      <c r="K37" s="39">
        <f ca="1">IFERROR(__xludf.DUMMYFUNCTION("IF(SUM(COUNTIF(artists!E:E, SPLIT(D37, "",""))) &gt; 0, ""OTHER"", 0)"),0)</f>
        <v>0</v>
      </c>
    </row>
    <row r="38" spans="1:11" ht="14.25" customHeight="1">
      <c r="A38" s="21">
        <v>37</v>
      </c>
      <c r="B38" s="21">
        <v>65</v>
      </c>
      <c r="C38" s="21" t="s">
        <v>2080</v>
      </c>
      <c r="D38" s="21" t="s">
        <v>864</v>
      </c>
      <c r="E38" s="21">
        <v>2</v>
      </c>
      <c r="F38" s="21">
        <v>284509</v>
      </c>
      <c r="G38" s="42">
        <v>0.34799999999999998</v>
      </c>
      <c r="H38" s="21" t="s">
        <v>2081</v>
      </c>
      <c r="I38" s="39" t="str">
        <f ca="1">IFERROR(__xludf.DUMMYFUNCTION("IF(SUM(COUNTIF(artists!A:A, SPLIT(D38, "",""))) &gt; 0, ""UA"", 0)"),"UA")</f>
        <v>UA</v>
      </c>
      <c r="J38" s="40">
        <f ca="1">IFERROR(__xludf.DUMMYFUNCTION("IF(SUM(COUNTIF(artists!C:C, SPLIT(D38, "",""))) &gt; 0, ""RU"", 0)"),0)</f>
        <v>0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B39" s="21">
        <v>37</v>
      </c>
      <c r="C39" s="21" t="s">
        <v>2017</v>
      </c>
      <c r="D39" s="21" t="s">
        <v>2018</v>
      </c>
      <c r="E39" s="21">
        <v>40</v>
      </c>
      <c r="F39" s="21">
        <v>283152</v>
      </c>
      <c r="G39" s="42">
        <v>-0.104</v>
      </c>
      <c r="H39" s="21" t="s">
        <v>2019</v>
      </c>
      <c r="I39" s="39">
        <f ca="1">IFERROR(__xludf.DUMMYFUNCTION("IF(SUM(COUNTIF(artists!A:A, SPLIT(D39, "",""))) &gt; 0, ""UA"", 0)"),0)</f>
        <v>0</v>
      </c>
      <c r="J39" s="40" t="str">
        <f ca="1">IFERROR(__xludf.DUMMYFUNCTION("IF(SUM(COUNTIF(artists!C:C, SPLIT(D39, "",""))) &gt; 0, ""RU"", 0)"),"RU")</f>
        <v>RU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B40" s="21">
        <v>38</v>
      </c>
      <c r="C40" s="21" t="s">
        <v>2063</v>
      </c>
      <c r="D40" s="21" t="s">
        <v>2064</v>
      </c>
      <c r="E40" s="21">
        <v>14</v>
      </c>
      <c r="F40" s="21">
        <v>282311</v>
      </c>
      <c r="G40" s="42">
        <v>-0.106</v>
      </c>
      <c r="H40" s="21" t="s">
        <v>2065</v>
      </c>
      <c r="I40" s="39">
        <f ca="1">IFERROR(__xludf.DUMMYFUNCTION("IF(SUM(COUNTIF(artists!A:A, SPLIT(D40, "",""))) &gt; 0, ""UA"", 0)"),0)</f>
        <v>0</v>
      </c>
      <c r="J40" s="40" t="str">
        <f ca="1">IFERROR(__xludf.DUMMYFUNCTION("IF(SUM(COUNTIF(artists!C:C, SPLIT(D40, "",""))) &gt; 0, ""RU"", 0)"),"RU")</f>
        <v>RU</v>
      </c>
      <c r="K40" s="39">
        <f ca="1">IFERROR(__xludf.DUMMYFUNCTION("IF(SUM(COUNTIF(artists!E:E, SPLIT(D40, "",""))) &gt; 0, ""OTHER"", 0)"),0)</f>
        <v>0</v>
      </c>
    </row>
    <row r="41" spans="1:11" ht="14.25" customHeight="1">
      <c r="A41" s="21">
        <v>40</v>
      </c>
      <c r="B41" s="21">
        <v>45</v>
      </c>
      <c r="C41" s="21" t="s">
        <v>1863</v>
      </c>
      <c r="D41" s="21" t="s">
        <v>1660</v>
      </c>
      <c r="E41" s="21">
        <v>6</v>
      </c>
      <c r="F41" s="21">
        <v>282136</v>
      </c>
      <c r="G41" s="42">
        <v>-3.5000000000000003E-2</v>
      </c>
      <c r="H41" s="21" t="s">
        <v>1864</v>
      </c>
      <c r="I41" s="39">
        <f ca="1">IFERROR(__xludf.DUMMYFUNCTION("IF(SUM(COUNTIF(artists!A:A, SPLIT(D41, "",""))) &gt; 0, ""UA"", 0)"),0)</f>
        <v>0</v>
      </c>
      <c r="J41" s="40" t="str">
        <f ca="1">IFERROR(__xludf.DUMMYFUNCTION("IF(SUM(COUNTIF(artists!C:C, SPLIT(D41, "",""))) &gt; 0, ""RU"", 0)"),"RU")</f>
        <v>RU</v>
      </c>
      <c r="K41" s="39">
        <f ca="1">IFERROR(__xludf.DUMMYFUNCTION("IF(SUM(COUNTIF(artists!E:E, SPLIT(D41, "",""))) &gt; 0, ""OTHER"", 0)"),0)</f>
        <v>0</v>
      </c>
    </row>
    <row r="42" spans="1:11" ht="14.25" customHeight="1">
      <c r="A42" s="21">
        <v>41</v>
      </c>
      <c r="B42" s="21">
        <v>33</v>
      </c>
      <c r="C42" s="21" t="s">
        <v>1942</v>
      </c>
      <c r="D42" s="21" t="s">
        <v>1637</v>
      </c>
      <c r="E42" s="21">
        <v>31</v>
      </c>
      <c r="F42" s="21">
        <v>280910</v>
      </c>
      <c r="G42" s="42">
        <v>-0.157</v>
      </c>
      <c r="H42" s="21" t="s">
        <v>1943</v>
      </c>
      <c r="I42" s="39">
        <f ca="1">IFERROR(__xludf.DUMMYFUNCTION("IF(SUM(COUNTIF(artists!A:A, SPLIT(D42, "",""))) &gt; 0, ""UA"", 0)"),0)</f>
        <v>0</v>
      </c>
      <c r="J42" s="40" t="str">
        <f ca="1">IFERROR(__xludf.DUMMYFUNCTION("IF(SUM(COUNTIF(artists!C:C, SPLIT(D42, "",""))) &gt; 0, ""RU"", 0)"),"RU")</f>
        <v>RU</v>
      </c>
      <c r="K42" s="39">
        <f ca="1">IFERROR(__xludf.DUMMYFUNCTION("IF(SUM(COUNTIF(artists!E:E, SPLIT(D42, "",""))) &gt; 0, ""OTHER"", 0)"),0)</f>
        <v>0</v>
      </c>
    </row>
    <row r="43" spans="1:11" ht="14.25" customHeight="1">
      <c r="A43" s="21">
        <v>42</v>
      </c>
      <c r="B43" s="21">
        <v>42</v>
      </c>
      <c r="C43" s="21" t="s">
        <v>2002</v>
      </c>
      <c r="D43" s="21" t="s">
        <v>2003</v>
      </c>
      <c r="E43" s="21">
        <v>33</v>
      </c>
      <c r="F43" s="21">
        <v>280662</v>
      </c>
      <c r="G43" s="42">
        <v>-6.4000000000000001E-2</v>
      </c>
      <c r="H43" s="21" t="s">
        <v>2004</v>
      </c>
      <c r="I43" s="39">
        <f ca="1">IFERROR(__xludf.DUMMYFUNCTION("IF(SUM(COUNTIF(artists!A:A, SPLIT(D43, "",""))) &gt; 0, ""UA"", 0)"),0)</f>
        <v>0</v>
      </c>
      <c r="J43" s="40" t="str">
        <f ca="1">IFERROR(__xludf.DUMMYFUNCTION("IF(SUM(COUNTIF(artists!C:C, SPLIT(D43, "",""))) &gt; 0, ""RU"", 0)"),"RU")</f>
        <v>RU</v>
      </c>
      <c r="K43" s="39">
        <f ca="1">IFERROR(__xludf.DUMMYFUNCTION("IF(SUM(COUNTIF(artists!E:E, SPLIT(D43, "",""))) &gt; 0, ""OTHER"", 0)"),0)</f>
        <v>0</v>
      </c>
    </row>
    <row r="44" spans="1:11" ht="14.25" customHeight="1">
      <c r="A44" s="21">
        <v>43</v>
      </c>
      <c r="B44" s="21">
        <v>43</v>
      </c>
      <c r="C44" s="21" t="s">
        <v>2000</v>
      </c>
      <c r="D44" s="21" t="s">
        <v>137</v>
      </c>
      <c r="E44" s="21">
        <v>45</v>
      </c>
      <c r="F44" s="21">
        <v>277751</v>
      </c>
      <c r="G44" s="43">
        <v>-7.0000000000000007E-2</v>
      </c>
      <c r="H44" s="21" t="s">
        <v>2001</v>
      </c>
      <c r="I44" s="39" t="str">
        <f ca="1">IFERROR(__xludf.DUMMYFUNCTION("IF(SUM(COUNTIF(artists!A:A, SPLIT(D44, "",""))) &gt; 0, ""UA"", 0)"),"UA")</f>
        <v>UA</v>
      </c>
      <c r="J44" s="40">
        <f ca="1">IFERROR(__xludf.DUMMYFUNCTION("IF(SUM(COUNTIF(artists!C:C, SPLIT(D44, "",""))) &gt; 0, ""RU"", 0)"),0)</f>
        <v>0</v>
      </c>
      <c r="K44" s="39">
        <f ca="1">IFERROR(__xludf.DUMMYFUNCTION("IF(SUM(COUNTIF(artists!E:E, SPLIT(D44, "",""))) &gt; 0, ""OTHER"", 0)"),0)</f>
        <v>0</v>
      </c>
    </row>
    <row r="45" spans="1:11" ht="14.25" customHeight="1">
      <c r="A45" s="21">
        <v>44</v>
      </c>
      <c r="B45" s="21">
        <v>34</v>
      </c>
      <c r="C45" s="21" t="s">
        <v>1865</v>
      </c>
      <c r="D45" s="21" t="s">
        <v>1646</v>
      </c>
      <c r="E45" s="21">
        <v>11</v>
      </c>
      <c r="F45" s="21">
        <v>265963</v>
      </c>
      <c r="G45" s="43">
        <v>-0.2</v>
      </c>
      <c r="H45" s="21" t="s">
        <v>1866</v>
      </c>
      <c r="I45" s="39">
        <f ca="1">IFERROR(__xludf.DUMMYFUNCTION("IF(SUM(COUNTIF(artists!A:A, SPLIT(D45, "",""))) &gt; 0, ""UA"", 0)"),0)</f>
        <v>0</v>
      </c>
      <c r="J45" s="40" t="str">
        <f ca="1">IFERROR(__xludf.DUMMYFUNCTION("IF(SUM(COUNTIF(artists!C:C, SPLIT(D45, "",""))) &gt; 0, ""RU"", 0)"),"RU")</f>
        <v>RU</v>
      </c>
      <c r="K45" s="39">
        <f ca="1">IFERROR(__xludf.DUMMYFUNCTION("IF(SUM(COUNTIF(artists!E:E, SPLIT(D45, "",""))) &gt; 0, ""OTHER"", 0)"),0)</f>
        <v>0</v>
      </c>
    </row>
    <row r="46" spans="1:11" ht="14.25" customHeight="1">
      <c r="A46" s="21">
        <v>45</v>
      </c>
      <c r="B46" s="21">
        <v>49</v>
      </c>
      <c r="C46" s="21" t="s">
        <v>1392</v>
      </c>
      <c r="D46" s="21" t="s">
        <v>1393</v>
      </c>
      <c r="E46" s="21">
        <v>4</v>
      </c>
      <c r="F46" s="21">
        <v>264211</v>
      </c>
      <c r="G46" s="42">
        <v>-4.2999999999999997E-2</v>
      </c>
      <c r="H46" s="21" t="s">
        <v>1394</v>
      </c>
      <c r="I46" s="39">
        <f ca="1">IFERROR(__xludf.DUMMYFUNCTION("IF(SUM(COUNTIF(artists!A:A, SPLIT(D46, "",""))) &gt; 0, ""UA"", 0)"),0)</f>
        <v>0</v>
      </c>
      <c r="J46" s="40" t="str">
        <f ca="1">IFERROR(__xludf.DUMMYFUNCTION("IF(SUM(COUNTIF(artists!C:C, SPLIT(D46, "",""))) &gt; 0, ""RU"", 0)"),"RU")</f>
        <v>RU</v>
      </c>
      <c r="K46" s="39">
        <f ca="1">IFERROR(__xludf.DUMMYFUNCTION("IF(SUM(COUNTIF(artists!E:E, SPLIT(D46, "",""))) &gt; 0, ""OTHER"", 0)"),0)</f>
        <v>0</v>
      </c>
    </row>
    <row r="47" spans="1:11" ht="14.25" customHeight="1">
      <c r="A47" s="21">
        <v>46</v>
      </c>
      <c r="B47" s="21">
        <v>54</v>
      </c>
      <c r="C47" s="21" t="s">
        <v>968</v>
      </c>
      <c r="D47" s="21" t="s">
        <v>969</v>
      </c>
      <c r="E47" s="21">
        <v>10</v>
      </c>
      <c r="F47" s="21">
        <v>263802</v>
      </c>
      <c r="G47" s="42">
        <v>1E-3</v>
      </c>
      <c r="H47" s="21" t="s">
        <v>970</v>
      </c>
      <c r="I47" s="39" t="str">
        <f ca="1">IFERROR(__xludf.DUMMYFUNCTION("IF(SUM(COUNTIF(artists!A:A, SPLIT(D47, "",""))) &gt; 0, ""UA"", 0)"),"UA")</f>
        <v>UA</v>
      </c>
      <c r="J47" s="40">
        <f ca="1">IFERROR(__xludf.DUMMYFUNCTION("IF(SUM(COUNTIF(artists!C:C, SPLIT(D47, "",""))) &gt; 0, ""RU"", 0)"),0)</f>
        <v>0</v>
      </c>
      <c r="K47" s="39">
        <f ca="1">IFERROR(__xludf.DUMMYFUNCTION("IF(SUM(COUNTIF(artists!E:E, SPLIT(D47, "",""))) &gt; 0, ""OTHER"", 0)"),0)</f>
        <v>0</v>
      </c>
    </row>
    <row r="48" spans="1:11" ht="14.25" customHeight="1">
      <c r="A48" s="21">
        <v>47</v>
      </c>
      <c r="B48" s="21">
        <v>85</v>
      </c>
      <c r="C48" s="21" t="s">
        <v>1116</v>
      </c>
      <c r="D48" s="21" t="s">
        <v>1117</v>
      </c>
      <c r="E48" s="21">
        <v>13</v>
      </c>
      <c r="F48" s="21">
        <v>261489</v>
      </c>
      <c r="G48" s="42">
        <v>0.45800000000000002</v>
      </c>
      <c r="H48" s="21" t="s">
        <v>1118</v>
      </c>
      <c r="I48" s="39">
        <f ca="1">IFERROR(__xludf.DUMMYFUNCTION("IF(SUM(COUNTIF(artists!A:A, SPLIT(D48, "",""))) &gt; 0, ""UA"", 0)"),0)</f>
        <v>0</v>
      </c>
      <c r="J48" s="40" t="str">
        <f ca="1">IFERROR(__xludf.DUMMYFUNCTION("IF(SUM(COUNTIF(artists!C:C, SPLIT(D48, "",""))) &gt; 0, ""RU"", 0)"),"RU")</f>
        <v>RU</v>
      </c>
      <c r="K48" s="39">
        <f ca="1">IFERROR(__xludf.DUMMYFUNCTION("IF(SUM(COUNTIF(artists!E:E, SPLIT(D48, "",""))) &gt; 0, ""OTHER"", 0)"),0)</f>
        <v>0</v>
      </c>
    </row>
    <row r="49" spans="1:11" ht="14.25" customHeight="1">
      <c r="A49" s="21">
        <v>48</v>
      </c>
      <c r="B49" s="21">
        <v>56</v>
      </c>
      <c r="C49" s="21" t="s">
        <v>1498</v>
      </c>
      <c r="D49" s="21" t="s">
        <v>969</v>
      </c>
      <c r="E49" s="21">
        <v>23</v>
      </c>
      <c r="F49" s="21">
        <v>257995</v>
      </c>
      <c r="G49" s="42">
        <v>2.9000000000000001E-2</v>
      </c>
      <c r="H49" s="21" t="s">
        <v>1499</v>
      </c>
      <c r="I49" s="39" t="str">
        <f ca="1">IFERROR(__xludf.DUMMYFUNCTION("IF(SUM(COUNTIF(artists!A:A, SPLIT(D49, "",""))) &gt; 0, ""UA"", 0)"),"UA")</f>
        <v>UA</v>
      </c>
      <c r="J49" s="40">
        <f ca="1">IFERROR(__xludf.DUMMYFUNCTION("IF(SUM(COUNTIF(artists!C:C, SPLIT(D49, "",""))) &gt; 0, ""RU"", 0)"),0)</f>
        <v>0</v>
      </c>
      <c r="K49" s="39">
        <f ca="1">IFERROR(__xludf.DUMMYFUNCTION("IF(SUM(COUNTIF(artists!E:E, SPLIT(D49, "",""))) &gt; 0, ""OTHER"", 0)"),0)</f>
        <v>0</v>
      </c>
    </row>
    <row r="50" spans="1:11" ht="14.25" customHeight="1">
      <c r="A50" s="21">
        <v>49</v>
      </c>
      <c r="B50" s="21">
        <v>41</v>
      </c>
      <c r="C50" s="21" t="s">
        <v>1774</v>
      </c>
      <c r="D50" s="21" t="s">
        <v>1775</v>
      </c>
      <c r="E50" s="21">
        <v>17</v>
      </c>
      <c r="F50" s="21">
        <v>254687</v>
      </c>
      <c r="G50" s="42">
        <v>-0.154</v>
      </c>
      <c r="H50" s="21" t="s">
        <v>1776</v>
      </c>
      <c r="I50" s="39">
        <f ca="1">IFERROR(__xludf.DUMMYFUNCTION("IF(SUM(COUNTIF(artists!A:A, SPLIT(D50, "",""))) &gt; 0, ""UA"", 0)"),0)</f>
        <v>0</v>
      </c>
      <c r="J50" s="40" t="str">
        <f ca="1">IFERROR(__xludf.DUMMYFUNCTION("IF(SUM(COUNTIF(artists!C:C, SPLIT(D50, "",""))) &gt; 0, ""RU"", 0)"),"RU")</f>
        <v>RU</v>
      </c>
      <c r="K50" s="39">
        <f ca="1">IFERROR(__xludf.DUMMYFUNCTION("IF(SUM(COUNTIF(artists!E:E, SPLIT(D50, "",""))) &gt; 0, ""OTHER"", 0)"),0)</f>
        <v>0</v>
      </c>
    </row>
    <row r="51" spans="1:11" ht="14.25" customHeight="1">
      <c r="A51" s="21">
        <v>50</v>
      </c>
      <c r="B51" s="21">
        <v>47</v>
      </c>
      <c r="C51" s="21" t="s">
        <v>2005</v>
      </c>
      <c r="D51" s="21" t="s">
        <v>1593</v>
      </c>
      <c r="E51" s="21">
        <v>18</v>
      </c>
      <c r="F51" s="21">
        <v>254061</v>
      </c>
      <c r="G51" s="42">
        <v>-0.109</v>
      </c>
      <c r="H51" s="21" t="s">
        <v>2006</v>
      </c>
      <c r="I51" s="39">
        <f ca="1">IFERROR(__xludf.DUMMYFUNCTION("IF(SUM(COUNTIF(artists!A:A, SPLIT(D51, "",""))) &gt; 0, ""UA"", 0)"),0)</f>
        <v>0</v>
      </c>
      <c r="J51" s="40" t="str">
        <f ca="1">IFERROR(__xludf.DUMMYFUNCTION("IF(SUM(COUNTIF(artists!C:C, SPLIT(D51, "",""))) &gt; 0, ""RU"", 0)"),"RU")</f>
        <v>RU</v>
      </c>
      <c r="K51" s="39">
        <f ca="1">IFERROR(__xludf.DUMMYFUNCTION("IF(SUM(COUNTIF(artists!E:E, SPLIT(D51, "",""))) &gt; 0, ""OTHER"", 0)"),0)</f>
        <v>0</v>
      </c>
    </row>
    <row r="52" spans="1:11" ht="14.25" customHeight="1">
      <c r="A52" s="21">
        <v>51</v>
      </c>
      <c r="B52" s="21">
        <v>51</v>
      </c>
      <c r="C52" s="21" t="s">
        <v>2071</v>
      </c>
      <c r="D52" s="21" t="s">
        <v>2072</v>
      </c>
      <c r="E52" s="21">
        <v>15</v>
      </c>
      <c r="F52" s="21">
        <v>252528</v>
      </c>
      <c r="G52" s="42">
        <v>-7.0999999999999994E-2</v>
      </c>
      <c r="H52" s="21" t="s">
        <v>2073</v>
      </c>
      <c r="I52" s="39">
        <f ca="1">IFERROR(__xludf.DUMMYFUNCTION("IF(SUM(COUNTIF(artists!A:A, SPLIT(D52, "",""))) &gt; 0, ""UA"", 0)"),0)</f>
        <v>0</v>
      </c>
      <c r="J52" s="40" t="str">
        <f ca="1">IFERROR(__xludf.DUMMYFUNCTION("IF(SUM(COUNTIF(artists!C:C, SPLIT(D52, "",""))) &gt; 0, ""RU"", 0)"),"RU")</f>
        <v>RU</v>
      </c>
      <c r="K52" s="39">
        <f ca="1">IFERROR(__xludf.DUMMYFUNCTION("IF(SUM(COUNTIF(artists!E:E, SPLIT(D52, "",""))) &gt; 0, ""OTHER"", 0)"),0)</f>
        <v>0</v>
      </c>
    </row>
    <row r="53" spans="1:11" ht="14.25" customHeight="1">
      <c r="A53" s="21">
        <v>52</v>
      </c>
      <c r="B53" s="21">
        <v>62</v>
      </c>
      <c r="C53" s="21" t="s">
        <v>895</v>
      </c>
      <c r="D53" s="21" t="s">
        <v>896</v>
      </c>
      <c r="E53" s="21">
        <v>2</v>
      </c>
      <c r="F53" s="21">
        <v>248395</v>
      </c>
      <c r="G53" s="42">
        <v>0.10199999999999999</v>
      </c>
      <c r="H53" s="21" t="s">
        <v>897</v>
      </c>
      <c r="I53" s="39" t="str">
        <f ca="1">IFERROR(__xludf.DUMMYFUNCTION("IF(SUM(COUNTIF(artists!A:A, SPLIT(D53, "",""))) &gt; 0, ""UA"", 0)"),"UA")</f>
        <v>UA</v>
      </c>
      <c r="J53" s="40">
        <f ca="1">IFERROR(__xludf.DUMMYFUNCTION("IF(SUM(COUNTIF(artists!C:C, SPLIT(D53, "",""))) &gt; 0, ""RU"", 0)"),0)</f>
        <v>0</v>
      </c>
      <c r="K53" s="39">
        <f ca="1">IFERROR(__xludf.DUMMYFUNCTION("IF(SUM(COUNTIF(artists!E:E, SPLIT(D53, "",""))) &gt; 0, ""OTHER"", 0)"),0)</f>
        <v>0</v>
      </c>
    </row>
    <row r="54" spans="1:11" ht="14.25" customHeight="1">
      <c r="A54" s="21">
        <v>53</v>
      </c>
      <c r="C54" s="21" t="s">
        <v>1858</v>
      </c>
      <c r="D54" s="21" t="s">
        <v>1859</v>
      </c>
      <c r="E54" s="21">
        <v>1</v>
      </c>
      <c r="F54" s="21">
        <v>239857</v>
      </c>
      <c r="H54" s="21" t="s">
        <v>1860</v>
      </c>
      <c r="I54" s="39">
        <f ca="1">IFERROR(__xludf.DUMMYFUNCTION("IF(SUM(COUNTIF(artists!A:A, SPLIT(D54, "",""))) &gt; 0, ""UA"", 0)"),0)</f>
        <v>0</v>
      </c>
      <c r="J54" s="40" t="str">
        <f ca="1">IFERROR(__xludf.DUMMYFUNCTION("IF(SUM(COUNTIF(artists!C:C, SPLIT(D54, "",""))) &gt; 0, ""RU"", 0)"),"RU")</f>
        <v>RU</v>
      </c>
      <c r="K54" s="39">
        <f ca="1">IFERROR(__xludf.DUMMYFUNCTION("IF(SUM(COUNTIF(artists!E:E, SPLIT(D54, "",""))) &gt; 0, ""OTHER"", 0)"),0)</f>
        <v>0</v>
      </c>
    </row>
    <row r="55" spans="1:11" ht="14.25" customHeight="1">
      <c r="A55" s="21">
        <v>54</v>
      </c>
      <c r="B55" s="21">
        <v>44</v>
      </c>
      <c r="C55" s="21" t="s">
        <v>2051</v>
      </c>
      <c r="D55" s="21" t="s">
        <v>2052</v>
      </c>
      <c r="E55" s="21">
        <v>9</v>
      </c>
      <c r="F55" s="21">
        <v>239753</v>
      </c>
      <c r="G55" s="42">
        <v>-0.189</v>
      </c>
      <c r="H55" s="21" t="s">
        <v>2053</v>
      </c>
      <c r="I55" s="39">
        <f ca="1">IFERROR(__xludf.DUMMYFUNCTION("IF(SUM(COUNTIF(artists!A:A, SPLIT(D55, "",""))) &gt; 0, ""UA"", 0)"),0)</f>
        <v>0</v>
      </c>
      <c r="J55" s="40" t="str">
        <f ca="1">IFERROR(__xludf.DUMMYFUNCTION("IF(SUM(COUNTIF(artists!C:C, SPLIT(D55, "",""))) &gt; 0, ""RU"", 0)"),"RU")</f>
        <v>RU</v>
      </c>
      <c r="K55" s="39">
        <f ca="1">IFERROR(__xludf.DUMMYFUNCTION("IF(SUM(COUNTIF(artists!E:E, SPLIT(D55, "",""))) &gt; 0, ""OTHER"", 0)"),0)</f>
        <v>0</v>
      </c>
    </row>
    <row r="56" spans="1:11" ht="14.25" customHeight="1">
      <c r="A56" s="21">
        <v>55</v>
      </c>
      <c r="B56" s="21">
        <v>39</v>
      </c>
      <c r="C56" s="21" t="s">
        <v>1887</v>
      </c>
      <c r="D56" s="21" t="s">
        <v>1099</v>
      </c>
      <c r="E56" s="21">
        <v>7</v>
      </c>
      <c r="F56" s="21">
        <v>239500</v>
      </c>
      <c r="G56" s="42">
        <v>-0.22700000000000001</v>
      </c>
      <c r="H56" s="21" t="s">
        <v>1888</v>
      </c>
      <c r="I56" s="39">
        <f ca="1">IFERROR(__xludf.DUMMYFUNCTION("IF(SUM(COUNTIF(artists!A:A, SPLIT(D56, "",""))) &gt; 0, ""UA"", 0)"),0)</f>
        <v>0</v>
      </c>
      <c r="J56" s="40" t="str">
        <f ca="1">IFERROR(__xludf.DUMMYFUNCTION("IF(SUM(COUNTIF(artists!C:C, SPLIT(D56, "",""))) &gt; 0, ""RU"", 0)"),"RU")</f>
        <v>RU</v>
      </c>
      <c r="K56" s="39">
        <f ca="1">IFERROR(__xludf.DUMMYFUNCTION("IF(SUM(COUNTIF(artists!E:E, SPLIT(D56, "",""))) &gt; 0, ""OTHER"", 0)"),0)</f>
        <v>0</v>
      </c>
    </row>
    <row r="57" spans="1:11" ht="14.25" customHeight="1">
      <c r="A57" s="21">
        <v>56</v>
      </c>
      <c r="B57" s="21">
        <v>52</v>
      </c>
      <c r="C57" s="21" t="s">
        <v>2032</v>
      </c>
      <c r="D57" s="21" t="s">
        <v>2033</v>
      </c>
      <c r="E57" s="21">
        <v>6</v>
      </c>
      <c r="F57" s="21">
        <v>236161</v>
      </c>
      <c r="G57" s="42">
        <v>-0.115</v>
      </c>
      <c r="H57" s="21" t="s">
        <v>2034</v>
      </c>
      <c r="I57" s="39">
        <f ca="1">IFERROR(__xludf.DUMMYFUNCTION("IF(SUM(COUNTIF(artists!A:A, SPLIT(D57, "",""))) &gt; 0, ""UA"", 0)"),0)</f>
        <v>0</v>
      </c>
      <c r="J57" s="40" t="str">
        <f ca="1">IFERROR(__xludf.DUMMYFUNCTION("IF(SUM(COUNTIF(artists!C:C, SPLIT(D57, "",""))) &gt; 0, ""RU"", 0)"),"RU")</f>
        <v>RU</v>
      </c>
      <c r="K57" s="39">
        <f ca="1">IFERROR(__xludf.DUMMYFUNCTION("IF(SUM(COUNTIF(artists!E:E, SPLIT(D57, "",""))) &gt; 0, ""OTHER"", 0)"),0)</f>
        <v>0</v>
      </c>
    </row>
    <row r="58" spans="1:11" ht="14.25" customHeight="1">
      <c r="A58" s="21">
        <v>57</v>
      </c>
      <c r="B58" s="21">
        <v>71</v>
      </c>
      <c r="C58" s="21" t="s">
        <v>613</v>
      </c>
      <c r="D58" s="21" t="s">
        <v>614</v>
      </c>
      <c r="E58" s="21">
        <v>10</v>
      </c>
      <c r="F58" s="21">
        <v>227466</v>
      </c>
      <c r="G58" s="43">
        <v>0.14000000000000001</v>
      </c>
      <c r="H58" s="21" t="s">
        <v>615</v>
      </c>
      <c r="I58" s="39">
        <f ca="1">IFERROR(__xludf.DUMMYFUNCTION("IF(SUM(COUNTIF(artists!A:A, SPLIT(D58, "",""))) &gt; 0, ""UA"", 0)"),0)</f>
        <v>0</v>
      </c>
      <c r="J58" s="40" t="str">
        <f ca="1">IFERROR(__xludf.DUMMYFUNCTION("IF(SUM(COUNTIF(artists!C:C, SPLIT(D58, "",""))) &gt; 0, ""RU"", 0)"),"RU")</f>
        <v>RU</v>
      </c>
      <c r="K58" s="39">
        <f ca="1">IFERROR(__xludf.DUMMYFUNCTION("IF(SUM(COUNTIF(artists!E:E, SPLIT(D58, "",""))) &gt; 0, ""OTHER"", 0)"),0)</f>
        <v>0</v>
      </c>
    </row>
    <row r="59" spans="1:11" ht="14.25" customHeight="1">
      <c r="A59" s="21">
        <v>58</v>
      </c>
      <c r="B59" s="21">
        <v>29</v>
      </c>
      <c r="C59" s="21" t="s">
        <v>253</v>
      </c>
      <c r="D59" s="21" t="s">
        <v>89</v>
      </c>
      <c r="E59" s="21">
        <v>2</v>
      </c>
      <c r="F59" s="21">
        <v>213917</v>
      </c>
      <c r="G59" s="42">
        <v>-0.39500000000000002</v>
      </c>
      <c r="H59" s="21" t="s">
        <v>254</v>
      </c>
      <c r="I59" s="39" t="str">
        <f ca="1">IFERROR(__xludf.DUMMYFUNCTION("IF(SUM(COUNTIF(artists!A:A, SPLIT(D59, "",""))) &gt; 0, ""UA"", 0)"),"UA")</f>
        <v>UA</v>
      </c>
      <c r="J59" s="40">
        <f ca="1">IFERROR(__xludf.DUMMYFUNCTION("IF(SUM(COUNTIF(artists!C:C, SPLIT(D59, "",""))) &gt; 0, ""RU"", 0)"),0)</f>
        <v>0</v>
      </c>
      <c r="K59" s="39">
        <f ca="1">IFERROR(__xludf.DUMMYFUNCTION("IF(SUM(COUNTIF(artists!E:E, SPLIT(D59, "",""))) &gt; 0, ""OTHER"", 0)"),0)</f>
        <v>0</v>
      </c>
    </row>
    <row r="60" spans="1:11" ht="14.25" customHeight="1">
      <c r="A60" s="21">
        <v>59</v>
      </c>
      <c r="B60" s="21">
        <v>48</v>
      </c>
      <c r="C60" s="21" t="s">
        <v>1960</v>
      </c>
      <c r="D60" s="21" t="s">
        <v>1050</v>
      </c>
      <c r="E60" s="21">
        <v>6</v>
      </c>
      <c r="F60" s="21">
        <v>212993</v>
      </c>
      <c r="G60" s="42">
        <v>-0.23100000000000001</v>
      </c>
      <c r="H60" s="21" t="s">
        <v>1961</v>
      </c>
      <c r="I60" s="39">
        <f ca="1">IFERROR(__xludf.DUMMYFUNCTION("IF(SUM(COUNTIF(artists!A:A, SPLIT(D60, "",""))) &gt; 0, ""UA"", 0)"),0)</f>
        <v>0</v>
      </c>
      <c r="J60" s="40" t="str">
        <f ca="1">IFERROR(__xludf.DUMMYFUNCTION("IF(SUM(COUNTIF(artists!C:C, SPLIT(D60, "",""))) &gt; 0, ""RU"", 0)"),"RU")</f>
        <v>RU</v>
      </c>
      <c r="K60" s="39">
        <f ca="1">IFERROR(__xludf.DUMMYFUNCTION("IF(SUM(COUNTIF(artists!E:E, SPLIT(D60, "",""))) &gt; 0, ""OTHER"", 0)"),0)</f>
        <v>0</v>
      </c>
    </row>
    <row r="61" spans="1:11" ht="14.25" customHeight="1">
      <c r="A61" s="21">
        <v>60</v>
      </c>
      <c r="B61" s="21">
        <v>67</v>
      </c>
      <c r="C61" s="21" t="s">
        <v>1911</v>
      </c>
      <c r="D61" s="21" t="s">
        <v>1912</v>
      </c>
      <c r="E61" s="21">
        <v>2</v>
      </c>
      <c r="F61" s="21">
        <v>211726</v>
      </c>
      <c r="G61" s="42">
        <v>8.9999999999999993E-3</v>
      </c>
      <c r="H61" s="21" t="s">
        <v>1913</v>
      </c>
      <c r="I61" s="39">
        <f ca="1">IFERROR(__xludf.DUMMYFUNCTION("IF(SUM(COUNTIF(artists!A:A, SPLIT(D61, "",""))) &gt; 0, ""UA"", 0)"),0)</f>
        <v>0</v>
      </c>
      <c r="J61" s="40" t="str">
        <f ca="1">IFERROR(__xludf.DUMMYFUNCTION("IF(SUM(COUNTIF(artists!C:C, SPLIT(D61, "",""))) &gt; 0, ""RU"", 0)"),"RU")</f>
        <v>RU</v>
      </c>
      <c r="K61" s="39">
        <f ca="1">IFERROR(__xludf.DUMMYFUNCTION("IF(SUM(COUNTIF(artists!E:E, SPLIT(D61, "",""))) &gt; 0, ""OTHER"", 0)"),0)</f>
        <v>0</v>
      </c>
    </row>
    <row r="62" spans="1:11" ht="14.25" customHeight="1">
      <c r="A62" s="21">
        <v>61</v>
      </c>
      <c r="C62" s="21" t="s">
        <v>2082</v>
      </c>
      <c r="D62" s="21" t="s">
        <v>2083</v>
      </c>
      <c r="E62" s="21">
        <v>1</v>
      </c>
      <c r="F62" s="21">
        <v>211440</v>
      </c>
      <c r="H62" s="21" t="s">
        <v>2084</v>
      </c>
      <c r="I62" s="39">
        <f ca="1">IFERROR(__xludf.DUMMYFUNCTION("IF(SUM(COUNTIF(artists!A:A, SPLIT(D62, "",""))) &gt; 0, ""UA"", 0)"),0)</f>
        <v>0</v>
      </c>
      <c r="J62" s="40" t="str">
        <f ca="1">IFERROR(__xludf.DUMMYFUNCTION("IF(SUM(COUNTIF(artists!C:C, SPLIT(D62, "",""))) &gt; 0, ""RU"", 0)"),"RU")</f>
        <v>RU</v>
      </c>
      <c r="K62" s="39">
        <f ca="1">IFERROR(__xludf.DUMMYFUNCTION("IF(SUM(COUNTIF(artists!E:E, SPLIT(D62, "",""))) &gt; 0, ""OTHER"", 0)"),0)</f>
        <v>0</v>
      </c>
    </row>
    <row r="63" spans="1:11" ht="14.25" customHeight="1">
      <c r="A63" s="21">
        <v>62</v>
      </c>
      <c r="B63" s="21">
        <v>50</v>
      </c>
      <c r="C63" s="21" t="s">
        <v>2009</v>
      </c>
      <c r="D63" s="21" t="s">
        <v>2010</v>
      </c>
      <c r="E63" s="21">
        <v>9</v>
      </c>
      <c r="F63" s="21">
        <v>206090</v>
      </c>
      <c r="G63" s="42">
        <v>-0.249</v>
      </c>
      <c r="H63" s="21" t="s">
        <v>2011</v>
      </c>
      <c r="I63" s="39">
        <f ca="1">IFERROR(__xludf.DUMMYFUNCTION("IF(SUM(COUNTIF(artists!A:A, SPLIT(D63, "",""))) &gt; 0, ""UA"", 0)"),0)</f>
        <v>0</v>
      </c>
      <c r="J63" s="40" t="str">
        <f ca="1">IFERROR(__xludf.DUMMYFUNCTION("IF(SUM(COUNTIF(artists!C:C, SPLIT(D63, "",""))) &gt; 0, ""RU"", 0)"),"RU")</f>
        <v>RU</v>
      </c>
      <c r="K63" s="39">
        <f ca="1">IFERROR(__xludf.DUMMYFUNCTION("IF(SUM(COUNTIF(artists!E:E, SPLIT(D63, "",""))) &gt; 0, ""OTHER"", 0)"),0)</f>
        <v>0</v>
      </c>
    </row>
    <row r="64" spans="1:11" ht="14.25" customHeight="1">
      <c r="A64" s="21">
        <v>63</v>
      </c>
      <c r="B64" s="21">
        <v>75</v>
      </c>
      <c r="C64" s="21" t="s">
        <v>1984</v>
      </c>
      <c r="D64" s="21" t="s">
        <v>1985</v>
      </c>
      <c r="E64" s="21">
        <v>5</v>
      </c>
      <c r="F64" s="21">
        <v>199878</v>
      </c>
      <c r="G64" s="42">
        <v>2.5000000000000001E-2</v>
      </c>
      <c r="H64" s="21" t="s">
        <v>1986</v>
      </c>
      <c r="I64" s="39">
        <f ca="1">IFERROR(__xludf.DUMMYFUNCTION("IF(SUM(COUNTIF(artists!A:A, SPLIT(D64, "",""))) &gt; 0, ""UA"", 0)"),0)</f>
        <v>0</v>
      </c>
      <c r="J64" s="40" t="str">
        <f ca="1">IFERROR(__xludf.DUMMYFUNCTION("IF(SUM(COUNTIF(artists!C:C, SPLIT(D64, "",""))) &gt; 0, ""RU"", 0)"),"RU")</f>
        <v>RU</v>
      </c>
      <c r="K64" s="39">
        <f ca="1">IFERROR(__xludf.DUMMYFUNCTION("IF(SUM(COUNTIF(artists!E:E, SPLIT(D64, "",""))) &gt; 0, ""OTHER"", 0)"),0)</f>
        <v>0</v>
      </c>
    </row>
    <row r="65" spans="1:11" ht="14.25" customHeight="1">
      <c r="A65" s="21">
        <v>64</v>
      </c>
      <c r="B65" s="21">
        <v>40</v>
      </c>
      <c r="C65" s="21" t="s">
        <v>2060</v>
      </c>
      <c r="D65" s="21" t="s">
        <v>2061</v>
      </c>
      <c r="E65" s="21">
        <v>3</v>
      </c>
      <c r="F65" s="21">
        <v>199279</v>
      </c>
      <c r="G65" s="42">
        <v>-0.34100000000000003</v>
      </c>
      <c r="H65" s="21" t="s">
        <v>2062</v>
      </c>
      <c r="I65" s="39">
        <f ca="1">IFERROR(__xludf.DUMMYFUNCTION("IF(SUM(COUNTIF(artists!A:A, SPLIT(D65, "",""))) &gt; 0, ""UA"", 0)"),0)</f>
        <v>0</v>
      </c>
      <c r="J65" s="40" t="str">
        <f ca="1">IFERROR(__xludf.DUMMYFUNCTION("IF(SUM(COUNTIF(artists!C:C, SPLIT(D65, "",""))) &gt; 0, ""RU"", 0)"),"RU")</f>
        <v>RU</v>
      </c>
      <c r="K65" s="39">
        <f ca="1">IFERROR(__xludf.DUMMYFUNCTION("IF(SUM(COUNTIF(artists!E:E, SPLIT(D65, "",""))) &gt; 0, ""OTHER"", 0)"),0)</f>
        <v>0</v>
      </c>
    </row>
    <row r="66" spans="1:11" ht="14.25" customHeight="1">
      <c r="A66" s="21">
        <v>65</v>
      </c>
      <c r="B66" s="21">
        <v>57</v>
      </c>
      <c r="C66" s="21" t="s">
        <v>2085</v>
      </c>
      <c r="D66" s="21" t="s">
        <v>2086</v>
      </c>
      <c r="E66" s="21">
        <v>8</v>
      </c>
      <c r="F66" s="21">
        <v>190864</v>
      </c>
      <c r="G66" s="42">
        <v>-0.22600000000000001</v>
      </c>
      <c r="H66" s="21" t="s">
        <v>2087</v>
      </c>
      <c r="I66" s="39">
        <f ca="1">IFERROR(__xludf.DUMMYFUNCTION("IF(SUM(COUNTIF(artists!A:A, SPLIT(D66, "",""))) &gt; 0, ""UA"", 0)"),0)</f>
        <v>0</v>
      </c>
      <c r="J66" s="40" t="str">
        <f ca="1">IFERROR(__xludf.DUMMYFUNCTION("IF(SUM(COUNTIF(artists!C:C, SPLIT(D66, "",""))) &gt; 0, ""RU"", 0)"),"RU")</f>
        <v>RU</v>
      </c>
      <c r="K66" s="39">
        <f ca="1">IFERROR(__xludf.DUMMYFUNCTION("IF(SUM(COUNTIF(artists!E:E, SPLIT(D66, "",""))) &gt; 0, ""OTHER"", 0)"),0)</f>
        <v>0</v>
      </c>
    </row>
    <row r="67" spans="1:11" ht="14.25" customHeight="1">
      <c r="A67" s="21">
        <v>66</v>
      </c>
      <c r="B67" s="21">
        <v>76</v>
      </c>
      <c r="C67" s="21" t="s">
        <v>1337</v>
      </c>
      <c r="D67" s="21" t="s">
        <v>1338</v>
      </c>
      <c r="E67" s="21">
        <v>8</v>
      </c>
      <c r="F67" s="21">
        <v>190263</v>
      </c>
      <c r="G67" s="42">
        <v>1E-3</v>
      </c>
      <c r="H67" s="21" t="s">
        <v>1339</v>
      </c>
      <c r="I67" s="39">
        <f ca="1">IFERROR(__xludf.DUMMYFUNCTION("IF(SUM(COUNTIF(artists!A:A, SPLIT(D67, "",""))) &gt; 0, ""UA"", 0)"),0)</f>
        <v>0</v>
      </c>
      <c r="J67" s="40">
        <f ca="1">IFERROR(__xludf.DUMMYFUNCTION("IF(SUM(COUNTIF(artists!C:C, SPLIT(D67, "",""))) &gt; 0, ""RU"", 0)"),0)</f>
        <v>0</v>
      </c>
      <c r="K67" s="39" t="str">
        <f ca="1">IFERROR(__xludf.DUMMYFUNCTION("IF(SUM(COUNTIF(artists!E:E, SPLIT(D67, "",""))) &gt; 0, ""OTHER"", 0)"),"OTHER")</f>
        <v>OTHER</v>
      </c>
    </row>
    <row r="68" spans="1:11" ht="14.25" customHeight="1">
      <c r="A68" s="21">
        <v>67</v>
      </c>
      <c r="B68" s="21">
        <v>69</v>
      </c>
      <c r="C68" s="21" t="s">
        <v>2007</v>
      </c>
      <c r="D68" s="21" t="s">
        <v>1652</v>
      </c>
      <c r="E68" s="21">
        <v>18</v>
      </c>
      <c r="F68" s="21">
        <v>188788</v>
      </c>
      <c r="G68" s="42">
        <v>-7.1999999999999995E-2</v>
      </c>
      <c r="H68" s="21" t="s">
        <v>2008</v>
      </c>
      <c r="I68" s="39">
        <f ca="1">IFERROR(__xludf.DUMMYFUNCTION("IF(SUM(COUNTIF(artists!A:A, SPLIT(D68, "",""))) &gt; 0, ""UA"", 0)"),0)</f>
        <v>0</v>
      </c>
      <c r="J68" s="40" t="str">
        <f ca="1">IFERROR(__xludf.DUMMYFUNCTION("IF(SUM(COUNTIF(artists!C:C, SPLIT(D68, "",""))) &gt; 0, ""RU"", 0)"),"RU")</f>
        <v>RU</v>
      </c>
      <c r="K68" s="39">
        <f ca="1">IFERROR(__xludf.DUMMYFUNCTION("IF(SUM(COUNTIF(artists!E:E, SPLIT(D68, "",""))) &gt; 0, ""OTHER"", 0)"),0)</f>
        <v>0</v>
      </c>
    </row>
    <row r="69" spans="1:11" ht="14.25" customHeight="1">
      <c r="A69" s="21">
        <v>68</v>
      </c>
      <c r="B69" s="21">
        <v>63</v>
      </c>
      <c r="C69" s="21" t="s">
        <v>1851</v>
      </c>
      <c r="D69" s="21" t="s">
        <v>1852</v>
      </c>
      <c r="E69" s="21">
        <v>2</v>
      </c>
      <c r="F69" s="21">
        <v>188564</v>
      </c>
      <c r="G69" s="42">
        <v>-0.14099999999999999</v>
      </c>
      <c r="H69" s="21" t="s">
        <v>1853</v>
      </c>
      <c r="I69" s="39">
        <f ca="1">IFERROR(__xludf.DUMMYFUNCTION("IF(SUM(COUNTIF(artists!A:A, SPLIT(D69, "",""))) &gt; 0, ""UA"", 0)"),0)</f>
        <v>0</v>
      </c>
      <c r="J69" s="40" t="str">
        <f ca="1">IFERROR(__xludf.DUMMYFUNCTION("IF(SUM(COUNTIF(artists!C:C, SPLIT(D69, "",""))) &gt; 0, ""RU"", 0)"),"RU")</f>
        <v>RU</v>
      </c>
      <c r="K69" s="39">
        <f ca="1">IFERROR(__xludf.DUMMYFUNCTION("IF(SUM(COUNTIF(artists!E:E, SPLIT(D69, "",""))) &gt; 0, ""OTHER"", 0)"),0)</f>
        <v>0</v>
      </c>
    </row>
    <row r="70" spans="1:11" ht="14.25" customHeight="1">
      <c r="A70" s="21">
        <v>69</v>
      </c>
      <c r="B70" s="21">
        <v>53</v>
      </c>
      <c r="C70" s="21" t="s">
        <v>2088</v>
      </c>
      <c r="D70" s="21" t="s">
        <v>2089</v>
      </c>
      <c r="E70" s="21">
        <v>3</v>
      </c>
      <c r="F70" s="21">
        <v>186862</v>
      </c>
      <c r="G70" s="42">
        <v>-0.29499999999999998</v>
      </c>
      <c r="H70" s="21" t="s">
        <v>2090</v>
      </c>
      <c r="I70" s="39">
        <f ca="1">IFERROR(__xludf.DUMMYFUNCTION("IF(SUM(COUNTIF(artists!A:A, SPLIT(D70, "",""))) &gt; 0, ""UA"", 0)"),0)</f>
        <v>0</v>
      </c>
      <c r="J70" s="40" t="str">
        <f ca="1">IFERROR(__xludf.DUMMYFUNCTION("IF(SUM(COUNTIF(artists!C:C, SPLIT(D70, "",""))) &gt; 0, ""RU"", 0)"),"RU")</f>
        <v>RU</v>
      </c>
      <c r="K70" s="39">
        <f ca="1">IFERROR(__xludf.DUMMYFUNCTION("IF(SUM(COUNTIF(artists!E:E, SPLIT(D70, "",""))) &gt; 0, ""OTHER"", 0)"),0)</f>
        <v>0</v>
      </c>
    </row>
    <row r="71" spans="1:11" ht="14.25" customHeight="1">
      <c r="A71" s="21">
        <v>70</v>
      </c>
      <c r="B71" s="21">
        <v>59</v>
      </c>
      <c r="C71" s="21" t="s">
        <v>1381</v>
      </c>
      <c r="D71" s="21" t="s">
        <v>969</v>
      </c>
      <c r="E71" s="21">
        <v>4</v>
      </c>
      <c r="F71" s="21">
        <v>184929</v>
      </c>
      <c r="G71" s="42">
        <v>-0.20499999999999999</v>
      </c>
      <c r="H71" s="21" t="s">
        <v>1382</v>
      </c>
      <c r="I71" s="39" t="str">
        <f ca="1">IFERROR(__xludf.DUMMYFUNCTION("IF(SUM(COUNTIF(artists!A:A, SPLIT(D71, "",""))) &gt; 0, ""UA"", 0)"),"UA")</f>
        <v>UA</v>
      </c>
      <c r="J71" s="40">
        <f ca="1">IFERROR(__xludf.DUMMYFUNCTION("IF(SUM(COUNTIF(artists!C:C, SPLIT(D71, "",""))) &gt; 0, ""RU"", 0)"),0)</f>
        <v>0</v>
      </c>
      <c r="K71" s="39">
        <f ca="1">IFERROR(__xludf.DUMMYFUNCTION("IF(SUM(COUNTIF(artists!E:E, SPLIT(D71, "",""))) &gt; 0, ""OTHER"", 0)"),0)</f>
        <v>0</v>
      </c>
    </row>
    <row r="72" spans="1:11" ht="14.25" customHeight="1">
      <c r="A72" s="21">
        <v>71</v>
      </c>
      <c r="B72" s="21">
        <v>73</v>
      </c>
      <c r="C72" s="21" t="s">
        <v>2091</v>
      </c>
      <c r="D72" s="21" t="s">
        <v>2092</v>
      </c>
      <c r="E72" s="21">
        <v>19</v>
      </c>
      <c r="F72" s="21">
        <v>183953</v>
      </c>
      <c r="G72" s="42">
        <v>-6.7000000000000004E-2</v>
      </c>
      <c r="H72" s="21" t="s">
        <v>2093</v>
      </c>
      <c r="I72" s="39">
        <f ca="1">IFERROR(__xludf.DUMMYFUNCTION("IF(SUM(COUNTIF(artists!A:A, SPLIT(D72, "",""))) &gt; 0, ""UA"", 0)"),0)</f>
        <v>0</v>
      </c>
      <c r="J72" s="40" t="str">
        <f ca="1">IFERROR(__xludf.DUMMYFUNCTION("IF(SUM(COUNTIF(artists!C:C, SPLIT(D72, "",""))) &gt; 0, ""RU"", 0)"),"RU")</f>
        <v>RU</v>
      </c>
      <c r="K72" s="39">
        <f ca="1">IFERROR(__xludf.DUMMYFUNCTION("IF(SUM(COUNTIF(artists!E:E, SPLIT(D72, "",""))) &gt; 0, ""OTHER"", 0)"),0)</f>
        <v>0</v>
      </c>
    </row>
    <row r="73" spans="1:11" ht="14.25" customHeight="1">
      <c r="A73" s="21">
        <v>72</v>
      </c>
      <c r="B73" s="21">
        <v>72</v>
      </c>
      <c r="C73" s="21" t="s">
        <v>1483</v>
      </c>
      <c r="D73" s="21" t="s">
        <v>972</v>
      </c>
      <c r="E73" s="21">
        <v>15</v>
      </c>
      <c r="F73" s="21">
        <v>178790</v>
      </c>
      <c r="G73" s="42">
        <v>-9.7000000000000003E-2</v>
      </c>
      <c r="H73" s="21" t="s">
        <v>1484</v>
      </c>
      <c r="I73" s="39">
        <f ca="1">IFERROR(__xludf.DUMMYFUNCTION("IF(SUM(COUNTIF(artists!A:A, SPLIT(D73, "",""))) &gt; 0, ""UA"", 0)"),0)</f>
        <v>0</v>
      </c>
      <c r="J73" s="40">
        <f ca="1">IFERROR(__xludf.DUMMYFUNCTION("IF(SUM(COUNTIF(artists!C:C, SPLIT(D73, "",""))) &gt; 0, ""RU"", 0)"),0)</f>
        <v>0</v>
      </c>
      <c r="K73" s="39" t="str">
        <f ca="1">IFERROR(__xludf.DUMMYFUNCTION("IF(SUM(COUNTIF(artists!E:E, SPLIT(D73, "",""))) &gt; 0, ""OTHER"", 0)"),"OTHER")</f>
        <v>OTHER</v>
      </c>
    </row>
    <row r="74" spans="1:11" ht="14.25" customHeight="1">
      <c r="A74" s="21">
        <v>73</v>
      </c>
      <c r="B74" s="21">
        <v>70</v>
      </c>
      <c r="C74" s="21" t="s">
        <v>2054</v>
      </c>
      <c r="D74" s="21" t="s">
        <v>2055</v>
      </c>
      <c r="E74" s="21">
        <v>10</v>
      </c>
      <c r="F74" s="21">
        <v>177621</v>
      </c>
      <c r="G74" s="42">
        <v>-0.11899999999999999</v>
      </c>
      <c r="H74" s="21" t="s">
        <v>2056</v>
      </c>
      <c r="I74" s="39">
        <f ca="1">IFERROR(__xludf.DUMMYFUNCTION("IF(SUM(COUNTIF(artists!A:A, SPLIT(D74, "",""))) &gt; 0, ""UA"", 0)"),0)</f>
        <v>0</v>
      </c>
      <c r="J74" s="40">
        <f ca="1">IFERROR(__xludf.DUMMYFUNCTION("IF(SUM(COUNTIF(artists!C:C, SPLIT(D74, "",""))) &gt; 0, ""RU"", 0)"),0)</f>
        <v>0</v>
      </c>
      <c r="K74" s="39" t="str">
        <f ca="1">IFERROR(__xludf.DUMMYFUNCTION("IF(SUM(COUNTIF(artists!E:E, SPLIT(D74, "",""))) &gt; 0, ""OTHER"", 0)"),"OTHER")</f>
        <v>OTHER</v>
      </c>
    </row>
    <row r="75" spans="1:11" ht="14.25" customHeight="1">
      <c r="A75" s="21">
        <v>74</v>
      </c>
      <c r="B75" s="21">
        <v>66</v>
      </c>
      <c r="C75" s="21" t="s">
        <v>2094</v>
      </c>
      <c r="D75" s="21" t="s">
        <v>104</v>
      </c>
      <c r="E75" s="21">
        <v>13</v>
      </c>
      <c r="F75" s="21">
        <v>174576</v>
      </c>
      <c r="G75" s="43">
        <v>-0.17</v>
      </c>
      <c r="H75" s="21" t="s">
        <v>2095</v>
      </c>
      <c r="I75" s="39" t="str">
        <f ca="1">IFERROR(__xludf.DUMMYFUNCTION("IF(SUM(COUNTIF(artists!A:A, SPLIT(D75, "",""))) &gt; 0, ""UA"", 0)"),"UA")</f>
        <v>UA</v>
      </c>
      <c r="J75" s="40">
        <f ca="1">IFERROR(__xludf.DUMMYFUNCTION("IF(SUM(COUNTIF(artists!C:C, SPLIT(D75, "",""))) &gt; 0, ""RU"", 0)"),0)</f>
        <v>0</v>
      </c>
      <c r="K75" s="39">
        <f ca="1">IFERROR(__xludf.DUMMYFUNCTION("IF(SUM(COUNTIF(artists!E:E, SPLIT(D75, "",""))) &gt; 0, ""OTHER"", 0)"),0)</f>
        <v>0</v>
      </c>
    </row>
    <row r="76" spans="1:11" ht="14.25" customHeight="1">
      <c r="A76" s="21">
        <v>75</v>
      </c>
      <c r="B76" s="21">
        <v>86</v>
      </c>
      <c r="C76" s="21" t="s">
        <v>2096</v>
      </c>
      <c r="D76" s="21" t="s">
        <v>2097</v>
      </c>
      <c r="E76" s="21">
        <v>7</v>
      </c>
      <c r="F76" s="21">
        <v>173703</v>
      </c>
      <c r="G76" s="42">
        <v>-8.0000000000000002E-3</v>
      </c>
      <c r="H76" s="21" t="s">
        <v>2098</v>
      </c>
      <c r="I76" s="39">
        <f ca="1">IFERROR(__xludf.DUMMYFUNCTION("IF(SUM(COUNTIF(artists!A:A, SPLIT(D76, "",""))) &gt; 0, ""UA"", 0)"),0)</f>
        <v>0</v>
      </c>
      <c r="J76" s="40" t="str">
        <f ca="1">IFERROR(__xludf.DUMMYFUNCTION("IF(SUM(COUNTIF(artists!C:C, SPLIT(D76, "",""))) &gt; 0, ""RU"", 0)"),"RU")</f>
        <v>RU</v>
      </c>
      <c r="K76" s="39">
        <f ca="1">IFERROR(__xludf.DUMMYFUNCTION("IF(SUM(COUNTIF(artists!E:E, SPLIT(D76, "",""))) &gt; 0, ""OTHER"", 0)"),0)</f>
        <v>0</v>
      </c>
    </row>
    <row r="77" spans="1:11" ht="14.25" customHeight="1">
      <c r="A77" s="21">
        <v>76</v>
      </c>
      <c r="B77" s="21">
        <v>55</v>
      </c>
      <c r="C77" s="21" t="s">
        <v>2099</v>
      </c>
      <c r="D77" s="21" t="s">
        <v>1170</v>
      </c>
      <c r="E77" s="21">
        <v>3</v>
      </c>
      <c r="F77" s="21">
        <v>170392</v>
      </c>
      <c r="G77" s="43">
        <v>-0.35</v>
      </c>
      <c r="H77" s="21" t="s">
        <v>2100</v>
      </c>
      <c r="I77" s="39">
        <f ca="1">IFERROR(__xludf.DUMMYFUNCTION("IF(SUM(COUNTIF(artists!A:A, SPLIT(D77, "",""))) &gt; 0, ""UA"", 0)"),0)</f>
        <v>0</v>
      </c>
      <c r="J77" s="40" t="str">
        <f ca="1">IFERROR(__xludf.DUMMYFUNCTION("IF(SUM(COUNTIF(artists!C:C, SPLIT(D77, "",""))) &gt; 0, ""RU"", 0)"),"RU")</f>
        <v>RU</v>
      </c>
      <c r="K77" s="39">
        <f ca="1">IFERROR(__xludf.DUMMYFUNCTION("IF(SUM(COUNTIF(artists!E:E, SPLIT(D77, "",""))) &gt; 0, ""OTHER"", 0)"),0)</f>
        <v>0</v>
      </c>
    </row>
    <row r="78" spans="1:11" ht="14.25" customHeight="1">
      <c r="A78" s="21">
        <v>77</v>
      </c>
      <c r="B78" s="21">
        <v>74</v>
      </c>
      <c r="C78" s="21" t="s">
        <v>2101</v>
      </c>
      <c r="D78" s="21" t="s">
        <v>2102</v>
      </c>
      <c r="E78" s="21">
        <v>12</v>
      </c>
      <c r="F78" s="21">
        <v>170005</v>
      </c>
      <c r="G78" s="42">
        <v>-0.13400000000000001</v>
      </c>
      <c r="H78" s="21" t="s">
        <v>2103</v>
      </c>
      <c r="I78" s="39">
        <f ca="1">IFERROR(__xludf.DUMMYFUNCTION("IF(SUM(COUNTIF(artists!A:A, SPLIT(D78, "",""))) &gt; 0, ""UA"", 0)"),0)</f>
        <v>0</v>
      </c>
      <c r="J78" s="40" t="str">
        <f ca="1">IFERROR(__xludf.DUMMYFUNCTION("IF(SUM(COUNTIF(artists!C:C, SPLIT(D78, "",""))) &gt; 0, ""RU"", 0)"),"RU")</f>
        <v>RU</v>
      </c>
      <c r="K78" s="39">
        <f ca="1">IFERROR(__xludf.DUMMYFUNCTION("IF(SUM(COUNTIF(artists!E:E, SPLIT(D78, "",""))) &gt; 0, ""OTHER"", 0)"),0)</f>
        <v>0</v>
      </c>
    </row>
    <row r="79" spans="1:11" ht="14.25" customHeight="1">
      <c r="A79" s="21">
        <v>78</v>
      </c>
      <c r="B79" s="21">
        <v>79</v>
      </c>
      <c r="C79" s="21" t="s">
        <v>1622</v>
      </c>
      <c r="D79" s="21" t="s">
        <v>137</v>
      </c>
      <c r="E79" s="21">
        <v>10</v>
      </c>
      <c r="F79" s="21">
        <v>167236</v>
      </c>
      <c r="G79" s="42">
        <v>-0.10199999999999999</v>
      </c>
      <c r="H79" s="21" t="s">
        <v>1623</v>
      </c>
      <c r="I79" s="39" t="str">
        <f ca="1">IFERROR(__xludf.DUMMYFUNCTION("IF(SUM(COUNTIF(artists!A:A, SPLIT(D79, "",""))) &gt; 0, ""UA"", 0)"),"UA")</f>
        <v>UA</v>
      </c>
      <c r="J79" s="40">
        <f ca="1">IFERROR(__xludf.DUMMYFUNCTION("IF(SUM(COUNTIF(artists!C:C, SPLIT(D79, "",""))) &gt; 0, ""RU"", 0)"),0)</f>
        <v>0</v>
      </c>
      <c r="K79" s="39">
        <f ca="1">IFERROR(__xludf.DUMMYFUNCTION("IF(SUM(COUNTIF(artists!E:E, SPLIT(D79, "",""))) &gt; 0, ""OTHER"", 0)"),0)</f>
        <v>0</v>
      </c>
    </row>
    <row r="80" spans="1:11" ht="14.25" customHeight="1">
      <c r="A80" s="21">
        <v>79</v>
      </c>
      <c r="B80" s="21">
        <v>83</v>
      </c>
      <c r="C80" s="21" t="s">
        <v>1447</v>
      </c>
      <c r="D80" s="21" t="s">
        <v>969</v>
      </c>
      <c r="E80" s="21">
        <v>10</v>
      </c>
      <c r="F80" s="21">
        <v>163656</v>
      </c>
      <c r="G80" s="42">
        <v>-9.8000000000000004E-2</v>
      </c>
      <c r="H80" s="21" t="s">
        <v>1448</v>
      </c>
      <c r="I80" s="39" t="str">
        <f ca="1">IFERROR(__xludf.DUMMYFUNCTION("IF(SUM(COUNTIF(artists!A:A, SPLIT(D80, "",""))) &gt; 0, ""UA"", 0)"),"UA")</f>
        <v>UA</v>
      </c>
      <c r="J80" s="40">
        <f ca="1">IFERROR(__xludf.DUMMYFUNCTION("IF(SUM(COUNTIF(artists!C:C, SPLIT(D80, "",""))) &gt; 0, ""RU"", 0)"),0)</f>
        <v>0</v>
      </c>
      <c r="K80" s="39">
        <f ca="1">IFERROR(__xludf.DUMMYFUNCTION("IF(SUM(COUNTIF(artists!E:E, SPLIT(D80, "",""))) &gt; 0, ""OTHER"", 0)"),0)</f>
        <v>0</v>
      </c>
    </row>
    <row r="81" spans="1:11" ht="14.25" customHeight="1">
      <c r="A81" s="21">
        <v>80</v>
      </c>
      <c r="B81" s="21">
        <v>84</v>
      </c>
      <c r="C81" s="21" t="s">
        <v>2104</v>
      </c>
      <c r="D81" s="21" t="s">
        <v>2105</v>
      </c>
      <c r="E81" s="21">
        <v>8</v>
      </c>
      <c r="F81" s="21">
        <v>158749</v>
      </c>
      <c r="G81" s="42">
        <v>-0.123</v>
      </c>
      <c r="H81" s="21" t="s">
        <v>2106</v>
      </c>
      <c r="I81" s="39">
        <f ca="1">IFERROR(__xludf.DUMMYFUNCTION("IF(SUM(COUNTIF(artists!A:A, SPLIT(D81, "",""))) &gt; 0, ""UA"", 0)"),0)</f>
        <v>0</v>
      </c>
      <c r="J81" s="40" t="str">
        <f ca="1">IFERROR(__xludf.DUMMYFUNCTION("IF(SUM(COUNTIF(artists!C:C, SPLIT(D81, "",""))) &gt; 0, ""RU"", 0)"),"RU")</f>
        <v>RU</v>
      </c>
      <c r="K81" s="39">
        <f ca="1">IFERROR(__xludf.DUMMYFUNCTION("IF(SUM(COUNTIF(artists!E:E, SPLIT(D81, "",""))) &gt; 0, ""OTHER"", 0)"),0)</f>
        <v>0</v>
      </c>
    </row>
    <row r="82" spans="1:11" ht="14.25" customHeight="1">
      <c r="A82" s="21">
        <v>81</v>
      </c>
      <c r="B82" s="21">
        <v>68</v>
      </c>
      <c r="C82" s="21" t="s">
        <v>2107</v>
      </c>
      <c r="D82" s="21" t="s">
        <v>1783</v>
      </c>
      <c r="E82" s="21">
        <v>7</v>
      </c>
      <c r="F82" s="21">
        <v>156561</v>
      </c>
      <c r="G82" s="42">
        <v>-0.23799999999999999</v>
      </c>
      <c r="H82" s="21" t="s">
        <v>2108</v>
      </c>
      <c r="I82" s="39">
        <f ca="1">IFERROR(__xludf.DUMMYFUNCTION("IF(SUM(COUNTIF(artists!A:A, SPLIT(D82, "",""))) &gt; 0, ""UA"", 0)"),0)</f>
        <v>0</v>
      </c>
      <c r="J82" s="40" t="str">
        <f ca="1">IFERROR(__xludf.DUMMYFUNCTION("IF(SUM(COUNTIF(artists!C:C, SPLIT(D82, "",""))) &gt; 0, ""RU"", 0)"),"RU")</f>
        <v>RU</v>
      </c>
      <c r="K82" s="39">
        <f ca="1">IFERROR(__xludf.DUMMYFUNCTION("IF(SUM(COUNTIF(artists!E:E, SPLIT(D82, "",""))) &gt; 0, ""OTHER"", 0)"),0)</f>
        <v>0</v>
      </c>
    </row>
    <row r="83" spans="1:11" ht="14.25" customHeight="1">
      <c r="A83" s="21">
        <v>82</v>
      </c>
      <c r="B83" s="21">
        <v>81</v>
      </c>
      <c r="C83" s="21" t="s">
        <v>2109</v>
      </c>
      <c r="D83" s="21" t="s">
        <v>2110</v>
      </c>
      <c r="E83" s="21">
        <v>8</v>
      </c>
      <c r="F83" s="21">
        <v>155979</v>
      </c>
      <c r="G83" s="42">
        <v>-0.154</v>
      </c>
      <c r="H83" s="21" t="s">
        <v>2111</v>
      </c>
      <c r="I83" s="39">
        <f ca="1">IFERROR(__xludf.DUMMYFUNCTION("IF(SUM(COUNTIF(artists!A:A, SPLIT(D83, "",""))) &gt; 0, ""UA"", 0)"),0)</f>
        <v>0</v>
      </c>
      <c r="J83" s="40" t="str">
        <f ca="1">IFERROR(__xludf.DUMMYFUNCTION("IF(SUM(COUNTIF(artists!C:C, SPLIT(D83, "",""))) &gt; 0, ""RU"", 0)"),"RU")</f>
        <v>RU</v>
      </c>
      <c r="K83" s="39">
        <f ca="1">IFERROR(__xludf.DUMMYFUNCTION("IF(SUM(COUNTIF(artists!E:E, SPLIT(D83, "",""))) &gt; 0, ""OTHER"", 0)"),0)</f>
        <v>0</v>
      </c>
    </row>
    <row r="84" spans="1:11" ht="14.25" customHeight="1">
      <c r="A84" s="21">
        <v>83</v>
      </c>
      <c r="B84" s="21">
        <v>58</v>
      </c>
      <c r="C84" s="21" t="s">
        <v>1588</v>
      </c>
      <c r="D84" s="21" t="s">
        <v>776</v>
      </c>
      <c r="E84" s="21">
        <v>3</v>
      </c>
      <c r="F84" s="21">
        <v>152764</v>
      </c>
      <c r="G84" s="42">
        <v>-0.34499999999999997</v>
      </c>
      <c r="H84" s="21" t="s">
        <v>1589</v>
      </c>
      <c r="I84" s="39" t="str">
        <f ca="1">IFERROR(__xludf.DUMMYFUNCTION("IF(SUM(COUNTIF(artists!A:A, SPLIT(D84, "",""))) &gt; 0, ""UA"", 0)"),"UA")</f>
        <v>UA</v>
      </c>
      <c r="J84" s="40">
        <f ca="1">IFERROR(__xludf.DUMMYFUNCTION("IF(SUM(COUNTIF(artists!C:C, SPLIT(D84, "",""))) &gt; 0, ""RU"", 0)"),0)</f>
        <v>0</v>
      </c>
      <c r="K84" s="39">
        <f ca="1">IFERROR(__xludf.DUMMYFUNCTION("IF(SUM(COUNTIF(artists!E:E, SPLIT(D84, "",""))) &gt; 0, ""OTHER"", 0)"),0)</f>
        <v>0</v>
      </c>
    </row>
    <row r="85" spans="1:11" ht="14.25" customHeight="1">
      <c r="A85" s="21">
        <v>84</v>
      </c>
      <c r="B85" s="21">
        <v>93</v>
      </c>
      <c r="C85" s="21" t="s">
        <v>2112</v>
      </c>
      <c r="D85" s="21" t="s">
        <v>1996</v>
      </c>
      <c r="E85" s="21">
        <v>12</v>
      </c>
      <c r="F85" s="21">
        <v>151350</v>
      </c>
      <c r="G85" s="42">
        <v>-7.6999999999999999E-2</v>
      </c>
      <c r="H85" s="21" t="s">
        <v>2113</v>
      </c>
      <c r="I85" s="39">
        <f ca="1">IFERROR(__xludf.DUMMYFUNCTION("IF(SUM(COUNTIF(artists!A:A, SPLIT(D85, "",""))) &gt; 0, ""UA"", 0)"),0)</f>
        <v>0</v>
      </c>
      <c r="J85" s="40" t="str">
        <f ca="1">IFERROR(__xludf.DUMMYFUNCTION("IF(SUM(COUNTIF(artists!C:C, SPLIT(D85, "",""))) &gt; 0, ""RU"", 0)"),"RU")</f>
        <v>RU</v>
      </c>
      <c r="K85" s="39">
        <f ca="1">IFERROR(__xludf.DUMMYFUNCTION("IF(SUM(COUNTIF(artists!E:E, SPLIT(D85, "",""))) &gt; 0, ""OTHER"", 0)"),0)</f>
        <v>0</v>
      </c>
    </row>
    <row r="86" spans="1:11" ht="14.25" customHeight="1">
      <c r="A86" s="21">
        <v>85</v>
      </c>
      <c r="C86" s="21" t="s">
        <v>1670</v>
      </c>
      <c r="D86" s="21" t="s">
        <v>969</v>
      </c>
      <c r="E86" s="21">
        <v>12</v>
      </c>
      <c r="F86" s="21">
        <v>149922</v>
      </c>
      <c r="H86" s="21" t="s">
        <v>1671</v>
      </c>
      <c r="I86" s="39" t="str">
        <f ca="1">IFERROR(__xludf.DUMMYFUNCTION("IF(SUM(COUNTIF(artists!A:A, SPLIT(D86, "",""))) &gt; 0, ""UA"", 0)"),"UA")</f>
        <v>UA</v>
      </c>
      <c r="J86" s="40">
        <f ca="1">IFERROR(__xludf.DUMMYFUNCTION("IF(SUM(COUNTIF(artists!C:C, SPLIT(D86, "",""))) &gt; 0, ""RU"", 0)"),0)</f>
        <v>0</v>
      </c>
      <c r="K86" s="39">
        <f ca="1">IFERROR(__xludf.DUMMYFUNCTION("IF(SUM(COUNTIF(artists!E:E, SPLIT(D86, "",""))) &gt; 0, ""OTHER"", 0)"),0)</f>
        <v>0</v>
      </c>
    </row>
    <row r="87" spans="1:11" ht="14.25" customHeight="1">
      <c r="A87" s="21">
        <v>86</v>
      </c>
      <c r="B87" s="21">
        <v>89</v>
      </c>
      <c r="C87" s="21" t="s">
        <v>2114</v>
      </c>
      <c r="D87" s="21" t="s">
        <v>2115</v>
      </c>
      <c r="E87" s="21">
        <v>12</v>
      </c>
      <c r="F87" s="21">
        <v>149805</v>
      </c>
      <c r="G87" s="42">
        <v>-0.129</v>
      </c>
      <c r="H87" s="21" t="s">
        <v>2116</v>
      </c>
      <c r="I87" s="39">
        <f ca="1">IFERROR(__xludf.DUMMYFUNCTION("IF(SUM(COUNTIF(artists!A:A, SPLIT(D87, "",""))) &gt; 0, ""UA"", 0)"),0)</f>
        <v>0</v>
      </c>
      <c r="J87" s="40" t="str">
        <f ca="1">IFERROR(__xludf.DUMMYFUNCTION("IF(SUM(COUNTIF(artists!C:C, SPLIT(D87, "",""))) &gt; 0, ""RU"", 0)"),"RU")</f>
        <v>RU</v>
      </c>
      <c r="K87" s="39">
        <f ca="1">IFERROR(__xludf.DUMMYFUNCTION("IF(SUM(COUNTIF(artists!E:E, SPLIT(D87, "",""))) &gt; 0, ""OTHER"", 0)"),0)</f>
        <v>0</v>
      </c>
    </row>
    <row r="88" spans="1:11" ht="14.25" customHeight="1">
      <c r="A88" s="21">
        <v>87</v>
      </c>
      <c r="C88" s="21" t="s">
        <v>2117</v>
      </c>
      <c r="D88" s="21" t="s">
        <v>2118</v>
      </c>
      <c r="E88" s="21">
        <v>8</v>
      </c>
      <c r="F88" s="21">
        <v>149797</v>
      </c>
      <c r="H88" s="21" t="s">
        <v>2119</v>
      </c>
      <c r="I88" s="39">
        <f ca="1">IFERROR(__xludf.DUMMYFUNCTION("IF(SUM(COUNTIF(artists!A:A, SPLIT(D88, "",""))) &gt; 0, ""UA"", 0)"),0)</f>
        <v>0</v>
      </c>
      <c r="J88" s="40">
        <f ca="1">IFERROR(__xludf.DUMMYFUNCTION("IF(SUM(COUNTIF(artists!C:C, SPLIT(D88, "",""))) &gt; 0, ""RU"", 0)"),0)</f>
        <v>0</v>
      </c>
      <c r="K88" s="39" t="str">
        <f ca="1">IFERROR(__xludf.DUMMYFUNCTION("IF(SUM(COUNTIF(artists!E:E, SPLIT(D88, "",""))) &gt; 0, ""OTHER"", 0)"),"OTHER")</f>
        <v>OTHER</v>
      </c>
    </row>
    <row r="89" spans="1:11" ht="14.25" customHeight="1">
      <c r="A89" s="21">
        <v>88</v>
      </c>
      <c r="B89" s="21">
        <v>77</v>
      </c>
      <c r="C89" s="21" t="s">
        <v>2120</v>
      </c>
      <c r="D89" s="21" t="s">
        <v>2121</v>
      </c>
      <c r="E89" s="21">
        <v>10</v>
      </c>
      <c r="F89" s="21">
        <v>149473</v>
      </c>
      <c r="G89" s="42">
        <v>-0.20100000000000001</v>
      </c>
      <c r="H89" s="21" t="s">
        <v>2122</v>
      </c>
      <c r="I89" s="39">
        <f ca="1">IFERROR(__xludf.DUMMYFUNCTION("IF(SUM(COUNTIF(artists!A:A, SPLIT(D89, "",""))) &gt; 0, ""UA"", 0)"),0)</f>
        <v>0</v>
      </c>
      <c r="J89" s="40">
        <f ca="1">IFERROR(__xludf.DUMMYFUNCTION("IF(SUM(COUNTIF(artists!C:C, SPLIT(D89, "",""))) &gt; 0, ""RU"", 0)"),0)</f>
        <v>0</v>
      </c>
      <c r="K89" s="39" t="str">
        <f ca="1">IFERROR(__xludf.DUMMYFUNCTION("IF(SUM(COUNTIF(artists!E:E, SPLIT(D89, "",""))) &gt; 0, ""OTHER"", 0)"),"OTHER")</f>
        <v>OTHER</v>
      </c>
    </row>
    <row r="90" spans="1:11" ht="14.25" customHeight="1">
      <c r="A90" s="21">
        <v>89</v>
      </c>
      <c r="C90" s="21" t="s">
        <v>1889</v>
      </c>
      <c r="D90" s="21" t="s">
        <v>1890</v>
      </c>
      <c r="E90" s="21">
        <v>1</v>
      </c>
      <c r="F90" s="21">
        <v>142465</v>
      </c>
      <c r="H90" s="21" t="s">
        <v>1891</v>
      </c>
      <c r="I90" s="39" t="str">
        <f ca="1">IFERROR(__xludf.DUMMYFUNCTION("IF(SUM(COUNTIF(artists!A:A, SPLIT(D90, "",""))) &gt; 0, ""UA"", 0)"),"UA")</f>
        <v>UA</v>
      </c>
      <c r="J90" s="40">
        <f ca="1">IFERROR(__xludf.DUMMYFUNCTION("IF(SUM(COUNTIF(artists!C:C, SPLIT(D90, "",""))) &gt; 0, ""RU"", 0)"),0)</f>
        <v>0</v>
      </c>
      <c r="K90" s="39">
        <f ca="1">IFERROR(__xludf.DUMMYFUNCTION("IF(SUM(COUNTIF(artists!E:E, SPLIT(D90, "",""))) &gt; 0, ""OTHER"", 0)"),0)</f>
        <v>0</v>
      </c>
    </row>
    <row r="91" spans="1:11" ht="14.25" customHeight="1">
      <c r="A91" s="21">
        <v>90</v>
      </c>
      <c r="B91" s="21">
        <v>91</v>
      </c>
      <c r="C91" s="21" t="s">
        <v>2123</v>
      </c>
      <c r="D91" s="21" t="s">
        <v>2124</v>
      </c>
      <c r="E91" s="21">
        <v>12</v>
      </c>
      <c r="F91" s="21">
        <v>141591</v>
      </c>
      <c r="G91" s="42">
        <v>-0.156</v>
      </c>
      <c r="H91" s="21" t="s">
        <v>2125</v>
      </c>
      <c r="I91" s="39">
        <f ca="1">IFERROR(__xludf.DUMMYFUNCTION("IF(SUM(COUNTIF(artists!A:A, SPLIT(D91, "",""))) &gt; 0, ""UA"", 0)"),0)</f>
        <v>0</v>
      </c>
      <c r="J91" s="40" t="str">
        <f ca="1">IFERROR(__xludf.DUMMYFUNCTION("IF(SUM(COUNTIF(artists!C:C, SPLIT(D91, "",""))) &gt; 0, ""RU"", 0)"),"RU")</f>
        <v>RU</v>
      </c>
      <c r="K91" s="39">
        <f ca="1">IFERROR(__xludf.DUMMYFUNCTION("IF(SUM(COUNTIF(artists!E:E, SPLIT(D91, "",""))) &gt; 0, ""OTHER"", 0)"),0)</f>
        <v>0</v>
      </c>
    </row>
    <row r="92" spans="1:11" ht="14.25" customHeight="1">
      <c r="A92" s="21">
        <v>91</v>
      </c>
      <c r="C92" s="21" t="s">
        <v>2126</v>
      </c>
      <c r="D92" s="21" t="s">
        <v>2127</v>
      </c>
      <c r="E92" s="21">
        <v>1</v>
      </c>
      <c r="F92" s="21">
        <v>138830</v>
      </c>
      <c r="H92" s="21" t="s">
        <v>2128</v>
      </c>
      <c r="I92" s="39">
        <f ca="1">IFERROR(__xludf.DUMMYFUNCTION("IF(SUM(COUNTIF(artists!A:A, SPLIT(D92, "",""))) &gt; 0, ""UA"", 0)"),0)</f>
        <v>0</v>
      </c>
      <c r="J92" s="40" t="str">
        <f ca="1">IFERROR(__xludf.DUMMYFUNCTION("IF(SUM(COUNTIF(artists!C:C, SPLIT(D92, "",""))) &gt; 0, ""RU"", 0)"),"RU")</f>
        <v>RU</v>
      </c>
      <c r="K92" s="39">
        <f ca="1">IFERROR(__xludf.DUMMYFUNCTION("IF(SUM(COUNTIF(artists!E:E, SPLIT(D92, "",""))) &gt; 0, ""OTHER"", 0)"),0)</f>
        <v>0</v>
      </c>
    </row>
    <row r="93" spans="1:11" ht="14.25" customHeight="1">
      <c r="A93" s="21">
        <v>92</v>
      </c>
      <c r="B93" s="21">
        <v>98</v>
      </c>
      <c r="C93" s="21" t="s">
        <v>2129</v>
      </c>
      <c r="D93" s="21" t="s">
        <v>1652</v>
      </c>
      <c r="E93" s="21">
        <v>18</v>
      </c>
      <c r="F93" s="21">
        <v>137319</v>
      </c>
      <c r="G93" s="42">
        <v>-0.13400000000000001</v>
      </c>
      <c r="H93" s="21" t="s">
        <v>2130</v>
      </c>
      <c r="I93" s="39">
        <f ca="1">IFERROR(__xludf.DUMMYFUNCTION("IF(SUM(COUNTIF(artists!A:A, SPLIT(D93, "",""))) &gt; 0, ""UA"", 0)"),0)</f>
        <v>0</v>
      </c>
      <c r="J93" s="40" t="str">
        <f ca="1">IFERROR(__xludf.DUMMYFUNCTION("IF(SUM(COUNTIF(artists!C:C, SPLIT(D93, "",""))) &gt; 0, ""RU"", 0)"),"RU")</f>
        <v>RU</v>
      </c>
      <c r="K93" s="39">
        <f ca="1">IFERROR(__xludf.DUMMYFUNCTION("IF(SUM(COUNTIF(artists!E:E, SPLIT(D93, "",""))) &gt; 0, ""OTHER"", 0)"),0)</f>
        <v>0</v>
      </c>
    </row>
    <row r="94" spans="1:11" ht="14.25" customHeight="1">
      <c r="A94" s="21">
        <v>93</v>
      </c>
      <c r="B94" s="21">
        <v>87</v>
      </c>
      <c r="C94" s="21" t="s">
        <v>2131</v>
      </c>
      <c r="D94" s="21" t="s">
        <v>2132</v>
      </c>
      <c r="E94" s="21">
        <v>5</v>
      </c>
      <c r="F94" s="21">
        <v>135006</v>
      </c>
      <c r="G94" s="42">
        <v>-0.22900000000000001</v>
      </c>
      <c r="H94" s="21" t="s">
        <v>2133</v>
      </c>
      <c r="I94" s="39">
        <f ca="1">IFERROR(__xludf.DUMMYFUNCTION("IF(SUM(COUNTIF(artists!A:A, SPLIT(D94, "",""))) &gt; 0, ""UA"", 0)"),0)</f>
        <v>0</v>
      </c>
      <c r="J94" s="40" t="str">
        <f ca="1">IFERROR(__xludf.DUMMYFUNCTION("IF(SUM(COUNTIF(artists!C:C, SPLIT(D94, "",""))) &gt; 0, ""RU"", 0)"),"RU")</f>
        <v>RU</v>
      </c>
      <c r="K94" s="39">
        <f ca="1">IFERROR(__xludf.DUMMYFUNCTION("IF(SUM(COUNTIF(artists!E:E, SPLIT(D94, "",""))) &gt; 0, ""OTHER"", 0)"),0)</f>
        <v>0</v>
      </c>
    </row>
    <row r="95" spans="1:11" ht="14.25" customHeight="1">
      <c r="A95" s="21">
        <v>94</v>
      </c>
      <c r="C95" s="21" t="s">
        <v>1222</v>
      </c>
      <c r="D95" s="21" t="s">
        <v>1223</v>
      </c>
      <c r="E95" s="21">
        <v>18</v>
      </c>
      <c r="F95" s="21">
        <v>134860</v>
      </c>
      <c r="H95" s="21" t="s">
        <v>1224</v>
      </c>
      <c r="I95" s="39">
        <f ca="1">IFERROR(__xludf.DUMMYFUNCTION("IF(SUM(COUNTIF(artists!A:A, SPLIT(D95, "",""))) &gt; 0, ""UA"", 0)"),0)</f>
        <v>0</v>
      </c>
      <c r="J95" s="40" t="str">
        <f ca="1">IFERROR(__xludf.DUMMYFUNCTION("IF(SUM(COUNTIF(artists!C:C, SPLIT(D95, "",""))) &gt; 0, ""RU"", 0)"),"RU")</f>
        <v>RU</v>
      </c>
      <c r="K95" s="39">
        <f ca="1">IFERROR(__xludf.DUMMYFUNCTION("IF(SUM(COUNTIF(artists!E:E, SPLIT(D95, "",""))) &gt; 0, ""OTHER"", 0)"),0)</f>
        <v>0</v>
      </c>
    </row>
    <row r="96" spans="1:11" ht="14.25" customHeight="1">
      <c r="A96" s="21">
        <v>95</v>
      </c>
      <c r="B96" s="21">
        <v>97</v>
      </c>
      <c r="C96" s="21" t="s">
        <v>2134</v>
      </c>
      <c r="D96" s="21" t="s">
        <v>2135</v>
      </c>
      <c r="E96" s="21">
        <v>7</v>
      </c>
      <c r="F96" s="21">
        <v>133169</v>
      </c>
      <c r="G96" s="42">
        <v>-0.16200000000000001</v>
      </c>
      <c r="H96" s="21" t="s">
        <v>2136</v>
      </c>
      <c r="I96" s="39" t="str">
        <f ca="1">IFERROR(__xludf.DUMMYFUNCTION("IF(SUM(COUNTIF(artists!A:A, SPLIT(D96, "",""))) &gt; 0, ""UA"", 0)"),"UA")</f>
        <v>UA</v>
      </c>
      <c r="J96" s="40">
        <f ca="1">IFERROR(__xludf.DUMMYFUNCTION("IF(SUM(COUNTIF(artists!C:C, SPLIT(D96, "",""))) &gt; 0, ""RU"", 0)"),0)</f>
        <v>0</v>
      </c>
      <c r="K96" s="39">
        <f ca="1">IFERROR(__xludf.DUMMYFUNCTION("IF(SUM(COUNTIF(artists!E:E, SPLIT(D96, "",""))) &gt; 0, ""OTHER"", 0)"),0)</f>
        <v>0</v>
      </c>
    </row>
    <row r="97" spans="1:11" ht="14.25" customHeight="1">
      <c r="A97" s="21">
        <v>96</v>
      </c>
      <c r="C97" s="21" t="s">
        <v>2137</v>
      </c>
      <c r="D97" s="21" t="s">
        <v>1752</v>
      </c>
      <c r="E97" s="21">
        <v>1</v>
      </c>
      <c r="F97" s="21">
        <v>133067</v>
      </c>
      <c r="H97" s="21" t="s">
        <v>2138</v>
      </c>
      <c r="I97" s="39" t="str">
        <f ca="1">IFERROR(__xludf.DUMMYFUNCTION("IF(SUM(COUNTIF(artists!A:A, SPLIT(D97, "",""))) &gt; 0, ""UA"", 0)"),"UA")</f>
        <v>UA</v>
      </c>
      <c r="J97" s="40">
        <f ca="1">IFERROR(__xludf.DUMMYFUNCTION("IF(SUM(COUNTIF(artists!C:C, SPLIT(D97, "",""))) &gt; 0, ""RU"", 0)"),0)</f>
        <v>0</v>
      </c>
      <c r="K97" s="39">
        <f ca="1">IFERROR(__xludf.DUMMYFUNCTION("IF(SUM(COUNTIF(artists!E:E, SPLIT(D97, "",""))) &gt; 0, ""OTHER"", 0)"),0)</f>
        <v>0</v>
      </c>
    </row>
    <row r="98" spans="1:11" ht="14.25" customHeight="1">
      <c r="A98" s="21">
        <v>97</v>
      </c>
      <c r="C98" s="21" t="s">
        <v>2139</v>
      </c>
      <c r="D98" s="21" t="s">
        <v>1602</v>
      </c>
      <c r="E98" s="21">
        <v>1</v>
      </c>
      <c r="F98" s="21">
        <v>132629</v>
      </c>
      <c r="H98" s="21" t="s">
        <v>2140</v>
      </c>
      <c r="I98" s="39">
        <f ca="1">IFERROR(__xludf.DUMMYFUNCTION("IF(SUM(COUNTIF(artists!A:A, SPLIT(D98, "",""))) &gt; 0, ""UA"", 0)"),0)</f>
        <v>0</v>
      </c>
      <c r="J98" s="40" t="str">
        <f ca="1">IFERROR(__xludf.DUMMYFUNCTION("IF(SUM(COUNTIF(artists!C:C, SPLIT(D98, "",""))) &gt; 0, ""RU"", 0)"),"RU")</f>
        <v>RU</v>
      </c>
      <c r="K98" s="39">
        <f ca="1">IFERROR(__xludf.DUMMYFUNCTION("IF(SUM(COUNTIF(artists!E:E, SPLIT(D98, "",""))) &gt; 0, ""OTHER"", 0)"),0)</f>
        <v>0</v>
      </c>
    </row>
    <row r="99" spans="1:11" ht="14.25" customHeight="1">
      <c r="A99" s="21">
        <v>98</v>
      </c>
      <c r="C99" s="21" t="s">
        <v>2141</v>
      </c>
      <c r="D99" s="21" t="s">
        <v>2018</v>
      </c>
      <c r="E99" s="21">
        <v>15</v>
      </c>
      <c r="F99" s="21">
        <v>129429</v>
      </c>
      <c r="H99" s="21" t="s">
        <v>2142</v>
      </c>
      <c r="I99" s="39">
        <f ca="1">IFERROR(__xludf.DUMMYFUNCTION("IF(SUM(COUNTIF(artists!A:A, SPLIT(D99, "",""))) &gt; 0, ""UA"", 0)"),0)</f>
        <v>0</v>
      </c>
      <c r="J99" s="40" t="str">
        <f ca="1">IFERROR(__xludf.DUMMYFUNCTION("IF(SUM(COUNTIF(artists!C:C, SPLIT(D99, "",""))) &gt; 0, ""RU"", 0)"),"RU")</f>
        <v>RU</v>
      </c>
      <c r="K99" s="39">
        <f ca="1">IFERROR(__xludf.DUMMYFUNCTION("IF(SUM(COUNTIF(artists!E:E, SPLIT(D99, "",""))) &gt; 0, ""OTHER"", 0)"),0)</f>
        <v>0</v>
      </c>
    </row>
    <row r="100" spans="1:11" ht="14.25" customHeight="1">
      <c r="A100" s="21">
        <v>99</v>
      </c>
      <c r="C100" s="21" t="s">
        <v>516</v>
      </c>
      <c r="D100" s="21" t="s">
        <v>517</v>
      </c>
      <c r="E100" s="21">
        <v>5</v>
      </c>
      <c r="F100" s="21">
        <v>129281</v>
      </c>
      <c r="H100" s="21" t="s">
        <v>518</v>
      </c>
      <c r="I100" s="39">
        <f ca="1">IFERROR(__xludf.DUMMYFUNCTION("IF(SUM(COUNTIF(artists!A:A, SPLIT(D100, "",""))) &gt; 0, ""UA"", 0)"),0)</f>
        <v>0</v>
      </c>
      <c r="J100" s="40">
        <f ca="1">IFERROR(__xludf.DUMMYFUNCTION("IF(SUM(COUNTIF(artists!C:C, SPLIT(D100, "",""))) &gt; 0, ""RU"", 0)"),0)</f>
        <v>0</v>
      </c>
      <c r="K100" s="39" t="str">
        <f ca="1">IFERROR(__xludf.DUMMYFUNCTION("IF(SUM(COUNTIF(artists!E:E, SPLIT(D100, "",""))) &gt; 0, ""OTHER"", 0)"),"OTHER")</f>
        <v>OTHER</v>
      </c>
    </row>
    <row r="101" spans="1:11" ht="14.25" customHeight="1">
      <c r="A101" s="21">
        <v>100</v>
      </c>
      <c r="C101" s="21" t="s">
        <v>841</v>
      </c>
      <c r="D101" s="21" t="s">
        <v>842</v>
      </c>
      <c r="E101" s="21">
        <v>6</v>
      </c>
      <c r="F101" s="21">
        <v>127873</v>
      </c>
      <c r="H101" s="21" t="s">
        <v>843</v>
      </c>
      <c r="I101" s="39">
        <f ca="1">IFERROR(__xludf.DUMMYFUNCTION("IF(SUM(COUNTIF(artists!A:A, SPLIT(D101, "",""))) &gt; 0, ""UA"", 0)"),0)</f>
        <v>0</v>
      </c>
      <c r="J101" s="40">
        <f ca="1">IFERROR(__xludf.DUMMYFUNCTION("IF(SUM(COUNTIF(artists!C:C, SPLIT(D101, "",""))) &gt; 0, ""RU"", 0)"),0)</f>
        <v>0</v>
      </c>
      <c r="K101" s="39" t="str">
        <f ca="1">IFERROR(__xludf.DUMMYFUNCTION("IF(SUM(COUNTIF(artists!E:E, SPLIT(D101, "",""))) &gt; 0, ""OTHER"", 0)"),"OTHER")</f>
        <v>OTHER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15" priority="1">
      <formula>AND($I2=0, $J2=0, $K2=0)</formula>
    </cfRule>
    <cfRule type="expression" dxfId="14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700-000000000000}">
  <sheetPr codeName="Аркуш56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4" width="8.6640625" customWidth="1"/>
    <col min="5" max="5" width="8.6640625" hidden="1" customWidth="1"/>
    <col min="6" max="6" width="8.6640625" customWidth="1"/>
    <col min="7" max="7" width="13.10937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B2" s="21">
        <v>1</v>
      </c>
      <c r="C2" s="21" t="s">
        <v>1263</v>
      </c>
      <c r="D2" s="21" t="s">
        <v>1264</v>
      </c>
      <c r="E2" s="21">
        <v>15</v>
      </c>
      <c r="F2" s="21">
        <v>1719688</v>
      </c>
      <c r="G2" s="42">
        <v>0.129</v>
      </c>
      <c r="H2" s="21" t="s">
        <v>1265</v>
      </c>
      <c r="I2" s="39">
        <f ca="1">IFERROR(__xludf.DUMMYFUNCTION("IF(SUM(COUNTIF(artists!A:A, SPLIT(D2, "",""))) &gt; 0, ""UA"", 0)"),0)</f>
        <v>0</v>
      </c>
      <c r="J2" s="40" t="str">
        <f ca="1">IFERROR(__xludf.DUMMYFUNCTION("IF(SUM(COUNTIF(artists!C:C, SPLIT(D2, "",""))) &gt; 0, ""RU"", 0)"),"RU")</f>
        <v>RU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C3" s="21" t="s">
        <v>1518</v>
      </c>
      <c r="D3" s="21" t="s">
        <v>108</v>
      </c>
      <c r="E3" s="21">
        <v>1</v>
      </c>
      <c r="F3" s="21">
        <v>1554525</v>
      </c>
      <c r="H3" s="21" t="s">
        <v>1519</v>
      </c>
      <c r="I3" s="39" t="str">
        <f ca="1">IFERROR(__xludf.DUMMYFUNCTION("IF(SUM(COUNTIF(artists!A:A, SPLIT(D3, "",""))) &gt; 0, ""UA"", 0)"),"UA")</f>
        <v>UA</v>
      </c>
      <c r="J3" s="40">
        <f ca="1">IFERROR(__xludf.DUMMYFUNCTION("IF(SUM(COUNTIF(artists!C:C, SPLIT(D3, "",""))) &gt; 0, ""RU"", 0)"),0)</f>
        <v>0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B4" s="21">
        <v>2</v>
      </c>
      <c r="C4" s="21" t="s">
        <v>935</v>
      </c>
      <c r="D4" s="21" t="s">
        <v>936</v>
      </c>
      <c r="E4" s="21">
        <v>16</v>
      </c>
      <c r="F4" s="21">
        <v>1236110</v>
      </c>
      <c r="G4" s="42">
        <v>-5.5E-2</v>
      </c>
      <c r="H4" s="21" t="s">
        <v>937</v>
      </c>
      <c r="I4" s="39">
        <f ca="1">IFERROR(__xludf.DUMMYFUNCTION("IF(SUM(COUNTIF(artists!A:A, SPLIT(D4, "",""))) &gt; 0, ""UA"", 0)"),0)</f>
        <v>0</v>
      </c>
      <c r="J4" s="40" t="str">
        <f ca="1">IFERROR(__xludf.DUMMYFUNCTION("IF(SUM(COUNTIF(artists!C:C, SPLIT(D4, "",""))) &gt; 0, ""RU"", 0)"),"RU")</f>
        <v>RU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C5" s="21" t="s">
        <v>1973</v>
      </c>
      <c r="D5" s="21" t="s">
        <v>1974</v>
      </c>
      <c r="E5" s="21">
        <v>1</v>
      </c>
      <c r="F5" s="21">
        <v>984926</v>
      </c>
      <c r="H5" s="21" t="s">
        <v>1975</v>
      </c>
      <c r="I5" s="39">
        <f ca="1">IFERROR(__xludf.DUMMYFUNCTION("IF(SUM(COUNTIF(artists!A:A, SPLIT(D5, "",""))) &gt; 0, ""UA"", 0)"),0)</f>
        <v>0</v>
      </c>
      <c r="J5" s="40" t="str">
        <f ca="1">IFERROR(__xludf.DUMMYFUNCTION("IF(SUM(COUNTIF(artists!C:C, SPLIT(D5, "",""))) &gt; 0, ""RU"", 0)"),"RU")</f>
        <v>RU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B6" s="21">
        <v>3</v>
      </c>
      <c r="C6" s="21" t="s">
        <v>1636</v>
      </c>
      <c r="D6" s="21" t="s">
        <v>1637</v>
      </c>
      <c r="E6" s="21">
        <v>4</v>
      </c>
      <c r="F6" s="21">
        <v>925141</v>
      </c>
      <c r="G6" s="42">
        <v>-6.0999999999999999E-2</v>
      </c>
      <c r="H6" s="21" t="s">
        <v>1638</v>
      </c>
      <c r="I6" s="39">
        <f ca="1">IFERROR(__xludf.DUMMYFUNCTION("IF(SUM(COUNTIF(artists!A:A, SPLIT(D6, "",""))) &gt; 0, ""UA"", 0)"),0)</f>
        <v>0</v>
      </c>
      <c r="J6" s="40" t="str">
        <f ca="1">IFERROR(__xludf.DUMMYFUNCTION("IF(SUM(COUNTIF(artists!C:C, SPLIT(D6, "",""))) &gt; 0, ""RU"", 0)"),"RU")</f>
        <v>RU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B7" s="21">
        <v>14</v>
      </c>
      <c r="C7" s="21" t="s">
        <v>645</v>
      </c>
      <c r="D7" s="21" t="s">
        <v>352</v>
      </c>
      <c r="E7" s="21">
        <v>2</v>
      </c>
      <c r="F7" s="21">
        <v>922497</v>
      </c>
      <c r="G7" s="42">
        <v>0.84899999999999998</v>
      </c>
      <c r="H7" s="21" t="s">
        <v>647</v>
      </c>
      <c r="I7" s="39" t="str">
        <f ca="1">IFERROR(__xludf.DUMMYFUNCTION("IF(SUM(COUNTIF(artists!A:A, SPLIT(D7, "",""))) &gt; 0, ""UA"", 0)"),"UA")</f>
        <v>UA</v>
      </c>
      <c r="J7" s="40">
        <f ca="1">IFERROR(__xludf.DUMMYFUNCTION("IF(SUM(COUNTIF(artists!C:C, SPLIT(D7, "",""))) &gt; 0, ""RU"", 0)"),0)</f>
        <v>0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B8" s="21">
        <v>4</v>
      </c>
      <c r="C8" s="21" t="s">
        <v>1674</v>
      </c>
      <c r="D8" s="21" t="s">
        <v>172</v>
      </c>
      <c r="E8" s="21">
        <v>5</v>
      </c>
      <c r="F8" s="21">
        <v>922451</v>
      </c>
      <c r="G8" s="42">
        <v>-3.2000000000000001E-2</v>
      </c>
      <c r="H8" s="21" t="s">
        <v>1675</v>
      </c>
      <c r="I8" s="39">
        <f ca="1">IFERROR(__xludf.DUMMYFUNCTION("IF(SUM(COUNTIF(artists!A:A, SPLIT(D8, "",""))) &gt; 0, ""UA"", 0)"),0)</f>
        <v>0</v>
      </c>
      <c r="J8" s="40" t="str">
        <f ca="1">IFERROR(__xludf.DUMMYFUNCTION("IF(SUM(COUNTIF(artists!C:C, SPLIT(D8, "",""))) &gt; 0, ""RU"", 0)"),"RU")</f>
        <v>RU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B9" s="21">
        <v>6</v>
      </c>
      <c r="C9" s="21" t="s">
        <v>1956</v>
      </c>
      <c r="D9" s="21" t="s">
        <v>1957</v>
      </c>
      <c r="E9" s="21">
        <v>17</v>
      </c>
      <c r="F9" s="21">
        <v>709374</v>
      </c>
      <c r="G9" s="42">
        <v>-3.5999999999999997E-2</v>
      </c>
      <c r="H9" s="21" t="s">
        <v>1958</v>
      </c>
      <c r="I9" s="39">
        <f ca="1">IFERROR(__xludf.DUMMYFUNCTION("IF(SUM(COUNTIF(artists!A:A, SPLIT(D9, "",""))) &gt; 0, ""UA"", 0)"),0)</f>
        <v>0</v>
      </c>
      <c r="J9" s="40" t="str">
        <f ca="1">IFERROR(__xludf.DUMMYFUNCTION("IF(SUM(COUNTIF(artists!C:C, SPLIT(D9, "",""))) &gt; 0, ""RU"", 0)"),"RU")</f>
        <v>RU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B10" s="21">
        <v>8</v>
      </c>
      <c r="C10" s="21" t="s">
        <v>1500</v>
      </c>
      <c r="D10" s="21" t="s">
        <v>907</v>
      </c>
      <c r="E10" s="21">
        <v>19</v>
      </c>
      <c r="F10" s="21">
        <v>707262</v>
      </c>
      <c r="G10" s="42">
        <v>0.10299999999999999</v>
      </c>
      <c r="H10" s="21" t="s">
        <v>1501</v>
      </c>
      <c r="I10" s="39">
        <f ca="1">IFERROR(__xludf.DUMMYFUNCTION("IF(SUM(COUNTIF(artists!A:A, SPLIT(D10, "",""))) &gt; 0, ""UA"", 0)"),0)</f>
        <v>0</v>
      </c>
      <c r="J10" s="40" t="str">
        <f ca="1">IFERROR(__xludf.DUMMYFUNCTION("IF(SUM(COUNTIF(artists!C:C, SPLIT(D10, "",""))) &gt; 0, ""RU"", 0)"),"RU")</f>
        <v>RU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B11" s="21">
        <v>7</v>
      </c>
      <c r="C11" s="21" t="s">
        <v>1325</v>
      </c>
      <c r="D11" s="21" t="s">
        <v>1237</v>
      </c>
      <c r="E11" s="21">
        <v>39</v>
      </c>
      <c r="F11" s="21">
        <v>665557</v>
      </c>
      <c r="G11" s="42">
        <v>-5.8999999999999997E-2</v>
      </c>
      <c r="H11" s="21" t="s">
        <v>1326</v>
      </c>
      <c r="I11" s="39">
        <f ca="1">IFERROR(__xludf.DUMMYFUNCTION("IF(SUM(COUNTIF(artists!A:A, SPLIT(D11, "",""))) &gt; 0, ""UA"", 0)"),0)</f>
        <v>0</v>
      </c>
      <c r="J11" s="40" t="str">
        <f ca="1">IFERROR(__xludf.DUMMYFUNCTION("IF(SUM(COUNTIF(artists!C:C, SPLIT(D11, "",""))) &gt; 0, ""RU"", 0)"),"RU")</f>
        <v>RU</v>
      </c>
      <c r="K11" s="39">
        <f ca="1">IFERROR(__xludf.DUMMYFUNCTION("IF(SUM(COUNTIF(artists!E:E, SPLIT(D11, "",""))) &gt; 0, ""OTHER"", 0)"),0)</f>
        <v>0</v>
      </c>
    </row>
    <row r="12" spans="1:11" ht="14.25" customHeight="1">
      <c r="A12" s="21">
        <v>11</v>
      </c>
      <c r="B12" s="21">
        <v>13</v>
      </c>
      <c r="C12" s="21" t="s">
        <v>1496</v>
      </c>
      <c r="D12" s="21" t="s">
        <v>969</v>
      </c>
      <c r="E12" s="21">
        <v>39</v>
      </c>
      <c r="F12" s="21">
        <v>625097</v>
      </c>
      <c r="G12" s="42">
        <v>0.24399999999999999</v>
      </c>
      <c r="H12" s="21" t="s">
        <v>1497</v>
      </c>
      <c r="I12" s="39" t="str">
        <f ca="1">IFERROR(__xludf.DUMMYFUNCTION("IF(SUM(COUNTIF(artists!A:A, SPLIT(D12, "",""))) &gt; 0, ""UA"", 0)"),"UA")</f>
        <v>UA</v>
      </c>
      <c r="J12" s="40">
        <f ca="1">IFERROR(__xludf.DUMMYFUNCTION("IF(SUM(COUNTIF(artists!C:C, SPLIT(D12, "",""))) &gt; 0, ""RU"", 0)"),0)</f>
        <v>0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B13" s="21">
        <v>9</v>
      </c>
      <c r="C13" s="21" t="s">
        <v>1825</v>
      </c>
      <c r="D13" s="21" t="s">
        <v>1895</v>
      </c>
      <c r="E13" s="21">
        <v>43</v>
      </c>
      <c r="F13" s="21">
        <v>559748</v>
      </c>
      <c r="G13" s="42">
        <v>-2.9000000000000001E-2</v>
      </c>
      <c r="H13" s="21" t="s">
        <v>1827</v>
      </c>
      <c r="I13" s="39">
        <f ca="1">IFERROR(__xludf.DUMMYFUNCTION("IF(SUM(COUNTIF(artists!A:A, SPLIT(D13, "",""))) &gt; 0, ""UA"", 0)"),0)</f>
        <v>0</v>
      </c>
      <c r="J13" s="40">
        <f ca="1">IFERROR(__xludf.DUMMYFUNCTION("IF(SUM(COUNTIF(artists!C:C, SPLIT(D13, "",""))) &gt; 0, ""RU"", 0)"),0)</f>
        <v>0</v>
      </c>
      <c r="K13" s="39" t="str">
        <f ca="1">IFERROR(__xludf.DUMMYFUNCTION("IF(SUM(COUNTIF(artists!E:E, SPLIT(D13, "",""))) &gt; 0, ""OTHER"", 0)"),"OTHER")</f>
        <v>OTHER</v>
      </c>
    </row>
    <row r="14" spans="1:11" ht="14.25" customHeight="1">
      <c r="A14" s="21">
        <v>13</v>
      </c>
      <c r="B14" s="21">
        <v>10</v>
      </c>
      <c r="C14" s="21" t="s">
        <v>1676</v>
      </c>
      <c r="D14" s="21" t="s">
        <v>743</v>
      </c>
      <c r="E14" s="21">
        <v>15</v>
      </c>
      <c r="F14" s="21">
        <v>511698</v>
      </c>
      <c r="G14" s="42">
        <v>-9.4E-2</v>
      </c>
      <c r="H14" s="21" t="s">
        <v>1677</v>
      </c>
      <c r="I14" s="39">
        <f ca="1">IFERROR(__xludf.DUMMYFUNCTION("IF(SUM(COUNTIF(artists!A:A, SPLIT(D14, "",""))) &gt; 0, ""UA"", 0)"),0)</f>
        <v>0</v>
      </c>
      <c r="J14" s="40" t="str">
        <f ca="1">IFERROR(__xludf.DUMMYFUNCTION("IF(SUM(COUNTIF(artists!C:C, SPLIT(D14, "",""))) &gt; 0, ""RU"", 0)"),"RU")</f>
        <v>RU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B15" s="21">
        <v>12</v>
      </c>
      <c r="C15" s="21" t="s">
        <v>1729</v>
      </c>
      <c r="D15" s="21" t="s">
        <v>1730</v>
      </c>
      <c r="E15" s="21">
        <v>40</v>
      </c>
      <c r="F15" s="21">
        <v>501435</v>
      </c>
      <c r="G15" s="42">
        <v>-5.1999999999999998E-2</v>
      </c>
      <c r="H15" s="21" t="s">
        <v>1731</v>
      </c>
      <c r="I15" s="39">
        <f ca="1">IFERROR(__xludf.DUMMYFUNCTION("IF(SUM(COUNTIF(artists!A:A, SPLIT(D15, "",""))) &gt; 0, ""UA"", 0)"),0)</f>
        <v>0</v>
      </c>
      <c r="J15" s="40" t="str">
        <f ca="1">IFERROR(__xludf.DUMMYFUNCTION("IF(SUM(COUNTIF(artists!C:C, SPLIT(D15, "",""))) &gt; 0, ""RU"", 0)"),"RU")</f>
        <v>RU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B16" s="21">
        <v>32</v>
      </c>
      <c r="C16" s="21" t="s">
        <v>1987</v>
      </c>
      <c r="D16" s="21" t="s">
        <v>1988</v>
      </c>
      <c r="E16" s="21">
        <v>3</v>
      </c>
      <c r="F16" s="21">
        <v>494668</v>
      </c>
      <c r="G16" s="42">
        <v>0.39300000000000002</v>
      </c>
      <c r="H16" s="21" t="s">
        <v>1989</v>
      </c>
      <c r="I16" s="39">
        <f ca="1">IFERROR(__xludf.DUMMYFUNCTION("IF(SUM(COUNTIF(artists!A:A, SPLIT(D16, "",""))) &gt; 0, ""UA"", 0)"),0)</f>
        <v>0</v>
      </c>
      <c r="J16" s="40" t="str">
        <f ca="1">IFERROR(__xludf.DUMMYFUNCTION("IF(SUM(COUNTIF(artists!C:C, SPLIT(D16, "",""))) &gt; 0, ""RU"", 0)"),"RU")</f>
        <v>RU</v>
      </c>
      <c r="K16" s="39">
        <f ca="1">IFERROR(__xludf.DUMMYFUNCTION("IF(SUM(COUNTIF(artists!E:E, SPLIT(D16, "",""))) &gt; 0, ""OTHER"", 0)"),0)</f>
        <v>0</v>
      </c>
    </row>
    <row r="17" spans="1:11" ht="14.25" customHeight="1">
      <c r="A17" s="21">
        <v>16</v>
      </c>
      <c r="B17" s="21">
        <v>11</v>
      </c>
      <c r="C17" s="21" t="s">
        <v>2041</v>
      </c>
      <c r="D17" s="21" t="s">
        <v>584</v>
      </c>
      <c r="E17" s="21">
        <v>10</v>
      </c>
      <c r="F17" s="21">
        <v>488482</v>
      </c>
      <c r="G17" s="42">
        <v>-0.10100000000000001</v>
      </c>
      <c r="H17" s="21" t="s">
        <v>2042</v>
      </c>
      <c r="I17" s="39">
        <f ca="1">IFERROR(__xludf.DUMMYFUNCTION("IF(SUM(COUNTIF(artists!A:A, SPLIT(D17, "",""))) &gt; 0, ""UA"", 0)"),0)</f>
        <v>0</v>
      </c>
      <c r="J17" s="40" t="str">
        <f ca="1">IFERROR(__xludf.DUMMYFUNCTION("IF(SUM(COUNTIF(artists!C:C, SPLIT(D17, "",""))) &gt; 0, ""RU"", 0)"),"RU")</f>
        <v>RU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B18" s="21">
        <v>15</v>
      </c>
      <c r="C18" s="21" t="s">
        <v>1616</v>
      </c>
      <c r="D18" s="21" t="s">
        <v>1617</v>
      </c>
      <c r="E18" s="21">
        <v>35</v>
      </c>
      <c r="F18" s="21">
        <v>479034</v>
      </c>
      <c r="G18" s="43">
        <v>-0.01</v>
      </c>
      <c r="H18" s="21" t="s">
        <v>1618</v>
      </c>
      <c r="I18" s="39">
        <f ca="1">IFERROR(__xludf.DUMMYFUNCTION("IF(SUM(COUNTIF(artists!A:A, SPLIT(D18, "",""))) &gt; 0, ""UA"", 0)"),0)</f>
        <v>0</v>
      </c>
      <c r="J18" s="40" t="str">
        <f ca="1">IFERROR(__xludf.DUMMYFUNCTION("IF(SUM(COUNTIF(artists!C:C, SPLIT(D18, "",""))) &gt; 0, ""RU"", 0)"),"RU")</f>
        <v>RU</v>
      </c>
      <c r="K18" s="39">
        <f ca="1">IFERROR(__xludf.DUMMYFUNCTION("IF(SUM(COUNTIF(artists!E:E, SPLIT(D18, "",""))) &gt; 0, ""OTHER"", 0)"),0)</f>
        <v>0</v>
      </c>
    </row>
    <row r="19" spans="1:11" ht="14.25" customHeight="1">
      <c r="A19" s="21">
        <v>18</v>
      </c>
      <c r="B19" s="21">
        <v>19</v>
      </c>
      <c r="C19" s="21" t="s">
        <v>2074</v>
      </c>
      <c r="D19" s="21" t="s">
        <v>584</v>
      </c>
      <c r="E19" s="21">
        <v>50</v>
      </c>
      <c r="F19" s="21">
        <v>463732</v>
      </c>
      <c r="G19" s="42">
        <v>1.6E-2</v>
      </c>
      <c r="H19" s="21" t="s">
        <v>2075</v>
      </c>
      <c r="I19" s="39">
        <f ca="1">IFERROR(__xludf.DUMMYFUNCTION("IF(SUM(COUNTIF(artists!A:A, SPLIT(D19, "",""))) &gt; 0, ""UA"", 0)"),0)</f>
        <v>0</v>
      </c>
      <c r="J19" s="40" t="str">
        <f ca="1">IFERROR(__xludf.DUMMYFUNCTION("IF(SUM(COUNTIF(artists!C:C, SPLIT(D19, "",""))) &gt; 0, ""RU"", 0)"),"RU")</f>
        <v>RU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B20" s="21">
        <v>18</v>
      </c>
      <c r="C20" s="21" t="s">
        <v>1839</v>
      </c>
      <c r="D20" s="21" t="s">
        <v>1840</v>
      </c>
      <c r="E20" s="21">
        <v>5</v>
      </c>
      <c r="F20" s="21">
        <v>446080</v>
      </c>
      <c r="G20" s="42">
        <v>-3.1E-2</v>
      </c>
      <c r="H20" s="21" t="s">
        <v>1841</v>
      </c>
      <c r="I20" s="39">
        <f ca="1">IFERROR(__xludf.DUMMYFUNCTION("IF(SUM(COUNTIF(artists!A:A, SPLIT(D20, "",""))) &gt; 0, ""UA"", 0)"),0)</f>
        <v>0</v>
      </c>
      <c r="J20" s="40" t="str">
        <f ca="1">IFERROR(__xludf.DUMMYFUNCTION("IF(SUM(COUNTIF(artists!C:C, SPLIT(D20, "",""))) &gt; 0, ""RU"", 0)"),"RU")</f>
        <v>RU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B21" s="21">
        <v>17</v>
      </c>
      <c r="C21" s="21" t="s">
        <v>1261</v>
      </c>
      <c r="D21" s="21" t="s">
        <v>137</v>
      </c>
      <c r="E21" s="21">
        <v>14</v>
      </c>
      <c r="F21" s="21">
        <v>443901</v>
      </c>
      <c r="G21" s="42">
        <v>-4.3999999999999997E-2</v>
      </c>
      <c r="H21" s="21" t="s">
        <v>1262</v>
      </c>
      <c r="I21" s="39" t="str">
        <f ca="1">IFERROR(__xludf.DUMMYFUNCTION("IF(SUM(COUNTIF(artists!A:A, SPLIT(D21, "",""))) &gt; 0, ""UA"", 0)"),"UA")</f>
        <v>UA</v>
      </c>
      <c r="J21" s="40">
        <f ca="1">IFERROR(__xludf.DUMMYFUNCTION("IF(SUM(COUNTIF(artists!C:C, SPLIT(D21, "",""))) &gt; 0, ""RU"", 0)"),0)</f>
        <v>0</v>
      </c>
      <c r="K21" s="39">
        <f ca="1">IFERROR(__xludf.DUMMYFUNCTION("IF(SUM(COUNTIF(artists!E:E, SPLIT(D21, "",""))) &gt; 0, ""OTHER"", 0)"),0)</f>
        <v>0</v>
      </c>
    </row>
    <row r="22" spans="1:11" ht="14.25" customHeight="1">
      <c r="A22" s="21">
        <v>21</v>
      </c>
      <c r="B22" s="21">
        <v>36</v>
      </c>
      <c r="C22" s="21" t="s">
        <v>1282</v>
      </c>
      <c r="D22" s="21" t="s">
        <v>108</v>
      </c>
      <c r="E22" s="21">
        <v>17</v>
      </c>
      <c r="F22" s="21">
        <v>423247</v>
      </c>
      <c r="G22" s="42">
        <v>0.22700000000000001</v>
      </c>
      <c r="H22" s="21" t="s">
        <v>1283</v>
      </c>
      <c r="I22" s="39" t="str">
        <f ca="1">IFERROR(__xludf.DUMMYFUNCTION("IF(SUM(COUNTIF(artists!A:A, SPLIT(D22, "",""))) &gt; 0, ""UA"", 0)"),"UA")</f>
        <v>UA</v>
      </c>
      <c r="J22" s="40">
        <f ca="1">IFERROR(__xludf.DUMMYFUNCTION("IF(SUM(COUNTIF(artists!C:C, SPLIT(D22, "",""))) &gt; 0, ""RU"", 0)"),0)</f>
        <v>0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B23" s="21">
        <v>20</v>
      </c>
      <c r="C23" s="21" t="s">
        <v>906</v>
      </c>
      <c r="D23" s="21" t="s">
        <v>907</v>
      </c>
      <c r="E23" s="21">
        <v>10</v>
      </c>
      <c r="F23" s="21">
        <v>420767</v>
      </c>
      <c r="G23" s="42">
        <v>-3.2000000000000001E-2</v>
      </c>
      <c r="H23" s="21" t="s">
        <v>908</v>
      </c>
      <c r="I23" s="39">
        <f ca="1">IFERROR(__xludf.DUMMYFUNCTION("IF(SUM(COUNTIF(artists!A:A, SPLIT(D23, "",""))) &gt; 0, ""UA"", 0)"),0)</f>
        <v>0</v>
      </c>
      <c r="J23" s="40" t="str">
        <f ca="1">IFERROR(__xludf.DUMMYFUNCTION("IF(SUM(COUNTIF(artists!C:C, SPLIT(D23, "",""))) &gt; 0, ""RU"", 0)"),"RU")</f>
        <v>RU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B24" s="21">
        <v>26</v>
      </c>
      <c r="C24" s="21" t="s">
        <v>1995</v>
      </c>
      <c r="D24" s="21" t="s">
        <v>1996</v>
      </c>
      <c r="E24" s="21">
        <v>38</v>
      </c>
      <c r="F24" s="21">
        <v>404652</v>
      </c>
      <c r="G24" s="43">
        <v>-0.01</v>
      </c>
      <c r="H24" s="21" t="s">
        <v>1997</v>
      </c>
      <c r="I24" s="39">
        <f ca="1">IFERROR(__xludf.DUMMYFUNCTION("IF(SUM(COUNTIF(artists!A:A, SPLIT(D24, "",""))) &gt; 0, ""UA"", 0)"),0)</f>
        <v>0</v>
      </c>
      <c r="J24" s="40" t="str">
        <f ca="1">IFERROR(__xludf.DUMMYFUNCTION("IF(SUM(COUNTIF(artists!C:C, SPLIT(D24, "",""))) &gt; 0, ""RU"", 0)"),"RU")</f>
        <v>RU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B25" s="21">
        <v>24</v>
      </c>
      <c r="C25" s="21" t="s">
        <v>1896</v>
      </c>
      <c r="D25" s="21" t="s">
        <v>1099</v>
      </c>
      <c r="E25" s="21">
        <v>46</v>
      </c>
      <c r="F25" s="21">
        <v>398129</v>
      </c>
      <c r="G25" s="42">
        <v>-3.5999999999999997E-2</v>
      </c>
      <c r="H25" s="21" t="s">
        <v>1897</v>
      </c>
      <c r="I25" s="39">
        <f ca="1">IFERROR(__xludf.DUMMYFUNCTION("IF(SUM(COUNTIF(artists!A:A, SPLIT(D25, "",""))) &gt; 0, ""UA"", 0)"),0)</f>
        <v>0</v>
      </c>
      <c r="J25" s="40" t="str">
        <f ca="1">IFERROR(__xludf.DUMMYFUNCTION("IF(SUM(COUNTIF(artists!C:C, SPLIT(D25, "",""))) &gt; 0, ""RU"", 0)"),"RU")</f>
        <v>RU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B26" s="21">
        <v>16</v>
      </c>
      <c r="C26" s="21" t="s">
        <v>1939</v>
      </c>
      <c r="D26" s="21" t="s">
        <v>1940</v>
      </c>
      <c r="E26" s="21">
        <v>8</v>
      </c>
      <c r="F26" s="21">
        <v>397763</v>
      </c>
      <c r="G26" s="42">
        <v>-0.17199999999999999</v>
      </c>
      <c r="H26" s="21" t="s">
        <v>1941</v>
      </c>
      <c r="I26" s="39">
        <f ca="1">IFERROR(__xludf.DUMMYFUNCTION("IF(SUM(COUNTIF(artists!A:A, SPLIT(D26, "",""))) &gt; 0, ""UA"", 0)"),0)</f>
        <v>0</v>
      </c>
      <c r="J26" s="40" t="str">
        <f ca="1">IFERROR(__xludf.DUMMYFUNCTION("IF(SUM(COUNTIF(artists!C:C, SPLIT(D26, "",""))) &gt; 0, ""RU"", 0)"),"RU")</f>
        <v>RU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B27" s="21">
        <v>23</v>
      </c>
      <c r="C27" s="21" t="s">
        <v>1964</v>
      </c>
      <c r="D27" s="21" t="s">
        <v>1965</v>
      </c>
      <c r="E27" s="21">
        <v>16</v>
      </c>
      <c r="F27" s="21">
        <v>383774</v>
      </c>
      <c r="G27" s="42">
        <v>-8.5000000000000006E-2</v>
      </c>
      <c r="H27" s="21" t="s">
        <v>1966</v>
      </c>
      <c r="I27" s="39">
        <f ca="1">IFERROR(__xludf.DUMMYFUNCTION("IF(SUM(COUNTIF(artists!A:A, SPLIT(D27, "",""))) &gt; 0, ""UA"", 0)"),0)</f>
        <v>0</v>
      </c>
      <c r="J27" s="40" t="str">
        <f ca="1">IFERROR(__xludf.DUMMYFUNCTION("IF(SUM(COUNTIF(artists!C:C, SPLIT(D27, "",""))) &gt; 0, ""RU"", 0)"),"RU")</f>
        <v>RU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B28" s="21">
        <v>27</v>
      </c>
      <c r="C28" s="21" t="s">
        <v>2076</v>
      </c>
      <c r="D28" s="21" t="s">
        <v>1027</v>
      </c>
      <c r="E28" s="21">
        <v>39</v>
      </c>
      <c r="F28" s="21">
        <v>377334</v>
      </c>
      <c r="G28" s="42">
        <v>-5.0999999999999997E-2</v>
      </c>
      <c r="H28" s="21" t="s">
        <v>2077</v>
      </c>
      <c r="I28" s="39" t="str">
        <f ca="1">IFERROR(__xludf.DUMMYFUNCTION("IF(SUM(COUNTIF(artists!A:A, SPLIT(D28, "",""))) &gt; 0, ""UA"", 0)"),"UA")</f>
        <v>UA</v>
      </c>
      <c r="J28" s="40">
        <f ca="1">IFERROR(__xludf.DUMMYFUNCTION("IF(SUM(COUNTIF(artists!C:C, SPLIT(D28, "",""))) &gt; 0, ""RU"", 0)"),0)</f>
        <v>0</v>
      </c>
      <c r="K28" s="39">
        <f ca="1">IFERROR(__xludf.DUMMYFUNCTION("IF(SUM(COUNTIF(artists!E:E, SPLIT(D28, "",""))) &gt; 0, ""OTHER"", 0)"),0)</f>
        <v>0</v>
      </c>
    </row>
    <row r="29" spans="1:11" ht="14.25" customHeight="1">
      <c r="A29" s="21">
        <v>28</v>
      </c>
      <c r="B29" s="21">
        <v>35</v>
      </c>
      <c r="C29" s="21" t="s">
        <v>1601</v>
      </c>
      <c r="D29" s="21" t="s">
        <v>1602</v>
      </c>
      <c r="E29" s="21">
        <v>2</v>
      </c>
      <c r="F29" s="21">
        <v>370797</v>
      </c>
      <c r="G29" s="42">
        <v>5.3999999999999999E-2</v>
      </c>
      <c r="H29" s="21" t="s">
        <v>1603</v>
      </c>
      <c r="I29" s="39">
        <f ca="1">IFERROR(__xludf.DUMMYFUNCTION("IF(SUM(COUNTIF(artists!A:A, SPLIT(D29, "",""))) &gt; 0, ""UA"", 0)"),0)</f>
        <v>0</v>
      </c>
      <c r="J29" s="40" t="str">
        <f ca="1">IFERROR(__xludf.DUMMYFUNCTION("IF(SUM(COUNTIF(artists!C:C, SPLIT(D29, "",""))) &gt; 0, ""RU"", 0)"),"RU")</f>
        <v>RU</v>
      </c>
      <c r="K29" s="39">
        <f ca="1">IFERROR(__xludf.DUMMYFUNCTION("IF(SUM(COUNTIF(artists!E:E, SPLIT(D29, "",""))) &gt; 0, ""OTHER"", 0)"),0)</f>
        <v>0</v>
      </c>
    </row>
    <row r="30" spans="1:11" ht="14.25" customHeight="1">
      <c r="A30" s="21">
        <v>29</v>
      </c>
      <c r="C30" s="21" t="s">
        <v>253</v>
      </c>
      <c r="D30" s="21" t="s">
        <v>89</v>
      </c>
      <c r="E30" s="21">
        <v>1</v>
      </c>
      <c r="F30" s="21">
        <v>353430</v>
      </c>
      <c r="H30" s="21" t="s">
        <v>254</v>
      </c>
      <c r="I30" s="39" t="str">
        <f ca="1">IFERROR(__xludf.DUMMYFUNCTION("IF(SUM(COUNTIF(artists!A:A, SPLIT(D30, "",""))) &gt; 0, ""UA"", 0)"),"UA")</f>
        <v>UA</v>
      </c>
      <c r="J30" s="40">
        <f ca="1">IFERROR(__xludf.DUMMYFUNCTION("IF(SUM(COUNTIF(artists!C:C, SPLIT(D30, "",""))) &gt; 0, ""RU"", 0)"),0)</f>
        <v>0</v>
      </c>
      <c r="K30" s="39">
        <f ca="1">IFERROR(__xludf.DUMMYFUNCTION("IF(SUM(COUNTIF(artists!E:E, SPLIT(D30, "",""))) &gt; 0, ""OTHER"", 0)"),0)</f>
        <v>0</v>
      </c>
    </row>
    <row r="31" spans="1:11" ht="14.25" customHeight="1">
      <c r="A31" s="21">
        <v>30</v>
      </c>
      <c r="B31" s="21">
        <v>29</v>
      </c>
      <c r="C31" s="21" t="s">
        <v>1867</v>
      </c>
      <c r="D31" s="21" t="s">
        <v>1099</v>
      </c>
      <c r="E31" s="21">
        <v>13</v>
      </c>
      <c r="F31" s="21">
        <v>348113</v>
      </c>
      <c r="G31" s="42">
        <v>-8.5999999999999993E-2</v>
      </c>
      <c r="H31" s="21" t="s">
        <v>1868</v>
      </c>
      <c r="I31" s="39">
        <f ca="1">IFERROR(__xludf.DUMMYFUNCTION("IF(SUM(COUNTIF(artists!A:A, SPLIT(D31, "",""))) &gt; 0, ""UA"", 0)"),0)</f>
        <v>0</v>
      </c>
      <c r="J31" s="40" t="str">
        <f ca="1">IFERROR(__xludf.DUMMYFUNCTION("IF(SUM(COUNTIF(artists!C:C, SPLIT(D31, "",""))) &gt; 0, ""RU"", 0)"),"RU")</f>
        <v>RU</v>
      </c>
      <c r="K31" s="39">
        <f ca="1">IFERROR(__xludf.DUMMYFUNCTION("IF(SUM(COUNTIF(artists!E:E, SPLIT(D31, "",""))) &gt; 0, ""OTHER"", 0)"),0)</f>
        <v>0</v>
      </c>
    </row>
    <row r="32" spans="1:11" ht="14.25" customHeight="1">
      <c r="A32" s="21">
        <v>31</v>
      </c>
      <c r="B32" s="21">
        <v>28</v>
      </c>
      <c r="C32" s="21" t="s">
        <v>1651</v>
      </c>
      <c r="D32" s="21" t="s">
        <v>1652</v>
      </c>
      <c r="E32" s="21">
        <v>17</v>
      </c>
      <c r="F32" s="21">
        <v>341916</v>
      </c>
      <c r="G32" s="42">
        <v>-0.105</v>
      </c>
      <c r="H32" s="21" t="s">
        <v>1959</v>
      </c>
      <c r="I32" s="39">
        <f ca="1">IFERROR(__xludf.DUMMYFUNCTION("IF(SUM(COUNTIF(artists!A:A, SPLIT(D32, "",""))) &gt; 0, ""UA"", 0)"),0)</f>
        <v>0</v>
      </c>
      <c r="J32" s="40" t="str">
        <f ca="1">IFERROR(__xludf.DUMMYFUNCTION("IF(SUM(COUNTIF(artists!C:C, SPLIT(D32, "",""))) &gt; 0, ""RU"", 0)"),"RU")</f>
        <v>RU</v>
      </c>
      <c r="K32" s="39">
        <f ca="1">IFERROR(__xludf.DUMMYFUNCTION("IF(SUM(COUNTIF(artists!E:E, SPLIT(D32, "",""))) &gt; 0, ""OTHER"", 0)"),0)</f>
        <v>0</v>
      </c>
    </row>
    <row r="33" spans="1:11" ht="14.25" customHeight="1">
      <c r="A33" s="21">
        <v>32</v>
      </c>
      <c r="B33" s="21">
        <v>31</v>
      </c>
      <c r="C33" s="21" t="s">
        <v>2078</v>
      </c>
      <c r="D33" s="21" t="s">
        <v>584</v>
      </c>
      <c r="E33" s="21">
        <v>20</v>
      </c>
      <c r="F33" s="21">
        <v>339094</v>
      </c>
      <c r="G33" s="42">
        <v>-6.6000000000000003E-2</v>
      </c>
      <c r="H33" s="21" t="s">
        <v>2079</v>
      </c>
      <c r="I33" s="39">
        <f ca="1">IFERROR(__xludf.DUMMYFUNCTION("IF(SUM(COUNTIF(artists!A:A, SPLIT(D33, "",""))) &gt; 0, ""UA"", 0)"),0)</f>
        <v>0</v>
      </c>
      <c r="J33" s="40" t="str">
        <f ca="1">IFERROR(__xludf.DUMMYFUNCTION("IF(SUM(COUNTIF(artists!C:C, SPLIT(D33, "",""))) &gt; 0, ""RU"", 0)"),"RU")</f>
        <v>RU</v>
      </c>
      <c r="K33" s="39">
        <f ca="1">IFERROR(__xludf.DUMMYFUNCTION("IF(SUM(COUNTIF(artists!E:E, SPLIT(D33, "",""))) &gt; 0, ""OTHER"", 0)"),0)</f>
        <v>0</v>
      </c>
    </row>
    <row r="34" spans="1:11" ht="14.25" customHeight="1">
      <c r="A34" s="21">
        <v>33</v>
      </c>
      <c r="B34" s="21">
        <v>38</v>
      </c>
      <c r="C34" s="21" t="s">
        <v>1942</v>
      </c>
      <c r="D34" s="21" t="s">
        <v>1637</v>
      </c>
      <c r="E34" s="21">
        <v>30</v>
      </c>
      <c r="F34" s="21">
        <v>333041</v>
      </c>
      <c r="G34" s="42">
        <v>-1.9E-2</v>
      </c>
      <c r="H34" s="21" t="s">
        <v>1943</v>
      </c>
      <c r="I34" s="39">
        <f ca="1">IFERROR(__xludf.DUMMYFUNCTION("IF(SUM(COUNTIF(artists!A:A, SPLIT(D34, "",""))) &gt; 0, ""UA"", 0)"),0)</f>
        <v>0</v>
      </c>
      <c r="J34" s="40" t="str">
        <f ca="1">IFERROR(__xludf.DUMMYFUNCTION("IF(SUM(COUNTIF(artists!C:C, SPLIT(D34, "",""))) &gt; 0, ""RU"", 0)"),"RU")</f>
        <v>RU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B35" s="21">
        <v>30</v>
      </c>
      <c r="C35" s="21" t="s">
        <v>1865</v>
      </c>
      <c r="D35" s="21" t="s">
        <v>1646</v>
      </c>
      <c r="E35" s="21">
        <v>10</v>
      </c>
      <c r="F35" s="21">
        <v>332365</v>
      </c>
      <c r="G35" s="42">
        <v>-9.7000000000000003E-2</v>
      </c>
      <c r="H35" s="21" t="s">
        <v>1866</v>
      </c>
      <c r="I35" s="39">
        <f ca="1">IFERROR(__xludf.DUMMYFUNCTION("IF(SUM(COUNTIF(artists!A:A, SPLIT(D35, "",""))) &gt; 0, ""UA"", 0)"),0)</f>
        <v>0</v>
      </c>
      <c r="J35" s="40" t="str">
        <f ca="1">IFERROR(__xludf.DUMMYFUNCTION("IF(SUM(COUNTIF(artists!C:C, SPLIT(D35, "",""))) &gt; 0, ""RU"", 0)"),"RU")</f>
        <v>RU</v>
      </c>
      <c r="K35" s="39">
        <f ca="1">IFERROR(__xludf.DUMMYFUNCTION("IF(SUM(COUNTIF(artists!E:E, SPLIT(D35, "",""))) &gt; 0, ""OTHER"", 0)"),0)</f>
        <v>0</v>
      </c>
    </row>
    <row r="36" spans="1:11" ht="14.25" customHeight="1">
      <c r="A36" s="21">
        <v>35</v>
      </c>
      <c r="C36" s="21" t="s">
        <v>2012</v>
      </c>
      <c r="D36" s="21" t="s">
        <v>125</v>
      </c>
      <c r="E36" s="21">
        <v>21</v>
      </c>
      <c r="F36" s="21">
        <v>319064</v>
      </c>
      <c r="H36" s="21" t="s">
        <v>2013</v>
      </c>
      <c r="I36" s="39">
        <f ca="1">IFERROR(__xludf.DUMMYFUNCTION("IF(SUM(COUNTIF(artists!A:A, SPLIT(D36, "",""))) &gt; 0, ""UA"", 0)"),0)</f>
        <v>0</v>
      </c>
      <c r="J36" s="40" t="str">
        <f ca="1">IFERROR(__xludf.DUMMYFUNCTION("IF(SUM(COUNTIF(artists!C:C, SPLIT(D36, "",""))) &gt; 0, ""RU"", 0)"),"RU")</f>
        <v>RU</v>
      </c>
      <c r="K36" s="39">
        <f ca="1">IFERROR(__xludf.DUMMYFUNCTION("IF(SUM(COUNTIF(artists!E:E, SPLIT(D36, "",""))) &gt; 0, ""OTHER"", 0)"),0)</f>
        <v>0</v>
      </c>
    </row>
    <row r="37" spans="1:11" ht="14.25" customHeight="1">
      <c r="A37" s="21">
        <v>36</v>
      </c>
      <c r="B37" s="21">
        <v>39</v>
      </c>
      <c r="C37" s="21" t="s">
        <v>1944</v>
      </c>
      <c r="D37" s="21" t="s">
        <v>1945</v>
      </c>
      <c r="E37" s="21">
        <v>13</v>
      </c>
      <c r="F37" s="21">
        <v>318714</v>
      </c>
      <c r="G37" s="43">
        <v>-0.04</v>
      </c>
      <c r="H37" s="21" t="s">
        <v>1946</v>
      </c>
      <c r="I37" s="39">
        <f ca="1">IFERROR(__xludf.DUMMYFUNCTION("IF(SUM(COUNTIF(artists!A:A, SPLIT(D37, "",""))) &gt; 0, ""UA"", 0)"),0)</f>
        <v>0</v>
      </c>
      <c r="J37" s="40" t="str">
        <f ca="1">IFERROR(__xludf.DUMMYFUNCTION("IF(SUM(COUNTIF(artists!C:C, SPLIT(D37, "",""))) &gt; 0, ""RU"", 0)"),"RU")</f>
        <v>RU</v>
      </c>
      <c r="K37" s="39">
        <f ca="1">IFERROR(__xludf.DUMMYFUNCTION("IF(SUM(COUNTIF(artists!E:E, SPLIT(D37, "",""))) &gt; 0, ""OTHER"", 0)"),0)</f>
        <v>0</v>
      </c>
    </row>
    <row r="38" spans="1:11" ht="14.25" customHeight="1">
      <c r="A38" s="21">
        <v>37</v>
      </c>
      <c r="B38" s="21">
        <v>41</v>
      </c>
      <c r="C38" s="21" t="s">
        <v>2017</v>
      </c>
      <c r="D38" s="21" t="s">
        <v>2018</v>
      </c>
      <c r="E38" s="21">
        <v>39</v>
      </c>
      <c r="F38" s="21">
        <v>316117</v>
      </c>
      <c r="G38" s="43">
        <v>-0.03</v>
      </c>
      <c r="H38" s="21" t="s">
        <v>2019</v>
      </c>
      <c r="I38" s="39">
        <f ca="1">IFERROR(__xludf.DUMMYFUNCTION("IF(SUM(COUNTIF(artists!A:A, SPLIT(D38, "",""))) &gt; 0, ""UA"", 0)"),0)</f>
        <v>0</v>
      </c>
      <c r="J38" s="40" t="str">
        <f ca="1">IFERROR(__xludf.DUMMYFUNCTION("IF(SUM(COUNTIF(artists!C:C, SPLIT(D38, "",""))) &gt; 0, ""RU"", 0)"),"RU")</f>
        <v>RU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B39" s="21">
        <v>46</v>
      </c>
      <c r="C39" s="21" t="s">
        <v>2063</v>
      </c>
      <c r="D39" s="21" t="s">
        <v>2064</v>
      </c>
      <c r="E39" s="21">
        <v>13</v>
      </c>
      <c r="F39" s="21">
        <v>315839</v>
      </c>
      <c r="G39" s="42">
        <v>4.4999999999999998E-2</v>
      </c>
      <c r="H39" s="21" t="s">
        <v>2065</v>
      </c>
      <c r="I39" s="39">
        <f ca="1">IFERROR(__xludf.DUMMYFUNCTION("IF(SUM(COUNTIF(artists!A:A, SPLIT(D39, "",""))) &gt; 0, ""UA"", 0)"),0)</f>
        <v>0</v>
      </c>
      <c r="J39" s="40" t="str">
        <f ca="1">IFERROR(__xludf.DUMMYFUNCTION("IF(SUM(COUNTIF(artists!C:C, SPLIT(D39, "",""))) &gt; 0, ""RU"", 0)"),"RU")</f>
        <v>RU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B40" s="21">
        <v>37</v>
      </c>
      <c r="C40" s="21" t="s">
        <v>1887</v>
      </c>
      <c r="D40" s="21" t="s">
        <v>1099</v>
      </c>
      <c r="E40" s="21">
        <v>6</v>
      </c>
      <c r="F40" s="21">
        <v>309672</v>
      </c>
      <c r="G40" s="43">
        <v>-0.09</v>
      </c>
      <c r="H40" s="21" t="s">
        <v>1888</v>
      </c>
      <c r="I40" s="39">
        <f ca="1">IFERROR(__xludf.DUMMYFUNCTION("IF(SUM(COUNTIF(artists!A:A, SPLIT(D40, "",""))) &gt; 0, ""UA"", 0)"),0)</f>
        <v>0</v>
      </c>
      <c r="J40" s="40" t="str">
        <f ca="1">IFERROR(__xludf.DUMMYFUNCTION("IF(SUM(COUNTIF(artists!C:C, SPLIT(D40, "",""))) &gt; 0, ""RU"", 0)"),"RU")</f>
        <v>RU</v>
      </c>
      <c r="K40" s="39">
        <f ca="1">IFERROR(__xludf.DUMMYFUNCTION("IF(SUM(COUNTIF(artists!E:E, SPLIT(D40, "",""))) &gt; 0, ""OTHER"", 0)"),0)</f>
        <v>0</v>
      </c>
    </row>
    <row r="41" spans="1:11" ht="14.25" customHeight="1">
      <c r="A41" s="21">
        <v>40</v>
      </c>
      <c r="B41" s="21">
        <v>22</v>
      </c>
      <c r="C41" s="21" t="s">
        <v>2060</v>
      </c>
      <c r="D41" s="21" t="s">
        <v>2061</v>
      </c>
      <c r="E41" s="21">
        <v>2</v>
      </c>
      <c r="F41" s="21">
        <v>302428</v>
      </c>
      <c r="G41" s="42">
        <v>-0.29099999999999998</v>
      </c>
      <c r="H41" s="21" t="s">
        <v>2062</v>
      </c>
      <c r="I41" s="39">
        <f ca="1">IFERROR(__xludf.DUMMYFUNCTION("IF(SUM(COUNTIF(artists!A:A, SPLIT(D41, "",""))) &gt; 0, ""UA"", 0)"),0)</f>
        <v>0</v>
      </c>
      <c r="J41" s="40" t="str">
        <f ca="1">IFERROR(__xludf.DUMMYFUNCTION("IF(SUM(COUNTIF(artists!C:C, SPLIT(D41, "",""))) &gt; 0, ""RU"", 0)"),"RU")</f>
        <v>RU</v>
      </c>
      <c r="K41" s="39">
        <f ca="1">IFERROR(__xludf.DUMMYFUNCTION("IF(SUM(COUNTIF(artists!E:E, SPLIT(D41, "",""))) &gt; 0, ""OTHER"", 0)"),0)</f>
        <v>0</v>
      </c>
    </row>
    <row r="42" spans="1:11" ht="14.25" customHeight="1">
      <c r="A42" s="21">
        <v>41</v>
      </c>
      <c r="B42" s="21">
        <v>34</v>
      </c>
      <c r="C42" s="21" t="s">
        <v>1774</v>
      </c>
      <c r="D42" s="21" t="s">
        <v>1775</v>
      </c>
      <c r="E42" s="21">
        <v>16</v>
      </c>
      <c r="F42" s="21">
        <v>301153</v>
      </c>
      <c r="G42" s="42">
        <v>-0.14499999999999999</v>
      </c>
      <c r="H42" s="21" t="s">
        <v>1776</v>
      </c>
      <c r="I42" s="39">
        <f ca="1">IFERROR(__xludf.DUMMYFUNCTION("IF(SUM(COUNTIF(artists!A:A, SPLIT(D42, "",""))) &gt; 0, ""UA"", 0)"),0)</f>
        <v>0</v>
      </c>
      <c r="J42" s="40" t="str">
        <f ca="1">IFERROR(__xludf.DUMMYFUNCTION("IF(SUM(COUNTIF(artists!C:C, SPLIT(D42, "",""))) &gt; 0, ""RU"", 0)"),"RU")</f>
        <v>RU</v>
      </c>
      <c r="K42" s="39">
        <f ca="1">IFERROR(__xludf.DUMMYFUNCTION("IF(SUM(COUNTIF(artists!E:E, SPLIT(D42, "",""))) &gt; 0, ""OTHER"", 0)"),0)</f>
        <v>0</v>
      </c>
    </row>
    <row r="43" spans="1:11" ht="14.25" customHeight="1">
      <c r="A43" s="21">
        <v>42</v>
      </c>
      <c r="B43" s="21">
        <v>48</v>
      </c>
      <c r="C43" s="21" t="s">
        <v>2002</v>
      </c>
      <c r="D43" s="21" t="s">
        <v>2003</v>
      </c>
      <c r="E43" s="21">
        <v>32</v>
      </c>
      <c r="F43" s="21">
        <v>299915</v>
      </c>
      <c r="G43" s="42">
        <v>8.0000000000000002E-3</v>
      </c>
      <c r="H43" s="21" t="s">
        <v>2004</v>
      </c>
      <c r="I43" s="39">
        <f ca="1">IFERROR(__xludf.DUMMYFUNCTION("IF(SUM(COUNTIF(artists!A:A, SPLIT(D43, "",""))) &gt; 0, ""UA"", 0)"),0)</f>
        <v>0</v>
      </c>
      <c r="J43" s="40" t="str">
        <f ca="1">IFERROR(__xludf.DUMMYFUNCTION("IF(SUM(COUNTIF(artists!C:C, SPLIT(D43, "",""))) &gt; 0, ""RU"", 0)"),"RU")</f>
        <v>RU</v>
      </c>
      <c r="K43" s="39">
        <f ca="1">IFERROR(__xludf.DUMMYFUNCTION("IF(SUM(COUNTIF(artists!E:E, SPLIT(D43, "",""))) &gt; 0, ""OTHER"", 0)"),0)</f>
        <v>0</v>
      </c>
    </row>
    <row r="44" spans="1:11" ht="14.25" customHeight="1">
      <c r="A44" s="21">
        <v>43</v>
      </c>
      <c r="B44" s="21">
        <v>45</v>
      </c>
      <c r="C44" s="21" t="s">
        <v>2000</v>
      </c>
      <c r="D44" s="21" t="s">
        <v>137</v>
      </c>
      <c r="E44" s="21">
        <v>44</v>
      </c>
      <c r="F44" s="21">
        <v>298790</v>
      </c>
      <c r="G44" s="42">
        <v>-1.4999999999999999E-2</v>
      </c>
      <c r="H44" s="21" t="s">
        <v>2001</v>
      </c>
      <c r="I44" s="39" t="str">
        <f ca="1">IFERROR(__xludf.DUMMYFUNCTION("IF(SUM(COUNTIF(artists!A:A, SPLIT(D44, "",""))) &gt; 0, ""UA"", 0)"),"UA")</f>
        <v>UA</v>
      </c>
      <c r="J44" s="40">
        <f ca="1">IFERROR(__xludf.DUMMYFUNCTION("IF(SUM(COUNTIF(artists!C:C, SPLIT(D44, "",""))) &gt; 0, ""RU"", 0)"),0)</f>
        <v>0</v>
      </c>
      <c r="K44" s="39">
        <f ca="1">IFERROR(__xludf.DUMMYFUNCTION("IF(SUM(COUNTIF(artists!E:E, SPLIT(D44, "",""))) &gt; 0, ""OTHER"", 0)"),0)</f>
        <v>0</v>
      </c>
    </row>
    <row r="45" spans="1:11" ht="14.25" customHeight="1">
      <c r="A45" s="21">
        <v>44</v>
      </c>
      <c r="B45" s="21">
        <v>40</v>
      </c>
      <c r="C45" s="21" t="s">
        <v>2051</v>
      </c>
      <c r="D45" s="21" t="s">
        <v>2052</v>
      </c>
      <c r="E45" s="21">
        <v>8</v>
      </c>
      <c r="F45" s="21">
        <v>295464</v>
      </c>
      <c r="G45" s="42">
        <v>-9.4E-2</v>
      </c>
      <c r="H45" s="21" t="s">
        <v>2053</v>
      </c>
      <c r="I45" s="39">
        <f ca="1">IFERROR(__xludf.DUMMYFUNCTION("IF(SUM(COUNTIF(artists!A:A, SPLIT(D45, "",""))) &gt; 0, ""UA"", 0)"),0)</f>
        <v>0</v>
      </c>
      <c r="J45" s="40" t="str">
        <f ca="1">IFERROR(__xludf.DUMMYFUNCTION("IF(SUM(COUNTIF(artists!C:C, SPLIT(D45, "",""))) &gt; 0, ""RU"", 0)"),"RU")</f>
        <v>RU</v>
      </c>
      <c r="K45" s="39">
        <f ca="1">IFERROR(__xludf.DUMMYFUNCTION("IF(SUM(COUNTIF(artists!E:E, SPLIT(D45, "",""))) &gt; 0, ""OTHER"", 0)"),0)</f>
        <v>0</v>
      </c>
    </row>
    <row r="46" spans="1:11" ht="14.25" customHeight="1">
      <c r="A46" s="21">
        <v>45</v>
      </c>
      <c r="B46" s="21">
        <v>55</v>
      </c>
      <c r="C46" s="21" t="s">
        <v>1863</v>
      </c>
      <c r="D46" s="21" t="s">
        <v>1660</v>
      </c>
      <c r="E46" s="21">
        <v>5</v>
      </c>
      <c r="F46" s="21">
        <v>292501</v>
      </c>
      <c r="G46" s="42">
        <v>0.17399999999999999</v>
      </c>
      <c r="H46" s="21" t="s">
        <v>1864</v>
      </c>
      <c r="I46" s="39">
        <f ca="1">IFERROR(__xludf.DUMMYFUNCTION("IF(SUM(COUNTIF(artists!A:A, SPLIT(D46, "",""))) &gt; 0, ""UA"", 0)"),0)</f>
        <v>0</v>
      </c>
      <c r="J46" s="40" t="str">
        <f ca="1">IFERROR(__xludf.DUMMYFUNCTION("IF(SUM(COUNTIF(artists!C:C, SPLIT(D46, "",""))) &gt; 0, ""RU"", 0)"),"RU")</f>
        <v>RU</v>
      </c>
      <c r="K46" s="39">
        <f ca="1">IFERROR(__xludf.DUMMYFUNCTION("IF(SUM(COUNTIF(artists!E:E, SPLIT(D46, "",""))) &gt; 0, ""OTHER"", 0)"),0)</f>
        <v>0</v>
      </c>
    </row>
    <row r="47" spans="1:11" ht="14.25" customHeight="1">
      <c r="A47" s="21">
        <v>46</v>
      </c>
      <c r="B47" s="21">
        <v>43</v>
      </c>
      <c r="C47" s="21" t="s">
        <v>1654</v>
      </c>
      <c r="D47" s="21" t="s">
        <v>1655</v>
      </c>
      <c r="E47" s="21">
        <v>22</v>
      </c>
      <c r="F47" s="21">
        <v>285646</v>
      </c>
      <c r="G47" s="42">
        <v>-9.2999999999999999E-2</v>
      </c>
      <c r="H47" s="21" t="s">
        <v>1656</v>
      </c>
      <c r="I47" s="39">
        <f ca="1">IFERROR(__xludf.DUMMYFUNCTION("IF(SUM(COUNTIF(artists!A:A, SPLIT(D47, "",""))) &gt; 0, ""UA"", 0)"),0)</f>
        <v>0</v>
      </c>
      <c r="J47" s="40" t="str">
        <f ca="1">IFERROR(__xludf.DUMMYFUNCTION("IF(SUM(COUNTIF(artists!C:C, SPLIT(D47, "",""))) &gt; 0, ""RU"", 0)"),"RU")</f>
        <v>RU</v>
      </c>
      <c r="K47" s="39">
        <f ca="1">IFERROR(__xludf.DUMMYFUNCTION("IF(SUM(COUNTIF(artists!E:E, SPLIT(D47, "",""))) &gt; 0, ""OTHER"", 0)"),0)</f>
        <v>0</v>
      </c>
    </row>
    <row r="48" spans="1:11" ht="14.25" customHeight="1">
      <c r="A48" s="21">
        <v>47</v>
      </c>
      <c r="B48" s="21">
        <v>49</v>
      </c>
      <c r="C48" s="21" t="s">
        <v>2005</v>
      </c>
      <c r="D48" s="21" t="s">
        <v>1593</v>
      </c>
      <c r="E48" s="21">
        <v>17</v>
      </c>
      <c r="F48" s="21">
        <v>285030</v>
      </c>
      <c r="G48" s="42">
        <v>-2.9000000000000001E-2</v>
      </c>
      <c r="H48" s="21" t="s">
        <v>2006</v>
      </c>
      <c r="I48" s="39">
        <f ca="1">IFERROR(__xludf.DUMMYFUNCTION("IF(SUM(COUNTIF(artists!A:A, SPLIT(D48, "",""))) &gt; 0, ""UA"", 0)"),0)</f>
        <v>0</v>
      </c>
      <c r="J48" s="40" t="str">
        <f ca="1">IFERROR(__xludf.DUMMYFUNCTION("IF(SUM(COUNTIF(artists!C:C, SPLIT(D48, "",""))) &gt; 0, ""RU"", 0)"),"RU")</f>
        <v>RU</v>
      </c>
      <c r="K48" s="39">
        <f ca="1">IFERROR(__xludf.DUMMYFUNCTION("IF(SUM(COUNTIF(artists!E:E, SPLIT(D48, "",""))) &gt; 0, ""OTHER"", 0)"),0)</f>
        <v>0</v>
      </c>
    </row>
    <row r="49" spans="1:11" ht="14.25" customHeight="1">
      <c r="A49" s="21">
        <v>48</v>
      </c>
      <c r="B49" s="21">
        <v>33</v>
      </c>
      <c r="C49" s="21" t="s">
        <v>1960</v>
      </c>
      <c r="D49" s="21" t="s">
        <v>1050</v>
      </c>
      <c r="E49" s="21">
        <v>5</v>
      </c>
      <c r="F49" s="21">
        <v>276962</v>
      </c>
      <c r="G49" s="43">
        <v>-0.22</v>
      </c>
      <c r="H49" s="21" t="s">
        <v>1961</v>
      </c>
      <c r="I49" s="39">
        <f ca="1">IFERROR(__xludf.DUMMYFUNCTION("IF(SUM(COUNTIF(artists!A:A, SPLIT(D49, "",""))) &gt; 0, ""UA"", 0)"),0)</f>
        <v>0</v>
      </c>
      <c r="J49" s="40" t="str">
        <f ca="1">IFERROR(__xludf.DUMMYFUNCTION("IF(SUM(COUNTIF(artists!C:C, SPLIT(D49, "",""))) &gt; 0, ""RU"", 0)"),"RU")</f>
        <v>RU</v>
      </c>
      <c r="K49" s="39">
        <f ca="1">IFERROR(__xludf.DUMMYFUNCTION("IF(SUM(COUNTIF(artists!E:E, SPLIT(D49, "",""))) &gt; 0, ""OTHER"", 0)"),0)</f>
        <v>0</v>
      </c>
    </row>
    <row r="50" spans="1:11" ht="14.25" customHeight="1">
      <c r="A50" s="21">
        <v>49</v>
      </c>
      <c r="B50" s="21">
        <v>51</v>
      </c>
      <c r="C50" s="21" t="s">
        <v>1392</v>
      </c>
      <c r="D50" s="21" t="s">
        <v>1393</v>
      </c>
      <c r="E50" s="21">
        <v>3</v>
      </c>
      <c r="F50" s="21">
        <v>275972</v>
      </c>
      <c r="G50" s="42">
        <v>-2.9000000000000001E-2</v>
      </c>
      <c r="H50" s="21" t="s">
        <v>1394</v>
      </c>
      <c r="I50" s="39">
        <f ca="1">IFERROR(__xludf.DUMMYFUNCTION("IF(SUM(COUNTIF(artists!A:A, SPLIT(D50, "",""))) &gt; 0, ""UA"", 0)"),0)</f>
        <v>0</v>
      </c>
      <c r="J50" s="40" t="str">
        <f ca="1">IFERROR(__xludf.DUMMYFUNCTION("IF(SUM(COUNTIF(artists!C:C, SPLIT(D50, "",""))) &gt; 0, ""RU"", 0)"),"RU")</f>
        <v>RU</v>
      </c>
      <c r="K50" s="39">
        <f ca="1">IFERROR(__xludf.DUMMYFUNCTION("IF(SUM(COUNTIF(artists!E:E, SPLIT(D50, "",""))) &gt; 0, ""OTHER"", 0)"),0)</f>
        <v>0</v>
      </c>
    </row>
    <row r="51" spans="1:11" ht="14.25" customHeight="1">
      <c r="A51" s="21">
        <v>50</v>
      </c>
      <c r="B51" s="21">
        <v>44</v>
      </c>
      <c r="C51" s="21" t="s">
        <v>2009</v>
      </c>
      <c r="D51" s="21" t="s">
        <v>2010</v>
      </c>
      <c r="E51" s="21">
        <v>8</v>
      </c>
      <c r="F51" s="21">
        <v>274585</v>
      </c>
      <c r="G51" s="42">
        <v>-0.125</v>
      </c>
      <c r="H51" s="21" t="s">
        <v>2011</v>
      </c>
      <c r="I51" s="39">
        <f ca="1">IFERROR(__xludf.DUMMYFUNCTION("IF(SUM(COUNTIF(artists!A:A, SPLIT(D51, "",""))) &gt; 0, ""UA"", 0)"),0)</f>
        <v>0</v>
      </c>
      <c r="J51" s="40" t="str">
        <f ca="1">IFERROR(__xludf.DUMMYFUNCTION("IF(SUM(COUNTIF(artists!C:C, SPLIT(D51, "",""))) &gt; 0, ""RU"", 0)"),"RU")</f>
        <v>RU</v>
      </c>
      <c r="K51" s="39">
        <f ca="1">IFERROR(__xludf.DUMMYFUNCTION("IF(SUM(COUNTIF(artists!E:E, SPLIT(D51, "",""))) &gt; 0, ""OTHER"", 0)"),0)</f>
        <v>0</v>
      </c>
    </row>
    <row r="52" spans="1:11" ht="14.25" customHeight="1">
      <c r="A52" s="21">
        <v>51</v>
      </c>
      <c r="B52" s="21">
        <v>42</v>
      </c>
      <c r="C52" s="21" t="s">
        <v>2071</v>
      </c>
      <c r="D52" s="21" t="s">
        <v>2072</v>
      </c>
      <c r="E52" s="21">
        <v>14</v>
      </c>
      <c r="F52" s="21">
        <v>271716</v>
      </c>
      <c r="G52" s="42">
        <v>-0.13800000000000001</v>
      </c>
      <c r="H52" s="21" t="s">
        <v>2073</v>
      </c>
      <c r="I52" s="39">
        <f ca="1">IFERROR(__xludf.DUMMYFUNCTION("IF(SUM(COUNTIF(artists!A:A, SPLIT(D52, "",""))) &gt; 0, ""UA"", 0)"),0)</f>
        <v>0</v>
      </c>
      <c r="J52" s="40" t="str">
        <f ca="1">IFERROR(__xludf.DUMMYFUNCTION("IF(SUM(COUNTIF(artists!C:C, SPLIT(D52, "",""))) &gt; 0, ""RU"", 0)"),"RU")</f>
        <v>RU</v>
      </c>
      <c r="K52" s="39">
        <f ca="1">IFERROR(__xludf.DUMMYFUNCTION("IF(SUM(COUNTIF(artists!E:E, SPLIT(D52, "",""))) &gt; 0, ""OTHER"", 0)"),0)</f>
        <v>0</v>
      </c>
    </row>
    <row r="53" spans="1:11" ht="14.25" customHeight="1">
      <c r="A53" s="21">
        <v>52</v>
      </c>
      <c r="B53" s="21">
        <v>50</v>
      </c>
      <c r="C53" s="21" t="s">
        <v>2032</v>
      </c>
      <c r="D53" s="21" t="s">
        <v>2033</v>
      </c>
      <c r="E53" s="21">
        <v>5</v>
      </c>
      <c r="F53" s="21">
        <v>266871</v>
      </c>
      <c r="G53" s="42">
        <v>-6.6000000000000003E-2</v>
      </c>
      <c r="H53" s="21" t="s">
        <v>2034</v>
      </c>
      <c r="I53" s="39">
        <f ca="1">IFERROR(__xludf.DUMMYFUNCTION("IF(SUM(COUNTIF(artists!A:A, SPLIT(D53, "",""))) &gt; 0, ""UA"", 0)"),0)</f>
        <v>0</v>
      </c>
      <c r="J53" s="40" t="str">
        <f ca="1">IFERROR(__xludf.DUMMYFUNCTION("IF(SUM(COUNTIF(artists!C:C, SPLIT(D53, "",""))) &gt; 0, ""RU"", 0)"),"RU")</f>
        <v>RU</v>
      </c>
      <c r="K53" s="39">
        <f ca="1">IFERROR(__xludf.DUMMYFUNCTION("IF(SUM(COUNTIF(artists!E:E, SPLIT(D53, "",""))) &gt; 0, ""OTHER"", 0)"),0)</f>
        <v>0</v>
      </c>
    </row>
    <row r="54" spans="1:11" ht="14.25" customHeight="1">
      <c r="A54" s="21">
        <v>53</v>
      </c>
      <c r="B54" s="21">
        <v>53</v>
      </c>
      <c r="C54" s="21" t="s">
        <v>2088</v>
      </c>
      <c r="D54" s="21" t="s">
        <v>2089</v>
      </c>
      <c r="E54" s="21">
        <v>2</v>
      </c>
      <c r="F54" s="21">
        <v>265110</v>
      </c>
      <c r="G54" s="43">
        <v>-0.04</v>
      </c>
      <c r="H54" s="21" t="s">
        <v>2090</v>
      </c>
      <c r="I54" s="39">
        <f ca="1">IFERROR(__xludf.DUMMYFUNCTION("IF(SUM(COUNTIF(artists!A:A, SPLIT(D54, "",""))) &gt; 0, ""UA"", 0)"),0)</f>
        <v>0</v>
      </c>
      <c r="J54" s="40" t="str">
        <f ca="1">IFERROR(__xludf.DUMMYFUNCTION("IF(SUM(COUNTIF(artists!C:C, SPLIT(D54, "",""))) &gt; 0, ""RU"", 0)"),"RU")</f>
        <v>RU</v>
      </c>
      <c r="K54" s="39">
        <f ca="1">IFERROR(__xludf.DUMMYFUNCTION("IF(SUM(COUNTIF(artists!E:E, SPLIT(D54, "",""))) &gt; 0, ""OTHER"", 0)"),0)</f>
        <v>0</v>
      </c>
    </row>
    <row r="55" spans="1:11" ht="14.25" customHeight="1">
      <c r="A55" s="21">
        <v>54</v>
      </c>
      <c r="B55" s="21">
        <v>64</v>
      </c>
      <c r="C55" s="21" t="s">
        <v>968</v>
      </c>
      <c r="D55" s="21" t="s">
        <v>969</v>
      </c>
      <c r="E55" s="21">
        <v>9</v>
      </c>
      <c r="F55" s="21">
        <v>263517</v>
      </c>
      <c r="G55" s="42">
        <v>0.224</v>
      </c>
      <c r="H55" s="21" t="s">
        <v>970</v>
      </c>
      <c r="I55" s="39" t="str">
        <f ca="1">IFERROR(__xludf.DUMMYFUNCTION("IF(SUM(COUNTIF(artists!A:A, SPLIT(D55, "",""))) &gt; 0, ""UA"", 0)"),"UA")</f>
        <v>UA</v>
      </c>
      <c r="J55" s="40">
        <f ca="1">IFERROR(__xludf.DUMMYFUNCTION("IF(SUM(COUNTIF(artists!C:C, SPLIT(D55, "",""))) &gt; 0, ""RU"", 0)"),0)</f>
        <v>0</v>
      </c>
      <c r="K55" s="39">
        <f ca="1">IFERROR(__xludf.DUMMYFUNCTION("IF(SUM(COUNTIF(artists!E:E, SPLIT(D55, "",""))) &gt; 0, ""OTHER"", 0)"),0)</f>
        <v>0</v>
      </c>
    </row>
    <row r="56" spans="1:11" ht="14.25" customHeight="1">
      <c r="A56" s="21">
        <v>55</v>
      </c>
      <c r="B56" s="21">
        <v>59</v>
      </c>
      <c r="C56" s="21" t="s">
        <v>2099</v>
      </c>
      <c r="D56" s="21" t="s">
        <v>1170</v>
      </c>
      <c r="E56" s="21">
        <v>2</v>
      </c>
      <c r="F56" s="21">
        <v>262117</v>
      </c>
      <c r="G56" s="43">
        <v>0.13</v>
      </c>
      <c r="H56" s="21" t="s">
        <v>2100</v>
      </c>
      <c r="I56" s="39">
        <f ca="1">IFERROR(__xludf.DUMMYFUNCTION("IF(SUM(COUNTIF(artists!A:A, SPLIT(D56, "",""))) &gt; 0, ""UA"", 0)"),0)</f>
        <v>0</v>
      </c>
      <c r="J56" s="40" t="str">
        <f ca="1">IFERROR(__xludf.DUMMYFUNCTION("IF(SUM(COUNTIF(artists!C:C, SPLIT(D56, "",""))) &gt; 0, ""RU"", 0)"),"RU")</f>
        <v>RU</v>
      </c>
      <c r="K56" s="39">
        <f ca="1">IFERROR(__xludf.DUMMYFUNCTION("IF(SUM(COUNTIF(artists!E:E, SPLIT(D56, "",""))) &gt; 0, ""OTHER"", 0)"),0)</f>
        <v>0</v>
      </c>
    </row>
    <row r="57" spans="1:11" ht="14.25" customHeight="1">
      <c r="A57" s="21">
        <v>56</v>
      </c>
      <c r="C57" s="21" t="s">
        <v>1498</v>
      </c>
      <c r="D57" s="21" t="s">
        <v>969</v>
      </c>
      <c r="E57" s="21">
        <v>22</v>
      </c>
      <c r="F57" s="21">
        <v>250805</v>
      </c>
      <c r="H57" s="21" t="s">
        <v>1499</v>
      </c>
      <c r="I57" s="39" t="str">
        <f ca="1">IFERROR(__xludf.DUMMYFUNCTION("IF(SUM(COUNTIF(artists!A:A, SPLIT(D57, "",""))) &gt; 0, ""UA"", 0)"),"UA")</f>
        <v>UA</v>
      </c>
      <c r="J57" s="40">
        <f ca="1">IFERROR(__xludf.DUMMYFUNCTION("IF(SUM(COUNTIF(artists!C:C, SPLIT(D57, "",""))) &gt; 0, ""RU"", 0)"),0)</f>
        <v>0</v>
      </c>
      <c r="K57" s="39">
        <f ca="1">IFERROR(__xludf.DUMMYFUNCTION("IF(SUM(COUNTIF(artists!E:E, SPLIT(D57, "",""))) &gt; 0, ""OTHER"", 0)"),0)</f>
        <v>0</v>
      </c>
    </row>
    <row r="58" spans="1:11" ht="14.25" customHeight="1">
      <c r="A58" s="21">
        <v>57</v>
      </c>
      <c r="B58" s="21">
        <v>47</v>
      </c>
      <c r="C58" s="21" t="s">
        <v>2085</v>
      </c>
      <c r="D58" s="21" t="s">
        <v>2086</v>
      </c>
      <c r="E58" s="21">
        <v>7</v>
      </c>
      <c r="F58" s="21">
        <v>246566</v>
      </c>
      <c r="G58" s="42">
        <v>-0.17299999999999999</v>
      </c>
      <c r="H58" s="21" t="s">
        <v>2087</v>
      </c>
      <c r="I58" s="39">
        <f ca="1">IFERROR(__xludf.DUMMYFUNCTION("IF(SUM(COUNTIF(artists!A:A, SPLIT(D58, "",""))) &gt; 0, ""UA"", 0)"),0)</f>
        <v>0</v>
      </c>
      <c r="J58" s="40" t="str">
        <f ca="1">IFERROR(__xludf.DUMMYFUNCTION("IF(SUM(COUNTIF(artists!C:C, SPLIT(D58, "",""))) &gt; 0, ""RU"", 0)"),"RU")</f>
        <v>RU</v>
      </c>
      <c r="K58" s="39">
        <f ca="1">IFERROR(__xludf.DUMMYFUNCTION("IF(SUM(COUNTIF(artists!E:E, SPLIT(D58, "",""))) &gt; 0, ""OTHER"", 0)"),0)</f>
        <v>0</v>
      </c>
    </row>
    <row r="59" spans="1:11" ht="14.25" customHeight="1">
      <c r="A59" s="21">
        <v>58</v>
      </c>
      <c r="B59" s="21">
        <v>21</v>
      </c>
      <c r="C59" s="21" t="s">
        <v>1588</v>
      </c>
      <c r="D59" s="21" t="s">
        <v>776</v>
      </c>
      <c r="E59" s="21">
        <v>2</v>
      </c>
      <c r="F59" s="21">
        <v>233165</v>
      </c>
      <c r="G59" s="42">
        <v>-0.46200000000000002</v>
      </c>
      <c r="H59" s="21" t="s">
        <v>1589</v>
      </c>
      <c r="I59" s="39" t="str">
        <f ca="1">IFERROR(__xludf.DUMMYFUNCTION("IF(SUM(COUNTIF(artists!A:A, SPLIT(D59, "",""))) &gt; 0, ""UA"", 0)"),"UA")</f>
        <v>UA</v>
      </c>
      <c r="J59" s="40">
        <f ca="1">IFERROR(__xludf.DUMMYFUNCTION("IF(SUM(COUNTIF(artists!C:C, SPLIT(D59, "",""))) &gt; 0, ""RU"", 0)"),0)</f>
        <v>0</v>
      </c>
      <c r="K59" s="39">
        <f ca="1">IFERROR(__xludf.DUMMYFUNCTION("IF(SUM(COUNTIF(artists!E:E, SPLIT(D59, "",""))) &gt; 0, ""OTHER"", 0)"),0)</f>
        <v>0</v>
      </c>
    </row>
    <row r="60" spans="1:11" ht="14.25" customHeight="1">
      <c r="A60" s="21">
        <v>59</v>
      </c>
      <c r="B60" s="21">
        <v>57</v>
      </c>
      <c r="C60" s="21" t="s">
        <v>1381</v>
      </c>
      <c r="D60" s="21" t="s">
        <v>969</v>
      </c>
      <c r="E60" s="21">
        <v>3</v>
      </c>
      <c r="F60" s="21">
        <v>232621</v>
      </c>
      <c r="G60" s="43">
        <v>-0.05</v>
      </c>
      <c r="H60" s="21" t="s">
        <v>1382</v>
      </c>
      <c r="I60" s="39" t="str">
        <f ca="1">IFERROR(__xludf.DUMMYFUNCTION("IF(SUM(COUNTIF(artists!A:A, SPLIT(D60, "",""))) &gt; 0, ""UA"", 0)"),"UA")</f>
        <v>UA</v>
      </c>
      <c r="J60" s="40">
        <f ca="1">IFERROR(__xludf.DUMMYFUNCTION("IF(SUM(COUNTIF(artists!C:C, SPLIT(D60, "",""))) &gt; 0, ""RU"", 0)"),0)</f>
        <v>0</v>
      </c>
      <c r="K60" s="39">
        <f ca="1">IFERROR(__xludf.DUMMYFUNCTION("IF(SUM(COUNTIF(artists!E:E, SPLIT(D60, "",""))) &gt; 0, ""OTHER"", 0)"),0)</f>
        <v>0</v>
      </c>
    </row>
    <row r="61" spans="1:11" ht="14.25" customHeight="1">
      <c r="A61" s="21">
        <v>60</v>
      </c>
      <c r="C61" s="21" t="s">
        <v>2143</v>
      </c>
      <c r="D61" s="21" t="s">
        <v>2144</v>
      </c>
      <c r="E61" s="21">
        <v>1</v>
      </c>
      <c r="F61" s="21">
        <v>227885</v>
      </c>
      <c r="H61" s="21" t="s">
        <v>2145</v>
      </c>
      <c r="I61" s="39">
        <f ca="1">IFERROR(__xludf.DUMMYFUNCTION("IF(SUM(COUNTIF(artists!A:A, SPLIT(D61, "",""))) &gt; 0, ""UA"", 0)"),0)</f>
        <v>0</v>
      </c>
      <c r="J61" s="40" t="str">
        <f ca="1">IFERROR(__xludf.DUMMYFUNCTION("IF(SUM(COUNTIF(artists!C:C, SPLIT(D61, "",""))) &gt; 0, ""RU"", 0)"),"RU")</f>
        <v>RU</v>
      </c>
      <c r="K61" s="39">
        <f ca="1">IFERROR(__xludf.DUMMYFUNCTION("IF(SUM(COUNTIF(artists!E:E, SPLIT(D61, "",""))) &gt; 0, ""OTHER"", 0)"),0)</f>
        <v>0</v>
      </c>
    </row>
    <row r="62" spans="1:11" ht="14.25" customHeight="1">
      <c r="A62" s="21">
        <v>61</v>
      </c>
      <c r="C62" s="21" t="s">
        <v>1431</v>
      </c>
      <c r="D62" s="21" t="s">
        <v>969</v>
      </c>
      <c r="E62" s="21">
        <v>21</v>
      </c>
      <c r="F62" s="21">
        <v>227347</v>
      </c>
      <c r="H62" s="21" t="s">
        <v>1432</v>
      </c>
      <c r="I62" s="39" t="str">
        <f ca="1">IFERROR(__xludf.DUMMYFUNCTION("IF(SUM(COUNTIF(artists!A:A, SPLIT(D62, "",""))) &gt; 0, ""UA"", 0)"),"UA")</f>
        <v>UA</v>
      </c>
      <c r="J62" s="40">
        <f ca="1">IFERROR(__xludf.DUMMYFUNCTION("IF(SUM(COUNTIF(artists!C:C, SPLIT(D62, "",""))) &gt; 0, ""RU"", 0)"),0)</f>
        <v>0</v>
      </c>
      <c r="K62" s="39">
        <f ca="1">IFERROR(__xludf.DUMMYFUNCTION("IF(SUM(COUNTIF(artists!E:E, SPLIT(D62, "",""))) &gt; 0, ""OTHER"", 0)"),0)</f>
        <v>0</v>
      </c>
    </row>
    <row r="63" spans="1:11" ht="14.25" customHeight="1">
      <c r="A63" s="21">
        <v>62</v>
      </c>
      <c r="C63" s="21" t="s">
        <v>895</v>
      </c>
      <c r="D63" s="21" t="s">
        <v>896</v>
      </c>
      <c r="E63" s="21">
        <v>1</v>
      </c>
      <c r="F63" s="21">
        <v>225410</v>
      </c>
      <c r="H63" s="21" t="s">
        <v>897</v>
      </c>
      <c r="I63" s="39" t="str">
        <f ca="1">IFERROR(__xludf.DUMMYFUNCTION("IF(SUM(COUNTIF(artists!A:A, SPLIT(D63, "",""))) &gt; 0, ""UA"", 0)"),"UA")</f>
        <v>UA</v>
      </c>
      <c r="J63" s="40">
        <f ca="1">IFERROR(__xludf.DUMMYFUNCTION("IF(SUM(COUNTIF(artists!C:C, SPLIT(D63, "",""))) &gt; 0, ""RU"", 0)"),0)</f>
        <v>0</v>
      </c>
      <c r="K63" s="39">
        <f ca="1">IFERROR(__xludf.DUMMYFUNCTION("IF(SUM(COUNTIF(artists!E:E, SPLIT(D63, "",""))) &gt; 0, ""OTHER"", 0)"),0)</f>
        <v>0</v>
      </c>
    </row>
    <row r="64" spans="1:11" ht="14.25" customHeight="1">
      <c r="A64" s="21">
        <v>63</v>
      </c>
      <c r="C64" s="21" t="s">
        <v>1851</v>
      </c>
      <c r="D64" s="21" t="s">
        <v>1852</v>
      </c>
      <c r="E64" s="21">
        <v>1</v>
      </c>
      <c r="F64" s="21">
        <v>219502</v>
      </c>
      <c r="H64" s="21" t="s">
        <v>1853</v>
      </c>
      <c r="I64" s="39">
        <f ca="1">IFERROR(__xludf.DUMMYFUNCTION("IF(SUM(COUNTIF(artists!A:A, SPLIT(D64, "",""))) &gt; 0, ""UA"", 0)"),0)</f>
        <v>0</v>
      </c>
      <c r="J64" s="40" t="str">
        <f ca="1">IFERROR(__xludf.DUMMYFUNCTION("IF(SUM(COUNTIF(artists!C:C, SPLIT(D64, "",""))) &gt; 0, ""RU"", 0)"),"RU")</f>
        <v>RU</v>
      </c>
      <c r="K64" s="39">
        <f ca="1">IFERROR(__xludf.DUMMYFUNCTION("IF(SUM(COUNTIF(artists!E:E, SPLIT(D64, "",""))) &gt; 0, ""OTHER"", 0)"),0)</f>
        <v>0</v>
      </c>
    </row>
    <row r="65" spans="1:11" ht="14.25" customHeight="1">
      <c r="A65" s="21">
        <v>64</v>
      </c>
      <c r="B65" s="21">
        <v>77</v>
      </c>
      <c r="C65" s="21" t="s">
        <v>1723</v>
      </c>
      <c r="D65" s="21" t="s">
        <v>1724</v>
      </c>
      <c r="E65" s="21">
        <v>2</v>
      </c>
      <c r="F65" s="21">
        <v>211896</v>
      </c>
      <c r="G65" s="42">
        <v>0.156</v>
      </c>
      <c r="H65" s="21" t="s">
        <v>1725</v>
      </c>
      <c r="I65" s="39" t="str">
        <f ca="1">IFERROR(__xludf.DUMMYFUNCTION("IF(SUM(COUNTIF(artists!A:A, SPLIT(D65, "",""))) &gt; 0, ""UA"", 0)"),"UA")</f>
        <v>UA</v>
      </c>
      <c r="J65" s="40">
        <f ca="1">IFERROR(__xludf.DUMMYFUNCTION("IF(SUM(COUNTIF(artists!C:C, SPLIT(D65, "",""))) &gt; 0, ""RU"", 0)"),0)</f>
        <v>0</v>
      </c>
      <c r="K65" s="39">
        <f ca="1">IFERROR(__xludf.DUMMYFUNCTION("IF(SUM(COUNTIF(artists!E:E, SPLIT(D65, "",""))) &gt; 0, ""OTHER"", 0)"),0)</f>
        <v>0</v>
      </c>
    </row>
    <row r="66" spans="1:11" ht="14.25" customHeight="1">
      <c r="A66" s="21">
        <v>65</v>
      </c>
      <c r="C66" s="21" t="s">
        <v>2080</v>
      </c>
      <c r="D66" s="21" t="s">
        <v>864</v>
      </c>
      <c r="E66" s="21">
        <v>1</v>
      </c>
      <c r="F66" s="21">
        <v>211038</v>
      </c>
      <c r="H66" s="21" t="s">
        <v>2081</v>
      </c>
      <c r="I66" s="39" t="str">
        <f ca="1">IFERROR(__xludf.DUMMYFUNCTION("IF(SUM(COUNTIF(artists!A:A, SPLIT(D66, "",""))) &gt; 0, ""UA"", 0)"),"UA")</f>
        <v>UA</v>
      </c>
      <c r="J66" s="40">
        <f ca="1">IFERROR(__xludf.DUMMYFUNCTION("IF(SUM(COUNTIF(artists!C:C, SPLIT(D66, "",""))) &gt; 0, ""RU"", 0)"),0)</f>
        <v>0</v>
      </c>
      <c r="K66" s="39">
        <f ca="1">IFERROR(__xludf.DUMMYFUNCTION("IF(SUM(COUNTIF(artists!E:E, SPLIT(D66, "",""))) &gt; 0, ""OTHER"", 0)"),0)</f>
        <v>0</v>
      </c>
    </row>
    <row r="67" spans="1:11" ht="14.25" customHeight="1">
      <c r="A67" s="21">
        <v>66</v>
      </c>
      <c r="B67" s="21">
        <v>67</v>
      </c>
      <c r="C67" s="21" t="s">
        <v>2094</v>
      </c>
      <c r="D67" s="21" t="s">
        <v>104</v>
      </c>
      <c r="E67" s="21">
        <v>12</v>
      </c>
      <c r="F67" s="21">
        <v>210309</v>
      </c>
      <c r="G67" s="42">
        <v>1.2E-2</v>
      </c>
      <c r="H67" s="21" t="s">
        <v>2095</v>
      </c>
      <c r="I67" s="39" t="str">
        <f ca="1">IFERROR(__xludf.DUMMYFUNCTION("IF(SUM(COUNTIF(artists!A:A, SPLIT(D67, "",""))) &gt; 0, ""UA"", 0)"),"UA")</f>
        <v>UA</v>
      </c>
      <c r="J67" s="40">
        <f ca="1">IFERROR(__xludf.DUMMYFUNCTION("IF(SUM(COUNTIF(artists!C:C, SPLIT(D67, "",""))) &gt; 0, ""RU"", 0)"),0)</f>
        <v>0</v>
      </c>
      <c r="K67" s="39">
        <f ca="1">IFERROR(__xludf.DUMMYFUNCTION("IF(SUM(COUNTIF(artists!E:E, SPLIT(D67, "",""))) &gt; 0, ""OTHER"", 0)"),0)</f>
        <v>0</v>
      </c>
    </row>
    <row r="68" spans="1:11" ht="14.25" customHeight="1">
      <c r="A68" s="21">
        <v>67</v>
      </c>
      <c r="C68" s="21" t="s">
        <v>1911</v>
      </c>
      <c r="D68" s="21" t="s">
        <v>1912</v>
      </c>
      <c r="E68" s="21">
        <v>1</v>
      </c>
      <c r="F68" s="21">
        <v>209778</v>
      </c>
      <c r="H68" s="21" t="s">
        <v>1913</v>
      </c>
      <c r="I68" s="39">
        <f ca="1">IFERROR(__xludf.DUMMYFUNCTION("IF(SUM(COUNTIF(artists!A:A, SPLIT(D68, "",""))) &gt; 0, ""UA"", 0)"),0)</f>
        <v>0</v>
      </c>
      <c r="J68" s="40" t="str">
        <f ca="1">IFERROR(__xludf.DUMMYFUNCTION("IF(SUM(COUNTIF(artists!C:C, SPLIT(D68, "",""))) &gt; 0, ""RU"", 0)"),"RU")</f>
        <v>RU</v>
      </c>
      <c r="K68" s="39">
        <f ca="1">IFERROR(__xludf.DUMMYFUNCTION("IF(SUM(COUNTIF(artists!E:E, SPLIT(D68, "",""))) &gt; 0, ""OTHER"", 0)"),0)</f>
        <v>0</v>
      </c>
    </row>
    <row r="69" spans="1:11" ht="14.25" customHeight="1">
      <c r="A69" s="21">
        <v>68</v>
      </c>
      <c r="B69" s="21">
        <v>56</v>
      </c>
      <c r="C69" s="21" t="s">
        <v>2107</v>
      </c>
      <c r="D69" s="21" t="s">
        <v>1783</v>
      </c>
      <c r="E69" s="21">
        <v>6</v>
      </c>
      <c r="F69" s="21">
        <v>205552</v>
      </c>
      <c r="G69" s="42">
        <v>-0.161</v>
      </c>
      <c r="H69" s="21" t="s">
        <v>2108</v>
      </c>
      <c r="I69" s="39">
        <f ca="1">IFERROR(__xludf.DUMMYFUNCTION("IF(SUM(COUNTIF(artists!A:A, SPLIT(D69, "",""))) &gt; 0, ""UA"", 0)"),0)</f>
        <v>0</v>
      </c>
      <c r="J69" s="40" t="str">
        <f ca="1">IFERROR(__xludf.DUMMYFUNCTION("IF(SUM(COUNTIF(artists!C:C, SPLIT(D69, "",""))) &gt; 0, ""RU"", 0)"),"RU")</f>
        <v>RU</v>
      </c>
      <c r="K69" s="39">
        <f ca="1">IFERROR(__xludf.DUMMYFUNCTION("IF(SUM(COUNTIF(artists!E:E, SPLIT(D69, "",""))) &gt; 0, ""OTHER"", 0)"),0)</f>
        <v>0</v>
      </c>
    </row>
    <row r="70" spans="1:11" ht="14.25" customHeight="1">
      <c r="A70" s="21">
        <v>69</v>
      </c>
      <c r="B70" s="21">
        <v>60</v>
      </c>
      <c r="C70" s="21" t="s">
        <v>2007</v>
      </c>
      <c r="D70" s="21" t="s">
        <v>1652</v>
      </c>
      <c r="E70" s="21">
        <v>17</v>
      </c>
      <c r="F70" s="21">
        <v>203441</v>
      </c>
      <c r="G70" s="42">
        <v>-9.4E-2</v>
      </c>
      <c r="H70" s="21" t="s">
        <v>2008</v>
      </c>
      <c r="I70" s="39">
        <f ca="1">IFERROR(__xludf.DUMMYFUNCTION("IF(SUM(COUNTIF(artists!A:A, SPLIT(D70, "",""))) &gt; 0, ""UA"", 0)"),0)</f>
        <v>0</v>
      </c>
      <c r="J70" s="40" t="str">
        <f ca="1">IFERROR(__xludf.DUMMYFUNCTION("IF(SUM(COUNTIF(artists!C:C, SPLIT(D70, "",""))) &gt; 0, ""RU"", 0)"),"RU")</f>
        <v>RU</v>
      </c>
      <c r="K70" s="39">
        <f ca="1">IFERROR(__xludf.DUMMYFUNCTION("IF(SUM(COUNTIF(artists!E:E, SPLIT(D70, "",""))) &gt; 0, ""OTHER"", 0)"),0)</f>
        <v>0</v>
      </c>
    </row>
    <row r="71" spans="1:11" ht="14.25" customHeight="1">
      <c r="A71" s="21">
        <v>70</v>
      </c>
      <c r="B71" s="21">
        <v>61</v>
      </c>
      <c r="C71" s="21" t="s">
        <v>2054</v>
      </c>
      <c r="D71" s="21" t="s">
        <v>2055</v>
      </c>
      <c r="E71" s="21">
        <v>9</v>
      </c>
      <c r="F71" s="21">
        <v>201688</v>
      </c>
      <c r="G71" s="42">
        <v>-7.1999999999999995E-2</v>
      </c>
      <c r="H71" s="21" t="s">
        <v>2056</v>
      </c>
      <c r="I71" s="39">
        <f ca="1">IFERROR(__xludf.DUMMYFUNCTION("IF(SUM(COUNTIF(artists!A:A, SPLIT(D71, "",""))) &gt; 0, ""UA"", 0)"),0)</f>
        <v>0</v>
      </c>
      <c r="J71" s="40">
        <f ca="1">IFERROR(__xludf.DUMMYFUNCTION("IF(SUM(COUNTIF(artists!C:C, SPLIT(D71, "",""))) &gt; 0, ""RU"", 0)"),0)</f>
        <v>0</v>
      </c>
      <c r="K71" s="39" t="str">
        <f ca="1">IFERROR(__xludf.DUMMYFUNCTION("IF(SUM(COUNTIF(artists!E:E, SPLIT(D71, "",""))) &gt; 0, ""OTHER"", 0)"),"OTHER")</f>
        <v>OTHER</v>
      </c>
    </row>
    <row r="72" spans="1:11" ht="14.25" customHeight="1">
      <c r="A72" s="21">
        <v>71</v>
      </c>
      <c r="B72" s="21">
        <v>63</v>
      </c>
      <c r="C72" s="21" t="s">
        <v>613</v>
      </c>
      <c r="D72" s="21" t="s">
        <v>614</v>
      </c>
      <c r="E72" s="21">
        <v>9</v>
      </c>
      <c r="F72" s="21">
        <v>199560</v>
      </c>
      <c r="G72" s="42">
        <v>-7.3999999999999996E-2</v>
      </c>
      <c r="H72" s="21" t="s">
        <v>615</v>
      </c>
      <c r="I72" s="39">
        <f ca="1">IFERROR(__xludf.DUMMYFUNCTION("IF(SUM(COUNTIF(artists!A:A, SPLIT(D72, "",""))) &gt; 0, ""UA"", 0)"),0)</f>
        <v>0</v>
      </c>
      <c r="J72" s="40" t="str">
        <f ca="1">IFERROR(__xludf.DUMMYFUNCTION("IF(SUM(COUNTIF(artists!C:C, SPLIT(D72, "",""))) &gt; 0, ""RU"", 0)"),"RU")</f>
        <v>RU</v>
      </c>
      <c r="K72" s="39">
        <f ca="1">IFERROR(__xludf.DUMMYFUNCTION("IF(SUM(COUNTIF(artists!E:E, SPLIT(D72, "",""))) &gt; 0, ""OTHER"", 0)"),0)</f>
        <v>0</v>
      </c>
    </row>
    <row r="73" spans="1:11" ht="14.25" customHeight="1">
      <c r="A73" s="21">
        <v>72</v>
      </c>
      <c r="B73" s="21">
        <v>54</v>
      </c>
      <c r="C73" s="21" t="s">
        <v>1483</v>
      </c>
      <c r="D73" s="21" t="s">
        <v>972</v>
      </c>
      <c r="E73" s="21">
        <v>14</v>
      </c>
      <c r="F73" s="21">
        <v>197941</v>
      </c>
      <c r="G73" s="42">
        <v>-0.27800000000000002</v>
      </c>
      <c r="H73" s="21" t="s">
        <v>1484</v>
      </c>
      <c r="I73" s="39">
        <f ca="1">IFERROR(__xludf.DUMMYFUNCTION("IF(SUM(COUNTIF(artists!A:A, SPLIT(D73, "",""))) &gt; 0, ""UA"", 0)"),0)</f>
        <v>0</v>
      </c>
      <c r="J73" s="40">
        <f ca="1">IFERROR(__xludf.DUMMYFUNCTION("IF(SUM(COUNTIF(artists!C:C, SPLIT(D73, "",""))) &gt; 0, ""RU"", 0)"),0)</f>
        <v>0</v>
      </c>
      <c r="K73" s="39" t="str">
        <f ca="1">IFERROR(__xludf.DUMMYFUNCTION("IF(SUM(COUNTIF(artists!E:E, SPLIT(D73, "",""))) &gt; 0, ""OTHER"", 0)"),"OTHER")</f>
        <v>OTHER</v>
      </c>
    </row>
    <row r="74" spans="1:11" ht="14.25" customHeight="1">
      <c r="A74" s="21">
        <v>73</v>
      </c>
      <c r="C74" s="21" t="s">
        <v>2091</v>
      </c>
      <c r="D74" s="21" t="s">
        <v>2092</v>
      </c>
      <c r="E74" s="21">
        <v>18</v>
      </c>
      <c r="F74" s="21">
        <v>197157</v>
      </c>
      <c r="H74" s="21" t="s">
        <v>2093</v>
      </c>
      <c r="I74" s="39">
        <f ca="1">IFERROR(__xludf.DUMMYFUNCTION("IF(SUM(COUNTIF(artists!A:A, SPLIT(D74, "",""))) &gt; 0, ""UA"", 0)"),0)</f>
        <v>0</v>
      </c>
      <c r="J74" s="40" t="str">
        <f ca="1">IFERROR(__xludf.DUMMYFUNCTION("IF(SUM(COUNTIF(artists!C:C, SPLIT(D74, "",""))) &gt; 0, ""RU"", 0)"),"RU")</f>
        <v>RU</v>
      </c>
      <c r="K74" s="39">
        <f ca="1">IFERROR(__xludf.DUMMYFUNCTION("IF(SUM(COUNTIF(artists!E:E, SPLIT(D74, "",""))) &gt; 0, ""OTHER"", 0)"),0)</f>
        <v>0</v>
      </c>
    </row>
    <row r="75" spans="1:11" ht="14.25" customHeight="1">
      <c r="A75" s="21">
        <v>74</v>
      </c>
      <c r="B75" s="21">
        <v>66</v>
      </c>
      <c r="C75" s="21" t="s">
        <v>2101</v>
      </c>
      <c r="D75" s="21" t="s">
        <v>2102</v>
      </c>
      <c r="E75" s="21">
        <v>11</v>
      </c>
      <c r="F75" s="21">
        <v>196232</v>
      </c>
      <c r="G75" s="42">
        <v>-7.6999999999999999E-2</v>
      </c>
      <c r="H75" s="21" t="s">
        <v>2103</v>
      </c>
      <c r="I75" s="39">
        <f ca="1">IFERROR(__xludf.DUMMYFUNCTION("IF(SUM(COUNTIF(artists!A:A, SPLIT(D75, "",""))) &gt; 0, ""UA"", 0)"),0)</f>
        <v>0</v>
      </c>
      <c r="J75" s="40" t="str">
        <f ca="1">IFERROR(__xludf.DUMMYFUNCTION("IF(SUM(COUNTIF(artists!C:C, SPLIT(D75, "",""))) &gt; 0, ""RU"", 0)"),"RU")</f>
        <v>RU</v>
      </c>
      <c r="K75" s="39">
        <f ca="1">IFERROR(__xludf.DUMMYFUNCTION("IF(SUM(COUNTIF(artists!E:E, SPLIT(D75, "",""))) &gt; 0, ""OTHER"", 0)"),0)</f>
        <v>0</v>
      </c>
    </row>
    <row r="76" spans="1:11" ht="14.25" customHeight="1">
      <c r="A76" s="21">
        <v>75</v>
      </c>
      <c r="B76" s="21">
        <v>72</v>
      </c>
      <c r="C76" s="21" t="s">
        <v>1984</v>
      </c>
      <c r="D76" s="21" t="s">
        <v>1985</v>
      </c>
      <c r="E76" s="21">
        <v>4</v>
      </c>
      <c r="F76" s="21">
        <v>195079</v>
      </c>
      <c r="G76" s="42">
        <v>5.1999999999999998E-2</v>
      </c>
      <c r="H76" s="21" t="s">
        <v>1986</v>
      </c>
      <c r="I76" s="39">
        <f ca="1">IFERROR(__xludf.DUMMYFUNCTION("IF(SUM(COUNTIF(artists!A:A, SPLIT(D76, "",""))) &gt; 0, ""UA"", 0)"),0)</f>
        <v>0</v>
      </c>
      <c r="J76" s="40" t="str">
        <f ca="1">IFERROR(__xludf.DUMMYFUNCTION("IF(SUM(COUNTIF(artists!C:C, SPLIT(D76, "",""))) &gt; 0, ""RU"", 0)"),"RU")</f>
        <v>RU</v>
      </c>
      <c r="K76" s="39">
        <f ca="1">IFERROR(__xludf.DUMMYFUNCTION("IF(SUM(COUNTIF(artists!E:E, SPLIT(D76, "",""))) &gt; 0, ""OTHER"", 0)"),0)</f>
        <v>0</v>
      </c>
    </row>
    <row r="77" spans="1:11" ht="14.25" customHeight="1">
      <c r="A77" s="21">
        <v>76</v>
      </c>
      <c r="B77" s="21">
        <v>65</v>
      </c>
      <c r="C77" s="21" t="s">
        <v>1337</v>
      </c>
      <c r="D77" s="21" t="s">
        <v>1338</v>
      </c>
      <c r="E77" s="21">
        <v>7</v>
      </c>
      <c r="F77" s="21">
        <v>190129</v>
      </c>
      <c r="G77" s="42">
        <v>-0.11600000000000001</v>
      </c>
      <c r="H77" s="21" t="s">
        <v>1339</v>
      </c>
      <c r="I77" s="39">
        <f ca="1">IFERROR(__xludf.DUMMYFUNCTION("IF(SUM(COUNTIF(artists!A:A, SPLIT(D77, "",""))) &gt; 0, ""UA"", 0)"),0)</f>
        <v>0</v>
      </c>
      <c r="J77" s="40">
        <f ca="1">IFERROR(__xludf.DUMMYFUNCTION("IF(SUM(COUNTIF(artists!C:C, SPLIT(D77, "",""))) &gt; 0, ""RU"", 0)"),0)</f>
        <v>0</v>
      </c>
      <c r="K77" s="39" t="str">
        <f ca="1">IFERROR(__xludf.DUMMYFUNCTION("IF(SUM(COUNTIF(artists!E:E, SPLIT(D77, "",""))) &gt; 0, ""OTHER"", 0)"),"OTHER")</f>
        <v>OTHER</v>
      </c>
    </row>
    <row r="78" spans="1:11" ht="14.25" customHeight="1">
      <c r="A78" s="21">
        <v>77</v>
      </c>
      <c r="B78" s="21">
        <v>91</v>
      </c>
      <c r="C78" s="21" t="s">
        <v>2120</v>
      </c>
      <c r="D78" s="21" t="s">
        <v>2121</v>
      </c>
      <c r="E78" s="21">
        <v>9</v>
      </c>
      <c r="F78" s="21">
        <v>187160</v>
      </c>
      <c r="G78" s="42">
        <v>0.157</v>
      </c>
      <c r="H78" s="21" t="s">
        <v>2122</v>
      </c>
      <c r="I78" s="39">
        <f ca="1">IFERROR(__xludf.DUMMYFUNCTION("IF(SUM(COUNTIF(artists!A:A, SPLIT(D78, "",""))) &gt; 0, ""UA"", 0)"),0)</f>
        <v>0</v>
      </c>
      <c r="J78" s="40">
        <f ca="1">IFERROR(__xludf.DUMMYFUNCTION("IF(SUM(COUNTIF(artists!C:C, SPLIT(D78, "",""))) &gt; 0, ""RU"", 0)"),0)</f>
        <v>0</v>
      </c>
      <c r="K78" s="39" t="str">
        <f ca="1">IFERROR(__xludf.DUMMYFUNCTION("IF(SUM(COUNTIF(artists!E:E, SPLIT(D78, "",""))) &gt; 0, ""OTHER"", 0)"),"OTHER")</f>
        <v>OTHER</v>
      </c>
    </row>
    <row r="79" spans="1:11" ht="14.25" customHeight="1">
      <c r="A79" s="21">
        <v>78</v>
      </c>
      <c r="B79" s="21">
        <v>25</v>
      </c>
      <c r="C79" s="21" t="s">
        <v>2146</v>
      </c>
      <c r="D79" s="21" t="s">
        <v>2147</v>
      </c>
      <c r="E79" s="21">
        <v>2</v>
      </c>
      <c r="F79" s="21">
        <v>186538</v>
      </c>
      <c r="G79" s="42">
        <v>-0.54500000000000004</v>
      </c>
      <c r="H79" s="21" t="s">
        <v>2148</v>
      </c>
      <c r="I79" s="39">
        <f ca="1">IFERROR(__xludf.DUMMYFUNCTION("IF(SUM(COUNTIF(artists!A:A, SPLIT(D79, "",""))) &gt; 0, ""UA"", 0)"),0)</f>
        <v>0</v>
      </c>
      <c r="J79" s="40" t="str">
        <f ca="1">IFERROR(__xludf.DUMMYFUNCTION("IF(SUM(COUNTIF(artists!C:C, SPLIT(D79, "",""))) &gt; 0, ""RU"", 0)"),"RU")</f>
        <v>RU</v>
      </c>
      <c r="K79" s="39">
        <f ca="1">IFERROR(__xludf.DUMMYFUNCTION("IF(SUM(COUNTIF(artists!E:E, SPLIT(D79, "",""))) &gt; 0, ""OTHER"", 0)"),0)</f>
        <v>0</v>
      </c>
    </row>
    <row r="80" spans="1:11" ht="14.25" customHeight="1">
      <c r="A80" s="21">
        <v>79</v>
      </c>
      <c r="B80" s="21">
        <v>70</v>
      </c>
      <c r="C80" s="21" t="s">
        <v>1622</v>
      </c>
      <c r="D80" s="21" t="s">
        <v>137</v>
      </c>
      <c r="E80" s="21">
        <v>9</v>
      </c>
      <c r="F80" s="21">
        <v>186149</v>
      </c>
      <c r="G80" s="42">
        <v>-2.9000000000000001E-2</v>
      </c>
      <c r="H80" s="21" t="s">
        <v>1623</v>
      </c>
      <c r="I80" s="39" t="str">
        <f ca="1">IFERROR(__xludf.DUMMYFUNCTION("IF(SUM(COUNTIF(artists!A:A, SPLIT(D80, "",""))) &gt; 0, ""UA"", 0)"),"UA")</f>
        <v>UA</v>
      </c>
      <c r="J80" s="40">
        <f ca="1">IFERROR(__xludf.DUMMYFUNCTION("IF(SUM(COUNTIF(artists!C:C, SPLIT(D80, "",""))) &gt; 0, ""RU"", 0)"),0)</f>
        <v>0</v>
      </c>
      <c r="K80" s="39">
        <f ca="1">IFERROR(__xludf.DUMMYFUNCTION("IF(SUM(COUNTIF(artists!E:E, SPLIT(D80, "",""))) &gt; 0, ""OTHER"", 0)"),0)</f>
        <v>0</v>
      </c>
    </row>
    <row r="81" spans="1:11" ht="14.25" customHeight="1">
      <c r="A81" s="21">
        <v>80</v>
      </c>
      <c r="C81" s="21" t="s">
        <v>1354</v>
      </c>
      <c r="D81" s="21" t="s">
        <v>1355</v>
      </c>
      <c r="E81" s="21">
        <v>21</v>
      </c>
      <c r="F81" s="21">
        <v>186055</v>
      </c>
      <c r="H81" s="21" t="s">
        <v>1356</v>
      </c>
      <c r="I81" s="39" t="str">
        <f ca="1">IFERROR(__xludf.DUMMYFUNCTION("IF(SUM(COUNTIF(artists!A:A, SPLIT(D81, "",""))) &gt; 0, ""UA"", 0)"),"UA")</f>
        <v>UA</v>
      </c>
      <c r="J81" s="40">
        <f ca="1">IFERROR(__xludf.DUMMYFUNCTION("IF(SUM(COUNTIF(artists!C:C, SPLIT(D81, "",""))) &gt; 0, ""RU"", 0)"),0)</f>
        <v>0</v>
      </c>
      <c r="K81" s="39">
        <f ca="1">IFERROR(__xludf.DUMMYFUNCTION("IF(SUM(COUNTIF(artists!E:E, SPLIT(D81, "",""))) &gt; 0, ""OTHER"", 0)"),0)</f>
        <v>0</v>
      </c>
    </row>
    <row r="82" spans="1:11" ht="14.25" customHeight="1">
      <c r="A82" s="21">
        <v>81</v>
      </c>
      <c r="B82" s="21">
        <v>71</v>
      </c>
      <c r="C82" s="21" t="s">
        <v>2109</v>
      </c>
      <c r="D82" s="21" t="s">
        <v>2110</v>
      </c>
      <c r="E82" s="21">
        <v>7</v>
      </c>
      <c r="F82" s="21">
        <v>184317</v>
      </c>
      <c r="G82" s="42">
        <v>-2.3E-2</v>
      </c>
      <c r="H82" s="21" t="s">
        <v>2111</v>
      </c>
      <c r="I82" s="39">
        <f ca="1">IFERROR(__xludf.DUMMYFUNCTION("IF(SUM(COUNTIF(artists!A:A, SPLIT(D82, "",""))) &gt; 0, ""UA"", 0)"),0)</f>
        <v>0</v>
      </c>
      <c r="J82" s="40" t="str">
        <f ca="1">IFERROR(__xludf.DUMMYFUNCTION("IF(SUM(COUNTIF(artists!C:C, SPLIT(D82, "",""))) &gt; 0, ""RU"", 0)"),"RU")</f>
        <v>RU</v>
      </c>
      <c r="K82" s="39">
        <f ca="1">IFERROR(__xludf.DUMMYFUNCTION("IF(SUM(COUNTIF(artists!E:E, SPLIT(D82, "",""))) &gt; 0, ""OTHER"", 0)"),0)</f>
        <v>0</v>
      </c>
    </row>
    <row r="83" spans="1:11" ht="14.25" customHeight="1">
      <c r="A83" s="21">
        <v>82</v>
      </c>
      <c r="C83" s="21" t="s">
        <v>2149</v>
      </c>
      <c r="D83" s="21" t="s">
        <v>981</v>
      </c>
      <c r="E83" s="21">
        <v>21</v>
      </c>
      <c r="F83" s="21">
        <v>183447</v>
      </c>
      <c r="H83" s="21" t="s">
        <v>2150</v>
      </c>
      <c r="I83" s="39">
        <f ca="1">IFERROR(__xludf.DUMMYFUNCTION("IF(SUM(COUNTIF(artists!A:A, SPLIT(D83, "",""))) &gt; 0, ""UA"", 0)"),0)</f>
        <v>0</v>
      </c>
      <c r="J83" s="40" t="str">
        <f ca="1">IFERROR(__xludf.DUMMYFUNCTION("IF(SUM(COUNTIF(artists!C:C, SPLIT(D83, "",""))) &gt; 0, ""RU"", 0)"),"RU")</f>
        <v>RU</v>
      </c>
      <c r="K83" s="39">
        <f ca="1">IFERROR(__xludf.DUMMYFUNCTION("IF(SUM(COUNTIF(artists!E:E, SPLIT(D83, "",""))) &gt; 0, ""OTHER"", 0)"),0)</f>
        <v>0</v>
      </c>
    </row>
    <row r="84" spans="1:11" ht="14.25" customHeight="1">
      <c r="A84" s="21">
        <v>83</v>
      </c>
      <c r="C84" s="21" t="s">
        <v>1447</v>
      </c>
      <c r="D84" s="21" t="s">
        <v>969</v>
      </c>
      <c r="E84" s="21">
        <v>9</v>
      </c>
      <c r="F84" s="21">
        <v>181440</v>
      </c>
      <c r="H84" s="21" t="s">
        <v>1448</v>
      </c>
      <c r="I84" s="39" t="str">
        <f ca="1">IFERROR(__xludf.DUMMYFUNCTION("IF(SUM(COUNTIF(artists!A:A, SPLIT(D84, "",""))) &gt; 0, ""UA"", 0)"),"UA")</f>
        <v>UA</v>
      </c>
      <c r="J84" s="40">
        <f ca="1">IFERROR(__xludf.DUMMYFUNCTION("IF(SUM(COUNTIF(artists!C:C, SPLIT(D84, "",""))) &gt; 0, ""RU"", 0)"),0)</f>
        <v>0</v>
      </c>
      <c r="K84" s="39">
        <f ca="1">IFERROR(__xludf.DUMMYFUNCTION("IF(SUM(COUNTIF(artists!E:E, SPLIT(D84, "",""))) &gt; 0, ""OTHER"", 0)"),0)</f>
        <v>0</v>
      </c>
    </row>
    <row r="85" spans="1:11" ht="14.25" customHeight="1">
      <c r="A85" s="21">
        <v>84</v>
      </c>
      <c r="B85" s="21">
        <v>68</v>
      </c>
      <c r="C85" s="21" t="s">
        <v>2104</v>
      </c>
      <c r="D85" s="21" t="s">
        <v>2105</v>
      </c>
      <c r="E85" s="21">
        <v>7</v>
      </c>
      <c r="F85" s="21">
        <v>181026</v>
      </c>
      <c r="G85" s="42">
        <v>-7.9000000000000001E-2</v>
      </c>
      <c r="H85" s="21" t="s">
        <v>2106</v>
      </c>
      <c r="I85" s="39">
        <f ca="1">IFERROR(__xludf.DUMMYFUNCTION("IF(SUM(COUNTIF(artists!A:A, SPLIT(D85, "",""))) &gt; 0, ""UA"", 0)"),0)</f>
        <v>0</v>
      </c>
      <c r="J85" s="40" t="str">
        <f ca="1">IFERROR(__xludf.DUMMYFUNCTION("IF(SUM(COUNTIF(artists!C:C, SPLIT(D85, "",""))) &gt; 0, ""RU"", 0)"),"RU")</f>
        <v>RU</v>
      </c>
      <c r="K85" s="39">
        <f ca="1">IFERROR(__xludf.DUMMYFUNCTION("IF(SUM(COUNTIF(artists!E:E, SPLIT(D85, "",""))) &gt; 0, ""OTHER"", 0)"),0)</f>
        <v>0</v>
      </c>
    </row>
    <row r="86" spans="1:11" ht="14.25" customHeight="1">
      <c r="A86" s="21">
        <v>85</v>
      </c>
      <c r="B86" s="21">
        <v>5</v>
      </c>
      <c r="C86" s="21" t="s">
        <v>1116</v>
      </c>
      <c r="D86" s="21" t="s">
        <v>1117</v>
      </c>
      <c r="E86" s="21">
        <v>12</v>
      </c>
      <c r="F86" s="21">
        <v>179347</v>
      </c>
      <c r="G86" s="42">
        <v>-0.76300000000000001</v>
      </c>
      <c r="H86" s="21" t="s">
        <v>1118</v>
      </c>
      <c r="I86" s="39">
        <f ca="1">IFERROR(__xludf.DUMMYFUNCTION("IF(SUM(COUNTIF(artists!A:A, SPLIT(D86, "",""))) &gt; 0, ""UA"", 0)"),0)</f>
        <v>0</v>
      </c>
      <c r="J86" s="40" t="str">
        <f ca="1">IFERROR(__xludf.DUMMYFUNCTION("IF(SUM(COUNTIF(artists!C:C, SPLIT(D86, "",""))) &gt; 0, ""RU"", 0)"),"RU")</f>
        <v>RU</v>
      </c>
      <c r="K86" s="39">
        <f ca="1">IFERROR(__xludf.DUMMYFUNCTION("IF(SUM(COUNTIF(artists!E:E, SPLIT(D86, "",""))) &gt; 0, ""OTHER"", 0)"),0)</f>
        <v>0</v>
      </c>
    </row>
    <row r="87" spans="1:11" ht="14.25" customHeight="1">
      <c r="A87" s="21">
        <v>86</v>
      </c>
      <c r="B87" s="21">
        <v>87</v>
      </c>
      <c r="C87" s="21" t="s">
        <v>2096</v>
      </c>
      <c r="D87" s="21" t="s">
        <v>2097</v>
      </c>
      <c r="E87" s="21">
        <v>6</v>
      </c>
      <c r="F87" s="21">
        <v>175065</v>
      </c>
      <c r="G87" s="42">
        <v>7.3999999999999996E-2</v>
      </c>
      <c r="H87" s="21" t="s">
        <v>2098</v>
      </c>
      <c r="I87" s="39">
        <f ca="1">IFERROR(__xludf.DUMMYFUNCTION("IF(SUM(COUNTIF(artists!A:A, SPLIT(D87, "",""))) &gt; 0, ""UA"", 0)"),0)</f>
        <v>0</v>
      </c>
      <c r="J87" s="40" t="str">
        <f ca="1">IFERROR(__xludf.DUMMYFUNCTION("IF(SUM(COUNTIF(artists!C:C, SPLIT(D87, "",""))) &gt; 0, ""RU"", 0)"),"RU")</f>
        <v>RU</v>
      </c>
      <c r="K87" s="39">
        <f ca="1">IFERROR(__xludf.DUMMYFUNCTION("IF(SUM(COUNTIF(artists!E:E, SPLIT(D87, "",""))) &gt; 0, ""OTHER"", 0)"),0)</f>
        <v>0</v>
      </c>
    </row>
    <row r="88" spans="1:11" ht="14.25" customHeight="1">
      <c r="A88" s="21">
        <v>87</v>
      </c>
      <c r="B88" s="21">
        <v>62</v>
      </c>
      <c r="C88" s="21" t="s">
        <v>2131</v>
      </c>
      <c r="D88" s="21" t="s">
        <v>2132</v>
      </c>
      <c r="E88" s="21">
        <v>4</v>
      </c>
      <c r="F88" s="21">
        <v>175023</v>
      </c>
      <c r="G88" s="42">
        <v>-0.189</v>
      </c>
      <c r="H88" s="21" t="s">
        <v>2133</v>
      </c>
      <c r="I88" s="39">
        <f ca="1">IFERROR(__xludf.DUMMYFUNCTION("IF(SUM(COUNTIF(artists!A:A, SPLIT(D88, "",""))) &gt; 0, ""UA"", 0)"),0)</f>
        <v>0</v>
      </c>
      <c r="J88" s="40" t="str">
        <f ca="1">IFERROR(__xludf.DUMMYFUNCTION("IF(SUM(COUNTIF(artists!C:C, SPLIT(D88, "",""))) &gt; 0, ""RU"", 0)"),"RU")</f>
        <v>RU</v>
      </c>
      <c r="K88" s="39">
        <f ca="1">IFERROR(__xludf.DUMMYFUNCTION("IF(SUM(COUNTIF(artists!E:E, SPLIT(D88, "",""))) &gt; 0, ""OTHER"", 0)"),0)</f>
        <v>0</v>
      </c>
    </row>
    <row r="89" spans="1:11" ht="14.25" customHeight="1">
      <c r="A89" s="21">
        <v>88</v>
      </c>
      <c r="C89" s="21" t="s">
        <v>1953</v>
      </c>
      <c r="D89" s="21" t="s">
        <v>1954</v>
      </c>
      <c r="E89" s="21">
        <v>1</v>
      </c>
      <c r="F89" s="21">
        <v>174511</v>
      </c>
      <c r="H89" s="21" t="s">
        <v>1955</v>
      </c>
      <c r="I89" s="39">
        <f ca="1">IFERROR(__xludf.DUMMYFUNCTION("IF(SUM(COUNTIF(artists!A:A, SPLIT(D89, "",""))) &gt; 0, ""UA"", 0)"),0)</f>
        <v>0</v>
      </c>
      <c r="J89" s="40" t="str">
        <f ca="1">IFERROR(__xludf.DUMMYFUNCTION("IF(SUM(COUNTIF(artists!C:C, SPLIT(D89, "",""))) &gt; 0, ""RU"", 0)"),"RU")</f>
        <v>RU</v>
      </c>
      <c r="K89" s="39">
        <f ca="1">IFERROR(__xludf.DUMMYFUNCTION("IF(SUM(COUNTIF(artists!E:E, SPLIT(D89, "",""))) &gt; 0, ""OTHER"", 0)"),0)</f>
        <v>0</v>
      </c>
    </row>
    <row r="90" spans="1:11" ht="14.25" customHeight="1">
      <c r="A90" s="21">
        <v>89</v>
      </c>
      <c r="B90" s="21">
        <v>79</v>
      </c>
      <c r="C90" s="21" t="s">
        <v>2114</v>
      </c>
      <c r="D90" s="21" t="s">
        <v>2115</v>
      </c>
      <c r="E90" s="21">
        <v>11</v>
      </c>
      <c r="F90" s="21">
        <v>172050</v>
      </c>
      <c r="G90" s="42">
        <v>-8.0000000000000002E-3</v>
      </c>
      <c r="H90" s="21" t="s">
        <v>2116</v>
      </c>
      <c r="I90" s="39">
        <f ca="1">IFERROR(__xludf.DUMMYFUNCTION("IF(SUM(COUNTIF(artists!A:A, SPLIT(D90, "",""))) &gt; 0, ""UA"", 0)"),0)</f>
        <v>0</v>
      </c>
      <c r="J90" s="40" t="str">
        <f ca="1">IFERROR(__xludf.DUMMYFUNCTION("IF(SUM(COUNTIF(artists!C:C, SPLIT(D90, "",""))) &gt; 0, ""RU"", 0)"),"RU")</f>
        <v>RU</v>
      </c>
      <c r="K90" s="39">
        <f ca="1">IFERROR(__xludf.DUMMYFUNCTION("IF(SUM(COUNTIF(artists!E:E, SPLIT(D90, "",""))) &gt; 0, ""OTHER"", 0)"),0)</f>
        <v>0</v>
      </c>
    </row>
    <row r="91" spans="1:11" ht="14.25" customHeight="1">
      <c r="A91" s="21">
        <v>90</v>
      </c>
      <c r="B91" s="21">
        <v>99</v>
      </c>
      <c r="C91" s="21" t="s">
        <v>2151</v>
      </c>
      <c r="D91" s="21" t="s">
        <v>2152</v>
      </c>
      <c r="E91" s="21">
        <v>21</v>
      </c>
      <c r="F91" s="21">
        <v>168254</v>
      </c>
      <c r="G91" s="43">
        <v>0.11</v>
      </c>
      <c r="H91" s="21" t="s">
        <v>2153</v>
      </c>
      <c r="I91" s="39">
        <f ca="1">IFERROR(__xludf.DUMMYFUNCTION("IF(SUM(COUNTIF(artists!A:A, SPLIT(D91, "",""))) &gt; 0, ""UA"", 0)"),0)</f>
        <v>0</v>
      </c>
      <c r="J91" s="40" t="str">
        <f ca="1">IFERROR(__xludf.DUMMYFUNCTION("IF(SUM(COUNTIF(artists!C:C, SPLIT(D91, "",""))) &gt; 0, ""RU"", 0)"),"RU")</f>
        <v>RU</v>
      </c>
      <c r="K91" s="39">
        <f ca="1">IFERROR(__xludf.DUMMYFUNCTION("IF(SUM(COUNTIF(artists!E:E, SPLIT(D91, "",""))) &gt; 0, ""OTHER"", 0)"),0)</f>
        <v>0</v>
      </c>
    </row>
    <row r="92" spans="1:11" ht="14.25" customHeight="1">
      <c r="A92" s="21">
        <v>91</v>
      </c>
      <c r="C92" s="21" t="s">
        <v>2123</v>
      </c>
      <c r="D92" s="21" t="s">
        <v>2124</v>
      </c>
      <c r="E92" s="21">
        <v>11</v>
      </c>
      <c r="F92" s="21">
        <v>167846</v>
      </c>
      <c r="H92" s="21" t="s">
        <v>2125</v>
      </c>
      <c r="I92" s="39">
        <f ca="1">IFERROR(__xludf.DUMMYFUNCTION("IF(SUM(COUNTIF(artists!A:A, SPLIT(D92, "",""))) &gt; 0, ""UA"", 0)"),0)</f>
        <v>0</v>
      </c>
      <c r="J92" s="40" t="str">
        <f ca="1">IFERROR(__xludf.DUMMYFUNCTION("IF(SUM(COUNTIF(artists!C:C, SPLIT(D92, "",""))) &gt; 0, ""RU"", 0)"),"RU")</f>
        <v>RU</v>
      </c>
      <c r="K92" s="39">
        <f ca="1">IFERROR(__xludf.DUMMYFUNCTION("IF(SUM(COUNTIF(artists!E:E, SPLIT(D92, "",""))) &gt; 0, ""OTHER"", 0)"),0)</f>
        <v>0</v>
      </c>
    </row>
    <row r="93" spans="1:11" ht="14.25" customHeight="1">
      <c r="A93" s="21">
        <v>92</v>
      </c>
      <c r="B93" s="21">
        <v>69</v>
      </c>
      <c r="C93" s="21" t="s">
        <v>2154</v>
      </c>
      <c r="D93" s="21" t="s">
        <v>1646</v>
      </c>
      <c r="E93" s="21">
        <v>20</v>
      </c>
      <c r="F93" s="21">
        <v>167587</v>
      </c>
      <c r="G93" s="42">
        <v>-0.128</v>
      </c>
      <c r="H93" s="21" t="s">
        <v>2155</v>
      </c>
      <c r="I93" s="39">
        <f ca="1">IFERROR(__xludf.DUMMYFUNCTION("IF(SUM(COUNTIF(artists!A:A, SPLIT(D93, "",""))) &gt; 0, ""UA"", 0)"),0)</f>
        <v>0</v>
      </c>
      <c r="J93" s="40" t="str">
        <f ca="1">IFERROR(__xludf.DUMMYFUNCTION("IF(SUM(COUNTIF(artists!C:C, SPLIT(D93, "",""))) &gt; 0, ""RU"", 0)"),"RU")</f>
        <v>RU</v>
      </c>
      <c r="K93" s="39">
        <f ca="1">IFERROR(__xludf.DUMMYFUNCTION("IF(SUM(COUNTIF(artists!E:E, SPLIT(D93, "",""))) &gt; 0, ""OTHER"", 0)"),0)</f>
        <v>0</v>
      </c>
    </row>
    <row r="94" spans="1:11" ht="14.25" customHeight="1">
      <c r="A94" s="21">
        <v>93</v>
      </c>
      <c r="B94" s="21">
        <v>80</v>
      </c>
      <c r="C94" s="21" t="s">
        <v>2112</v>
      </c>
      <c r="D94" s="21" t="s">
        <v>1996</v>
      </c>
      <c r="E94" s="21">
        <v>11</v>
      </c>
      <c r="F94" s="21">
        <v>164017</v>
      </c>
      <c r="G94" s="42">
        <v>-2.7E-2</v>
      </c>
      <c r="H94" s="21" t="s">
        <v>2113</v>
      </c>
      <c r="I94" s="39">
        <f ca="1">IFERROR(__xludf.DUMMYFUNCTION("IF(SUM(COUNTIF(artists!A:A, SPLIT(D94, "",""))) &gt; 0, ""UA"", 0)"),0)</f>
        <v>0</v>
      </c>
      <c r="J94" s="40" t="str">
        <f ca="1">IFERROR(__xludf.DUMMYFUNCTION("IF(SUM(COUNTIF(artists!C:C, SPLIT(D94, "",""))) &gt; 0, ""RU"", 0)"),"RU")</f>
        <v>RU</v>
      </c>
      <c r="K94" s="39">
        <f ca="1">IFERROR(__xludf.DUMMYFUNCTION("IF(SUM(COUNTIF(artists!E:E, SPLIT(D94, "",""))) &gt; 0, ""OTHER"", 0)"),0)</f>
        <v>0</v>
      </c>
    </row>
    <row r="95" spans="1:11" ht="14.25" customHeight="1">
      <c r="A95" s="21">
        <v>94</v>
      </c>
      <c r="B95" s="21">
        <v>52</v>
      </c>
      <c r="C95" s="21" t="s">
        <v>2156</v>
      </c>
      <c r="D95" s="21" t="s">
        <v>2157</v>
      </c>
      <c r="E95" s="21">
        <v>2</v>
      </c>
      <c r="F95" s="21">
        <v>161003</v>
      </c>
      <c r="G95" s="42">
        <v>-0.433</v>
      </c>
      <c r="H95" s="21" t="s">
        <v>2158</v>
      </c>
      <c r="I95" s="39" t="str">
        <f ca="1">IFERROR(__xludf.DUMMYFUNCTION("IF(SUM(COUNTIF(artists!A:A, SPLIT(D95, "",""))) &gt; 0, ""UA"", 0)"),"UA")</f>
        <v>UA</v>
      </c>
      <c r="J95" s="40">
        <f ca="1">IFERROR(__xludf.DUMMYFUNCTION("IF(SUM(COUNTIF(artists!C:C, SPLIT(D95, "",""))) &gt; 0, ""RU"", 0)"),0)</f>
        <v>0</v>
      </c>
      <c r="K95" s="39">
        <f ca="1">IFERROR(__xludf.DUMMYFUNCTION("IF(SUM(COUNTIF(artists!E:E, SPLIT(D95, "",""))) &gt; 0, ""OTHER"", 0)"),0)</f>
        <v>0</v>
      </c>
    </row>
    <row r="96" spans="1:11" ht="14.25" customHeight="1">
      <c r="A96" s="21">
        <v>95</v>
      </c>
      <c r="C96" s="21" t="s">
        <v>1364</v>
      </c>
      <c r="D96" s="21" t="s">
        <v>104</v>
      </c>
      <c r="E96" s="21">
        <v>1</v>
      </c>
      <c r="F96" s="21">
        <v>160688</v>
      </c>
      <c r="H96" s="21" t="s">
        <v>1365</v>
      </c>
      <c r="I96" s="39" t="str">
        <f ca="1">IFERROR(__xludf.DUMMYFUNCTION("IF(SUM(COUNTIF(artists!A:A, SPLIT(D96, "",""))) &gt; 0, ""UA"", 0)"),"UA")</f>
        <v>UA</v>
      </c>
      <c r="J96" s="40">
        <f ca="1">IFERROR(__xludf.DUMMYFUNCTION("IF(SUM(COUNTIF(artists!C:C, SPLIT(D96, "",""))) &gt; 0, ""RU"", 0)"),0)</f>
        <v>0</v>
      </c>
      <c r="K96" s="39">
        <f ca="1">IFERROR(__xludf.DUMMYFUNCTION("IF(SUM(COUNTIF(artists!E:E, SPLIT(D96, "",""))) &gt; 0, ""OTHER"", 0)"),0)</f>
        <v>0</v>
      </c>
    </row>
    <row r="97" spans="1:11" ht="14.25" customHeight="1">
      <c r="A97" s="21">
        <v>96</v>
      </c>
      <c r="C97" s="21" t="s">
        <v>1502</v>
      </c>
      <c r="D97" s="21" t="s">
        <v>1503</v>
      </c>
      <c r="E97" s="21">
        <v>21</v>
      </c>
      <c r="F97" s="21">
        <v>159242</v>
      </c>
      <c r="H97" s="21" t="s">
        <v>1504</v>
      </c>
      <c r="I97" s="39" t="str">
        <f ca="1">IFERROR(__xludf.DUMMYFUNCTION("IF(SUM(COUNTIF(artists!A:A, SPLIT(D97, "",""))) &gt; 0, ""UA"", 0)"),"UA")</f>
        <v>UA</v>
      </c>
      <c r="J97" s="40">
        <f ca="1">IFERROR(__xludf.DUMMYFUNCTION("IF(SUM(COUNTIF(artists!C:C, SPLIT(D97, "",""))) &gt; 0, ""RU"", 0)"),0)</f>
        <v>0</v>
      </c>
      <c r="K97" s="39">
        <f ca="1">IFERROR(__xludf.DUMMYFUNCTION("IF(SUM(COUNTIF(artists!E:E, SPLIT(D97, "",""))) &gt; 0, ""OTHER"", 0)"),0)</f>
        <v>0</v>
      </c>
    </row>
    <row r="98" spans="1:11" ht="14.25" customHeight="1">
      <c r="A98" s="21">
        <v>97</v>
      </c>
      <c r="B98" s="21">
        <v>74</v>
      </c>
      <c r="C98" s="21" t="s">
        <v>2134</v>
      </c>
      <c r="D98" s="21" t="s">
        <v>2135</v>
      </c>
      <c r="E98" s="21">
        <v>6</v>
      </c>
      <c r="F98" s="21">
        <v>158848</v>
      </c>
      <c r="G98" s="42">
        <v>-0.13700000000000001</v>
      </c>
      <c r="H98" s="21" t="s">
        <v>2136</v>
      </c>
      <c r="I98" s="39" t="str">
        <f ca="1">IFERROR(__xludf.DUMMYFUNCTION("IF(SUM(COUNTIF(artists!A:A, SPLIT(D98, "",""))) &gt; 0, ""UA"", 0)"),"UA")</f>
        <v>UA</v>
      </c>
      <c r="J98" s="40">
        <f ca="1">IFERROR(__xludf.DUMMYFUNCTION("IF(SUM(COUNTIF(artists!C:C, SPLIT(D98, "",""))) &gt; 0, ""RU"", 0)"),0)</f>
        <v>0</v>
      </c>
      <c r="K98" s="39">
        <f ca="1">IFERROR(__xludf.DUMMYFUNCTION("IF(SUM(COUNTIF(artists!E:E, SPLIT(D98, "",""))) &gt; 0, ""OTHER"", 0)"),0)</f>
        <v>0</v>
      </c>
    </row>
    <row r="99" spans="1:11" ht="14.25" customHeight="1">
      <c r="A99" s="21">
        <v>98</v>
      </c>
      <c r="B99" s="21">
        <v>76</v>
      </c>
      <c r="C99" s="21" t="s">
        <v>2129</v>
      </c>
      <c r="D99" s="21" t="s">
        <v>1652</v>
      </c>
      <c r="E99" s="21">
        <v>17</v>
      </c>
      <c r="F99" s="21">
        <v>158587</v>
      </c>
      <c r="G99" s="42">
        <v>-0.13600000000000001</v>
      </c>
      <c r="H99" s="21" t="s">
        <v>2130</v>
      </c>
      <c r="I99" s="39">
        <f ca="1">IFERROR(__xludf.DUMMYFUNCTION("IF(SUM(COUNTIF(artists!A:A, SPLIT(D99, "",""))) &gt; 0, ""UA"", 0)"),0)</f>
        <v>0</v>
      </c>
      <c r="J99" s="40" t="str">
        <f ca="1">IFERROR(__xludf.DUMMYFUNCTION("IF(SUM(COUNTIF(artists!C:C, SPLIT(D99, "",""))) &gt; 0, ""RU"", 0)"),"RU")</f>
        <v>RU</v>
      </c>
      <c r="K99" s="39">
        <f ca="1">IFERROR(__xludf.DUMMYFUNCTION("IF(SUM(COUNTIF(artists!E:E, SPLIT(D99, "",""))) &gt; 0, ""OTHER"", 0)"),0)</f>
        <v>0</v>
      </c>
    </row>
    <row r="100" spans="1:11" ht="14.25" customHeight="1">
      <c r="A100" s="21">
        <v>99</v>
      </c>
      <c r="C100" s="21" t="s">
        <v>2159</v>
      </c>
      <c r="D100" s="21" t="s">
        <v>1968</v>
      </c>
      <c r="E100" s="21">
        <v>1</v>
      </c>
      <c r="F100" s="21">
        <v>153552</v>
      </c>
      <c r="H100" s="21" t="s">
        <v>2160</v>
      </c>
      <c r="I100" s="39">
        <f ca="1">IFERROR(__xludf.DUMMYFUNCTION("IF(SUM(COUNTIF(artists!A:A, SPLIT(D100, "",""))) &gt; 0, ""UA"", 0)"),0)</f>
        <v>0</v>
      </c>
      <c r="J100" s="40" t="str">
        <f ca="1">IFERROR(__xludf.DUMMYFUNCTION("IF(SUM(COUNTIF(artists!C:C, SPLIT(D100, "",""))) &gt; 0, ""RU"", 0)"),"RU")</f>
        <v>RU</v>
      </c>
      <c r="K100" s="39">
        <f ca="1">IFERROR(__xludf.DUMMYFUNCTION("IF(SUM(COUNTIF(artists!E:E, SPLIT(D100, "",""))) &gt; 0, ""OTHER"", 0)"),0)</f>
        <v>0</v>
      </c>
    </row>
    <row r="101" spans="1:11" ht="14.25" customHeight="1">
      <c r="A101" s="21">
        <v>100</v>
      </c>
      <c r="B101" s="21">
        <v>89</v>
      </c>
      <c r="C101" s="21" t="s">
        <v>2161</v>
      </c>
      <c r="D101" s="21" t="s">
        <v>698</v>
      </c>
      <c r="E101" s="21">
        <v>9</v>
      </c>
      <c r="F101" s="21">
        <v>151686</v>
      </c>
      <c r="G101" s="42">
        <v>-6.8000000000000005E-2</v>
      </c>
      <c r="H101" s="21" t="s">
        <v>2162</v>
      </c>
      <c r="I101" s="39">
        <f ca="1">IFERROR(__xludf.DUMMYFUNCTION("IF(SUM(COUNTIF(artists!A:A, SPLIT(D101, "",""))) &gt; 0, ""UA"", 0)"),0)</f>
        <v>0</v>
      </c>
      <c r="J101" s="40" t="str">
        <f ca="1">IFERROR(__xludf.DUMMYFUNCTION("IF(SUM(COUNTIF(artists!C:C, SPLIT(D101, "",""))) &gt; 0, ""RU"", 0)"),"RU")</f>
        <v>RU</v>
      </c>
      <c r="K101" s="39">
        <f ca="1">IFERROR(__xludf.DUMMYFUNCTION("IF(SUM(COUNTIF(artists!E:E, SPLIT(D101, "",""))) &gt; 0, ""OTHER"", 0)"),0)</f>
        <v>0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13" priority="1">
      <formula>AND($I2=0, $J2=0, $K2=0)</formula>
    </cfRule>
    <cfRule type="expression" dxfId="12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800-000000000000}">
  <sheetPr codeName="Аркуш57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4" width="8.6640625" customWidth="1"/>
    <col min="5" max="5" width="8.6640625" hidden="1" customWidth="1"/>
    <col min="6" max="6" width="8.6640625" customWidth="1"/>
    <col min="7" max="7" width="13.10937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B2" s="21">
        <v>2</v>
      </c>
      <c r="C2" s="21" t="s">
        <v>1263</v>
      </c>
      <c r="D2" s="21" t="s">
        <v>1264</v>
      </c>
      <c r="E2" s="21">
        <v>14</v>
      </c>
      <c r="F2" s="21">
        <v>1522591</v>
      </c>
      <c r="G2" s="42">
        <v>0.221</v>
      </c>
      <c r="H2" s="21" t="s">
        <v>1265</v>
      </c>
      <c r="I2" s="39">
        <f ca="1">IFERROR(__xludf.DUMMYFUNCTION("IF(SUM(COUNTIF(artists!A:A, SPLIT(D2, "",""))) &gt; 0, ""UA"", 0)"),0)</f>
        <v>0</v>
      </c>
      <c r="J2" s="40" t="str">
        <f ca="1">IFERROR(__xludf.DUMMYFUNCTION("IF(SUM(COUNTIF(artists!C:C, SPLIT(D2, "",""))) &gt; 0, ""RU"", 0)"),"RU")</f>
        <v>RU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B3" s="21">
        <v>1</v>
      </c>
      <c r="C3" s="21" t="s">
        <v>935</v>
      </c>
      <c r="D3" s="21" t="s">
        <v>936</v>
      </c>
      <c r="E3" s="21">
        <v>15</v>
      </c>
      <c r="F3" s="21">
        <v>1308128</v>
      </c>
      <c r="G3" s="42">
        <v>3.5000000000000003E-2</v>
      </c>
      <c r="H3" s="21" t="s">
        <v>937</v>
      </c>
      <c r="I3" s="39">
        <f ca="1">IFERROR(__xludf.DUMMYFUNCTION("IF(SUM(COUNTIF(artists!A:A, SPLIT(D3, "",""))) &gt; 0, ""UA"", 0)"),0)</f>
        <v>0</v>
      </c>
      <c r="J3" s="40" t="str">
        <f ca="1">IFERROR(__xludf.DUMMYFUNCTION("IF(SUM(COUNTIF(artists!C:C, SPLIT(D3, "",""))) &gt; 0, ""RU"", 0)"),"RU")</f>
        <v>RU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B4" s="21">
        <v>4</v>
      </c>
      <c r="C4" s="21" t="s">
        <v>1636</v>
      </c>
      <c r="D4" s="21" t="s">
        <v>1637</v>
      </c>
      <c r="E4" s="21">
        <v>3</v>
      </c>
      <c r="F4" s="21">
        <v>984842</v>
      </c>
      <c r="G4" s="42">
        <v>6.2E-2</v>
      </c>
      <c r="H4" s="21" t="s">
        <v>1638</v>
      </c>
      <c r="I4" s="39">
        <f ca="1">IFERROR(__xludf.DUMMYFUNCTION("IF(SUM(COUNTIF(artists!A:A, SPLIT(D4, "",""))) &gt; 0, ""UA"", 0)"),0)</f>
        <v>0</v>
      </c>
      <c r="J4" s="40" t="str">
        <f ca="1">IFERROR(__xludf.DUMMYFUNCTION("IF(SUM(COUNTIF(artists!C:C, SPLIT(D4, "",""))) &gt; 0, ""RU"", 0)"),"RU")</f>
        <v>RU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B5" s="21">
        <v>3</v>
      </c>
      <c r="C5" s="21" t="s">
        <v>1674</v>
      </c>
      <c r="D5" s="21" t="s">
        <v>172</v>
      </c>
      <c r="E5" s="21">
        <v>4</v>
      </c>
      <c r="F5" s="21">
        <v>952947</v>
      </c>
      <c r="G5" s="42">
        <v>-7.3999999999999996E-2</v>
      </c>
      <c r="H5" s="21" t="s">
        <v>1675</v>
      </c>
      <c r="I5" s="39">
        <f ca="1">IFERROR(__xludf.DUMMYFUNCTION("IF(SUM(COUNTIF(artists!A:A, SPLIT(D5, "",""))) &gt; 0, ""UA"", 0)"),0)</f>
        <v>0</v>
      </c>
      <c r="J5" s="40" t="str">
        <f ca="1">IFERROR(__xludf.DUMMYFUNCTION("IF(SUM(COUNTIF(artists!C:C, SPLIT(D5, "",""))) &gt; 0, ""RU"", 0)"),"RU")</f>
        <v>RU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B6" s="21">
        <v>6</v>
      </c>
      <c r="C6" s="21" t="s">
        <v>1116</v>
      </c>
      <c r="D6" s="21" t="s">
        <v>1117</v>
      </c>
      <c r="E6" s="21">
        <v>11</v>
      </c>
      <c r="F6" s="21">
        <v>755280</v>
      </c>
      <c r="G6" s="43">
        <v>-0.03</v>
      </c>
      <c r="H6" s="21" t="s">
        <v>1118</v>
      </c>
      <c r="I6" s="39">
        <f ca="1">IFERROR(__xludf.DUMMYFUNCTION("IF(SUM(COUNTIF(artists!A:A, SPLIT(D6, "",""))) &gt; 0, ""UA"", 0)"),0)</f>
        <v>0</v>
      </c>
      <c r="J6" s="40" t="str">
        <f ca="1">IFERROR(__xludf.DUMMYFUNCTION("IF(SUM(COUNTIF(artists!C:C, SPLIT(D6, "",""))) &gt; 0, ""RU"", 0)"),"RU")</f>
        <v>RU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B7" s="21">
        <v>5</v>
      </c>
      <c r="C7" s="21" t="s">
        <v>1956</v>
      </c>
      <c r="D7" s="21" t="s">
        <v>1957</v>
      </c>
      <c r="E7" s="21">
        <v>16</v>
      </c>
      <c r="F7" s="21">
        <v>735571</v>
      </c>
      <c r="G7" s="42">
        <v>-8.8999999999999996E-2</v>
      </c>
      <c r="H7" s="21" t="s">
        <v>1958</v>
      </c>
      <c r="I7" s="39">
        <f ca="1">IFERROR(__xludf.DUMMYFUNCTION("IF(SUM(COUNTIF(artists!A:A, SPLIT(D7, "",""))) &gt; 0, ""UA"", 0)"),0)</f>
        <v>0</v>
      </c>
      <c r="J7" s="40" t="str">
        <f ca="1">IFERROR(__xludf.DUMMYFUNCTION("IF(SUM(COUNTIF(artists!C:C, SPLIT(D7, "",""))) &gt; 0, ""RU"", 0)"),"RU")</f>
        <v>RU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B8" s="21">
        <v>7</v>
      </c>
      <c r="C8" s="21" t="s">
        <v>1325</v>
      </c>
      <c r="D8" s="21" t="s">
        <v>1237</v>
      </c>
      <c r="E8" s="21">
        <v>38</v>
      </c>
      <c r="F8" s="21">
        <v>707408</v>
      </c>
      <c r="G8" s="42">
        <v>-2.5999999999999999E-2</v>
      </c>
      <c r="H8" s="21" t="s">
        <v>1326</v>
      </c>
      <c r="I8" s="39">
        <f ca="1">IFERROR(__xludf.DUMMYFUNCTION("IF(SUM(COUNTIF(artists!A:A, SPLIT(D8, "",""))) &gt; 0, ""UA"", 0)"),0)</f>
        <v>0</v>
      </c>
      <c r="J8" s="40" t="str">
        <f ca="1">IFERROR(__xludf.DUMMYFUNCTION("IF(SUM(COUNTIF(artists!C:C, SPLIT(D8, "",""))) &gt; 0, ""RU"", 0)"),"RU")</f>
        <v>RU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B9" s="21">
        <v>8</v>
      </c>
      <c r="C9" s="21" t="s">
        <v>1500</v>
      </c>
      <c r="D9" s="21" t="s">
        <v>907</v>
      </c>
      <c r="E9" s="21">
        <v>18</v>
      </c>
      <c r="F9" s="21">
        <v>641025</v>
      </c>
      <c r="G9" s="42">
        <v>3.9E-2</v>
      </c>
      <c r="H9" s="21" t="s">
        <v>1501</v>
      </c>
      <c r="I9" s="39">
        <f ca="1">IFERROR(__xludf.DUMMYFUNCTION("IF(SUM(COUNTIF(artists!A:A, SPLIT(D9, "",""))) &gt; 0, ""UA"", 0)"),0)</f>
        <v>0</v>
      </c>
      <c r="J9" s="40" t="str">
        <f ca="1">IFERROR(__xludf.DUMMYFUNCTION("IF(SUM(COUNTIF(artists!C:C, SPLIT(D9, "",""))) &gt; 0, ""RU"", 0)"),"RU")</f>
        <v>RU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B10" s="21">
        <v>10</v>
      </c>
      <c r="C10" s="21" t="s">
        <v>1825</v>
      </c>
      <c r="D10" s="21" t="s">
        <v>1895</v>
      </c>
      <c r="E10" s="21">
        <v>42</v>
      </c>
      <c r="F10" s="21">
        <v>576732</v>
      </c>
      <c r="G10" s="42">
        <v>-1.2999999999999999E-2</v>
      </c>
      <c r="H10" s="21" t="s">
        <v>1827</v>
      </c>
      <c r="I10" s="39">
        <f ca="1">IFERROR(__xludf.DUMMYFUNCTION("IF(SUM(COUNTIF(artists!A:A, SPLIT(D10, "",""))) &gt; 0, ""UA"", 0)"),0)</f>
        <v>0</v>
      </c>
      <c r="J10" s="40">
        <f ca="1">IFERROR(__xludf.DUMMYFUNCTION("IF(SUM(COUNTIF(artists!C:C, SPLIT(D10, "",""))) &gt; 0, ""RU"", 0)"),0)</f>
        <v>0</v>
      </c>
      <c r="K10" s="39" t="str">
        <f ca="1">IFERROR(__xludf.DUMMYFUNCTION("IF(SUM(COUNTIF(artists!E:E, SPLIT(D10, "",""))) &gt; 0, ""OTHER"", 0)"),"OTHER")</f>
        <v>OTHER</v>
      </c>
    </row>
    <row r="11" spans="1:11" ht="14.25" customHeight="1">
      <c r="A11" s="21">
        <v>10</v>
      </c>
      <c r="B11" s="21">
        <v>9</v>
      </c>
      <c r="C11" s="21" t="s">
        <v>1676</v>
      </c>
      <c r="D11" s="21" t="s">
        <v>743</v>
      </c>
      <c r="E11" s="21">
        <v>14</v>
      </c>
      <c r="F11" s="21">
        <v>564495</v>
      </c>
      <c r="G11" s="42">
        <v>-3.7999999999999999E-2</v>
      </c>
      <c r="H11" s="21" t="s">
        <v>1677</v>
      </c>
      <c r="I11" s="39">
        <f ca="1">IFERROR(__xludf.DUMMYFUNCTION("IF(SUM(COUNTIF(artists!A:A, SPLIT(D11, "",""))) &gt; 0, ""UA"", 0)"),0)</f>
        <v>0</v>
      </c>
      <c r="J11" s="40" t="str">
        <f ca="1">IFERROR(__xludf.DUMMYFUNCTION("IF(SUM(COUNTIF(artists!C:C, SPLIT(D11, "",""))) &gt; 0, ""RU"", 0)"),"RU")</f>
        <v>RU</v>
      </c>
      <c r="K11" s="39">
        <f ca="1">IFERROR(__xludf.DUMMYFUNCTION("IF(SUM(COUNTIF(artists!E:E, SPLIT(D11, "",""))) &gt; 0, ""OTHER"", 0)"),0)</f>
        <v>0</v>
      </c>
    </row>
    <row r="12" spans="1:11" ht="14.25" customHeight="1">
      <c r="A12" s="21">
        <v>11</v>
      </c>
      <c r="B12" s="21">
        <v>12</v>
      </c>
      <c r="C12" s="21" t="s">
        <v>2041</v>
      </c>
      <c r="D12" s="21" t="s">
        <v>584</v>
      </c>
      <c r="E12" s="21">
        <v>9</v>
      </c>
      <c r="F12" s="21">
        <v>543200</v>
      </c>
      <c r="G12" s="42">
        <v>5.3999999999999999E-2</v>
      </c>
      <c r="H12" s="21" t="s">
        <v>2042</v>
      </c>
      <c r="I12" s="39">
        <f ca="1">IFERROR(__xludf.DUMMYFUNCTION("IF(SUM(COUNTIF(artists!A:A, SPLIT(D12, "",""))) &gt; 0, ""UA"", 0)"),0)</f>
        <v>0</v>
      </c>
      <c r="J12" s="40" t="str">
        <f ca="1">IFERROR(__xludf.DUMMYFUNCTION("IF(SUM(COUNTIF(artists!C:C, SPLIT(D12, "",""))) &gt; 0, ""RU"", 0)"),"RU")</f>
        <v>RU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B13" s="21">
        <v>11</v>
      </c>
      <c r="C13" s="21" t="s">
        <v>1729</v>
      </c>
      <c r="D13" s="21" t="s">
        <v>1730</v>
      </c>
      <c r="E13" s="21">
        <v>39</v>
      </c>
      <c r="F13" s="21">
        <v>529177</v>
      </c>
      <c r="G13" s="42">
        <v>1.0999999999999999E-2</v>
      </c>
      <c r="H13" s="21" t="s">
        <v>1731</v>
      </c>
      <c r="I13" s="39">
        <f ca="1">IFERROR(__xludf.DUMMYFUNCTION("IF(SUM(COUNTIF(artists!A:A, SPLIT(D13, "",""))) &gt; 0, ""UA"", 0)"),0)</f>
        <v>0</v>
      </c>
      <c r="J13" s="40" t="str">
        <f ca="1">IFERROR(__xludf.DUMMYFUNCTION("IF(SUM(COUNTIF(artists!C:C, SPLIT(D13, "",""))) &gt; 0, ""RU"", 0)"),"RU")</f>
        <v>RU</v>
      </c>
      <c r="K13" s="39">
        <f ca="1">IFERROR(__xludf.DUMMYFUNCTION("IF(SUM(COUNTIF(artists!E:E, SPLIT(D13, "",""))) &gt; 0, ""OTHER"", 0)"),0)</f>
        <v>0</v>
      </c>
    </row>
    <row r="14" spans="1:11" ht="14.25" customHeight="1">
      <c r="A14" s="21">
        <v>13</v>
      </c>
      <c r="B14" s="21">
        <v>19</v>
      </c>
      <c r="C14" s="21" t="s">
        <v>1496</v>
      </c>
      <c r="D14" s="21" t="s">
        <v>969</v>
      </c>
      <c r="E14" s="21">
        <v>38</v>
      </c>
      <c r="F14" s="21">
        <v>502394</v>
      </c>
      <c r="G14" s="42">
        <v>0.115</v>
      </c>
      <c r="H14" s="21" t="s">
        <v>1497</v>
      </c>
      <c r="I14" s="39" t="str">
        <f ca="1">IFERROR(__xludf.DUMMYFUNCTION("IF(SUM(COUNTIF(artists!A:A, SPLIT(D14, "",""))) &gt; 0, ""UA"", 0)"),"UA")</f>
        <v>UA</v>
      </c>
      <c r="J14" s="40">
        <f ca="1">IFERROR(__xludf.DUMMYFUNCTION("IF(SUM(COUNTIF(artists!C:C, SPLIT(D14, "",""))) &gt; 0, ""RU"", 0)"),0)</f>
        <v>0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C15" s="21" t="s">
        <v>645</v>
      </c>
      <c r="D15" s="21" t="s">
        <v>352</v>
      </c>
      <c r="E15" s="21">
        <v>1</v>
      </c>
      <c r="F15" s="21">
        <v>499038</v>
      </c>
      <c r="H15" s="21" t="s">
        <v>647</v>
      </c>
      <c r="I15" s="39" t="str">
        <f ca="1">IFERROR(__xludf.DUMMYFUNCTION("IF(SUM(COUNTIF(artists!A:A, SPLIT(D15, "",""))) &gt; 0, ""UA"", 0)"),"UA")</f>
        <v>UA</v>
      </c>
      <c r="J15" s="40">
        <f ca="1">IFERROR(__xludf.DUMMYFUNCTION("IF(SUM(COUNTIF(artists!C:C, SPLIT(D15, "",""))) &gt; 0, ""RU"", 0)"),0)</f>
        <v>0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B16" s="21">
        <v>15</v>
      </c>
      <c r="C16" s="21" t="s">
        <v>1616</v>
      </c>
      <c r="D16" s="21" t="s">
        <v>1617</v>
      </c>
      <c r="E16" s="21">
        <v>34</v>
      </c>
      <c r="F16" s="21">
        <v>483947</v>
      </c>
      <c r="G16" s="42">
        <v>2.1999999999999999E-2</v>
      </c>
      <c r="H16" s="21" t="s">
        <v>1618</v>
      </c>
      <c r="I16" s="39">
        <f ca="1">IFERROR(__xludf.DUMMYFUNCTION("IF(SUM(COUNTIF(artists!A:A, SPLIT(D16, "",""))) &gt; 0, ""UA"", 0)"),0)</f>
        <v>0</v>
      </c>
      <c r="J16" s="40" t="str">
        <f ca="1">IFERROR(__xludf.DUMMYFUNCTION("IF(SUM(COUNTIF(artists!C:C, SPLIT(D16, "",""))) &gt; 0, ""RU"", 0)"),"RU")</f>
        <v>RU</v>
      </c>
      <c r="K16" s="39">
        <f ca="1">IFERROR(__xludf.DUMMYFUNCTION("IF(SUM(COUNTIF(artists!E:E, SPLIT(D16, "",""))) &gt; 0, ""OTHER"", 0)"),0)</f>
        <v>0</v>
      </c>
    </row>
    <row r="17" spans="1:11" ht="14.25" customHeight="1">
      <c r="A17" s="21">
        <v>16</v>
      </c>
      <c r="B17" s="21">
        <v>49</v>
      </c>
      <c r="C17" s="21" t="s">
        <v>1939</v>
      </c>
      <c r="D17" s="21" t="s">
        <v>1940</v>
      </c>
      <c r="E17" s="21">
        <v>7</v>
      </c>
      <c r="F17" s="21">
        <v>480357</v>
      </c>
      <c r="G17" s="42">
        <v>0.77300000000000002</v>
      </c>
      <c r="H17" s="21" t="s">
        <v>1941</v>
      </c>
      <c r="I17" s="39">
        <f ca="1">IFERROR(__xludf.DUMMYFUNCTION("IF(SUM(COUNTIF(artists!A:A, SPLIT(D17, "",""))) &gt; 0, ""UA"", 0)"),0)</f>
        <v>0</v>
      </c>
      <c r="J17" s="40" t="str">
        <f ca="1">IFERROR(__xludf.DUMMYFUNCTION("IF(SUM(COUNTIF(artists!C:C, SPLIT(D17, "",""))) &gt; 0, ""RU"", 0)"),"RU")</f>
        <v>RU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B18" s="21">
        <v>14</v>
      </c>
      <c r="C18" s="21" t="s">
        <v>1261</v>
      </c>
      <c r="D18" s="21" t="s">
        <v>137</v>
      </c>
      <c r="E18" s="21">
        <v>13</v>
      </c>
      <c r="F18" s="21">
        <v>464229</v>
      </c>
      <c r="G18" s="42">
        <v>-5.5E-2</v>
      </c>
      <c r="H18" s="21" t="s">
        <v>1262</v>
      </c>
      <c r="I18" s="39" t="str">
        <f ca="1">IFERROR(__xludf.DUMMYFUNCTION("IF(SUM(COUNTIF(artists!A:A, SPLIT(D18, "",""))) &gt; 0, ""UA"", 0)"),"UA")</f>
        <v>UA</v>
      </c>
      <c r="J18" s="40">
        <f ca="1">IFERROR(__xludf.DUMMYFUNCTION("IF(SUM(COUNTIF(artists!C:C, SPLIT(D18, "",""))) &gt; 0, ""RU"", 0)"),0)</f>
        <v>0</v>
      </c>
      <c r="K18" s="39">
        <f ca="1">IFERROR(__xludf.DUMMYFUNCTION("IF(SUM(COUNTIF(artists!E:E, SPLIT(D18, "",""))) &gt; 0, ""OTHER"", 0)"),0)</f>
        <v>0</v>
      </c>
    </row>
    <row r="19" spans="1:11" ht="14.25" customHeight="1">
      <c r="A19" s="21">
        <v>18</v>
      </c>
      <c r="B19" s="21">
        <v>13</v>
      </c>
      <c r="C19" s="21" t="s">
        <v>1839</v>
      </c>
      <c r="D19" s="21" t="s">
        <v>1840</v>
      </c>
      <c r="E19" s="21">
        <v>4</v>
      </c>
      <c r="F19" s="21">
        <v>460200</v>
      </c>
      <c r="G19" s="42">
        <v>-8.1000000000000003E-2</v>
      </c>
      <c r="H19" s="21" t="s">
        <v>1841</v>
      </c>
      <c r="I19" s="39">
        <f ca="1">IFERROR(__xludf.DUMMYFUNCTION("IF(SUM(COUNTIF(artists!A:A, SPLIT(D19, "",""))) &gt; 0, ""UA"", 0)"),0)</f>
        <v>0</v>
      </c>
      <c r="J19" s="40" t="str">
        <f ca="1">IFERROR(__xludf.DUMMYFUNCTION("IF(SUM(COUNTIF(artists!C:C, SPLIT(D19, "",""))) &gt; 0, ""RU"", 0)"),"RU")</f>
        <v>RU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B20" s="21">
        <v>17</v>
      </c>
      <c r="C20" s="21" t="s">
        <v>2074</v>
      </c>
      <c r="D20" s="21" t="s">
        <v>584</v>
      </c>
      <c r="E20" s="21">
        <v>49</v>
      </c>
      <c r="F20" s="21">
        <v>456534</v>
      </c>
      <c r="G20" s="42">
        <v>-8.0000000000000002E-3</v>
      </c>
      <c r="H20" s="21" t="s">
        <v>2075</v>
      </c>
      <c r="I20" s="39">
        <f ca="1">IFERROR(__xludf.DUMMYFUNCTION("IF(SUM(COUNTIF(artists!A:A, SPLIT(D20, "",""))) &gt; 0, ""UA"", 0)"),0)</f>
        <v>0</v>
      </c>
      <c r="J20" s="40" t="str">
        <f ca="1">IFERROR(__xludf.DUMMYFUNCTION("IF(SUM(COUNTIF(artists!C:C, SPLIT(D20, "",""))) &gt; 0, ""RU"", 0)"),"RU")</f>
        <v>RU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B21" s="21">
        <v>18</v>
      </c>
      <c r="C21" s="21" t="s">
        <v>906</v>
      </c>
      <c r="D21" s="21" t="s">
        <v>907</v>
      </c>
      <c r="E21" s="21">
        <v>9</v>
      </c>
      <c r="F21" s="21">
        <v>434800</v>
      </c>
      <c r="G21" s="42">
        <v>-5.5E-2</v>
      </c>
      <c r="H21" s="21" t="s">
        <v>908</v>
      </c>
      <c r="I21" s="39">
        <f ca="1">IFERROR(__xludf.DUMMYFUNCTION("IF(SUM(COUNTIF(artists!A:A, SPLIT(D21, "",""))) &gt; 0, ""UA"", 0)"),0)</f>
        <v>0</v>
      </c>
      <c r="J21" s="40" t="str">
        <f ca="1">IFERROR(__xludf.DUMMYFUNCTION("IF(SUM(COUNTIF(artists!C:C, SPLIT(D21, "",""))) &gt; 0, ""RU"", 0)"),"RU")</f>
        <v>RU</v>
      </c>
      <c r="K21" s="39">
        <f ca="1">IFERROR(__xludf.DUMMYFUNCTION("IF(SUM(COUNTIF(artists!E:E, SPLIT(D21, "",""))) &gt; 0, ""OTHER"", 0)"),0)</f>
        <v>0</v>
      </c>
    </row>
    <row r="22" spans="1:11" ht="14.25" customHeight="1">
      <c r="A22" s="21">
        <v>21</v>
      </c>
      <c r="C22" s="21" t="s">
        <v>1588</v>
      </c>
      <c r="D22" s="21" t="s">
        <v>776</v>
      </c>
      <c r="E22" s="21">
        <v>1</v>
      </c>
      <c r="F22" s="21">
        <v>433139</v>
      </c>
      <c r="H22" s="21" t="s">
        <v>1589</v>
      </c>
      <c r="I22" s="39" t="str">
        <f ca="1">IFERROR(__xludf.DUMMYFUNCTION("IF(SUM(COUNTIF(artists!A:A, SPLIT(D22, "",""))) &gt; 0, ""UA"", 0)"),"UA")</f>
        <v>UA</v>
      </c>
      <c r="J22" s="40">
        <f ca="1">IFERROR(__xludf.DUMMYFUNCTION("IF(SUM(COUNTIF(artists!C:C, SPLIT(D22, "",""))) &gt; 0, ""RU"", 0)"),0)</f>
        <v>0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C23" s="21" t="s">
        <v>2060</v>
      </c>
      <c r="D23" s="21" t="s">
        <v>2061</v>
      </c>
      <c r="E23" s="21">
        <v>1</v>
      </c>
      <c r="F23" s="21">
        <v>426664</v>
      </c>
      <c r="H23" s="21" t="s">
        <v>2062</v>
      </c>
      <c r="I23" s="39">
        <f ca="1">IFERROR(__xludf.DUMMYFUNCTION("IF(SUM(COUNTIF(artists!A:A, SPLIT(D23, "",""))) &gt; 0, ""UA"", 0)"),0)</f>
        <v>0</v>
      </c>
      <c r="J23" s="40" t="str">
        <f ca="1">IFERROR(__xludf.DUMMYFUNCTION("IF(SUM(COUNTIF(artists!C:C, SPLIT(D23, "",""))) &gt; 0, ""RU"", 0)"),"RU")</f>
        <v>RU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B24" s="21">
        <v>20</v>
      </c>
      <c r="C24" s="21" t="s">
        <v>1964</v>
      </c>
      <c r="D24" s="21" t="s">
        <v>1965</v>
      </c>
      <c r="E24" s="21">
        <v>15</v>
      </c>
      <c r="F24" s="21">
        <v>419626</v>
      </c>
      <c r="G24" s="42">
        <v>-6.4000000000000001E-2</v>
      </c>
      <c r="H24" s="21" t="s">
        <v>1966</v>
      </c>
      <c r="I24" s="39">
        <f ca="1">IFERROR(__xludf.DUMMYFUNCTION("IF(SUM(COUNTIF(artists!A:A, SPLIT(D24, "",""))) &gt; 0, ""UA"", 0)"),0)</f>
        <v>0</v>
      </c>
      <c r="J24" s="40" t="str">
        <f ca="1">IFERROR(__xludf.DUMMYFUNCTION("IF(SUM(COUNTIF(artists!C:C, SPLIT(D24, "",""))) &gt; 0, ""RU"", 0)"),"RU")</f>
        <v>RU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B25" s="21">
        <v>24</v>
      </c>
      <c r="C25" s="21" t="s">
        <v>1896</v>
      </c>
      <c r="D25" s="21" t="s">
        <v>1099</v>
      </c>
      <c r="E25" s="21">
        <v>45</v>
      </c>
      <c r="F25" s="21">
        <v>412999</v>
      </c>
      <c r="G25" s="42">
        <v>5.0000000000000001E-3</v>
      </c>
      <c r="H25" s="21" t="s">
        <v>1897</v>
      </c>
      <c r="I25" s="39">
        <f ca="1">IFERROR(__xludf.DUMMYFUNCTION("IF(SUM(COUNTIF(artists!A:A, SPLIT(D25, "",""))) &gt; 0, ""UA"", 0)"),0)</f>
        <v>0</v>
      </c>
      <c r="J25" s="40" t="str">
        <f ca="1">IFERROR(__xludf.DUMMYFUNCTION("IF(SUM(COUNTIF(artists!C:C, SPLIT(D25, "",""))) &gt; 0, ""RU"", 0)"),"RU")</f>
        <v>RU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C26" s="21" t="s">
        <v>2146</v>
      </c>
      <c r="D26" s="21" t="s">
        <v>2147</v>
      </c>
      <c r="E26" s="21">
        <v>1</v>
      </c>
      <c r="F26" s="21">
        <v>410298</v>
      </c>
      <c r="H26" s="21" t="s">
        <v>2148</v>
      </c>
      <c r="I26" s="39">
        <f ca="1">IFERROR(__xludf.DUMMYFUNCTION("IF(SUM(COUNTIF(artists!A:A, SPLIT(D26, "",""))) &gt; 0, ""UA"", 0)"),0)</f>
        <v>0</v>
      </c>
      <c r="J26" s="40" t="str">
        <f ca="1">IFERROR(__xludf.DUMMYFUNCTION("IF(SUM(COUNTIF(artists!C:C, SPLIT(D26, "",""))) &gt; 0, ""RU"", 0)"),"RU")</f>
        <v>RU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B27" s="21">
        <v>25</v>
      </c>
      <c r="C27" s="21" t="s">
        <v>1995</v>
      </c>
      <c r="D27" s="21" t="s">
        <v>1996</v>
      </c>
      <c r="E27" s="21">
        <v>37</v>
      </c>
      <c r="F27" s="21">
        <v>408607</v>
      </c>
      <c r="G27" s="42">
        <v>-1E-3</v>
      </c>
      <c r="H27" s="21" t="s">
        <v>1997</v>
      </c>
      <c r="I27" s="39">
        <f ca="1">IFERROR(__xludf.DUMMYFUNCTION("IF(SUM(COUNTIF(artists!A:A, SPLIT(D27, "",""))) &gt; 0, ""UA"", 0)"),0)</f>
        <v>0</v>
      </c>
      <c r="J27" s="40" t="str">
        <f ca="1">IFERROR(__xludf.DUMMYFUNCTION("IF(SUM(COUNTIF(artists!C:C, SPLIT(D27, "",""))) &gt; 0, ""RU"", 0)"),"RU")</f>
        <v>RU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B28" s="21">
        <v>26</v>
      </c>
      <c r="C28" s="21" t="s">
        <v>2076</v>
      </c>
      <c r="D28" s="21" t="s">
        <v>1027</v>
      </c>
      <c r="E28" s="21">
        <v>38</v>
      </c>
      <c r="F28" s="21">
        <v>397576</v>
      </c>
      <c r="G28" s="42">
        <v>-8.0000000000000002E-3</v>
      </c>
      <c r="H28" s="21" t="s">
        <v>2077</v>
      </c>
      <c r="I28" s="39" t="str">
        <f ca="1">IFERROR(__xludf.DUMMYFUNCTION("IF(SUM(COUNTIF(artists!A:A, SPLIT(D28, "",""))) &gt; 0, ""UA"", 0)"),"UA")</f>
        <v>UA</v>
      </c>
      <c r="J28" s="40">
        <f ca="1">IFERROR(__xludf.DUMMYFUNCTION("IF(SUM(COUNTIF(artists!C:C, SPLIT(D28, "",""))) &gt; 0, ""RU"", 0)"),0)</f>
        <v>0</v>
      </c>
      <c r="K28" s="39">
        <f ca="1">IFERROR(__xludf.DUMMYFUNCTION("IF(SUM(COUNTIF(artists!E:E, SPLIT(D28, "",""))) &gt; 0, ""OTHER"", 0)"),0)</f>
        <v>0</v>
      </c>
    </row>
    <row r="29" spans="1:11" ht="14.25" customHeight="1">
      <c r="A29" s="21">
        <v>28</v>
      </c>
      <c r="B29" s="21">
        <v>28</v>
      </c>
      <c r="C29" s="21" t="s">
        <v>1651</v>
      </c>
      <c r="D29" s="21" t="s">
        <v>1652</v>
      </c>
      <c r="E29" s="21">
        <v>16</v>
      </c>
      <c r="F29" s="21">
        <v>382178</v>
      </c>
      <c r="G29" s="42">
        <v>-8.9999999999999993E-3</v>
      </c>
      <c r="H29" s="21" t="s">
        <v>1959</v>
      </c>
      <c r="I29" s="39">
        <f ca="1">IFERROR(__xludf.DUMMYFUNCTION("IF(SUM(COUNTIF(artists!A:A, SPLIT(D29, "",""))) &gt; 0, ""UA"", 0)"),0)</f>
        <v>0</v>
      </c>
      <c r="J29" s="40" t="str">
        <f ca="1">IFERROR(__xludf.DUMMYFUNCTION("IF(SUM(COUNTIF(artists!C:C, SPLIT(D29, "",""))) &gt; 0, ""RU"", 0)"),"RU")</f>
        <v>RU</v>
      </c>
      <c r="K29" s="39">
        <f ca="1">IFERROR(__xludf.DUMMYFUNCTION("IF(SUM(COUNTIF(artists!E:E, SPLIT(D29, "",""))) &gt; 0, ""OTHER"", 0)"),0)</f>
        <v>0</v>
      </c>
    </row>
    <row r="30" spans="1:11" ht="14.25" customHeight="1">
      <c r="A30" s="21">
        <v>29</v>
      </c>
      <c r="B30" s="21">
        <v>22</v>
      </c>
      <c r="C30" s="21" t="s">
        <v>1867</v>
      </c>
      <c r="D30" s="21" t="s">
        <v>1099</v>
      </c>
      <c r="E30" s="21">
        <v>12</v>
      </c>
      <c r="F30" s="21">
        <v>380718</v>
      </c>
      <c r="G30" s="42">
        <v>-8.5000000000000006E-2</v>
      </c>
      <c r="H30" s="21" t="s">
        <v>1868</v>
      </c>
      <c r="I30" s="39">
        <f ca="1">IFERROR(__xludf.DUMMYFUNCTION("IF(SUM(COUNTIF(artists!A:A, SPLIT(D30, "",""))) &gt; 0, ""UA"", 0)"),0)</f>
        <v>0</v>
      </c>
      <c r="J30" s="40" t="str">
        <f ca="1">IFERROR(__xludf.DUMMYFUNCTION("IF(SUM(COUNTIF(artists!C:C, SPLIT(D30, "",""))) &gt; 0, ""RU"", 0)"),"RU")</f>
        <v>RU</v>
      </c>
      <c r="K30" s="39">
        <f ca="1">IFERROR(__xludf.DUMMYFUNCTION("IF(SUM(COUNTIF(artists!E:E, SPLIT(D30, "",""))) &gt; 0, ""OTHER"", 0)"),0)</f>
        <v>0</v>
      </c>
    </row>
    <row r="31" spans="1:11" ht="14.25" customHeight="1">
      <c r="A31" s="21">
        <v>30</v>
      </c>
      <c r="B31" s="21">
        <v>37</v>
      </c>
      <c r="C31" s="21" t="s">
        <v>1865</v>
      </c>
      <c r="D31" s="21" t="s">
        <v>1646</v>
      </c>
      <c r="E31" s="21">
        <v>9</v>
      </c>
      <c r="F31" s="21">
        <v>367920</v>
      </c>
      <c r="G31" s="42">
        <v>6.5000000000000002E-2</v>
      </c>
      <c r="H31" s="21" t="s">
        <v>1866</v>
      </c>
      <c r="I31" s="39">
        <f ca="1">IFERROR(__xludf.DUMMYFUNCTION("IF(SUM(COUNTIF(artists!A:A, SPLIT(D31, "",""))) &gt; 0, ""UA"", 0)"),0)</f>
        <v>0</v>
      </c>
      <c r="J31" s="40" t="str">
        <f ca="1">IFERROR(__xludf.DUMMYFUNCTION("IF(SUM(COUNTIF(artists!C:C, SPLIT(D31, "",""))) &gt; 0, ""RU"", 0)"),"RU")</f>
        <v>RU</v>
      </c>
      <c r="K31" s="39">
        <f ca="1">IFERROR(__xludf.DUMMYFUNCTION("IF(SUM(COUNTIF(artists!E:E, SPLIT(D31, "",""))) &gt; 0, ""OTHER"", 0)"),0)</f>
        <v>0</v>
      </c>
    </row>
    <row r="32" spans="1:11" ht="14.25" customHeight="1">
      <c r="A32" s="21">
        <v>31</v>
      </c>
      <c r="B32" s="21">
        <v>29</v>
      </c>
      <c r="C32" s="21" t="s">
        <v>2078</v>
      </c>
      <c r="D32" s="21" t="s">
        <v>584</v>
      </c>
      <c r="E32" s="21">
        <v>19</v>
      </c>
      <c r="F32" s="21">
        <v>363004</v>
      </c>
      <c r="G32" s="42">
        <v>-5.7000000000000002E-2</v>
      </c>
      <c r="H32" s="21" t="s">
        <v>2079</v>
      </c>
      <c r="I32" s="39">
        <f ca="1">IFERROR(__xludf.DUMMYFUNCTION("IF(SUM(COUNTIF(artists!A:A, SPLIT(D32, "",""))) &gt; 0, ""UA"", 0)"),0)</f>
        <v>0</v>
      </c>
      <c r="J32" s="40" t="str">
        <f ca="1">IFERROR(__xludf.DUMMYFUNCTION("IF(SUM(COUNTIF(artists!C:C, SPLIT(D32, "",""))) &gt; 0, ""RU"", 0)"),"RU")</f>
        <v>RU</v>
      </c>
      <c r="K32" s="39">
        <f ca="1">IFERROR(__xludf.DUMMYFUNCTION("IF(SUM(COUNTIF(artists!E:E, SPLIT(D32, "",""))) &gt; 0, ""OTHER"", 0)"),0)</f>
        <v>0</v>
      </c>
    </row>
    <row r="33" spans="1:11" ht="14.25" customHeight="1">
      <c r="A33" s="21">
        <v>32</v>
      </c>
      <c r="B33" s="21">
        <v>16</v>
      </c>
      <c r="C33" s="21" t="s">
        <v>1987</v>
      </c>
      <c r="D33" s="21" t="s">
        <v>1988</v>
      </c>
      <c r="E33" s="21">
        <v>2</v>
      </c>
      <c r="F33" s="21">
        <v>355172</v>
      </c>
      <c r="G33" s="42">
        <v>-0.245</v>
      </c>
      <c r="H33" s="21" t="s">
        <v>1989</v>
      </c>
      <c r="I33" s="39">
        <f ca="1">IFERROR(__xludf.DUMMYFUNCTION("IF(SUM(COUNTIF(artists!A:A, SPLIT(D33, "",""))) &gt; 0, ""UA"", 0)"),0)</f>
        <v>0</v>
      </c>
      <c r="J33" s="40" t="str">
        <f ca="1">IFERROR(__xludf.DUMMYFUNCTION("IF(SUM(COUNTIF(artists!C:C, SPLIT(D33, "",""))) &gt; 0, ""RU"", 0)"),"RU")</f>
        <v>RU</v>
      </c>
      <c r="K33" s="39">
        <f ca="1">IFERROR(__xludf.DUMMYFUNCTION("IF(SUM(COUNTIF(artists!E:E, SPLIT(D33, "",""))) &gt; 0, ""OTHER"", 0)"),0)</f>
        <v>0</v>
      </c>
    </row>
    <row r="34" spans="1:11" ht="14.25" customHeight="1">
      <c r="A34" s="21">
        <v>33</v>
      </c>
      <c r="B34" s="21">
        <v>23</v>
      </c>
      <c r="C34" s="21" t="s">
        <v>1960</v>
      </c>
      <c r="D34" s="21" t="s">
        <v>1050</v>
      </c>
      <c r="E34" s="21">
        <v>4</v>
      </c>
      <c r="F34" s="21">
        <v>354858</v>
      </c>
      <c r="G34" s="42">
        <v>-0.14099999999999999</v>
      </c>
      <c r="H34" s="21" t="s">
        <v>1961</v>
      </c>
      <c r="I34" s="39">
        <f ca="1">IFERROR(__xludf.DUMMYFUNCTION("IF(SUM(COUNTIF(artists!A:A, SPLIT(D34, "",""))) &gt; 0, ""UA"", 0)"),0)</f>
        <v>0</v>
      </c>
      <c r="J34" s="40" t="str">
        <f ca="1">IFERROR(__xludf.DUMMYFUNCTION("IF(SUM(COUNTIF(artists!C:C, SPLIT(D34, "",""))) &gt; 0, ""RU"", 0)"),"RU")</f>
        <v>RU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B35" s="21">
        <v>31</v>
      </c>
      <c r="C35" s="21" t="s">
        <v>1774</v>
      </c>
      <c r="D35" s="21" t="s">
        <v>1775</v>
      </c>
      <c r="E35" s="21">
        <v>15</v>
      </c>
      <c r="F35" s="21">
        <v>352211</v>
      </c>
      <c r="G35" s="42">
        <v>-6.0999999999999999E-2</v>
      </c>
      <c r="H35" s="21" t="s">
        <v>1776</v>
      </c>
      <c r="I35" s="39">
        <f ca="1">IFERROR(__xludf.DUMMYFUNCTION("IF(SUM(COUNTIF(artists!A:A, SPLIT(D35, "",""))) &gt; 0, ""UA"", 0)"),0)</f>
        <v>0</v>
      </c>
      <c r="J35" s="40" t="str">
        <f ca="1">IFERROR(__xludf.DUMMYFUNCTION("IF(SUM(COUNTIF(artists!C:C, SPLIT(D35, "",""))) &gt; 0, ""RU"", 0)"),"RU")</f>
        <v>RU</v>
      </c>
      <c r="K35" s="39">
        <f ca="1">IFERROR(__xludf.DUMMYFUNCTION("IF(SUM(COUNTIF(artists!E:E, SPLIT(D35, "",""))) &gt; 0, ""OTHER"", 0)"),0)</f>
        <v>0</v>
      </c>
    </row>
    <row r="36" spans="1:11" ht="14.25" customHeight="1">
      <c r="A36" s="21">
        <v>35</v>
      </c>
      <c r="C36" s="21" t="s">
        <v>1601</v>
      </c>
      <c r="D36" s="21" t="s">
        <v>1602</v>
      </c>
      <c r="E36" s="21">
        <v>1</v>
      </c>
      <c r="F36" s="21">
        <v>351903</v>
      </c>
      <c r="H36" s="21" t="s">
        <v>1603</v>
      </c>
      <c r="I36" s="39">
        <f ca="1">IFERROR(__xludf.DUMMYFUNCTION("IF(SUM(COUNTIF(artists!A:A, SPLIT(D36, "",""))) &gt; 0, ""UA"", 0)"),0)</f>
        <v>0</v>
      </c>
      <c r="J36" s="40" t="str">
        <f ca="1">IFERROR(__xludf.DUMMYFUNCTION("IF(SUM(COUNTIF(artists!C:C, SPLIT(D36, "",""))) &gt; 0, ""RU"", 0)"),"RU")</f>
        <v>RU</v>
      </c>
      <c r="K36" s="39">
        <f ca="1">IFERROR(__xludf.DUMMYFUNCTION("IF(SUM(COUNTIF(artists!E:E, SPLIT(D36, "",""))) &gt; 0, ""OTHER"", 0)"),0)</f>
        <v>0</v>
      </c>
    </row>
    <row r="37" spans="1:11" ht="14.25" customHeight="1">
      <c r="A37" s="21">
        <v>36</v>
      </c>
      <c r="B37" s="21">
        <v>32</v>
      </c>
      <c r="C37" s="21" t="s">
        <v>1282</v>
      </c>
      <c r="D37" s="21" t="s">
        <v>108</v>
      </c>
      <c r="E37" s="21">
        <v>16</v>
      </c>
      <c r="F37" s="21">
        <v>345066</v>
      </c>
      <c r="G37" s="42">
        <v>-7.4999999999999997E-2</v>
      </c>
      <c r="H37" s="21" t="s">
        <v>1283</v>
      </c>
      <c r="I37" s="39" t="str">
        <f ca="1">IFERROR(__xludf.DUMMYFUNCTION("IF(SUM(COUNTIF(artists!A:A, SPLIT(D37, "",""))) &gt; 0, ""UA"", 0)"),"UA")</f>
        <v>UA</v>
      </c>
      <c r="J37" s="40">
        <f ca="1">IFERROR(__xludf.DUMMYFUNCTION("IF(SUM(COUNTIF(artists!C:C, SPLIT(D37, "",""))) &gt; 0, ""RU"", 0)"),0)</f>
        <v>0</v>
      </c>
      <c r="K37" s="39">
        <f ca="1">IFERROR(__xludf.DUMMYFUNCTION("IF(SUM(COUNTIF(artists!E:E, SPLIT(D37, "",""))) &gt; 0, ""OTHER"", 0)"),0)</f>
        <v>0</v>
      </c>
    </row>
    <row r="38" spans="1:11" ht="14.25" customHeight="1">
      <c r="A38" s="21">
        <v>37</v>
      </c>
      <c r="B38" s="21">
        <v>35</v>
      </c>
      <c r="C38" s="21" t="s">
        <v>1887</v>
      </c>
      <c r="D38" s="21" t="s">
        <v>1099</v>
      </c>
      <c r="E38" s="21">
        <v>5</v>
      </c>
      <c r="F38" s="21">
        <v>340155</v>
      </c>
      <c r="G38" s="42">
        <v>-4.1000000000000002E-2</v>
      </c>
      <c r="H38" s="21" t="s">
        <v>1888</v>
      </c>
      <c r="I38" s="39">
        <f ca="1">IFERROR(__xludf.DUMMYFUNCTION("IF(SUM(COUNTIF(artists!A:A, SPLIT(D38, "",""))) &gt; 0, ""UA"", 0)"),0)</f>
        <v>0</v>
      </c>
      <c r="J38" s="40" t="str">
        <f ca="1">IFERROR(__xludf.DUMMYFUNCTION("IF(SUM(COUNTIF(artists!C:C, SPLIT(D38, "",""))) &gt; 0, ""RU"", 0)"),"RU")</f>
        <v>RU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B39" s="21">
        <v>33</v>
      </c>
      <c r="C39" s="21" t="s">
        <v>1942</v>
      </c>
      <c r="D39" s="21" t="s">
        <v>1637</v>
      </c>
      <c r="E39" s="21">
        <v>29</v>
      </c>
      <c r="F39" s="21">
        <v>339439</v>
      </c>
      <c r="G39" s="42">
        <v>-6.9000000000000006E-2</v>
      </c>
      <c r="H39" s="21" t="s">
        <v>1943</v>
      </c>
      <c r="I39" s="39">
        <f ca="1">IFERROR(__xludf.DUMMYFUNCTION("IF(SUM(COUNTIF(artists!A:A, SPLIT(D39, "",""))) &gt; 0, ""UA"", 0)"),0)</f>
        <v>0</v>
      </c>
      <c r="J39" s="40" t="str">
        <f ca="1">IFERROR(__xludf.DUMMYFUNCTION("IF(SUM(COUNTIF(artists!C:C, SPLIT(D39, "",""))) &gt; 0, ""RU"", 0)"),"RU")</f>
        <v>RU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B40" s="21">
        <v>34</v>
      </c>
      <c r="C40" s="21" t="s">
        <v>1944</v>
      </c>
      <c r="D40" s="21" t="s">
        <v>1945</v>
      </c>
      <c r="E40" s="21">
        <v>12</v>
      </c>
      <c r="F40" s="21">
        <v>331949</v>
      </c>
      <c r="G40" s="42">
        <v>-7.4999999999999997E-2</v>
      </c>
      <c r="H40" s="21" t="s">
        <v>1946</v>
      </c>
      <c r="I40" s="39">
        <f ca="1">IFERROR(__xludf.DUMMYFUNCTION("IF(SUM(COUNTIF(artists!A:A, SPLIT(D40, "",""))) &gt; 0, ""UA"", 0)"),0)</f>
        <v>0</v>
      </c>
      <c r="J40" s="40" t="str">
        <f ca="1">IFERROR(__xludf.DUMMYFUNCTION("IF(SUM(COUNTIF(artists!C:C, SPLIT(D40, "",""))) &gt; 0, ""RU"", 0)"),"RU")</f>
        <v>RU</v>
      </c>
      <c r="K40" s="39">
        <f ca="1">IFERROR(__xludf.DUMMYFUNCTION("IF(SUM(COUNTIF(artists!E:E, SPLIT(D40, "",""))) &gt; 0, ""OTHER"", 0)"),0)</f>
        <v>0</v>
      </c>
    </row>
    <row r="41" spans="1:11" ht="14.25" customHeight="1">
      <c r="A41" s="21">
        <v>40</v>
      </c>
      <c r="B41" s="21">
        <v>30</v>
      </c>
      <c r="C41" s="21" t="s">
        <v>2051</v>
      </c>
      <c r="D41" s="21" t="s">
        <v>2052</v>
      </c>
      <c r="E41" s="21">
        <v>7</v>
      </c>
      <c r="F41" s="21">
        <v>326077</v>
      </c>
      <c r="G41" s="42">
        <v>-0.13600000000000001</v>
      </c>
      <c r="H41" s="21" t="s">
        <v>2053</v>
      </c>
      <c r="I41" s="39">
        <f ca="1">IFERROR(__xludf.DUMMYFUNCTION("IF(SUM(COUNTIF(artists!A:A, SPLIT(D41, "",""))) &gt; 0, ""UA"", 0)"),0)</f>
        <v>0</v>
      </c>
      <c r="J41" s="40" t="str">
        <f ca="1">IFERROR(__xludf.DUMMYFUNCTION("IF(SUM(COUNTIF(artists!C:C, SPLIT(D41, "",""))) &gt; 0, ""RU"", 0)"),"RU")</f>
        <v>RU</v>
      </c>
      <c r="K41" s="39">
        <f ca="1">IFERROR(__xludf.DUMMYFUNCTION("IF(SUM(COUNTIF(artists!E:E, SPLIT(D41, "",""))) &gt; 0, ""OTHER"", 0)"),0)</f>
        <v>0</v>
      </c>
    </row>
    <row r="42" spans="1:11" ht="14.25" customHeight="1">
      <c r="A42" s="21">
        <v>41</v>
      </c>
      <c r="B42" s="21">
        <v>38</v>
      </c>
      <c r="C42" s="21" t="s">
        <v>2017</v>
      </c>
      <c r="D42" s="21" t="s">
        <v>2018</v>
      </c>
      <c r="E42" s="21">
        <v>38</v>
      </c>
      <c r="F42" s="21">
        <v>325872</v>
      </c>
      <c r="G42" s="42">
        <v>-8.9999999999999993E-3</v>
      </c>
      <c r="H42" s="21" t="s">
        <v>2019</v>
      </c>
      <c r="I42" s="39">
        <f ca="1">IFERROR(__xludf.DUMMYFUNCTION("IF(SUM(COUNTIF(artists!A:A, SPLIT(D42, "",""))) &gt; 0, ""UA"", 0)"),0)</f>
        <v>0</v>
      </c>
      <c r="J42" s="40" t="str">
        <f ca="1">IFERROR(__xludf.DUMMYFUNCTION("IF(SUM(COUNTIF(artists!C:C, SPLIT(D42, "",""))) &gt; 0, ""RU"", 0)"),"RU")</f>
        <v>RU</v>
      </c>
      <c r="K42" s="39">
        <f ca="1">IFERROR(__xludf.DUMMYFUNCTION("IF(SUM(COUNTIF(artists!E:E, SPLIT(D42, "",""))) &gt; 0, ""OTHER"", 0)"),0)</f>
        <v>0</v>
      </c>
    </row>
    <row r="43" spans="1:11" ht="14.25" customHeight="1">
      <c r="A43" s="21">
        <v>42</v>
      </c>
      <c r="B43" s="21">
        <v>41</v>
      </c>
      <c r="C43" s="21" t="s">
        <v>2071</v>
      </c>
      <c r="D43" s="21" t="s">
        <v>2072</v>
      </c>
      <c r="E43" s="21">
        <v>13</v>
      </c>
      <c r="F43" s="21">
        <v>315038</v>
      </c>
      <c r="G43" s="43">
        <v>0.01</v>
      </c>
      <c r="H43" s="21" t="s">
        <v>2073</v>
      </c>
      <c r="I43" s="39">
        <f ca="1">IFERROR(__xludf.DUMMYFUNCTION("IF(SUM(COUNTIF(artists!A:A, SPLIT(D43, "",""))) &gt; 0, ""UA"", 0)"),0)</f>
        <v>0</v>
      </c>
      <c r="J43" s="40" t="str">
        <f ca="1">IFERROR(__xludf.DUMMYFUNCTION("IF(SUM(COUNTIF(artists!C:C, SPLIT(D43, "",""))) &gt; 0, ""RU"", 0)"),"RU")</f>
        <v>RU</v>
      </c>
      <c r="K43" s="39">
        <f ca="1">IFERROR(__xludf.DUMMYFUNCTION("IF(SUM(COUNTIF(artists!E:E, SPLIT(D43, "",""))) &gt; 0, ""OTHER"", 0)"),0)</f>
        <v>0</v>
      </c>
    </row>
    <row r="44" spans="1:11" ht="14.25" customHeight="1">
      <c r="A44" s="21">
        <v>43</v>
      </c>
      <c r="B44" s="21">
        <v>48</v>
      </c>
      <c r="C44" s="21" t="s">
        <v>1654</v>
      </c>
      <c r="D44" s="21" t="s">
        <v>1655</v>
      </c>
      <c r="E44" s="21">
        <v>21</v>
      </c>
      <c r="F44" s="21">
        <v>314842</v>
      </c>
      <c r="G44" s="42">
        <v>0.14899999999999999</v>
      </c>
      <c r="H44" s="21" t="s">
        <v>1656</v>
      </c>
      <c r="I44" s="39">
        <f ca="1">IFERROR(__xludf.DUMMYFUNCTION("IF(SUM(COUNTIF(artists!A:A, SPLIT(D44, "",""))) &gt; 0, ""UA"", 0)"),0)</f>
        <v>0</v>
      </c>
      <c r="J44" s="40" t="str">
        <f ca="1">IFERROR(__xludf.DUMMYFUNCTION("IF(SUM(COUNTIF(artists!C:C, SPLIT(D44, "",""))) &gt; 0, ""RU"", 0)"),"RU")</f>
        <v>RU</v>
      </c>
      <c r="K44" s="39">
        <f ca="1">IFERROR(__xludf.DUMMYFUNCTION("IF(SUM(COUNTIF(artists!E:E, SPLIT(D44, "",""))) &gt; 0, ""OTHER"", 0)"),0)</f>
        <v>0</v>
      </c>
    </row>
    <row r="45" spans="1:11" ht="14.25" customHeight="1">
      <c r="A45" s="21">
        <v>44</v>
      </c>
      <c r="B45" s="21">
        <v>36</v>
      </c>
      <c r="C45" s="21" t="s">
        <v>2009</v>
      </c>
      <c r="D45" s="21" t="s">
        <v>2010</v>
      </c>
      <c r="E45" s="21">
        <v>7</v>
      </c>
      <c r="F45" s="21">
        <v>313923</v>
      </c>
      <c r="G45" s="42">
        <v>-9.2999999999999999E-2</v>
      </c>
      <c r="H45" s="21" t="s">
        <v>2011</v>
      </c>
      <c r="I45" s="39">
        <f ca="1">IFERROR(__xludf.DUMMYFUNCTION("IF(SUM(COUNTIF(artists!A:A, SPLIT(D45, "",""))) &gt; 0, ""UA"", 0)"),0)</f>
        <v>0</v>
      </c>
      <c r="J45" s="40" t="str">
        <f ca="1">IFERROR(__xludf.DUMMYFUNCTION("IF(SUM(COUNTIF(artists!C:C, SPLIT(D45, "",""))) &gt; 0, ""RU"", 0)"),"RU")</f>
        <v>RU</v>
      </c>
      <c r="K45" s="39">
        <f ca="1">IFERROR(__xludf.DUMMYFUNCTION("IF(SUM(COUNTIF(artists!E:E, SPLIT(D45, "",""))) &gt; 0, ""OTHER"", 0)"),0)</f>
        <v>0</v>
      </c>
    </row>
    <row r="46" spans="1:11" ht="14.25" customHeight="1">
      <c r="A46" s="21">
        <v>45</v>
      </c>
      <c r="B46" s="21">
        <v>40</v>
      </c>
      <c r="C46" s="21" t="s">
        <v>2000</v>
      </c>
      <c r="D46" s="21" t="s">
        <v>137</v>
      </c>
      <c r="E46" s="21">
        <v>43</v>
      </c>
      <c r="F46" s="21">
        <v>303253</v>
      </c>
      <c r="G46" s="42">
        <v>-2.9000000000000001E-2</v>
      </c>
      <c r="H46" s="21" t="s">
        <v>2001</v>
      </c>
      <c r="I46" s="39" t="str">
        <f ca="1">IFERROR(__xludf.DUMMYFUNCTION("IF(SUM(COUNTIF(artists!A:A, SPLIT(D46, "",""))) &gt; 0, ""UA"", 0)"),"UA")</f>
        <v>UA</v>
      </c>
      <c r="J46" s="40">
        <f ca="1">IFERROR(__xludf.DUMMYFUNCTION("IF(SUM(COUNTIF(artists!C:C, SPLIT(D46, "",""))) &gt; 0, ""RU"", 0)"),0)</f>
        <v>0</v>
      </c>
      <c r="K46" s="39">
        <f ca="1">IFERROR(__xludf.DUMMYFUNCTION("IF(SUM(COUNTIF(artists!E:E, SPLIT(D46, "",""))) &gt; 0, ""OTHER"", 0)"),0)</f>
        <v>0</v>
      </c>
    </row>
    <row r="47" spans="1:11" ht="14.25" customHeight="1">
      <c r="A47" s="21">
        <v>46</v>
      </c>
      <c r="B47" s="21">
        <v>44</v>
      </c>
      <c r="C47" s="21" t="s">
        <v>2063</v>
      </c>
      <c r="D47" s="21" t="s">
        <v>2064</v>
      </c>
      <c r="E47" s="21">
        <v>12</v>
      </c>
      <c r="F47" s="21">
        <v>302367</v>
      </c>
      <c r="G47" s="43">
        <v>0.01</v>
      </c>
      <c r="H47" s="21" t="s">
        <v>2065</v>
      </c>
      <c r="I47" s="39">
        <f ca="1">IFERROR(__xludf.DUMMYFUNCTION("IF(SUM(COUNTIF(artists!A:A, SPLIT(D47, "",""))) &gt; 0, ""UA"", 0)"),0)</f>
        <v>0</v>
      </c>
      <c r="J47" s="40" t="str">
        <f ca="1">IFERROR(__xludf.DUMMYFUNCTION("IF(SUM(COUNTIF(artists!C:C, SPLIT(D47, "",""))) &gt; 0, ""RU"", 0)"),"RU")</f>
        <v>RU</v>
      </c>
      <c r="K47" s="39">
        <f ca="1">IFERROR(__xludf.DUMMYFUNCTION("IF(SUM(COUNTIF(artists!E:E, SPLIT(D47, "",""))) &gt; 0, ""OTHER"", 0)"),0)</f>
        <v>0</v>
      </c>
    </row>
    <row r="48" spans="1:11" ht="14.25" customHeight="1">
      <c r="A48" s="21">
        <v>47</v>
      </c>
      <c r="B48" s="21">
        <v>27</v>
      </c>
      <c r="C48" s="21" t="s">
        <v>2085</v>
      </c>
      <c r="D48" s="21" t="s">
        <v>2086</v>
      </c>
      <c r="E48" s="21">
        <v>6</v>
      </c>
      <c r="F48" s="21">
        <v>298268</v>
      </c>
      <c r="G48" s="43">
        <v>-0.24</v>
      </c>
      <c r="H48" s="21" t="s">
        <v>2087</v>
      </c>
      <c r="I48" s="39">
        <f ca="1">IFERROR(__xludf.DUMMYFUNCTION("IF(SUM(COUNTIF(artists!A:A, SPLIT(D48, "",""))) &gt; 0, ""UA"", 0)"),0)</f>
        <v>0</v>
      </c>
      <c r="J48" s="40" t="str">
        <f ca="1">IFERROR(__xludf.DUMMYFUNCTION("IF(SUM(COUNTIF(artists!C:C, SPLIT(D48, "",""))) &gt; 0, ""RU"", 0)"),"RU")</f>
        <v>RU</v>
      </c>
      <c r="K48" s="39">
        <f ca="1">IFERROR(__xludf.DUMMYFUNCTION("IF(SUM(COUNTIF(artists!E:E, SPLIT(D48, "",""))) &gt; 0, ""OTHER"", 0)"),0)</f>
        <v>0</v>
      </c>
    </row>
    <row r="49" spans="1:11" ht="14.25" customHeight="1">
      <c r="A49" s="21">
        <v>48</v>
      </c>
      <c r="B49" s="21">
        <v>45</v>
      </c>
      <c r="C49" s="21" t="s">
        <v>2002</v>
      </c>
      <c r="D49" s="21" t="s">
        <v>2003</v>
      </c>
      <c r="E49" s="21">
        <v>31</v>
      </c>
      <c r="F49" s="21">
        <v>297434</v>
      </c>
      <c r="G49" s="42">
        <v>-1E-3</v>
      </c>
      <c r="H49" s="21" t="s">
        <v>2004</v>
      </c>
      <c r="I49" s="39">
        <f ca="1">IFERROR(__xludf.DUMMYFUNCTION("IF(SUM(COUNTIF(artists!A:A, SPLIT(D49, "",""))) &gt; 0, ""UA"", 0)"),0)</f>
        <v>0</v>
      </c>
      <c r="J49" s="40" t="str">
        <f ca="1">IFERROR(__xludf.DUMMYFUNCTION("IF(SUM(COUNTIF(artists!C:C, SPLIT(D49, "",""))) &gt; 0, ""RU"", 0)"),"RU")</f>
        <v>RU</v>
      </c>
      <c r="K49" s="39">
        <f ca="1">IFERROR(__xludf.DUMMYFUNCTION("IF(SUM(COUNTIF(artists!E:E, SPLIT(D49, "",""))) &gt; 0, ""OTHER"", 0)"),0)</f>
        <v>0</v>
      </c>
    </row>
    <row r="50" spans="1:11" ht="14.25" customHeight="1">
      <c r="A50" s="21">
        <v>49</v>
      </c>
      <c r="B50" s="21">
        <v>42</v>
      </c>
      <c r="C50" s="21" t="s">
        <v>2005</v>
      </c>
      <c r="D50" s="21" t="s">
        <v>1593</v>
      </c>
      <c r="E50" s="21">
        <v>16</v>
      </c>
      <c r="F50" s="21">
        <v>293667</v>
      </c>
      <c r="G50" s="42">
        <v>-3.6999999999999998E-2</v>
      </c>
      <c r="H50" s="21" t="s">
        <v>2006</v>
      </c>
      <c r="I50" s="39">
        <f ca="1">IFERROR(__xludf.DUMMYFUNCTION("IF(SUM(COUNTIF(artists!A:A, SPLIT(D50, "",""))) &gt; 0, ""UA"", 0)"),0)</f>
        <v>0</v>
      </c>
      <c r="J50" s="40" t="str">
        <f ca="1">IFERROR(__xludf.DUMMYFUNCTION("IF(SUM(COUNTIF(artists!C:C, SPLIT(D50, "",""))) &gt; 0, ""RU"", 0)"),"RU")</f>
        <v>RU</v>
      </c>
      <c r="K50" s="39">
        <f ca="1">IFERROR(__xludf.DUMMYFUNCTION("IF(SUM(COUNTIF(artists!E:E, SPLIT(D50, "",""))) &gt; 0, ""OTHER"", 0)"),0)</f>
        <v>0</v>
      </c>
    </row>
    <row r="51" spans="1:11" ht="14.25" customHeight="1">
      <c r="A51" s="21">
        <v>50</v>
      </c>
      <c r="B51" s="21">
        <v>46</v>
      </c>
      <c r="C51" s="21" t="s">
        <v>2032</v>
      </c>
      <c r="D51" s="21" t="s">
        <v>2033</v>
      </c>
      <c r="E51" s="21">
        <v>4</v>
      </c>
      <c r="F51" s="21">
        <v>285633</v>
      </c>
      <c r="G51" s="42">
        <v>-3.5999999999999997E-2</v>
      </c>
      <c r="H51" s="21" t="s">
        <v>2034</v>
      </c>
      <c r="I51" s="39">
        <f ca="1">IFERROR(__xludf.DUMMYFUNCTION("IF(SUM(COUNTIF(artists!A:A, SPLIT(D51, "",""))) &gt; 0, ""UA"", 0)"),0)</f>
        <v>0</v>
      </c>
      <c r="J51" s="40" t="str">
        <f ca="1">IFERROR(__xludf.DUMMYFUNCTION("IF(SUM(COUNTIF(artists!C:C, SPLIT(D51, "",""))) &gt; 0, ""RU"", 0)"),"RU")</f>
        <v>RU</v>
      </c>
      <c r="K51" s="39">
        <f ca="1">IFERROR(__xludf.DUMMYFUNCTION("IF(SUM(COUNTIF(artists!E:E, SPLIT(D51, "",""))) &gt; 0, ""OTHER"", 0)"),0)</f>
        <v>0</v>
      </c>
    </row>
    <row r="52" spans="1:11" ht="14.25" customHeight="1">
      <c r="A52" s="21">
        <v>51</v>
      </c>
      <c r="B52" s="21">
        <v>58</v>
      </c>
      <c r="C52" s="21" t="s">
        <v>1392</v>
      </c>
      <c r="D52" s="21" t="s">
        <v>1393</v>
      </c>
      <c r="E52" s="21">
        <v>2</v>
      </c>
      <c r="F52" s="21">
        <v>284315</v>
      </c>
      <c r="G52" s="42">
        <v>0.29599999999999999</v>
      </c>
      <c r="H52" s="21" t="s">
        <v>1394</v>
      </c>
      <c r="I52" s="39">
        <f ca="1">IFERROR(__xludf.DUMMYFUNCTION("IF(SUM(COUNTIF(artists!A:A, SPLIT(D52, "",""))) &gt; 0, ""UA"", 0)"),0)</f>
        <v>0</v>
      </c>
      <c r="J52" s="40" t="str">
        <f ca="1">IFERROR(__xludf.DUMMYFUNCTION("IF(SUM(COUNTIF(artists!C:C, SPLIT(D52, "",""))) &gt; 0, ""RU"", 0)"),"RU")</f>
        <v>RU</v>
      </c>
      <c r="K52" s="39">
        <f ca="1">IFERROR(__xludf.DUMMYFUNCTION("IF(SUM(COUNTIF(artists!E:E, SPLIT(D52, "",""))) &gt; 0, ""OTHER"", 0)"),0)</f>
        <v>0</v>
      </c>
    </row>
    <row r="53" spans="1:11" ht="14.25" customHeight="1">
      <c r="A53" s="21">
        <v>52</v>
      </c>
      <c r="C53" s="21" t="s">
        <v>2156</v>
      </c>
      <c r="D53" s="21" t="s">
        <v>2157</v>
      </c>
      <c r="E53" s="21">
        <v>1</v>
      </c>
      <c r="F53" s="21">
        <v>283918</v>
      </c>
      <c r="H53" s="21" t="s">
        <v>2158</v>
      </c>
      <c r="I53" s="39" t="str">
        <f ca="1">IFERROR(__xludf.DUMMYFUNCTION("IF(SUM(COUNTIF(artists!A:A, SPLIT(D53, "",""))) &gt; 0, ""UA"", 0)"),"UA")</f>
        <v>UA</v>
      </c>
      <c r="J53" s="40">
        <f ca="1">IFERROR(__xludf.DUMMYFUNCTION("IF(SUM(COUNTIF(artists!C:C, SPLIT(D53, "",""))) &gt; 0, ""RU"", 0)"),0)</f>
        <v>0</v>
      </c>
      <c r="K53" s="39">
        <f ca="1">IFERROR(__xludf.DUMMYFUNCTION("IF(SUM(COUNTIF(artists!E:E, SPLIT(D53, "",""))) &gt; 0, ""OTHER"", 0)"),0)</f>
        <v>0</v>
      </c>
    </row>
    <row r="54" spans="1:11" ht="14.25" customHeight="1">
      <c r="A54" s="21">
        <v>53</v>
      </c>
      <c r="C54" s="21" t="s">
        <v>2088</v>
      </c>
      <c r="D54" s="21" t="s">
        <v>2089</v>
      </c>
      <c r="E54" s="21">
        <v>1</v>
      </c>
      <c r="F54" s="21">
        <v>276140</v>
      </c>
      <c r="H54" s="21" t="s">
        <v>2090</v>
      </c>
      <c r="I54" s="39">
        <f ca="1">IFERROR(__xludf.DUMMYFUNCTION("IF(SUM(COUNTIF(artists!A:A, SPLIT(D54, "",""))) &gt; 0, ""UA"", 0)"),0)</f>
        <v>0</v>
      </c>
      <c r="J54" s="40" t="str">
        <f ca="1">IFERROR(__xludf.DUMMYFUNCTION("IF(SUM(COUNTIF(artists!C:C, SPLIT(D54, "",""))) &gt; 0, ""RU"", 0)"),"RU")</f>
        <v>RU</v>
      </c>
      <c r="K54" s="39">
        <f ca="1">IFERROR(__xludf.DUMMYFUNCTION("IF(SUM(COUNTIF(artists!E:E, SPLIT(D54, "",""))) &gt; 0, ""OTHER"", 0)"),0)</f>
        <v>0</v>
      </c>
    </row>
    <row r="55" spans="1:11" ht="14.25" customHeight="1">
      <c r="A55" s="21">
        <v>54</v>
      </c>
      <c r="B55" s="21">
        <v>51</v>
      </c>
      <c r="C55" s="21" t="s">
        <v>1483</v>
      </c>
      <c r="D55" s="21" t="s">
        <v>972</v>
      </c>
      <c r="E55" s="21">
        <v>13</v>
      </c>
      <c r="F55" s="21">
        <v>274018</v>
      </c>
      <c r="G55" s="42">
        <v>5.8999999999999997E-2</v>
      </c>
      <c r="H55" s="21" t="s">
        <v>1484</v>
      </c>
      <c r="I55" s="39">
        <f ca="1">IFERROR(__xludf.DUMMYFUNCTION("IF(SUM(COUNTIF(artists!A:A, SPLIT(D55, "",""))) &gt; 0, ""UA"", 0)"),0)</f>
        <v>0</v>
      </c>
      <c r="J55" s="40">
        <f ca="1">IFERROR(__xludf.DUMMYFUNCTION("IF(SUM(COUNTIF(artists!C:C, SPLIT(D55, "",""))) &gt; 0, ""RU"", 0)"),0)</f>
        <v>0</v>
      </c>
      <c r="K55" s="39" t="str">
        <f ca="1">IFERROR(__xludf.DUMMYFUNCTION("IF(SUM(COUNTIF(artists!E:E, SPLIT(D55, "",""))) &gt; 0, ""OTHER"", 0)"),"OTHER")</f>
        <v>OTHER</v>
      </c>
    </row>
    <row r="56" spans="1:11" ht="14.25" customHeight="1">
      <c r="A56" s="21">
        <v>55</v>
      </c>
      <c r="B56" s="21">
        <v>52</v>
      </c>
      <c r="C56" s="21" t="s">
        <v>1863</v>
      </c>
      <c r="D56" s="21" t="s">
        <v>1660</v>
      </c>
      <c r="E56" s="21">
        <v>4</v>
      </c>
      <c r="F56" s="21">
        <v>249073</v>
      </c>
      <c r="G56" s="42">
        <v>3.1E-2</v>
      </c>
      <c r="H56" s="21" t="s">
        <v>1864</v>
      </c>
      <c r="I56" s="39">
        <f ca="1">IFERROR(__xludf.DUMMYFUNCTION("IF(SUM(COUNTIF(artists!A:A, SPLIT(D56, "",""))) &gt; 0, ""UA"", 0)"),0)</f>
        <v>0</v>
      </c>
      <c r="J56" s="40" t="str">
        <f ca="1">IFERROR(__xludf.DUMMYFUNCTION("IF(SUM(COUNTIF(artists!C:C, SPLIT(D56, "",""))) &gt; 0, ""RU"", 0)"),"RU")</f>
        <v>RU</v>
      </c>
      <c r="K56" s="39">
        <f ca="1">IFERROR(__xludf.DUMMYFUNCTION("IF(SUM(COUNTIF(artists!E:E, SPLIT(D56, "",""))) &gt; 0, ""OTHER"", 0)"),0)</f>
        <v>0</v>
      </c>
    </row>
    <row r="57" spans="1:11" ht="14.25" customHeight="1">
      <c r="A57" s="21">
        <v>56</v>
      </c>
      <c r="B57" s="21">
        <v>43</v>
      </c>
      <c r="C57" s="21" t="s">
        <v>2107</v>
      </c>
      <c r="D57" s="21" t="s">
        <v>1783</v>
      </c>
      <c r="E57" s="21">
        <v>5</v>
      </c>
      <c r="F57" s="21">
        <v>245097</v>
      </c>
      <c r="G57" s="42">
        <v>-0.189</v>
      </c>
      <c r="H57" s="21" t="s">
        <v>2108</v>
      </c>
      <c r="I57" s="39">
        <f ca="1">IFERROR(__xludf.DUMMYFUNCTION("IF(SUM(COUNTIF(artists!A:A, SPLIT(D57, "",""))) &gt; 0, ""UA"", 0)"),0)</f>
        <v>0</v>
      </c>
      <c r="J57" s="40" t="str">
        <f ca="1">IFERROR(__xludf.DUMMYFUNCTION("IF(SUM(COUNTIF(artists!C:C, SPLIT(D57, "",""))) &gt; 0, ""RU"", 0)"),"RU")</f>
        <v>RU</v>
      </c>
      <c r="K57" s="39">
        <f ca="1">IFERROR(__xludf.DUMMYFUNCTION("IF(SUM(COUNTIF(artists!E:E, SPLIT(D57, "",""))) &gt; 0, ""OTHER"", 0)"),0)</f>
        <v>0</v>
      </c>
    </row>
    <row r="58" spans="1:11" ht="14.25" customHeight="1">
      <c r="A58" s="21">
        <v>57</v>
      </c>
      <c r="B58" s="21">
        <v>21</v>
      </c>
      <c r="C58" s="21" t="s">
        <v>1381</v>
      </c>
      <c r="D58" s="21" t="s">
        <v>969</v>
      </c>
      <c r="E58" s="21">
        <v>2</v>
      </c>
      <c r="F58" s="21">
        <v>244841</v>
      </c>
      <c r="G58" s="42">
        <v>-0.442</v>
      </c>
      <c r="H58" s="21" t="s">
        <v>1382</v>
      </c>
      <c r="I58" s="39" t="str">
        <f ca="1">IFERROR(__xludf.DUMMYFUNCTION("IF(SUM(COUNTIF(artists!A:A, SPLIT(D58, "",""))) &gt; 0, ""UA"", 0)"),"UA")</f>
        <v>UA</v>
      </c>
      <c r="J58" s="40">
        <f ca="1">IFERROR(__xludf.DUMMYFUNCTION("IF(SUM(COUNTIF(artists!C:C, SPLIT(D58, "",""))) &gt; 0, ""RU"", 0)"),0)</f>
        <v>0</v>
      </c>
      <c r="K58" s="39">
        <f ca="1">IFERROR(__xludf.DUMMYFUNCTION("IF(SUM(COUNTIF(artists!E:E, SPLIT(D58, "",""))) &gt; 0, ""OTHER"", 0)"),0)</f>
        <v>0</v>
      </c>
    </row>
    <row r="59" spans="1:11" ht="14.25" customHeight="1">
      <c r="A59" s="21">
        <v>58</v>
      </c>
      <c r="C59" s="21" t="s">
        <v>2163</v>
      </c>
      <c r="D59" s="21" t="s">
        <v>2164</v>
      </c>
      <c r="E59" s="21">
        <v>1</v>
      </c>
      <c r="F59" s="21">
        <v>239602</v>
      </c>
      <c r="H59" s="21" t="s">
        <v>2165</v>
      </c>
      <c r="I59" s="39">
        <f ca="1">IFERROR(__xludf.DUMMYFUNCTION("IF(SUM(COUNTIF(artists!A:A, SPLIT(D59, "",""))) &gt; 0, ""UA"", 0)"),0)</f>
        <v>0</v>
      </c>
      <c r="J59" s="40" t="str">
        <f ca="1">IFERROR(__xludf.DUMMYFUNCTION("IF(SUM(COUNTIF(artists!C:C, SPLIT(D59, "",""))) &gt; 0, ""RU"", 0)"),"RU")</f>
        <v>RU</v>
      </c>
      <c r="K59" s="39">
        <f ca="1">IFERROR(__xludf.DUMMYFUNCTION("IF(SUM(COUNTIF(artists!E:E, SPLIT(D59, "",""))) &gt; 0, ""OTHER"", 0)"),0)</f>
        <v>0</v>
      </c>
    </row>
    <row r="60" spans="1:11" ht="14.25" customHeight="1">
      <c r="A60" s="21">
        <v>59</v>
      </c>
      <c r="C60" s="21" t="s">
        <v>2099</v>
      </c>
      <c r="D60" s="21" t="s">
        <v>1170</v>
      </c>
      <c r="E60" s="21">
        <v>1</v>
      </c>
      <c r="F60" s="21">
        <v>232064</v>
      </c>
      <c r="H60" s="21" t="s">
        <v>2100</v>
      </c>
      <c r="I60" s="39">
        <f ca="1">IFERROR(__xludf.DUMMYFUNCTION("IF(SUM(COUNTIF(artists!A:A, SPLIT(D60, "",""))) &gt; 0, ""UA"", 0)"),0)</f>
        <v>0</v>
      </c>
      <c r="J60" s="40" t="str">
        <f ca="1">IFERROR(__xludf.DUMMYFUNCTION("IF(SUM(COUNTIF(artists!C:C, SPLIT(D60, "",""))) &gt; 0, ""RU"", 0)"),"RU")</f>
        <v>RU</v>
      </c>
      <c r="K60" s="39">
        <f ca="1">IFERROR(__xludf.DUMMYFUNCTION("IF(SUM(COUNTIF(artists!E:E, SPLIT(D60, "",""))) &gt; 0, ""OTHER"", 0)"),0)</f>
        <v>0</v>
      </c>
    </row>
    <row r="61" spans="1:11" ht="14.25" customHeight="1">
      <c r="A61" s="21">
        <v>60</v>
      </c>
      <c r="B61" s="21">
        <v>53</v>
      </c>
      <c r="C61" s="21" t="s">
        <v>2007</v>
      </c>
      <c r="D61" s="21" t="s">
        <v>1652</v>
      </c>
      <c r="E61" s="21">
        <v>16</v>
      </c>
      <c r="F61" s="21">
        <v>224440</v>
      </c>
      <c r="G61" s="42">
        <v>-5.8000000000000003E-2</v>
      </c>
      <c r="H61" s="21" t="s">
        <v>2008</v>
      </c>
      <c r="I61" s="39">
        <f ca="1">IFERROR(__xludf.DUMMYFUNCTION("IF(SUM(COUNTIF(artists!A:A, SPLIT(D61, "",""))) &gt; 0, ""UA"", 0)"),0)</f>
        <v>0</v>
      </c>
      <c r="J61" s="40" t="str">
        <f ca="1">IFERROR(__xludf.DUMMYFUNCTION("IF(SUM(COUNTIF(artists!C:C, SPLIT(D61, "",""))) &gt; 0, ""RU"", 0)"),"RU")</f>
        <v>RU</v>
      </c>
      <c r="K61" s="39">
        <f ca="1">IFERROR(__xludf.DUMMYFUNCTION("IF(SUM(COUNTIF(artists!E:E, SPLIT(D61, "",""))) &gt; 0, ""OTHER"", 0)"),0)</f>
        <v>0</v>
      </c>
    </row>
    <row r="62" spans="1:11" ht="14.25" customHeight="1">
      <c r="A62" s="21">
        <v>61</v>
      </c>
      <c r="B62" s="21">
        <v>62</v>
      </c>
      <c r="C62" s="21" t="s">
        <v>2054</v>
      </c>
      <c r="D62" s="21" t="s">
        <v>2055</v>
      </c>
      <c r="E62" s="21">
        <v>8</v>
      </c>
      <c r="F62" s="21">
        <v>217340</v>
      </c>
      <c r="G62" s="42">
        <v>7.2999999999999995E-2</v>
      </c>
      <c r="H62" s="21" t="s">
        <v>2056</v>
      </c>
      <c r="I62" s="39">
        <f ca="1">IFERROR(__xludf.DUMMYFUNCTION("IF(SUM(COUNTIF(artists!A:A, SPLIT(D62, "",""))) &gt; 0, ""UA"", 0)"),0)</f>
        <v>0</v>
      </c>
      <c r="J62" s="40">
        <f ca="1">IFERROR(__xludf.DUMMYFUNCTION("IF(SUM(COUNTIF(artists!C:C, SPLIT(D62, "",""))) &gt; 0, ""RU"", 0)"),0)</f>
        <v>0</v>
      </c>
      <c r="K62" s="39" t="str">
        <f ca="1">IFERROR(__xludf.DUMMYFUNCTION("IF(SUM(COUNTIF(artists!E:E, SPLIT(D62, "",""))) &gt; 0, ""OTHER"", 0)"),"OTHER")</f>
        <v>OTHER</v>
      </c>
    </row>
    <row r="63" spans="1:11" ht="14.25" customHeight="1">
      <c r="A63" s="21">
        <v>62</v>
      </c>
      <c r="B63" s="21">
        <v>47</v>
      </c>
      <c r="C63" s="21" t="s">
        <v>2131</v>
      </c>
      <c r="D63" s="21" t="s">
        <v>2132</v>
      </c>
      <c r="E63" s="21">
        <v>3</v>
      </c>
      <c r="F63" s="21">
        <v>215818</v>
      </c>
      <c r="G63" s="42">
        <v>-0.23100000000000001</v>
      </c>
      <c r="H63" s="21" t="s">
        <v>2133</v>
      </c>
      <c r="I63" s="39">
        <f ca="1">IFERROR(__xludf.DUMMYFUNCTION("IF(SUM(COUNTIF(artists!A:A, SPLIT(D63, "",""))) &gt; 0, ""UA"", 0)"),0)</f>
        <v>0</v>
      </c>
      <c r="J63" s="40" t="str">
        <f ca="1">IFERROR(__xludf.DUMMYFUNCTION("IF(SUM(COUNTIF(artists!C:C, SPLIT(D63, "",""))) &gt; 0, ""RU"", 0)"),"RU")</f>
        <v>RU</v>
      </c>
      <c r="K63" s="39">
        <f ca="1">IFERROR(__xludf.DUMMYFUNCTION("IF(SUM(COUNTIF(artists!E:E, SPLIT(D63, "",""))) &gt; 0, ""OTHER"", 0)"),0)</f>
        <v>0</v>
      </c>
    </row>
    <row r="64" spans="1:11" ht="14.25" customHeight="1">
      <c r="A64" s="21">
        <v>63</v>
      </c>
      <c r="B64" s="21">
        <v>57</v>
      </c>
      <c r="C64" s="21" t="s">
        <v>613</v>
      </c>
      <c r="D64" s="21" t="s">
        <v>614</v>
      </c>
      <c r="E64" s="21">
        <v>8</v>
      </c>
      <c r="F64" s="21">
        <v>215592</v>
      </c>
      <c r="G64" s="42">
        <v>-1.7999999999999999E-2</v>
      </c>
      <c r="H64" s="21" t="s">
        <v>615</v>
      </c>
      <c r="I64" s="39">
        <f ca="1">IFERROR(__xludf.DUMMYFUNCTION("IF(SUM(COUNTIF(artists!A:A, SPLIT(D64, "",""))) &gt; 0, ""UA"", 0)"),0)</f>
        <v>0</v>
      </c>
      <c r="J64" s="40" t="str">
        <f ca="1">IFERROR(__xludf.DUMMYFUNCTION("IF(SUM(COUNTIF(artists!C:C, SPLIT(D64, "",""))) &gt; 0, ""RU"", 0)"),"RU")</f>
        <v>RU</v>
      </c>
      <c r="K64" s="39">
        <f ca="1">IFERROR(__xludf.DUMMYFUNCTION("IF(SUM(COUNTIF(artists!E:E, SPLIT(D64, "",""))) &gt; 0, ""OTHER"", 0)"),0)</f>
        <v>0</v>
      </c>
    </row>
    <row r="65" spans="1:11" ht="14.25" customHeight="1">
      <c r="A65" s="21">
        <v>64</v>
      </c>
      <c r="B65" s="21">
        <v>60</v>
      </c>
      <c r="C65" s="21" t="s">
        <v>968</v>
      </c>
      <c r="D65" s="21" t="s">
        <v>969</v>
      </c>
      <c r="E65" s="21">
        <v>8</v>
      </c>
      <c r="F65" s="21">
        <v>215270</v>
      </c>
      <c r="G65" s="42">
        <v>2.3E-2</v>
      </c>
      <c r="H65" s="21" t="s">
        <v>970</v>
      </c>
      <c r="I65" s="39" t="str">
        <f ca="1">IFERROR(__xludf.DUMMYFUNCTION("IF(SUM(COUNTIF(artists!A:A, SPLIT(D65, "",""))) &gt; 0, ""UA"", 0)"),"UA")</f>
        <v>UA</v>
      </c>
      <c r="J65" s="40">
        <f ca="1">IFERROR(__xludf.DUMMYFUNCTION("IF(SUM(COUNTIF(artists!C:C, SPLIT(D65, "",""))) &gt; 0, ""RU"", 0)"),0)</f>
        <v>0</v>
      </c>
      <c r="K65" s="39">
        <f ca="1">IFERROR(__xludf.DUMMYFUNCTION("IF(SUM(COUNTIF(artists!E:E, SPLIT(D65, "",""))) &gt; 0, ""OTHER"", 0)"),0)</f>
        <v>0</v>
      </c>
    </row>
    <row r="66" spans="1:11" ht="14.25" customHeight="1">
      <c r="A66" s="21">
        <v>65</v>
      </c>
      <c r="B66" s="21">
        <v>59</v>
      </c>
      <c r="C66" s="21" t="s">
        <v>1337</v>
      </c>
      <c r="D66" s="21" t="s">
        <v>1338</v>
      </c>
      <c r="E66" s="21">
        <v>6</v>
      </c>
      <c r="F66" s="21">
        <v>214961</v>
      </c>
      <c r="G66" s="42">
        <v>-5.0000000000000001E-3</v>
      </c>
      <c r="H66" s="21" t="s">
        <v>1339</v>
      </c>
      <c r="I66" s="39">
        <f ca="1">IFERROR(__xludf.DUMMYFUNCTION("IF(SUM(COUNTIF(artists!A:A, SPLIT(D66, "",""))) &gt; 0, ""UA"", 0)"),0)</f>
        <v>0</v>
      </c>
      <c r="J66" s="40">
        <f ca="1">IFERROR(__xludf.DUMMYFUNCTION("IF(SUM(COUNTIF(artists!C:C, SPLIT(D66, "",""))) &gt; 0, ""RU"", 0)"),0)</f>
        <v>0</v>
      </c>
      <c r="K66" s="39" t="str">
        <f ca="1">IFERROR(__xludf.DUMMYFUNCTION("IF(SUM(COUNTIF(artists!E:E, SPLIT(D66, "",""))) &gt; 0, ""OTHER"", 0)"),"OTHER")</f>
        <v>OTHER</v>
      </c>
    </row>
    <row r="67" spans="1:11" ht="14.25" customHeight="1">
      <c r="A67" s="21">
        <v>66</v>
      </c>
      <c r="B67" s="21">
        <v>54</v>
      </c>
      <c r="C67" s="21" t="s">
        <v>2101</v>
      </c>
      <c r="D67" s="21" t="s">
        <v>2102</v>
      </c>
      <c r="E67" s="21">
        <v>10</v>
      </c>
      <c r="F67" s="21">
        <v>212514</v>
      </c>
      <c r="G67" s="42">
        <v>-5.3999999999999999E-2</v>
      </c>
      <c r="H67" s="21" t="s">
        <v>2103</v>
      </c>
      <c r="I67" s="39">
        <f ca="1">IFERROR(__xludf.DUMMYFUNCTION("IF(SUM(COUNTIF(artists!A:A, SPLIT(D67, "",""))) &gt; 0, ""UA"", 0)"),0)</f>
        <v>0</v>
      </c>
      <c r="J67" s="40" t="str">
        <f ca="1">IFERROR(__xludf.DUMMYFUNCTION("IF(SUM(COUNTIF(artists!C:C, SPLIT(D67, "",""))) &gt; 0, ""RU"", 0)"),"RU")</f>
        <v>RU</v>
      </c>
      <c r="K67" s="39">
        <f ca="1">IFERROR(__xludf.DUMMYFUNCTION("IF(SUM(COUNTIF(artists!E:E, SPLIT(D67, "",""))) &gt; 0, ""OTHER"", 0)"),0)</f>
        <v>0</v>
      </c>
    </row>
    <row r="68" spans="1:11" ht="14.25" customHeight="1">
      <c r="A68" s="21">
        <v>67</v>
      </c>
      <c r="B68" s="21">
        <v>55</v>
      </c>
      <c r="C68" s="21" t="s">
        <v>2094</v>
      </c>
      <c r="D68" s="21" t="s">
        <v>104</v>
      </c>
      <c r="E68" s="21">
        <v>11</v>
      </c>
      <c r="F68" s="21">
        <v>207880</v>
      </c>
      <c r="G68" s="42">
        <v>-7.0999999999999994E-2</v>
      </c>
      <c r="H68" s="21" t="s">
        <v>2095</v>
      </c>
      <c r="I68" s="39" t="str">
        <f ca="1">IFERROR(__xludf.DUMMYFUNCTION("IF(SUM(COUNTIF(artists!A:A, SPLIT(D68, "",""))) &gt; 0, ""UA"", 0)"),"UA")</f>
        <v>UA</v>
      </c>
      <c r="J68" s="40">
        <f ca="1">IFERROR(__xludf.DUMMYFUNCTION("IF(SUM(COUNTIF(artists!C:C, SPLIT(D68, "",""))) &gt; 0, ""RU"", 0)"),0)</f>
        <v>0</v>
      </c>
      <c r="K68" s="39">
        <f ca="1">IFERROR(__xludf.DUMMYFUNCTION("IF(SUM(COUNTIF(artists!E:E, SPLIT(D68, "",""))) &gt; 0, ""OTHER"", 0)"),0)</f>
        <v>0</v>
      </c>
    </row>
    <row r="69" spans="1:11" ht="14.25" customHeight="1">
      <c r="A69" s="21">
        <v>68</v>
      </c>
      <c r="B69" s="21">
        <v>61</v>
      </c>
      <c r="C69" s="21" t="s">
        <v>2104</v>
      </c>
      <c r="D69" s="21" t="s">
        <v>2105</v>
      </c>
      <c r="E69" s="21">
        <v>6</v>
      </c>
      <c r="F69" s="21">
        <v>196569</v>
      </c>
      <c r="G69" s="43">
        <v>-0.05</v>
      </c>
      <c r="H69" s="21" t="s">
        <v>2106</v>
      </c>
      <c r="I69" s="39">
        <f ca="1">IFERROR(__xludf.DUMMYFUNCTION("IF(SUM(COUNTIF(artists!A:A, SPLIT(D69, "",""))) &gt; 0, ""UA"", 0)"),0)</f>
        <v>0</v>
      </c>
      <c r="J69" s="40" t="str">
        <f ca="1">IFERROR(__xludf.DUMMYFUNCTION("IF(SUM(COUNTIF(artists!C:C, SPLIT(D69, "",""))) &gt; 0, ""RU"", 0)"),"RU")</f>
        <v>RU</v>
      </c>
      <c r="K69" s="39">
        <f ca="1">IFERROR(__xludf.DUMMYFUNCTION("IF(SUM(COUNTIF(artists!E:E, SPLIT(D69, "",""))) &gt; 0, ""OTHER"", 0)"),0)</f>
        <v>0</v>
      </c>
    </row>
    <row r="70" spans="1:11" ht="14.25" customHeight="1">
      <c r="A70" s="21">
        <v>69</v>
      </c>
      <c r="B70" s="21">
        <v>68</v>
      </c>
      <c r="C70" s="21" t="s">
        <v>2154</v>
      </c>
      <c r="D70" s="21" t="s">
        <v>1646</v>
      </c>
      <c r="E70" s="21">
        <v>19</v>
      </c>
      <c r="F70" s="21">
        <v>192225</v>
      </c>
      <c r="G70" s="42">
        <v>-1E-3</v>
      </c>
      <c r="H70" s="21" t="s">
        <v>2155</v>
      </c>
      <c r="I70" s="39">
        <f ca="1">IFERROR(__xludf.DUMMYFUNCTION("IF(SUM(COUNTIF(artists!A:A, SPLIT(D70, "",""))) &gt; 0, ""UA"", 0)"),0)</f>
        <v>0</v>
      </c>
      <c r="J70" s="40" t="str">
        <f ca="1">IFERROR(__xludf.DUMMYFUNCTION("IF(SUM(COUNTIF(artists!C:C, SPLIT(D70, "",""))) &gt; 0, ""RU"", 0)"),"RU")</f>
        <v>RU</v>
      </c>
      <c r="K70" s="39">
        <f ca="1">IFERROR(__xludf.DUMMYFUNCTION("IF(SUM(COUNTIF(artists!E:E, SPLIT(D70, "",""))) &gt; 0, ""OTHER"", 0)"),0)</f>
        <v>0</v>
      </c>
    </row>
    <row r="71" spans="1:11" ht="14.25" customHeight="1">
      <c r="A71" s="21">
        <v>70</v>
      </c>
      <c r="B71" s="21">
        <v>83</v>
      </c>
      <c r="C71" s="21" t="s">
        <v>1622</v>
      </c>
      <c r="D71" s="21" t="s">
        <v>137</v>
      </c>
      <c r="E71" s="21">
        <v>8</v>
      </c>
      <c r="F71" s="21">
        <v>191653</v>
      </c>
      <c r="G71" s="42">
        <v>0.16500000000000001</v>
      </c>
      <c r="H71" s="21" t="s">
        <v>1623</v>
      </c>
      <c r="I71" s="39" t="str">
        <f ca="1">IFERROR(__xludf.DUMMYFUNCTION("IF(SUM(COUNTIF(artists!A:A, SPLIT(D71, "",""))) &gt; 0, ""UA"", 0)"),"UA")</f>
        <v>UA</v>
      </c>
      <c r="J71" s="40">
        <f ca="1">IFERROR(__xludf.DUMMYFUNCTION("IF(SUM(COUNTIF(artists!C:C, SPLIT(D71, "",""))) &gt; 0, ""RU"", 0)"),0)</f>
        <v>0</v>
      </c>
      <c r="K71" s="39">
        <f ca="1">IFERROR(__xludf.DUMMYFUNCTION("IF(SUM(COUNTIF(artists!E:E, SPLIT(D71, "",""))) &gt; 0, ""OTHER"", 0)"),0)</f>
        <v>0</v>
      </c>
    </row>
    <row r="72" spans="1:11" ht="14.25" customHeight="1">
      <c r="A72" s="21">
        <v>71</v>
      </c>
      <c r="B72" s="21">
        <v>67</v>
      </c>
      <c r="C72" s="21" t="s">
        <v>2109</v>
      </c>
      <c r="D72" s="21" t="s">
        <v>2110</v>
      </c>
      <c r="E72" s="21">
        <v>6</v>
      </c>
      <c r="F72" s="21">
        <v>188709</v>
      </c>
      <c r="G72" s="42">
        <v>-2.9000000000000001E-2</v>
      </c>
      <c r="H72" s="21" t="s">
        <v>2111</v>
      </c>
      <c r="I72" s="39">
        <f ca="1">IFERROR(__xludf.DUMMYFUNCTION("IF(SUM(COUNTIF(artists!A:A, SPLIT(D72, "",""))) &gt; 0, ""UA"", 0)"),0)</f>
        <v>0</v>
      </c>
      <c r="J72" s="40" t="str">
        <f ca="1">IFERROR(__xludf.DUMMYFUNCTION("IF(SUM(COUNTIF(artists!C:C, SPLIT(D72, "",""))) &gt; 0, ""RU"", 0)"),"RU")</f>
        <v>RU</v>
      </c>
      <c r="K72" s="39">
        <f ca="1">IFERROR(__xludf.DUMMYFUNCTION("IF(SUM(COUNTIF(artists!E:E, SPLIT(D72, "",""))) &gt; 0, ""OTHER"", 0)"),0)</f>
        <v>0</v>
      </c>
    </row>
    <row r="73" spans="1:11" ht="14.25" customHeight="1">
      <c r="A73" s="21">
        <v>72</v>
      </c>
      <c r="B73" s="21">
        <v>73</v>
      </c>
      <c r="C73" s="21" t="s">
        <v>1984</v>
      </c>
      <c r="D73" s="21" t="s">
        <v>1985</v>
      </c>
      <c r="E73" s="21">
        <v>3</v>
      </c>
      <c r="F73" s="21">
        <v>185442</v>
      </c>
      <c r="G73" s="42">
        <v>-3.0000000000000001E-3</v>
      </c>
      <c r="H73" s="21" t="s">
        <v>1986</v>
      </c>
      <c r="I73" s="39">
        <f ca="1">IFERROR(__xludf.DUMMYFUNCTION("IF(SUM(COUNTIF(artists!A:A, SPLIT(D73, "",""))) &gt; 0, ""UA"", 0)"),0)</f>
        <v>0</v>
      </c>
      <c r="J73" s="40" t="str">
        <f ca="1">IFERROR(__xludf.DUMMYFUNCTION("IF(SUM(COUNTIF(artists!C:C, SPLIT(D73, "",""))) &gt; 0, ""RU"", 0)"),"RU")</f>
        <v>RU</v>
      </c>
      <c r="K73" s="39">
        <f ca="1">IFERROR(__xludf.DUMMYFUNCTION("IF(SUM(COUNTIF(artists!E:E, SPLIT(D73, "",""))) &gt; 0, ""OTHER"", 0)"),0)</f>
        <v>0</v>
      </c>
    </row>
    <row r="74" spans="1:11" ht="14.25" customHeight="1">
      <c r="A74" s="21">
        <v>73</v>
      </c>
      <c r="C74" s="21" t="s">
        <v>2166</v>
      </c>
      <c r="D74" s="21" t="s">
        <v>1025</v>
      </c>
      <c r="E74" s="21">
        <v>1</v>
      </c>
      <c r="F74" s="21">
        <v>184514</v>
      </c>
      <c r="H74" s="21" t="s">
        <v>2167</v>
      </c>
      <c r="I74" s="39" t="str">
        <f ca="1">IFERROR(__xludf.DUMMYFUNCTION("IF(SUM(COUNTIF(artists!A:A, SPLIT(D74, "",""))) &gt; 0, ""UA"", 0)"),"UA")</f>
        <v>UA</v>
      </c>
      <c r="J74" s="40">
        <f ca="1">IFERROR(__xludf.DUMMYFUNCTION("IF(SUM(COUNTIF(artists!C:C, SPLIT(D74, "",""))) &gt; 0, ""RU"", 0)"),0)</f>
        <v>0</v>
      </c>
      <c r="K74" s="39">
        <f ca="1">IFERROR(__xludf.DUMMYFUNCTION("IF(SUM(COUNTIF(artists!E:E, SPLIT(D74, "",""))) &gt; 0, ""OTHER"", 0)"),0)</f>
        <v>0</v>
      </c>
    </row>
    <row r="75" spans="1:11" ht="14.25" customHeight="1">
      <c r="A75" s="21">
        <v>74</v>
      </c>
      <c r="B75" s="21">
        <v>65</v>
      </c>
      <c r="C75" s="21" t="s">
        <v>2134</v>
      </c>
      <c r="D75" s="21" t="s">
        <v>2135</v>
      </c>
      <c r="E75" s="21">
        <v>5</v>
      </c>
      <c r="F75" s="21">
        <v>184107</v>
      </c>
      <c r="G75" s="42">
        <v>-5.7000000000000002E-2</v>
      </c>
      <c r="H75" s="21" t="s">
        <v>2136</v>
      </c>
      <c r="I75" s="39" t="str">
        <f ca="1">IFERROR(__xludf.DUMMYFUNCTION("IF(SUM(COUNTIF(artists!A:A, SPLIT(D75, "",""))) &gt; 0, ""UA"", 0)"),"UA")</f>
        <v>UA</v>
      </c>
      <c r="J75" s="40">
        <f ca="1">IFERROR(__xludf.DUMMYFUNCTION("IF(SUM(COUNTIF(artists!C:C, SPLIT(D75, "",""))) &gt; 0, ""RU"", 0)"),0)</f>
        <v>0</v>
      </c>
      <c r="K75" s="39">
        <f ca="1">IFERROR(__xludf.DUMMYFUNCTION("IF(SUM(COUNTIF(artists!E:E, SPLIT(D75, "",""))) &gt; 0, ""OTHER"", 0)"),0)</f>
        <v>0</v>
      </c>
    </row>
    <row r="76" spans="1:11" ht="14.25" customHeight="1">
      <c r="A76" s="21">
        <v>75</v>
      </c>
      <c r="B76" s="21">
        <v>69</v>
      </c>
      <c r="C76" s="21" t="s">
        <v>530</v>
      </c>
      <c r="D76" s="21" t="s">
        <v>531</v>
      </c>
      <c r="E76" s="21">
        <v>20</v>
      </c>
      <c r="F76" s="21">
        <v>183571</v>
      </c>
      <c r="G76" s="43">
        <v>-0.03</v>
      </c>
      <c r="H76" s="21" t="s">
        <v>532</v>
      </c>
      <c r="I76" s="39">
        <f ca="1">IFERROR(__xludf.DUMMYFUNCTION("IF(SUM(COUNTIF(artists!A:A, SPLIT(D76, "",""))) &gt; 0, ""UA"", 0)"),0)</f>
        <v>0</v>
      </c>
      <c r="J76" s="40" t="str">
        <f ca="1">IFERROR(__xludf.DUMMYFUNCTION("IF(SUM(COUNTIF(artists!C:C, SPLIT(D76, "",""))) &gt; 0, ""RU"", 0)"),"RU")</f>
        <v>RU</v>
      </c>
      <c r="K76" s="39">
        <f ca="1">IFERROR(__xludf.DUMMYFUNCTION("IF(SUM(COUNTIF(artists!E:E, SPLIT(D76, "",""))) &gt; 0, ""OTHER"", 0)"),0)</f>
        <v>0</v>
      </c>
    </row>
    <row r="77" spans="1:11" ht="14.25" customHeight="1">
      <c r="A77" s="21">
        <v>76</v>
      </c>
      <c r="B77" s="21">
        <v>63</v>
      </c>
      <c r="C77" s="21" t="s">
        <v>2129</v>
      </c>
      <c r="D77" s="21" t="s">
        <v>1652</v>
      </c>
      <c r="E77" s="21">
        <v>16</v>
      </c>
      <c r="F77" s="21">
        <v>183469</v>
      </c>
      <c r="G77" s="42">
        <v>-7.4999999999999997E-2</v>
      </c>
      <c r="H77" s="21" t="s">
        <v>2130</v>
      </c>
      <c r="I77" s="39">
        <f ca="1">IFERROR(__xludf.DUMMYFUNCTION("IF(SUM(COUNTIF(artists!A:A, SPLIT(D77, "",""))) &gt; 0, ""UA"", 0)"),0)</f>
        <v>0</v>
      </c>
      <c r="J77" s="40" t="str">
        <f ca="1">IFERROR(__xludf.DUMMYFUNCTION("IF(SUM(COUNTIF(artists!C:C, SPLIT(D77, "",""))) &gt; 0, ""RU"", 0)"),"RU")</f>
        <v>RU</v>
      </c>
      <c r="K77" s="39">
        <f ca="1">IFERROR(__xludf.DUMMYFUNCTION("IF(SUM(COUNTIF(artists!E:E, SPLIT(D77, "",""))) &gt; 0, ""OTHER"", 0)"),0)</f>
        <v>0</v>
      </c>
    </row>
    <row r="78" spans="1:11" ht="14.25" customHeight="1">
      <c r="A78" s="21">
        <v>77</v>
      </c>
      <c r="C78" s="21" t="s">
        <v>1723</v>
      </c>
      <c r="D78" s="21" t="s">
        <v>1724</v>
      </c>
      <c r="E78" s="21">
        <v>1</v>
      </c>
      <c r="F78" s="21">
        <v>183238</v>
      </c>
      <c r="H78" s="21" t="s">
        <v>1725</v>
      </c>
      <c r="I78" s="39" t="str">
        <f ca="1">IFERROR(__xludf.DUMMYFUNCTION("IF(SUM(COUNTIF(artists!A:A, SPLIT(D78, "",""))) &gt; 0, ""UA"", 0)"),"UA")</f>
        <v>UA</v>
      </c>
      <c r="J78" s="40">
        <f ca="1">IFERROR(__xludf.DUMMYFUNCTION("IF(SUM(COUNTIF(artists!C:C, SPLIT(D78, "",""))) &gt; 0, ""RU"", 0)"),0)</f>
        <v>0</v>
      </c>
      <c r="K78" s="39">
        <f ca="1">IFERROR(__xludf.DUMMYFUNCTION("IF(SUM(COUNTIF(artists!E:E, SPLIT(D78, "",""))) &gt; 0, ""OTHER"", 0)"),0)</f>
        <v>0</v>
      </c>
    </row>
    <row r="79" spans="1:11" ht="14.25" customHeight="1">
      <c r="A79" s="21">
        <v>78</v>
      </c>
      <c r="C79" s="21" t="s">
        <v>2168</v>
      </c>
      <c r="D79" s="21" t="s">
        <v>1344</v>
      </c>
      <c r="E79" s="21">
        <v>1</v>
      </c>
      <c r="F79" s="21">
        <v>174902</v>
      </c>
      <c r="H79" s="21" t="s">
        <v>2169</v>
      </c>
      <c r="I79" s="39" t="str">
        <f ca="1">IFERROR(__xludf.DUMMYFUNCTION("IF(SUM(COUNTIF(artists!A:A, SPLIT(D79, "",""))) &gt; 0, ""UA"", 0)"),"UA")</f>
        <v>UA</v>
      </c>
      <c r="J79" s="40">
        <f ca="1">IFERROR(__xludf.DUMMYFUNCTION("IF(SUM(COUNTIF(artists!C:C, SPLIT(D79, "",""))) &gt; 0, ""RU"", 0)"),0)</f>
        <v>0</v>
      </c>
      <c r="K79" s="39">
        <f ca="1">IFERROR(__xludf.DUMMYFUNCTION("IF(SUM(COUNTIF(artists!E:E, SPLIT(D79, "",""))) &gt; 0, ""OTHER"", 0)"),0)</f>
        <v>0</v>
      </c>
    </row>
    <row r="80" spans="1:11" ht="14.25" customHeight="1">
      <c r="A80" s="21">
        <v>79</v>
      </c>
      <c r="B80" s="21">
        <v>77</v>
      </c>
      <c r="C80" s="21" t="s">
        <v>2114</v>
      </c>
      <c r="D80" s="21" t="s">
        <v>2115</v>
      </c>
      <c r="E80" s="21">
        <v>10</v>
      </c>
      <c r="F80" s="21">
        <v>173480</v>
      </c>
      <c r="G80" s="42">
        <v>1.4E-2</v>
      </c>
      <c r="H80" s="21" t="s">
        <v>2116</v>
      </c>
      <c r="I80" s="39">
        <f ca="1">IFERROR(__xludf.DUMMYFUNCTION("IF(SUM(COUNTIF(artists!A:A, SPLIT(D80, "",""))) &gt; 0, ""UA"", 0)"),0)</f>
        <v>0</v>
      </c>
      <c r="J80" s="40" t="str">
        <f ca="1">IFERROR(__xludf.DUMMYFUNCTION("IF(SUM(COUNTIF(artists!C:C, SPLIT(D80, "",""))) &gt; 0, ""RU"", 0)"),"RU")</f>
        <v>RU</v>
      </c>
      <c r="K80" s="39">
        <f ca="1">IFERROR(__xludf.DUMMYFUNCTION("IF(SUM(COUNTIF(artists!E:E, SPLIT(D80, "",""))) &gt; 0, ""OTHER"", 0)"),0)</f>
        <v>0</v>
      </c>
    </row>
    <row r="81" spans="1:11" ht="14.25" customHeight="1">
      <c r="A81" s="21">
        <v>80</v>
      </c>
      <c r="B81" s="21">
        <v>80</v>
      </c>
      <c r="C81" s="21" t="s">
        <v>2112</v>
      </c>
      <c r="D81" s="21" t="s">
        <v>1996</v>
      </c>
      <c r="E81" s="21">
        <v>10</v>
      </c>
      <c r="F81" s="21">
        <v>168599</v>
      </c>
      <c r="G81" s="42">
        <v>1.2E-2</v>
      </c>
      <c r="H81" s="21" t="s">
        <v>2113</v>
      </c>
      <c r="I81" s="39">
        <f ca="1">IFERROR(__xludf.DUMMYFUNCTION("IF(SUM(COUNTIF(artists!A:A, SPLIT(D81, "",""))) &gt; 0, ""UA"", 0)"),0)</f>
        <v>0</v>
      </c>
      <c r="J81" s="40" t="str">
        <f ca="1">IFERROR(__xludf.DUMMYFUNCTION("IF(SUM(COUNTIF(artists!C:C, SPLIT(D81, "",""))) &gt; 0, ""RU"", 0)"),"RU")</f>
        <v>RU</v>
      </c>
      <c r="K81" s="39">
        <f ca="1">IFERROR(__xludf.DUMMYFUNCTION("IF(SUM(COUNTIF(artists!E:E, SPLIT(D81, "",""))) &gt; 0, ""OTHER"", 0)"),0)</f>
        <v>0</v>
      </c>
    </row>
    <row r="82" spans="1:11" ht="14.25" customHeight="1">
      <c r="A82" s="21">
        <v>81</v>
      </c>
      <c r="B82" s="21">
        <v>82</v>
      </c>
      <c r="C82" s="21" t="s">
        <v>2170</v>
      </c>
      <c r="D82" s="21" t="s">
        <v>2171</v>
      </c>
      <c r="E82" s="21">
        <v>13</v>
      </c>
      <c r="F82" s="21">
        <v>166857</v>
      </c>
      <c r="G82" s="42">
        <v>6.0000000000000001E-3</v>
      </c>
      <c r="H82" s="21" t="s">
        <v>2172</v>
      </c>
      <c r="I82" s="39">
        <f ca="1">IFERROR(__xludf.DUMMYFUNCTION("IF(SUM(COUNTIF(artists!A:A, SPLIT(D82, "",""))) &gt; 0, ""UA"", 0)"),0)</f>
        <v>0</v>
      </c>
      <c r="J82" s="40" t="str">
        <f ca="1">IFERROR(__xludf.DUMMYFUNCTION("IF(SUM(COUNTIF(artists!C:C, SPLIT(D82, "",""))) &gt; 0, ""RU"", 0)"),"RU")</f>
        <v>RU</v>
      </c>
      <c r="K82" s="39">
        <f ca="1">IFERROR(__xludf.DUMMYFUNCTION("IF(SUM(COUNTIF(artists!E:E, SPLIT(D82, "",""))) &gt; 0, ""OTHER"", 0)"),0)</f>
        <v>0</v>
      </c>
    </row>
    <row r="83" spans="1:11" ht="14.25" customHeight="1">
      <c r="A83" s="21">
        <v>82</v>
      </c>
      <c r="B83" s="21">
        <v>81</v>
      </c>
      <c r="C83" s="21" t="s">
        <v>2027</v>
      </c>
      <c r="D83" s="21" t="s">
        <v>959</v>
      </c>
      <c r="E83" s="21">
        <v>15</v>
      </c>
      <c r="F83" s="21">
        <v>164853</v>
      </c>
      <c r="G83" s="42">
        <v>-8.9999999999999993E-3</v>
      </c>
      <c r="H83" s="21" t="s">
        <v>2028</v>
      </c>
      <c r="I83" s="39">
        <f ca="1">IFERROR(__xludf.DUMMYFUNCTION("IF(SUM(COUNTIF(artists!A:A, SPLIT(D83, "",""))) &gt; 0, ""UA"", 0)"),0)</f>
        <v>0</v>
      </c>
      <c r="J83" s="40" t="str">
        <f ca="1">IFERROR(__xludf.DUMMYFUNCTION("IF(SUM(COUNTIF(artists!C:C, SPLIT(D83, "",""))) &gt; 0, ""RU"", 0)"),"RU")</f>
        <v>RU</v>
      </c>
      <c r="K83" s="39">
        <f ca="1">IFERROR(__xludf.DUMMYFUNCTION("IF(SUM(COUNTIF(artists!E:E, SPLIT(D83, "",""))) &gt; 0, ""OTHER"", 0)"),0)</f>
        <v>0</v>
      </c>
    </row>
    <row r="84" spans="1:11" ht="14.25" customHeight="1">
      <c r="A84" s="21">
        <v>83</v>
      </c>
      <c r="B84" s="21">
        <v>86</v>
      </c>
      <c r="C84" s="21" t="s">
        <v>1222</v>
      </c>
      <c r="D84" s="21" t="s">
        <v>1223</v>
      </c>
      <c r="E84" s="21">
        <v>17</v>
      </c>
      <c r="F84" s="21">
        <v>163613</v>
      </c>
      <c r="G84" s="42">
        <v>1.6E-2</v>
      </c>
      <c r="H84" s="21" t="s">
        <v>1224</v>
      </c>
      <c r="I84" s="39">
        <f ca="1">IFERROR(__xludf.DUMMYFUNCTION("IF(SUM(COUNTIF(artists!A:A, SPLIT(D84, "",""))) &gt; 0, ""UA"", 0)"),0)</f>
        <v>0</v>
      </c>
      <c r="J84" s="40" t="str">
        <f ca="1">IFERROR(__xludf.DUMMYFUNCTION("IF(SUM(COUNTIF(artists!C:C, SPLIT(D84, "",""))) &gt; 0, ""RU"", 0)"),"RU")</f>
        <v>RU</v>
      </c>
      <c r="K84" s="39">
        <f ca="1">IFERROR(__xludf.DUMMYFUNCTION("IF(SUM(COUNTIF(artists!E:E, SPLIT(D84, "",""))) &gt; 0, ""OTHER"", 0)"),0)</f>
        <v>0</v>
      </c>
    </row>
    <row r="85" spans="1:11" ht="14.25" customHeight="1">
      <c r="A85" s="21">
        <v>84</v>
      </c>
      <c r="B85" s="21">
        <v>85</v>
      </c>
      <c r="C85" s="21" t="s">
        <v>2173</v>
      </c>
      <c r="D85" s="21" t="s">
        <v>2174</v>
      </c>
      <c r="E85" s="21">
        <v>16</v>
      </c>
      <c r="F85" s="21">
        <v>163535</v>
      </c>
      <c r="G85" s="42">
        <v>8.0000000000000002E-3</v>
      </c>
      <c r="H85" s="21" t="s">
        <v>2175</v>
      </c>
      <c r="I85" s="39">
        <f ca="1">IFERROR(__xludf.DUMMYFUNCTION("IF(SUM(COUNTIF(artists!A:A, SPLIT(D85, "",""))) &gt; 0, ""UA"", 0)"),0)</f>
        <v>0</v>
      </c>
      <c r="J85" s="40" t="str">
        <f ca="1">IFERROR(__xludf.DUMMYFUNCTION("IF(SUM(COUNTIF(artists!C:C, SPLIT(D85, "",""))) &gt; 0, ""RU"", 0)"),"RU")</f>
        <v>RU</v>
      </c>
      <c r="K85" s="39">
        <f ca="1">IFERROR(__xludf.DUMMYFUNCTION("IF(SUM(COUNTIF(artists!E:E, SPLIT(D85, "",""))) &gt; 0, ""OTHER"", 0)"),0)</f>
        <v>0</v>
      </c>
    </row>
    <row r="86" spans="1:11" ht="14.25" customHeight="1">
      <c r="A86" s="21">
        <v>85</v>
      </c>
      <c r="C86" s="21" t="s">
        <v>2176</v>
      </c>
      <c r="D86" s="21" t="s">
        <v>2177</v>
      </c>
      <c r="E86" s="21">
        <v>1</v>
      </c>
      <c r="F86" s="21">
        <v>163489</v>
      </c>
      <c r="H86" s="21" t="s">
        <v>2178</v>
      </c>
      <c r="I86" s="39">
        <f ca="1">IFERROR(__xludf.DUMMYFUNCTION("IF(SUM(COUNTIF(artists!A:A, SPLIT(D86, "",""))) &gt; 0, ""UA"", 0)"),0)</f>
        <v>0</v>
      </c>
      <c r="J86" s="40">
        <f ca="1">IFERROR(__xludf.DUMMYFUNCTION("IF(SUM(COUNTIF(artists!C:C, SPLIT(D86, "",""))) &gt; 0, ""RU"", 0)"),0)</f>
        <v>0</v>
      </c>
      <c r="K86" s="39" t="str">
        <f ca="1">IFERROR(__xludf.DUMMYFUNCTION("IF(SUM(COUNTIF(artists!E:E, SPLIT(D86, "",""))) &gt; 0, ""OTHER"", 0)"),"OTHER")</f>
        <v>OTHER</v>
      </c>
    </row>
    <row r="87" spans="1:11" ht="14.25" customHeight="1">
      <c r="A87" s="21">
        <v>86</v>
      </c>
      <c r="C87" s="21" t="s">
        <v>2179</v>
      </c>
      <c r="D87" s="21" t="s">
        <v>2180</v>
      </c>
      <c r="E87" s="21">
        <v>3</v>
      </c>
      <c r="F87" s="21">
        <v>163392</v>
      </c>
      <c r="H87" s="21" t="s">
        <v>2181</v>
      </c>
      <c r="I87" s="39">
        <f ca="1">IFERROR(__xludf.DUMMYFUNCTION("IF(SUM(COUNTIF(artists!A:A, SPLIT(D87, "",""))) &gt; 0, ""UA"", 0)"),0)</f>
        <v>0</v>
      </c>
      <c r="J87" s="40" t="str">
        <f ca="1">IFERROR(__xludf.DUMMYFUNCTION("IF(SUM(COUNTIF(artists!C:C, SPLIT(D87, "",""))) &gt; 0, ""RU"", 0)"),"RU")</f>
        <v>RU</v>
      </c>
      <c r="K87" s="39">
        <f ca="1">IFERROR(__xludf.DUMMYFUNCTION("IF(SUM(COUNTIF(artists!E:E, SPLIT(D87, "",""))) &gt; 0, ""OTHER"", 0)"),0)</f>
        <v>0</v>
      </c>
    </row>
    <row r="88" spans="1:11" ht="14.25" customHeight="1">
      <c r="A88" s="21">
        <v>87</v>
      </c>
      <c r="B88" s="21">
        <v>89</v>
      </c>
      <c r="C88" s="21" t="s">
        <v>2096</v>
      </c>
      <c r="D88" s="21" t="s">
        <v>2097</v>
      </c>
      <c r="E88" s="21">
        <v>5</v>
      </c>
      <c r="F88" s="21">
        <v>162977</v>
      </c>
      <c r="G88" s="42">
        <v>2.3E-2</v>
      </c>
      <c r="H88" s="21" t="s">
        <v>2098</v>
      </c>
      <c r="I88" s="39">
        <f ca="1">IFERROR(__xludf.DUMMYFUNCTION("IF(SUM(COUNTIF(artists!A:A, SPLIT(D88, "",""))) &gt; 0, ""UA"", 0)"),0)</f>
        <v>0</v>
      </c>
      <c r="J88" s="40" t="str">
        <f ca="1">IFERROR(__xludf.DUMMYFUNCTION("IF(SUM(COUNTIF(artists!C:C, SPLIT(D88, "",""))) &gt; 0, ""RU"", 0)"),"RU")</f>
        <v>RU</v>
      </c>
      <c r="K88" s="39">
        <f ca="1">IFERROR(__xludf.DUMMYFUNCTION("IF(SUM(COUNTIF(artists!E:E, SPLIT(D88, "",""))) &gt; 0, ""OTHER"", 0)"),0)</f>
        <v>0</v>
      </c>
    </row>
    <row r="89" spans="1:11" ht="14.25" customHeight="1">
      <c r="A89" s="21">
        <v>88</v>
      </c>
      <c r="B89" s="21">
        <v>76</v>
      </c>
      <c r="C89" s="21" t="s">
        <v>2182</v>
      </c>
      <c r="D89" s="21" t="s">
        <v>2183</v>
      </c>
      <c r="E89" s="21">
        <v>11</v>
      </c>
      <c r="F89" s="21">
        <v>162730</v>
      </c>
      <c r="G89" s="42">
        <v>-5.2999999999999999E-2</v>
      </c>
      <c r="H89" s="21" t="s">
        <v>2184</v>
      </c>
      <c r="I89" s="39">
        <f ca="1">IFERROR(__xludf.DUMMYFUNCTION("IF(SUM(COUNTIF(artists!A:A, SPLIT(D89, "",""))) &gt; 0, ""UA"", 0)"),0)</f>
        <v>0</v>
      </c>
      <c r="J89" s="40" t="str">
        <f ca="1">IFERROR(__xludf.DUMMYFUNCTION("IF(SUM(COUNTIF(artists!C:C, SPLIT(D89, "",""))) &gt; 0, ""RU"", 0)"),"RU")</f>
        <v>RU</v>
      </c>
      <c r="K89" s="39">
        <f ca="1">IFERROR(__xludf.DUMMYFUNCTION("IF(SUM(COUNTIF(artists!E:E, SPLIT(D89, "",""))) &gt; 0, ""OTHER"", 0)"),0)</f>
        <v>0</v>
      </c>
    </row>
    <row r="90" spans="1:11" ht="14.25" customHeight="1">
      <c r="A90" s="21">
        <v>89</v>
      </c>
      <c r="B90" s="21">
        <v>75</v>
      </c>
      <c r="C90" s="21" t="s">
        <v>2161</v>
      </c>
      <c r="D90" s="21" t="s">
        <v>698</v>
      </c>
      <c r="E90" s="21">
        <v>8</v>
      </c>
      <c r="F90" s="21">
        <v>162718</v>
      </c>
      <c r="G90" s="42">
        <v>-9.1999999999999998E-2</v>
      </c>
      <c r="H90" s="21" t="s">
        <v>2162</v>
      </c>
      <c r="I90" s="39">
        <f ca="1">IFERROR(__xludf.DUMMYFUNCTION("IF(SUM(COUNTIF(artists!A:A, SPLIT(D90, "",""))) &gt; 0, ""UA"", 0)"),0)</f>
        <v>0</v>
      </c>
      <c r="J90" s="40" t="str">
        <f ca="1">IFERROR(__xludf.DUMMYFUNCTION("IF(SUM(COUNTIF(artists!C:C, SPLIT(D90, "",""))) &gt; 0, ""RU"", 0)"),"RU")</f>
        <v>RU</v>
      </c>
      <c r="K90" s="39">
        <f ca="1">IFERROR(__xludf.DUMMYFUNCTION("IF(SUM(COUNTIF(artists!E:E, SPLIT(D90, "",""))) &gt; 0, ""OTHER"", 0)"),0)</f>
        <v>0</v>
      </c>
    </row>
    <row r="91" spans="1:11" ht="14.25" customHeight="1">
      <c r="A91" s="21">
        <v>90</v>
      </c>
      <c r="B91" s="21">
        <v>92</v>
      </c>
      <c r="C91" s="21" t="s">
        <v>2185</v>
      </c>
      <c r="D91" s="21" t="s">
        <v>2061</v>
      </c>
      <c r="E91" s="21">
        <v>3</v>
      </c>
      <c r="F91" s="21">
        <v>162068</v>
      </c>
      <c r="G91" s="42">
        <v>2.7E-2</v>
      </c>
      <c r="H91" s="21" t="s">
        <v>2186</v>
      </c>
      <c r="I91" s="39">
        <f ca="1">IFERROR(__xludf.DUMMYFUNCTION("IF(SUM(COUNTIF(artists!A:A, SPLIT(D91, "",""))) &gt; 0, ""UA"", 0)"),0)</f>
        <v>0</v>
      </c>
      <c r="J91" s="40" t="str">
        <f ca="1">IFERROR(__xludf.DUMMYFUNCTION("IF(SUM(COUNTIF(artists!C:C, SPLIT(D91, "",""))) &gt; 0, ""RU"", 0)"),"RU")</f>
        <v>RU</v>
      </c>
      <c r="K91" s="39">
        <f ca="1">IFERROR(__xludf.DUMMYFUNCTION("IF(SUM(COUNTIF(artists!E:E, SPLIT(D91, "",""))) &gt; 0, ""OTHER"", 0)"),0)</f>
        <v>0</v>
      </c>
    </row>
    <row r="92" spans="1:11" ht="14.25" customHeight="1">
      <c r="A92" s="21">
        <v>91</v>
      </c>
      <c r="B92" s="21">
        <v>99</v>
      </c>
      <c r="C92" s="21" t="s">
        <v>2120</v>
      </c>
      <c r="D92" s="21" t="s">
        <v>2121</v>
      </c>
      <c r="E92" s="21">
        <v>8</v>
      </c>
      <c r="F92" s="21">
        <v>161793</v>
      </c>
      <c r="G92" s="42">
        <v>6.6000000000000003E-2</v>
      </c>
      <c r="H92" s="21" t="s">
        <v>2122</v>
      </c>
      <c r="I92" s="39">
        <f ca="1">IFERROR(__xludf.DUMMYFUNCTION("IF(SUM(COUNTIF(artists!A:A, SPLIT(D92, "",""))) &gt; 0, ""UA"", 0)"),0)</f>
        <v>0</v>
      </c>
      <c r="J92" s="40">
        <f ca="1">IFERROR(__xludf.DUMMYFUNCTION("IF(SUM(COUNTIF(artists!C:C, SPLIT(D92, "",""))) &gt; 0, ""RU"", 0)"),0)</f>
        <v>0</v>
      </c>
      <c r="K92" s="39" t="str">
        <f ca="1">IFERROR(__xludf.DUMMYFUNCTION("IF(SUM(COUNTIF(artists!E:E, SPLIT(D92, "",""))) &gt; 0, ""OTHER"", 0)"),"OTHER")</f>
        <v>OTHER</v>
      </c>
    </row>
    <row r="93" spans="1:11" ht="14.25" customHeight="1">
      <c r="A93" s="21">
        <v>92</v>
      </c>
      <c r="B93" s="21">
        <v>90</v>
      </c>
      <c r="C93" s="21" t="s">
        <v>2141</v>
      </c>
      <c r="D93" s="21" t="s">
        <v>2018</v>
      </c>
      <c r="E93" s="21">
        <v>14</v>
      </c>
      <c r="F93" s="21">
        <v>159706</v>
      </c>
      <c r="G93" s="43">
        <v>0.01</v>
      </c>
      <c r="H93" s="21" t="s">
        <v>2142</v>
      </c>
      <c r="I93" s="39">
        <f ca="1">IFERROR(__xludf.DUMMYFUNCTION("IF(SUM(COUNTIF(artists!A:A, SPLIT(D93, "",""))) &gt; 0, ""UA"", 0)"),0)</f>
        <v>0</v>
      </c>
      <c r="J93" s="40" t="str">
        <f ca="1">IFERROR(__xludf.DUMMYFUNCTION("IF(SUM(COUNTIF(artists!C:C, SPLIT(D93, "",""))) &gt; 0, ""RU"", 0)"),"RU")</f>
        <v>RU</v>
      </c>
      <c r="K93" s="39">
        <f ca="1">IFERROR(__xludf.DUMMYFUNCTION("IF(SUM(COUNTIF(artists!E:E, SPLIT(D93, "",""))) &gt; 0, ""OTHER"", 0)"),0)</f>
        <v>0</v>
      </c>
    </row>
    <row r="94" spans="1:11" ht="14.25" customHeight="1">
      <c r="A94" s="21">
        <v>93</v>
      </c>
      <c r="B94" s="21">
        <v>91</v>
      </c>
      <c r="C94" s="21" t="s">
        <v>2117</v>
      </c>
      <c r="D94" s="21" t="s">
        <v>2118</v>
      </c>
      <c r="E94" s="21">
        <v>7</v>
      </c>
      <c r="F94" s="21">
        <v>159407</v>
      </c>
      <c r="G94" s="42">
        <v>8.0000000000000002E-3</v>
      </c>
      <c r="H94" s="21" t="s">
        <v>2119</v>
      </c>
      <c r="I94" s="39">
        <f ca="1">IFERROR(__xludf.DUMMYFUNCTION("IF(SUM(COUNTIF(artists!A:A, SPLIT(D94, "",""))) &gt; 0, ""UA"", 0)"),0)</f>
        <v>0</v>
      </c>
      <c r="J94" s="40">
        <f ca="1">IFERROR(__xludf.DUMMYFUNCTION("IF(SUM(COUNTIF(artists!C:C, SPLIT(D94, "",""))) &gt; 0, ""RU"", 0)"),0)</f>
        <v>0</v>
      </c>
      <c r="K94" s="39" t="str">
        <f ca="1">IFERROR(__xludf.DUMMYFUNCTION("IF(SUM(COUNTIF(artists!E:E, SPLIT(D94, "",""))) &gt; 0, ""OTHER"", 0)"),"OTHER")</f>
        <v>OTHER</v>
      </c>
    </row>
    <row r="95" spans="1:11" ht="14.25" customHeight="1">
      <c r="A95" s="21">
        <v>94</v>
      </c>
      <c r="C95" s="21" t="s">
        <v>1372</v>
      </c>
      <c r="D95" s="21" t="s">
        <v>1373</v>
      </c>
      <c r="E95" s="21">
        <v>20</v>
      </c>
      <c r="F95" s="21">
        <v>154193</v>
      </c>
      <c r="H95" s="21" t="s">
        <v>1374</v>
      </c>
      <c r="I95" s="39">
        <f ca="1">IFERROR(__xludf.DUMMYFUNCTION("IF(SUM(COUNTIF(artists!A:A, SPLIT(D95, "",""))) &gt; 0, ""UA"", 0)"),0)</f>
        <v>0</v>
      </c>
      <c r="J95" s="40">
        <f ca="1">IFERROR(__xludf.DUMMYFUNCTION("IF(SUM(COUNTIF(artists!C:C, SPLIT(D95, "",""))) &gt; 0, ""RU"", 0)"),0)</f>
        <v>0</v>
      </c>
      <c r="K95" s="39" t="str">
        <f ca="1">IFERROR(__xludf.DUMMYFUNCTION("IF(SUM(COUNTIF(artists!E:E, SPLIT(D95, "",""))) &gt; 0, ""OTHER"", 0)"),"OTHER")</f>
        <v>OTHER</v>
      </c>
    </row>
    <row r="96" spans="1:11" ht="14.25" customHeight="1">
      <c r="A96" s="21">
        <v>95</v>
      </c>
      <c r="C96" s="21" t="s">
        <v>2187</v>
      </c>
      <c r="D96" s="21" t="s">
        <v>540</v>
      </c>
      <c r="E96" s="21">
        <v>1</v>
      </c>
      <c r="F96" s="21">
        <v>153960</v>
      </c>
      <c r="H96" s="21" t="s">
        <v>2188</v>
      </c>
      <c r="I96" s="39">
        <f ca="1">IFERROR(__xludf.DUMMYFUNCTION("IF(SUM(COUNTIF(artists!A:A, SPLIT(D96, "",""))) &gt; 0, ""UA"", 0)"),0)</f>
        <v>0</v>
      </c>
      <c r="J96" s="40" t="str">
        <f ca="1">IFERROR(__xludf.DUMMYFUNCTION("IF(SUM(COUNTIF(artists!C:C, SPLIT(D96, "",""))) &gt; 0, ""RU"", 0)"),"RU")</f>
        <v>RU</v>
      </c>
      <c r="K96" s="39">
        <f ca="1">IFERROR(__xludf.DUMMYFUNCTION("IF(SUM(COUNTIF(artists!E:E, SPLIT(D96, "",""))) &gt; 0, ""OTHER"", 0)"),0)</f>
        <v>0</v>
      </c>
    </row>
    <row r="97" spans="1:11" ht="14.25" customHeight="1">
      <c r="A97" s="21">
        <v>96</v>
      </c>
      <c r="B97" s="21">
        <v>88</v>
      </c>
      <c r="C97" s="21" t="s">
        <v>2189</v>
      </c>
      <c r="D97" s="21" t="s">
        <v>125</v>
      </c>
      <c r="E97" s="21">
        <v>10</v>
      </c>
      <c r="F97" s="21">
        <v>153146</v>
      </c>
      <c r="G97" s="43">
        <v>-0.04</v>
      </c>
      <c r="H97" s="21" t="s">
        <v>2190</v>
      </c>
      <c r="I97" s="39">
        <f ca="1">IFERROR(__xludf.DUMMYFUNCTION("IF(SUM(COUNTIF(artists!A:A, SPLIT(D97, "",""))) &gt; 0, ""UA"", 0)"),0)</f>
        <v>0</v>
      </c>
      <c r="J97" s="40" t="str">
        <f ca="1">IFERROR(__xludf.DUMMYFUNCTION("IF(SUM(COUNTIF(artists!C:C, SPLIT(D97, "",""))) &gt; 0, ""RU"", 0)"),"RU")</f>
        <v>RU</v>
      </c>
      <c r="K97" s="39">
        <f ca="1">IFERROR(__xludf.DUMMYFUNCTION("IF(SUM(COUNTIF(artists!E:E, SPLIT(D97, "",""))) &gt; 0, ""OTHER"", 0)"),0)</f>
        <v>0</v>
      </c>
    </row>
    <row r="98" spans="1:11" ht="14.25" customHeight="1">
      <c r="A98" s="21">
        <v>97</v>
      </c>
      <c r="B98" s="21">
        <v>100</v>
      </c>
      <c r="C98" s="21" t="s">
        <v>841</v>
      </c>
      <c r="D98" s="21" t="s">
        <v>842</v>
      </c>
      <c r="E98" s="21">
        <v>5</v>
      </c>
      <c r="F98" s="21">
        <v>152712</v>
      </c>
      <c r="G98" s="42">
        <v>7.0000000000000001E-3</v>
      </c>
      <c r="H98" s="21" t="s">
        <v>843</v>
      </c>
      <c r="I98" s="39">
        <f ca="1">IFERROR(__xludf.DUMMYFUNCTION("IF(SUM(COUNTIF(artists!A:A, SPLIT(D98, "",""))) &gt; 0, ""UA"", 0)"),0)</f>
        <v>0</v>
      </c>
      <c r="J98" s="40">
        <f ca="1">IFERROR(__xludf.DUMMYFUNCTION("IF(SUM(COUNTIF(artists!C:C, SPLIT(D98, "",""))) &gt; 0, ""RU"", 0)"),0)</f>
        <v>0</v>
      </c>
      <c r="K98" s="39" t="str">
        <f ca="1">IFERROR(__xludf.DUMMYFUNCTION("IF(SUM(COUNTIF(artists!E:E, SPLIT(D98, "",""))) &gt; 0, ""OTHER"", 0)"),"OTHER")</f>
        <v>OTHER</v>
      </c>
    </row>
    <row r="99" spans="1:11" ht="14.25" customHeight="1">
      <c r="A99" s="21">
        <v>98</v>
      </c>
      <c r="B99" s="21">
        <v>95</v>
      </c>
      <c r="C99" s="21" t="s">
        <v>2191</v>
      </c>
      <c r="D99" s="21" t="s">
        <v>2192</v>
      </c>
      <c r="E99" s="21">
        <v>4</v>
      </c>
      <c r="F99" s="21">
        <v>152144</v>
      </c>
      <c r="G99" s="43">
        <v>-0.03</v>
      </c>
      <c r="H99" s="21" t="s">
        <v>2193</v>
      </c>
      <c r="I99" s="39">
        <f ca="1">IFERROR(__xludf.DUMMYFUNCTION("IF(SUM(COUNTIF(artists!A:A, SPLIT(D99, "",""))) &gt; 0, ""UA"", 0)"),0)</f>
        <v>0</v>
      </c>
      <c r="J99" s="40" t="str">
        <f ca="1">IFERROR(__xludf.DUMMYFUNCTION("IF(SUM(COUNTIF(artists!C:C, SPLIT(D99, "",""))) &gt; 0, ""RU"", 0)"),"RU")</f>
        <v>RU</v>
      </c>
      <c r="K99" s="39">
        <f ca="1">IFERROR(__xludf.DUMMYFUNCTION("IF(SUM(COUNTIF(artists!E:E, SPLIT(D99, "",""))) &gt; 0, ""OTHER"", 0)"),0)</f>
        <v>0</v>
      </c>
    </row>
    <row r="100" spans="1:11" ht="14.25" customHeight="1">
      <c r="A100" s="21">
        <v>99</v>
      </c>
      <c r="C100" s="21" t="s">
        <v>2151</v>
      </c>
      <c r="D100" s="21" t="s">
        <v>2152</v>
      </c>
      <c r="E100" s="21">
        <v>20</v>
      </c>
      <c r="F100" s="21">
        <v>151555</v>
      </c>
      <c r="H100" s="21" t="s">
        <v>2153</v>
      </c>
      <c r="I100" s="39">
        <f ca="1">IFERROR(__xludf.DUMMYFUNCTION("IF(SUM(COUNTIF(artists!A:A, SPLIT(D100, "",""))) &gt; 0, ""UA"", 0)"),0)</f>
        <v>0</v>
      </c>
      <c r="J100" s="40" t="str">
        <f ca="1">IFERROR(__xludf.DUMMYFUNCTION("IF(SUM(COUNTIF(artists!C:C, SPLIT(D100, "",""))) &gt; 0, ""RU"", 0)"),"RU")</f>
        <v>RU</v>
      </c>
      <c r="K100" s="39">
        <f ca="1">IFERROR(__xludf.DUMMYFUNCTION("IF(SUM(COUNTIF(artists!E:E, SPLIT(D100, "",""))) &gt; 0, ""OTHER"", 0)"),0)</f>
        <v>0</v>
      </c>
    </row>
    <row r="101" spans="1:11" ht="14.25" customHeight="1">
      <c r="A101" s="21">
        <v>100</v>
      </c>
      <c r="B101" s="21">
        <v>97</v>
      </c>
      <c r="C101" s="21" t="s">
        <v>2194</v>
      </c>
      <c r="D101" s="21" t="s">
        <v>2195</v>
      </c>
      <c r="E101" s="21">
        <v>20</v>
      </c>
      <c r="F101" s="21">
        <v>151232</v>
      </c>
      <c r="G101" s="42">
        <v>-2.4E-2</v>
      </c>
      <c r="H101" s="21" t="s">
        <v>2196</v>
      </c>
      <c r="I101" s="39">
        <f ca="1">IFERROR(__xludf.DUMMYFUNCTION("IF(SUM(COUNTIF(artists!A:A, SPLIT(D101, "",""))) &gt; 0, ""UA"", 0)"),0)</f>
        <v>0</v>
      </c>
      <c r="J101" s="40" t="str">
        <f ca="1">IFERROR(__xludf.DUMMYFUNCTION("IF(SUM(COUNTIF(artists!C:C, SPLIT(D101, "",""))) &gt; 0, ""RU"", 0)"),"RU")</f>
        <v>RU</v>
      </c>
      <c r="K101" s="39">
        <f ca="1">IFERROR(__xludf.DUMMYFUNCTION("IF(SUM(COUNTIF(artists!E:E, SPLIT(D101, "",""))) &gt; 0, ""OTHER"", 0)"),0)</f>
        <v>0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11" priority="1">
      <formula>AND($I2=0, $J2=0, $K2=0)</formula>
    </cfRule>
    <cfRule type="expression" dxfId="10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900-000000000000}">
  <sheetPr codeName="Аркуш58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4" width="8.6640625" customWidth="1"/>
    <col min="5" max="5" width="8.6640625" hidden="1" customWidth="1"/>
    <col min="6" max="6" width="8.6640625" customWidth="1"/>
    <col min="7" max="7" width="13.10937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B2" s="21">
        <v>1</v>
      </c>
      <c r="C2" s="21" t="s">
        <v>935</v>
      </c>
      <c r="D2" s="21" t="s">
        <v>936</v>
      </c>
      <c r="E2" s="21">
        <v>14</v>
      </c>
      <c r="F2" s="21">
        <v>1264180</v>
      </c>
      <c r="G2" s="42">
        <v>-5.6000000000000001E-2</v>
      </c>
      <c r="H2" s="21" t="s">
        <v>937</v>
      </c>
      <c r="I2" s="39">
        <f ca="1">IFERROR(__xludf.DUMMYFUNCTION("IF(SUM(COUNTIF(artists!A:A, SPLIT(D2, "",""))) &gt; 0, ""UA"", 0)"),0)</f>
        <v>0</v>
      </c>
      <c r="J2" s="40" t="str">
        <f ca="1">IFERROR(__xludf.DUMMYFUNCTION("IF(SUM(COUNTIF(artists!C:C, SPLIT(D2, "",""))) &gt; 0, ""RU"", 0)"),"RU")</f>
        <v>RU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B3" s="21">
        <v>3</v>
      </c>
      <c r="C3" s="21" t="s">
        <v>1263</v>
      </c>
      <c r="D3" s="21" t="s">
        <v>1264</v>
      </c>
      <c r="E3" s="21">
        <v>13</v>
      </c>
      <c r="F3" s="21">
        <v>1247404</v>
      </c>
      <c r="G3" s="42">
        <v>0.315</v>
      </c>
      <c r="H3" s="21" t="s">
        <v>1265</v>
      </c>
      <c r="I3" s="39">
        <f ca="1">IFERROR(__xludf.DUMMYFUNCTION("IF(SUM(COUNTIF(artists!A:A, SPLIT(D3, "",""))) &gt; 0, ""UA"", 0)"),0)</f>
        <v>0</v>
      </c>
      <c r="J3" s="40" t="str">
        <f ca="1">IFERROR(__xludf.DUMMYFUNCTION("IF(SUM(COUNTIF(artists!C:C, SPLIT(D3, "",""))) &gt; 0, ""RU"", 0)"),"RU")</f>
        <v>RU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B4" s="21">
        <v>2</v>
      </c>
      <c r="C4" s="21" t="s">
        <v>1674</v>
      </c>
      <c r="D4" s="21" t="s">
        <v>172</v>
      </c>
      <c r="E4" s="21">
        <v>3</v>
      </c>
      <c r="F4" s="21">
        <v>1028581</v>
      </c>
      <c r="G4" s="42">
        <v>-0.14299999999999999</v>
      </c>
      <c r="H4" s="21" t="s">
        <v>1675</v>
      </c>
      <c r="I4" s="39">
        <f ca="1">IFERROR(__xludf.DUMMYFUNCTION("IF(SUM(COUNTIF(artists!A:A, SPLIT(D4, "",""))) &gt; 0, ""UA"", 0)"),0)</f>
        <v>0</v>
      </c>
      <c r="J4" s="40" t="str">
        <f ca="1">IFERROR(__xludf.DUMMYFUNCTION("IF(SUM(COUNTIF(artists!C:C, SPLIT(D4, "",""))) &gt; 0, ""RU"", 0)"),"RU")</f>
        <v>RU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B5" s="21">
        <v>43</v>
      </c>
      <c r="C5" s="21" t="s">
        <v>1636</v>
      </c>
      <c r="D5" s="21" t="s">
        <v>1637</v>
      </c>
      <c r="E5" s="21">
        <v>2</v>
      </c>
      <c r="F5" s="21">
        <v>927745</v>
      </c>
      <c r="G5" s="42">
        <v>2.0129999999999999</v>
      </c>
      <c r="H5" s="21" t="s">
        <v>1638</v>
      </c>
      <c r="I5" s="39">
        <f ca="1">IFERROR(__xludf.DUMMYFUNCTION("IF(SUM(COUNTIF(artists!A:A, SPLIT(D5, "",""))) &gt; 0, ""UA"", 0)"),0)</f>
        <v>0</v>
      </c>
      <c r="J5" s="40" t="str">
        <f ca="1">IFERROR(__xludf.DUMMYFUNCTION("IF(SUM(COUNTIF(artists!C:C, SPLIT(D5, "",""))) &gt; 0, ""RU"", 0)"),"RU")</f>
        <v>RU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B6" s="21">
        <v>6</v>
      </c>
      <c r="C6" s="21" t="s">
        <v>1956</v>
      </c>
      <c r="D6" s="21" t="s">
        <v>1957</v>
      </c>
      <c r="E6" s="21">
        <v>15</v>
      </c>
      <c r="F6" s="21">
        <v>807145</v>
      </c>
      <c r="G6" s="42">
        <v>0.11600000000000001</v>
      </c>
      <c r="H6" s="21" t="s">
        <v>1958</v>
      </c>
      <c r="I6" s="39">
        <f ca="1">IFERROR(__xludf.DUMMYFUNCTION("IF(SUM(COUNTIF(artists!A:A, SPLIT(D6, "",""))) &gt; 0, ""UA"", 0)"),0)</f>
        <v>0</v>
      </c>
      <c r="J6" s="40" t="str">
        <f ca="1">IFERROR(__xludf.DUMMYFUNCTION("IF(SUM(COUNTIF(artists!C:C, SPLIT(D6, "",""))) &gt; 0, ""RU"", 0)"),"RU")</f>
        <v>RU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B7" s="21">
        <v>4</v>
      </c>
      <c r="C7" s="21" t="s">
        <v>1116</v>
      </c>
      <c r="D7" s="21" t="s">
        <v>1117</v>
      </c>
      <c r="E7" s="21">
        <v>10</v>
      </c>
      <c r="F7" s="21">
        <v>778745</v>
      </c>
      <c r="G7" s="43">
        <v>-0.03</v>
      </c>
      <c r="H7" s="21" t="s">
        <v>1118</v>
      </c>
      <c r="I7" s="39">
        <f ca="1">IFERROR(__xludf.DUMMYFUNCTION("IF(SUM(COUNTIF(artists!A:A, SPLIT(D7, "",""))) &gt; 0, ""UA"", 0)"),0)</f>
        <v>0</v>
      </c>
      <c r="J7" s="40" t="str">
        <f ca="1">IFERROR(__xludf.DUMMYFUNCTION("IF(SUM(COUNTIF(artists!C:C, SPLIT(D7, "",""))) &gt; 0, ""RU"", 0)"),"RU")</f>
        <v>RU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B8" s="21">
        <v>5</v>
      </c>
      <c r="C8" s="21" t="s">
        <v>1325</v>
      </c>
      <c r="D8" s="21" t="s">
        <v>1237</v>
      </c>
      <c r="E8" s="21">
        <v>37</v>
      </c>
      <c r="F8" s="21">
        <v>726064</v>
      </c>
      <c r="G8" s="42">
        <v>-3.4000000000000002E-2</v>
      </c>
      <c r="H8" s="21" t="s">
        <v>1326</v>
      </c>
      <c r="I8" s="39">
        <f ca="1">IFERROR(__xludf.DUMMYFUNCTION("IF(SUM(COUNTIF(artists!A:A, SPLIT(D8, "",""))) &gt; 0, ""UA"", 0)"),0)</f>
        <v>0</v>
      </c>
      <c r="J8" s="40" t="str">
        <f ca="1">IFERROR(__xludf.DUMMYFUNCTION("IF(SUM(COUNTIF(artists!C:C, SPLIT(D8, "",""))) &gt; 0, ""RU"", 0)"),"RU")</f>
        <v>RU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B9" s="21">
        <v>9</v>
      </c>
      <c r="C9" s="21" t="s">
        <v>1500</v>
      </c>
      <c r="D9" s="21" t="s">
        <v>907</v>
      </c>
      <c r="E9" s="21">
        <v>17</v>
      </c>
      <c r="F9" s="21">
        <v>616733</v>
      </c>
      <c r="G9" s="42">
        <v>-5.0000000000000001E-3</v>
      </c>
      <c r="H9" s="21" t="s">
        <v>1501</v>
      </c>
      <c r="I9" s="39">
        <f ca="1">IFERROR(__xludf.DUMMYFUNCTION("IF(SUM(COUNTIF(artists!A:A, SPLIT(D9, "",""))) &gt; 0, ""UA"", 0)"),0)</f>
        <v>0</v>
      </c>
      <c r="J9" s="40" t="str">
        <f ca="1">IFERROR(__xludf.DUMMYFUNCTION("IF(SUM(COUNTIF(artists!C:C, SPLIT(D9, "",""))) &gt; 0, ""RU"", 0)"),"RU")</f>
        <v>RU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B10" s="21">
        <v>8</v>
      </c>
      <c r="C10" s="21" t="s">
        <v>1676</v>
      </c>
      <c r="D10" s="21" t="s">
        <v>743</v>
      </c>
      <c r="E10" s="21">
        <v>13</v>
      </c>
      <c r="F10" s="21">
        <v>586821</v>
      </c>
      <c r="G10" s="42">
        <v>-7.5999999999999998E-2</v>
      </c>
      <c r="H10" s="21" t="s">
        <v>1677</v>
      </c>
      <c r="I10" s="39">
        <f ca="1">IFERROR(__xludf.DUMMYFUNCTION("IF(SUM(COUNTIF(artists!A:A, SPLIT(D10, "",""))) &gt; 0, ""UA"", 0)"),0)</f>
        <v>0</v>
      </c>
      <c r="J10" s="40" t="str">
        <f ca="1">IFERROR(__xludf.DUMMYFUNCTION("IF(SUM(COUNTIF(artists!C:C, SPLIT(D10, "",""))) &gt; 0, ""RU"", 0)"),"RU")</f>
        <v>RU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B11" s="21">
        <v>11</v>
      </c>
      <c r="C11" s="21" t="s">
        <v>1825</v>
      </c>
      <c r="D11" s="21" t="s">
        <v>1895</v>
      </c>
      <c r="E11" s="21">
        <v>41</v>
      </c>
      <c r="F11" s="21">
        <v>584216</v>
      </c>
      <c r="G11" s="42">
        <v>-3.3000000000000002E-2</v>
      </c>
      <c r="H11" s="21" t="s">
        <v>1827</v>
      </c>
      <c r="I11" s="39">
        <f ca="1">IFERROR(__xludf.DUMMYFUNCTION("IF(SUM(COUNTIF(artists!A:A, SPLIT(D11, "",""))) &gt; 0, ""UA"", 0)"),0)</f>
        <v>0</v>
      </c>
      <c r="J11" s="40">
        <f ca="1">IFERROR(__xludf.DUMMYFUNCTION("IF(SUM(COUNTIF(artists!C:C, SPLIT(D11, "",""))) &gt; 0, ""RU"", 0)"),0)</f>
        <v>0</v>
      </c>
      <c r="K11" s="39" t="str">
        <f ca="1">IFERROR(__xludf.DUMMYFUNCTION("IF(SUM(COUNTIF(artists!E:E, SPLIT(D11, "",""))) &gt; 0, ""OTHER"", 0)"),"OTHER")</f>
        <v>OTHER</v>
      </c>
    </row>
    <row r="12" spans="1:11" ht="14.25" customHeight="1">
      <c r="A12" s="21">
        <v>11</v>
      </c>
      <c r="B12" s="21">
        <v>15</v>
      </c>
      <c r="C12" s="21" t="s">
        <v>1729</v>
      </c>
      <c r="D12" s="21" t="s">
        <v>1730</v>
      </c>
      <c r="E12" s="21">
        <v>38</v>
      </c>
      <c r="F12" s="21">
        <v>523523</v>
      </c>
      <c r="G12" s="42">
        <v>1.9E-2</v>
      </c>
      <c r="H12" s="21" t="s">
        <v>1731</v>
      </c>
      <c r="I12" s="39">
        <f ca="1">IFERROR(__xludf.DUMMYFUNCTION("IF(SUM(COUNTIF(artists!A:A, SPLIT(D12, "",""))) &gt; 0, ""UA"", 0)"),0)</f>
        <v>0</v>
      </c>
      <c r="J12" s="40" t="str">
        <f ca="1">IFERROR(__xludf.DUMMYFUNCTION("IF(SUM(COUNTIF(artists!C:C, SPLIT(D12, "",""))) &gt; 0, ""RU"", 0)"),"RU")</f>
        <v>RU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B13" s="21">
        <v>12</v>
      </c>
      <c r="C13" s="21" t="s">
        <v>2041</v>
      </c>
      <c r="D13" s="21" t="s">
        <v>584</v>
      </c>
      <c r="E13" s="21">
        <v>8</v>
      </c>
      <c r="F13" s="21">
        <v>515571</v>
      </c>
      <c r="G13" s="42">
        <v>-7.9000000000000001E-2</v>
      </c>
      <c r="H13" s="21" t="s">
        <v>2042</v>
      </c>
      <c r="I13" s="39">
        <f ca="1">IFERROR(__xludf.DUMMYFUNCTION("IF(SUM(COUNTIF(artists!A:A, SPLIT(D13, "",""))) &gt; 0, ""UA"", 0)"),0)</f>
        <v>0</v>
      </c>
      <c r="J13" s="40" t="str">
        <f ca="1">IFERROR(__xludf.DUMMYFUNCTION("IF(SUM(COUNTIF(artists!C:C, SPLIT(D13, "",""))) &gt; 0, ""RU"", 0)"),"RU")</f>
        <v>RU</v>
      </c>
      <c r="K13" s="39">
        <f ca="1">IFERROR(__xludf.DUMMYFUNCTION("IF(SUM(COUNTIF(artists!E:E, SPLIT(D13, "",""))) &gt; 0, ""OTHER"", 0)"),0)</f>
        <v>0</v>
      </c>
    </row>
    <row r="14" spans="1:11" ht="14.25" customHeight="1">
      <c r="A14" s="21">
        <v>13</v>
      </c>
      <c r="B14" s="21">
        <v>7</v>
      </c>
      <c r="C14" s="21" t="s">
        <v>1839</v>
      </c>
      <c r="D14" s="21" t="s">
        <v>1840</v>
      </c>
      <c r="E14" s="21">
        <v>3</v>
      </c>
      <c r="F14" s="21">
        <v>500864</v>
      </c>
      <c r="G14" s="42">
        <v>-0.28899999999999998</v>
      </c>
      <c r="H14" s="21" t="s">
        <v>1841</v>
      </c>
      <c r="I14" s="39">
        <f ca="1">IFERROR(__xludf.DUMMYFUNCTION("IF(SUM(COUNTIF(artists!A:A, SPLIT(D14, "",""))) &gt; 0, ""UA"", 0)"),0)</f>
        <v>0</v>
      </c>
      <c r="J14" s="40" t="str">
        <f ca="1">IFERROR(__xludf.DUMMYFUNCTION("IF(SUM(COUNTIF(artists!C:C, SPLIT(D14, "",""))) &gt; 0, ""RU"", 0)"),"RU")</f>
        <v>RU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B15" s="21">
        <v>14</v>
      </c>
      <c r="C15" s="21" t="s">
        <v>1261</v>
      </c>
      <c r="D15" s="21" t="s">
        <v>137</v>
      </c>
      <c r="E15" s="21">
        <v>12</v>
      </c>
      <c r="F15" s="21">
        <v>490993</v>
      </c>
      <c r="G15" s="42">
        <v>-7.0999999999999994E-2</v>
      </c>
      <c r="H15" s="21" t="s">
        <v>1262</v>
      </c>
      <c r="I15" s="39" t="str">
        <f ca="1">IFERROR(__xludf.DUMMYFUNCTION("IF(SUM(COUNTIF(artists!A:A, SPLIT(D15, "",""))) &gt; 0, ""UA"", 0)"),"UA")</f>
        <v>UA</v>
      </c>
      <c r="J15" s="40">
        <f ca="1">IFERROR(__xludf.DUMMYFUNCTION("IF(SUM(COUNTIF(artists!C:C, SPLIT(D15, "",""))) &gt; 0, ""RU"", 0)"),0)</f>
        <v>0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B16" s="21">
        <v>16</v>
      </c>
      <c r="C16" s="21" t="s">
        <v>1616</v>
      </c>
      <c r="D16" s="21" t="s">
        <v>1617</v>
      </c>
      <c r="E16" s="21">
        <v>33</v>
      </c>
      <c r="F16" s="21">
        <v>473503</v>
      </c>
      <c r="G16" s="42">
        <v>-3.2000000000000001E-2</v>
      </c>
      <c r="H16" s="21" t="s">
        <v>1618</v>
      </c>
      <c r="I16" s="39">
        <f ca="1">IFERROR(__xludf.DUMMYFUNCTION("IF(SUM(COUNTIF(artists!A:A, SPLIT(D16, "",""))) &gt; 0, ""UA"", 0)"),0)</f>
        <v>0</v>
      </c>
      <c r="J16" s="40" t="str">
        <f ca="1">IFERROR(__xludf.DUMMYFUNCTION("IF(SUM(COUNTIF(artists!C:C, SPLIT(D16, "",""))) &gt; 0, ""RU"", 0)"),"RU")</f>
        <v>RU</v>
      </c>
      <c r="K16" s="39">
        <f ca="1">IFERROR(__xludf.DUMMYFUNCTION("IF(SUM(COUNTIF(artists!E:E, SPLIT(D16, "",""))) &gt; 0, ""OTHER"", 0)"),0)</f>
        <v>0</v>
      </c>
    </row>
    <row r="17" spans="1:11" ht="14.25" customHeight="1">
      <c r="A17" s="21">
        <v>16</v>
      </c>
      <c r="C17" s="21" t="s">
        <v>1987</v>
      </c>
      <c r="D17" s="21" t="s">
        <v>1988</v>
      </c>
      <c r="E17" s="21">
        <v>1</v>
      </c>
      <c r="F17" s="21">
        <v>470672</v>
      </c>
      <c r="H17" s="21" t="s">
        <v>1989</v>
      </c>
      <c r="I17" s="39">
        <f ca="1">IFERROR(__xludf.DUMMYFUNCTION("IF(SUM(COUNTIF(artists!A:A, SPLIT(D17, "",""))) &gt; 0, ""UA"", 0)"),0)</f>
        <v>0</v>
      </c>
      <c r="J17" s="40" t="str">
        <f ca="1">IFERROR(__xludf.DUMMYFUNCTION("IF(SUM(COUNTIF(artists!C:C, SPLIT(D17, "",""))) &gt; 0, ""RU"", 0)"),"RU")</f>
        <v>RU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B18" s="21">
        <v>17</v>
      </c>
      <c r="C18" s="21" t="s">
        <v>2074</v>
      </c>
      <c r="D18" s="21" t="s">
        <v>584</v>
      </c>
      <c r="E18" s="21">
        <v>48</v>
      </c>
      <c r="F18" s="21">
        <v>460156</v>
      </c>
      <c r="G18" s="42">
        <v>-5.7000000000000002E-2</v>
      </c>
      <c r="H18" s="21" t="s">
        <v>2075</v>
      </c>
      <c r="I18" s="39">
        <f ca="1">IFERROR(__xludf.DUMMYFUNCTION("IF(SUM(COUNTIF(artists!A:A, SPLIT(D18, "",""))) &gt; 0, ""UA"", 0)"),0)</f>
        <v>0</v>
      </c>
      <c r="J18" s="40" t="str">
        <f ca="1">IFERROR(__xludf.DUMMYFUNCTION("IF(SUM(COUNTIF(artists!C:C, SPLIT(D18, "",""))) &gt; 0, ""RU"", 0)"),"RU")</f>
        <v>RU</v>
      </c>
      <c r="K18" s="39">
        <f ca="1">IFERROR(__xludf.DUMMYFUNCTION("IF(SUM(COUNTIF(artists!E:E, SPLIT(D18, "",""))) &gt; 0, ""OTHER"", 0)"),0)</f>
        <v>0</v>
      </c>
    </row>
    <row r="19" spans="1:11" ht="14.25" customHeight="1">
      <c r="A19" s="21">
        <v>18</v>
      </c>
      <c r="B19" s="21">
        <v>18</v>
      </c>
      <c r="C19" s="21" t="s">
        <v>906</v>
      </c>
      <c r="D19" s="21" t="s">
        <v>907</v>
      </c>
      <c r="E19" s="21">
        <v>8</v>
      </c>
      <c r="F19" s="21">
        <v>460053</v>
      </c>
      <c r="G19" s="42">
        <v>-5.2999999999999999E-2</v>
      </c>
      <c r="H19" s="21" t="s">
        <v>908</v>
      </c>
      <c r="I19" s="39">
        <f ca="1">IFERROR(__xludf.DUMMYFUNCTION("IF(SUM(COUNTIF(artists!A:A, SPLIT(D19, "",""))) &gt; 0, ""UA"", 0)"),0)</f>
        <v>0</v>
      </c>
      <c r="J19" s="40" t="str">
        <f ca="1">IFERROR(__xludf.DUMMYFUNCTION("IF(SUM(COUNTIF(artists!C:C, SPLIT(D19, "",""))) &gt; 0, ""RU"", 0)"),"RU")</f>
        <v>RU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B20" s="21">
        <v>24</v>
      </c>
      <c r="C20" s="21" t="s">
        <v>1496</v>
      </c>
      <c r="D20" s="21" t="s">
        <v>969</v>
      </c>
      <c r="E20" s="21">
        <v>37</v>
      </c>
      <c r="F20" s="21">
        <v>450644</v>
      </c>
      <c r="G20" s="42">
        <v>0.11899999999999999</v>
      </c>
      <c r="H20" s="21" t="s">
        <v>1497</v>
      </c>
      <c r="I20" s="39" t="str">
        <f ca="1">IFERROR(__xludf.DUMMYFUNCTION("IF(SUM(COUNTIF(artists!A:A, SPLIT(D20, "",""))) &gt; 0, ""UA"", 0)"),"UA")</f>
        <v>UA</v>
      </c>
      <c r="J20" s="40">
        <f ca="1">IFERROR(__xludf.DUMMYFUNCTION("IF(SUM(COUNTIF(artists!C:C, SPLIT(D20, "",""))) &gt; 0, ""RU"", 0)"),0)</f>
        <v>0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B21" s="21">
        <v>19</v>
      </c>
      <c r="C21" s="21" t="s">
        <v>1964</v>
      </c>
      <c r="D21" s="21" t="s">
        <v>1965</v>
      </c>
      <c r="E21" s="21">
        <v>14</v>
      </c>
      <c r="F21" s="21">
        <v>448278</v>
      </c>
      <c r="G21" s="42">
        <v>-3.9E-2</v>
      </c>
      <c r="H21" s="21" t="s">
        <v>1966</v>
      </c>
      <c r="I21" s="39">
        <f ca="1">IFERROR(__xludf.DUMMYFUNCTION("IF(SUM(COUNTIF(artists!A:A, SPLIT(D21, "",""))) &gt; 0, ""UA"", 0)"),0)</f>
        <v>0</v>
      </c>
      <c r="J21" s="40" t="str">
        <f ca="1">IFERROR(__xludf.DUMMYFUNCTION("IF(SUM(COUNTIF(artists!C:C, SPLIT(D21, "",""))) &gt; 0, ""RU"", 0)"),"RU")</f>
        <v>RU</v>
      </c>
      <c r="K21" s="39">
        <f ca="1">IFERROR(__xludf.DUMMYFUNCTION("IF(SUM(COUNTIF(artists!E:E, SPLIT(D21, "",""))) &gt; 0, ""OTHER"", 0)"),0)</f>
        <v>0</v>
      </c>
    </row>
    <row r="22" spans="1:11" ht="14.25" customHeight="1">
      <c r="A22" s="21">
        <v>21</v>
      </c>
      <c r="C22" s="21" t="s">
        <v>1381</v>
      </c>
      <c r="D22" s="21" t="s">
        <v>969</v>
      </c>
      <c r="E22" s="21">
        <v>1</v>
      </c>
      <c r="F22" s="21">
        <v>439087</v>
      </c>
      <c r="H22" s="21" t="s">
        <v>1382</v>
      </c>
      <c r="I22" s="39" t="str">
        <f ca="1">IFERROR(__xludf.DUMMYFUNCTION("IF(SUM(COUNTIF(artists!A:A, SPLIT(D22, "",""))) &gt; 0, ""UA"", 0)"),"UA")</f>
        <v>UA</v>
      </c>
      <c r="J22" s="40">
        <f ca="1">IFERROR(__xludf.DUMMYFUNCTION("IF(SUM(COUNTIF(artists!C:C, SPLIT(D22, "",""))) &gt; 0, ""RU"", 0)"),0)</f>
        <v>0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B23" s="21">
        <v>20</v>
      </c>
      <c r="C23" s="21" t="s">
        <v>1867</v>
      </c>
      <c r="D23" s="21" t="s">
        <v>1099</v>
      </c>
      <c r="E23" s="21">
        <v>11</v>
      </c>
      <c r="F23" s="21">
        <v>416115</v>
      </c>
      <c r="G23" s="42">
        <v>-8.3000000000000004E-2</v>
      </c>
      <c r="H23" s="21" t="s">
        <v>1868</v>
      </c>
      <c r="I23" s="39">
        <f ca="1">IFERROR(__xludf.DUMMYFUNCTION("IF(SUM(COUNTIF(artists!A:A, SPLIT(D23, "",""))) &gt; 0, ""UA"", 0)"),0)</f>
        <v>0</v>
      </c>
      <c r="J23" s="40" t="str">
        <f ca="1">IFERROR(__xludf.DUMMYFUNCTION("IF(SUM(COUNTIF(artists!C:C, SPLIT(D23, "",""))) &gt; 0, ""RU"", 0)"),"RU")</f>
        <v>RU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B24" s="21">
        <v>10</v>
      </c>
      <c r="C24" s="21" t="s">
        <v>1960</v>
      </c>
      <c r="D24" s="21" t="s">
        <v>1050</v>
      </c>
      <c r="E24" s="21">
        <v>3</v>
      </c>
      <c r="F24" s="21">
        <v>413337</v>
      </c>
      <c r="G24" s="42">
        <v>-0.32500000000000001</v>
      </c>
      <c r="H24" s="21" t="s">
        <v>1961</v>
      </c>
      <c r="I24" s="39">
        <f ca="1">IFERROR(__xludf.DUMMYFUNCTION("IF(SUM(COUNTIF(artists!A:A, SPLIT(D24, "",""))) &gt; 0, ""UA"", 0)"),0)</f>
        <v>0</v>
      </c>
      <c r="J24" s="40" t="str">
        <f ca="1">IFERROR(__xludf.DUMMYFUNCTION("IF(SUM(COUNTIF(artists!C:C, SPLIT(D24, "",""))) &gt; 0, ""RU"", 0)"),"RU")</f>
        <v>RU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B25" s="21">
        <v>29</v>
      </c>
      <c r="C25" s="21" t="s">
        <v>1896</v>
      </c>
      <c r="D25" s="21" t="s">
        <v>1099</v>
      </c>
      <c r="E25" s="21">
        <v>44</v>
      </c>
      <c r="F25" s="21">
        <v>410838</v>
      </c>
      <c r="G25" s="42">
        <v>7.1999999999999995E-2</v>
      </c>
      <c r="H25" s="21" t="s">
        <v>1897</v>
      </c>
      <c r="I25" s="39">
        <f ca="1">IFERROR(__xludf.DUMMYFUNCTION("IF(SUM(COUNTIF(artists!A:A, SPLIT(D25, "",""))) &gt; 0, ""UA"", 0)"),0)</f>
        <v>0</v>
      </c>
      <c r="J25" s="40" t="str">
        <f ca="1">IFERROR(__xludf.DUMMYFUNCTION("IF(SUM(COUNTIF(artists!C:C, SPLIT(D25, "",""))) &gt; 0, ""RU"", 0)"),"RU")</f>
        <v>RU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B26" s="21">
        <v>28</v>
      </c>
      <c r="C26" s="21" t="s">
        <v>1995</v>
      </c>
      <c r="D26" s="21" t="s">
        <v>1996</v>
      </c>
      <c r="E26" s="21">
        <v>36</v>
      </c>
      <c r="F26" s="21">
        <v>409149</v>
      </c>
      <c r="G26" s="42">
        <v>6.7000000000000004E-2</v>
      </c>
      <c r="H26" s="21" t="s">
        <v>1997</v>
      </c>
      <c r="I26" s="39">
        <f ca="1">IFERROR(__xludf.DUMMYFUNCTION("IF(SUM(COUNTIF(artists!A:A, SPLIT(D26, "",""))) &gt; 0, ""UA"", 0)"),0)</f>
        <v>0</v>
      </c>
      <c r="J26" s="40" t="str">
        <f ca="1">IFERROR(__xludf.DUMMYFUNCTION("IF(SUM(COUNTIF(artists!C:C, SPLIT(D26, "",""))) &gt; 0, ""RU"", 0)"),"RU")</f>
        <v>RU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B27" s="21">
        <v>23</v>
      </c>
      <c r="C27" s="21" t="s">
        <v>2076</v>
      </c>
      <c r="D27" s="21" t="s">
        <v>1027</v>
      </c>
      <c r="E27" s="21">
        <v>37</v>
      </c>
      <c r="F27" s="21">
        <v>400895</v>
      </c>
      <c r="G27" s="42">
        <v>-2.8000000000000001E-2</v>
      </c>
      <c r="H27" s="21" t="s">
        <v>2077</v>
      </c>
      <c r="I27" s="39" t="str">
        <f ca="1">IFERROR(__xludf.DUMMYFUNCTION("IF(SUM(COUNTIF(artists!A:A, SPLIT(D27, "",""))) &gt; 0, ""UA"", 0)"),"UA")</f>
        <v>UA</v>
      </c>
      <c r="J27" s="40">
        <f ca="1">IFERROR(__xludf.DUMMYFUNCTION("IF(SUM(COUNTIF(artists!C:C, SPLIT(D27, "",""))) &gt; 0, ""RU"", 0)"),0)</f>
        <v>0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B28" s="21">
        <v>64</v>
      </c>
      <c r="C28" s="21" t="s">
        <v>2085</v>
      </c>
      <c r="D28" s="21" t="s">
        <v>2086</v>
      </c>
      <c r="E28" s="21">
        <v>5</v>
      </c>
      <c r="F28" s="21">
        <v>392467</v>
      </c>
      <c r="G28" s="42">
        <v>0.875</v>
      </c>
      <c r="H28" s="21" t="s">
        <v>2087</v>
      </c>
      <c r="I28" s="39">
        <f ca="1">IFERROR(__xludf.DUMMYFUNCTION("IF(SUM(COUNTIF(artists!A:A, SPLIT(D28, "",""))) &gt; 0, ""UA"", 0)"),0)</f>
        <v>0</v>
      </c>
      <c r="J28" s="40" t="str">
        <f ca="1">IFERROR(__xludf.DUMMYFUNCTION("IF(SUM(COUNTIF(artists!C:C, SPLIT(D28, "",""))) &gt; 0, ""RU"", 0)"),"RU")</f>
        <v>RU</v>
      </c>
      <c r="K28" s="39">
        <f ca="1">IFERROR(__xludf.DUMMYFUNCTION("IF(SUM(COUNTIF(artists!E:E, SPLIT(D28, "",""))) &gt; 0, ""OTHER"", 0)"),0)</f>
        <v>0</v>
      </c>
    </row>
    <row r="29" spans="1:11" ht="14.25" customHeight="1">
      <c r="A29" s="21">
        <v>28</v>
      </c>
      <c r="B29" s="21">
        <v>27</v>
      </c>
      <c r="C29" s="21" t="s">
        <v>1651</v>
      </c>
      <c r="D29" s="21" t="s">
        <v>1652</v>
      </c>
      <c r="E29" s="21">
        <v>15</v>
      </c>
      <c r="F29" s="21">
        <v>385535</v>
      </c>
      <c r="G29" s="42">
        <v>-7.0000000000000001E-3</v>
      </c>
      <c r="H29" s="21" t="s">
        <v>1959</v>
      </c>
      <c r="I29" s="39">
        <f ca="1">IFERROR(__xludf.DUMMYFUNCTION("IF(SUM(COUNTIF(artists!A:A, SPLIT(D29, "",""))) &gt; 0, ""UA"", 0)"),0)</f>
        <v>0</v>
      </c>
      <c r="J29" s="40" t="str">
        <f ca="1">IFERROR(__xludf.DUMMYFUNCTION("IF(SUM(COUNTIF(artists!C:C, SPLIT(D29, "",""))) &gt; 0, ""RU"", 0)"),"RU")</f>
        <v>RU</v>
      </c>
      <c r="K29" s="39">
        <f ca="1">IFERROR(__xludf.DUMMYFUNCTION("IF(SUM(COUNTIF(artists!E:E, SPLIT(D29, "",""))) &gt; 0, ""OTHER"", 0)"),0)</f>
        <v>0</v>
      </c>
    </row>
    <row r="30" spans="1:11" ht="14.25" customHeight="1">
      <c r="A30" s="21">
        <v>29</v>
      </c>
      <c r="B30" s="21">
        <v>22</v>
      </c>
      <c r="C30" s="21" t="s">
        <v>2078</v>
      </c>
      <c r="D30" s="21" t="s">
        <v>584</v>
      </c>
      <c r="E30" s="21">
        <v>18</v>
      </c>
      <c r="F30" s="21">
        <v>384856</v>
      </c>
      <c r="G30" s="42">
        <v>-7.3999999999999996E-2</v>
      </c>
      <c r="H30" s="21" t="s">
        <v>2079</v>
      </c>
      <c r="I30" s="39">
        <f ca="1">IFERROR(__xludf.DUMMYFUNCTION("IF(SUM(COUNTIF(artists!A:A, SPLIT(D30, "",""))) &gt; 0, ""UA"", 0)"),0)</f>
        <v>0</v>
      </c>
      <c r="J30" s="40" t="str">
        <f ca="1">IFERROR(__xludf.DUMMYFUNCTION("IF(SUM(COUNTIF(artists!C:C, SPLIT(D30, "",""))) &gt; 0, ""RU"", 0)"),"RU")</f>
        <v>RU</v>
      </c>
      <c r="K30" s="39">
        <f ca="1">IFERROR(__xludf.DUMMYFUNCTION("IF(SUM(COUNTIF(artists!E:E, SPLIT(D30, "",""))) &gt; 0, ""OTHER"", 0)"),0)</f>
        <v>0</v>
      </c>
    </row>
    <row r="31" spans="1:11" ht="14.25" customHeight="1">
      <c r="A31" s="21">
        <v>30</v>
      </c>
      <c r="B31" s="21">
        <v>32</v>
      </c>
      <c r="C31" s="21" t="s">
        <v>2051</v>
      </c>
      <c r="D31" s="21" t="s">
        <v>2052</v>
      </c>
      <c r="E31" s="21">
        <v>6</v>
      </c>
      <c r="F31" s="21">
        <v>377365</v>
      </c>
      <c r="G31" s="42">
        <v>-1E-3</v>
      </c>
      <c r="H31" s="21" t="s">
        <v>2053</v>
      </c>
      <c r="I31" s="39">
        <f ca="1">IFERROR(__xludf.DUMMYFUNCTION("IF(SUM(COUNTIF(artists!A:A, SPLIT(D31, "",""))) &gt; 0, ""UA"", 0)"),0)</f>
        <v>0</v>
      </c>
      <c r="J31" s="40" t="str">
        <f ca="1">IFERROR(__xludf.DUMMYFUNCTION("IF(SUM(COUNTIF(artists!C:C, SPLIT(D31, "",""))) &gt; 0, ""RU"", 0)"),"RU")</f>
        <v>RU</v>
      </c>
      <c r="K31" s="39">
        <f ca="1">IFERROR(__xludf.DUMMYFUNCTION("IF(SUM(COUNTIF(artists!E:E, SPLIT(D31, "",""))) &gt; 0, ""OTHER"", 0)"),0)</f>
        <v>0</v>
      </c>
    </row>
    <row r="32" spans="1:11" ht="14.25" customHeight="1">
      <c r="A32" s="21">
        <v>31</v>
      </c>
      <c r="B32" s="21">
        <v>34</v>
      </c>
      <c r="C32" s="21" t="s">
        <v>1774</v>
      </c>
      <c r="D32" s="21" t="s">
        <v>1775</v>
      </c>
      <c r="E32" s="21">
        <v>14</v>
      </c>
      <c r="F32" s="21">
        <v>375152</v>
      </c>
      <c r="G32" s="42">
        <v>1.2E-2</v>
      </c>
      <c r="H32" s="21" t="s">
        <v>1776</v>
      </c>
      <c r="I32" s="39">
        <f ca="1">IFERROR(__xludf.DUMMYFUNCTION("IF(SUM(COUNTIF(artists!A:A, SPLIT(D32, "",""))) &gt; 0, ""UA"", 0)"),0)</f>
        <v>0</v>
      </c>
      <c r="J32" s="40" t="str">
        <f ca="1">IFERROR(__xludf.DUMMYFUNCTION("IF(SUM(COUNTIF(artists!C:C, SPLIT(D32, "",""))) &gt; 0, ""RU"", 0)"),"RU")</f>
        <v>RU</v>
      </c>
      <c r="K32" s="39">
        <f ca="1">IFERROR(__xludf.DUMMYFUNCTION("IF(SUM(COUNTIF(artists!E:E, SPLIT(D32, "",""))) &gt; 0, ""OTHER"", 0)"),0)</f>
        <v>0</v>
      </c>
    </row>
    <row r="33" spans="1:11" ht="14.25" customHeight="1">
      <c r="A33" s="21">
        <v>32</v>
      </c>
      <c r="B33" s="21">
        <v>25</v>
      </c>
      <c r="C33" s="21" t="s">
        <v>1282</v>
      </c>
      <c r="D33" s="21" t="s">
        <v>108</v>
      </c>
      <c r="E33" s="21">
        <v>15</v>
      </c>
      <c r="F33" s="21">
        <v>373065</v>
      </c>
      <c r="G33" s="42">
        <v>-4.2000000000000003E-2</v>
      </c>
      <c r="H33" s="21" t="s">
        <v>1283</v>
      </c>
      <c r="I33" s="39" t="str">
        <f ca="1">IFERROR(__xludf.DUMMYFUNCTION("IF(SUM(COUNTIF(artists!A:A, SPLIT(D33, "",""))) &gt; 0, ""UA"", 0)"),"UA")</f>
        <v>UA</v>
      </c>
      <c r="J33" s="40">
        <f ca="1">IFERROR(__xludf.DUMMYFUNCTION("IF(SUM(COUNTIF(artists!C:C, SPLIT(D33, "",""))) &gt; 0, ""RU"", 0)"),0)</f>
        <v>0</v>
      </c>
      <c r="K33" s="39">
        <f ca="1">IFERROR(__xludf.DUMMYFUNCTION("IF(SUM(COUNTIF(artists!E:E, SPLIT(D33, "",""))) &gt; 0, ""OTHER"", 0)"),0)</f>
        <v>0</v>
      </c>
    </row>
    <row r="34" spans="1:11" ht="14.25" customHeight="1">
      <c r="A34" s="21">
        <v>33</v>
      </c>
      <c r="B34" s="21">
        <v>26</v>
      </c>
      <c r="C34" s="21" t="s">
        <v>1942</v>
      </c>
      <c r="D34" s="21" t="s">
        <v>1637</v>
      </c>
      <c r="E34" s="21">
        <v>28</v>
      </c>
      <c r="F34" s="21">
        <v>364768</v>
      </c>
      <c r="G34" s="42">
        <v>-6.2E-2</v>
      </c>
      <c r="H34" s="21" t="s">
        <v>1943</v>
      </c>
      <c r="I34" s="39">
        <f ca="1">IFERROR(__xludf.DUMMYFUNCTION("IF(SUM(COUNTIF(artists!A:A, SPLIT(D34, "",""))) &gt; 0, ""UA"", 0)"),0)</f>
        <v>0</v>
      </c>
      <c r="J34" s="40" t="str">
        <f ca="1">IFERROR(__xludf.DUMMYFUNCTION("IF(SUM(COUNTIF(artists!C:C, SPLIT(D34, "",""))) &gt; 0, ""RU"", 0)"),"RU")</f>
        <v>RU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B35" s="21">
        <v>35</v>
      </c>
      <c r="C35" s="21" t="s">
        <v>1944</v>
      </c>
      <c r="D35" s="21" t="s">
        <v>1945</v>
      </c>
      <c r="E35" s="21">
        <v>11</v>
      </c>
      <c r="F35" s="21">
        <v>358897</v>
      </c>
      <c r="G35" s="43">
        <v>0</v>
      </c>
      <c r="H35" s="21" t="s">
        <v>1946</v>
      </c>
      <c r="I35" s="39">
        <f ca="1">IFERROR(__xludf.DUMMYFUNCTION("IF(SUM(COUNTIF(artists!A:A, SPLIT(D35, "",""))) &gt; 0, ""UA"", 0)"),0)</f>
        <v>0</v>
      </c>
      <c r="J35" s="40" t="str">
        <f ca="1">IFERROR(__xludf.DUMMYFUNCTION("IF(SUM(COUNTIF(artists!C:C, SPLIT(D35, "",""))) &gt; 0, ""RU"", 0)"),"RU")</f>
        <v>RU</v>
      </c>
      <c r="K35" s="39">
        <f ca="1">IFERROR(__xludf.DUMMYFUNCTION("IF(SUM(COUNTIF(artists!E:E, SPLIT(D35, "",""))) &gt; 0, ""OTHER"", 0)"),0)</f>
        <v>0</v>
      </c>
    </row>
    <row r="36" spans="1:11" ht="14.25" customHeight="1">
      <c r="A36" s="21">
        <v>35</v>
      </c>
      <c r="B36" s="21">
        <v>21</v>
      </c>
      <c r="C36" s="21" t="s">
        <v>1887</v>
      </c>
      <c r="D36" s="21" t="s">
        <v>1099</v>
      </c>
      <c r="E36" s="21">
        <v>4</v>
      </c>
      <c r="F36" s="21">
        <v>354555</v>
      </c>
      <c r="G36" s="43">
        <v>-0.16</v>
      </c>
      <c r="H36" s="21" t="s">
        <v>1888</v>
      </c>
      <c r="I36" s="39">
        <f ca="1">IFERROR(__xludf.DUMMYFUNCTION("IF(SUM(COUNTIF(artists!A:A, SPLIT(D36, "",""))) &gt; 0, ""UA"", 0)"),0)</f>
        <v>0</v>
      </c>
      <c r="J36" s="40" t="str">
        <f ca="1">IFERROR(__xludf.DUMMYFUNCTION("IF(SUM(COUNTIF(artists!C:C, SPLIT(D36, "",""))) &gt; 0, ""RU"", 0)"),"RU")</f>
        <v>RU</v>
      </c>
      <c r="K36" s="39">
        <f ca="1">IFERROR(__xludf.DUMMYFUNCTION("IF(SUM(COUNTIF(artists!E:E, SPLIT(D36, "",""))) &gt; 0, ""OTHER"", 0)"),0)</f>
        <v>0</v>
      </c>
    </row>
    <row r="37" spans="1:11" ht="14.25" customHeight="1">
      <c r="A37" s="21">
        <v>36</v>
      </c>
      <c r="B37" s="21">
        <v>33</v>
      </c>
      <c r="C37" s="21" t="s">
        <v>2009</v>
      </c>
      <c r="D37" s="21" t="s">
        <v>2010</v>
      </c>
      <c r="E37" s="21">
        <v>6</v>
      </c>
      <c r="F37" s="21">
        <v>346145</v>
      </c>
      <c r="G37" s="42">
        <v>-7.2999999999999995E-2</v>
      </c>
      <c r="H37" s="21" t="s">
        <v>2011</v>
      </c>
      <c r="I37" s="39">
        <f ca="1">IFERROR(__xludf.DUMMYFUNCTION("IF(SUM(COUNTIF(artists!A:A, SPLIT(D37, "",""))) &gt; 0, ""UA"", 0)"),0)</f>
        <v>0</v>
      </c>
      <c r="J37" s="40" t="str">
        <f ca="1">IFERROR(__xludf.DUMMYFUNCTION("IF(SUM(COUNTIF(artists!C:C, SPLIT(D37, "",""))) &gt; 0, ""RU"", 0)"),"RU")</f>
        <v>RU</v>
      </c>
      <c r="K37" s="39">
        <f ca="1">IFERROR(__xludf.DUMMYFUNCTION("IF(SUM(COUNTIF(artists!E:E, SPLIT(D37, "",""))) &gt; 0, ""OTHER"", 0)"),0)</f>
        <v>0</v>
      </c>
    </row>
    <row r="38" spans="1:11" ht="14.25" customHeight="1">
      <c r="A38" s="21">
        <v>37</v>
      </c>
      <c r="B38" s="21">
        <v>36</v>
      </c>
      <c r="C38" s="21" t="s">
        <v>1865</v>
      </c>
      <c r="D38" s="21" t="s">
        <v>1646</v>
      </c>
      <c r="E38" s="21">
        <v>8</v>
      </c>
      <c r="F38" s="21">
        <v>345446</v>
      </c>
      <c r="G38" s="42">
        <v>-5.0000000000000001E-3</v>
      </c>
      <c r="H38" s="21" t="s">
        <v>1866</v>
      </c>
      <c r="I38" s="39">
        <f ca="1">IFERROR(__xludf.DUMMYFUNCTION("IF(SUM(COUNTIF(artists!A:A, SPLIT(D38, "",""))) &gt; 0, ""UA"", 0)"),0)</f>
        <v>0</v>
      </c>
      <c r="J38" s="40" t="str">
        <f ca="1">IFERROR(__xludf.DUMMYFUNCTION("IF(SUM(COUNTIF(artists!C:C, SPLIT(D38, "",""))) &gt; 0, ""RU"", 0)"),"RU")</f>
        <v>RU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B39" s="21">
        <v>37</v>
      </c>
      <c r="C39" s="21" t="s">
        <v>2017</v>
      </c>
      <c r="D39" s="21" t="s">
        <v>2018</v>
      </c>
      <c r="E39" s="21">
        <v>37</v>
      </c>
      <c r="F39" s="21">
        <v>328987</v>
      </c>
      <c r="G39" s="42">
        <v>-3.4000000000000002E-2</v>
      </c>
      <c r="H39" s="21" t="s">
        <v>2019</v>
      </c>
      <c r="I39" s="39">
        <f ca="1">IFERROR(__xludf.DUMMYFUNCTION("IF(SUM(COUNTIF(artists!A:A, SPLIT(D39, "",""))) &gt; 0, ""UA"", 0)"),0)</f>
        <v>0</v>
      </c>
      <c r="J39" s="40" t="str">
        <f ca="1">IFERROR(__xludf.DUMMYFUNCTION("IF(SUM(COUNTIF(artists!C:C, SPLIT(D39, "",""))) &gt; 0, ""RU"", 0)"),"RU")</f>
        <v>RU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C40" s="21" t="s">
        <v>2197</v>
      </c>
      <c r="D40" s="21" t="s">
        <v>409</v>
      </c>
      <c r="E40" s="21">
        <v>1</v>
      </c>
      <c r="F40" s="21">
        <v>328950</v>
      </c>
      <c r="H40" s="21" t="s">
        <v>2198</v>
      </c>
      <c r="I40" s="39" t="str">
        <f ca="1">IFERROR(__xludf.DUMMYFUNCTION("IF(SUM(COUNTIF(artists!A:A, SPLIT(D40, "",""))) &gt; 0, ""UA"", 0)"),"UA")</f>
        <v>UA</v>
      </c>
      <c r="J40" s="40">
        <f ca="1">IFERROR(__xludf.DUMMYFUNCTION("IF(SUM(COUNTIF(artists!C:C, SPLIT(D40, "",""))) &gt; 0, ""RU"", 0)"),0)</f>
        <v>0</v>
      </c>
      <c r="K40" s="39">
        <f ca="1">IFERROR(__xludf.DUMMYFUNCTION("IF(SUM(COUNTIF(artists!E:E, SPLIT(D40, "",""))) &gt; 0, ""OTHER"", 0)"),0)</f>
        <v>0</v>
      </c>
    </row>
    <row r="41" spans="1:11" ht="14.25" customHeight="1">
      <c r="A41" s="21">
        <v>40</v>
      </c>
      <c r="B41" s="21">
        <v>40</v>
      </c>
      <c r="C41" s="21" t="s">
        <v>2000</v>
      </c>
      <c r="D41" s="21" t="s">
        <v>137</v>
      </c>
      <c r="E41" s="21">
        <v>42</v>
      </c>
      <c r="F41" s="21">
        <v>312172</v>
      </c>
      <c r="G41" s="42">
        <v>-3.9E-2</v>
      </c>
      <c r="H41" s="21" t="s">
        <v>2001</v>
      </c>
      <c r="I41" s="39" t="str">
        <f ca="1">IFERROR(__xludf.DUMMYFUNCTION("IF(SUM(COUNTIF(artists!A:A, SPLIT(D41, "",""))) &gt; 0, ""UA"", 0)"),"UA")</f>
        <v>UA</v>
      </c>
      <c r="J41" s="40">
        <f ca="1">IFERROR(__xludf.DUMMYFUNCTION("IF(SUM(COUNTIF(artists!C:C, SPLIT(D41, "",""))) &gt; 0, ""RU"", 0)"),0)</f>
        <v>0</v>
      </c>
      <c r="K41" s="39">
        <f ca="1">IFERROR(__xludf.DUMMYFUNCTION("IF(SUM(COUNTIF(artists!E:E, SPLIT(D41, "",""))) &gt; 0, ""OTHER"", 0)"),0)</f>
        <v>0</v>
      </c>
    </row>
    <row r="42" spans="1:11" ht="14.25" customHeight="1">
      <c r="A42" s="21">
        <v>41</v>
      </c>
      <c r="B42" s="21">
        <v>39</v>
      </c>
      <c r="C42" s="21" t="s">
        <v>2071</v>
      </c>
      <c r="D42" s="21" t="s">
        <v>2072</v>
      </c>
      <c r="E42" s="21">
        <v>12</v>
      </c>
      <c r="F42" s="21">
        <v>311846</v>
      </c>
      <c r="G42" s="42">
        <v>-4.9000000000000002E-2</v>
      </c>
      <c r="H42" s="21" t="s">
        <v>2073</v>
      </c>
      <c r="I42" s="39">
        <f ca="1">IFERROR(__xludf.DUMMYFUNCTION("IF(SUM(COUNTIF(artists!A:A, SPLIT(D42, "",""))) &gt; 0, ""UA"", 0)"),0)</f>
        <v>0</v>
      </c>
      <c r="J42" s="40" t="str">
        <f ca="1">IFERROR(__xludf.DUMMYFUNCTION("IF(SUM(COUNTIF(artists!C:C, SPLIT(D42, "",""))) &gt; 0, ""RU"", 0)"),"RU")</f>
        <v>RU</v>
      </c>
      <c r="K42" s="39">
        <f ca="1">IFERROR(__xludf.DUMMYFUNCTION("IF(SUM(COUNTIF(artists!E:E, SPLIT(D42, "",""))) &gt; 0, ""OTHER"", 0)"),0)</f>
        <v>0</v>
      </c>
    </row>
    <row r="43" spans="1:11" ht="14.25" customHeight="1">
      <c r="A43" s="21">
        <v>42</v>
      </c>
      <c r="B43" s="21">
        <v>44</v>
      </c>
      <c r="C43" s="21" t="s">
        <v>2005</v>
      </c>
      <c r="D43" s="21" t="s">
        <v>1593</v>
      </c>
      <c r="E43" s="21">
        <v>15</v>
      </c>
      <c r="F43" s="21">
        <v>304995</v>
      </c>
      <c r="G43" s="42">
        <v>1.0999999999999999E-2</v>
      </c>
      <c r="H43" s="21" t="s">
        <v>2006</v>
      </c>
      <c r="I43" s="39">
        <f ca="1">IFERROR(__xludf.DUMMYFUNCTION("IF(SUM(COUNTIF(artists!A:A, SPLIT(D43, "",""))) &gt; 0, ""UA"", 0)"),0)</f>
        <v>0</v>
      </c>
      <c r="J43" s="40" t="str">
        <f ca="1">IFERROR(__xludf.DUMMYFUNCTION("IF(SUM(COUNTIF(artists!C:C, SPLIT(D43, "",""))) &gt; 0, ""RU"", 0)"),"RU")</f>
        <v>RU</v>
      </c>
      <c r="K43" s="39">
        <f ca="1">IFERROR(__xludf.DUMMYFUNCTION("IF(SUM(COUNTIF(artists!E:E, SPLIT(D43, "",""))) &gt; 0, ""OTHER"", 0)"),0)</f>
        <v>0</v>
      </c>
    </row>
    <row r="44" spans="1:11" ht="14.25" customHeight="1">
      <c r="A44" s="21">
        <v>43</v>
      </c>
      <c r="B44" s="21">
        <v>31</v>
      </c>
      <c r="C44" s="21" t="s">
        <v>2107</v>
      </c>
      <c r="D44" s="21" t="s">
        <v>1783</v>
      </c>
      <c r="E44" s="21">
        <v>4</v>
      </c>
      <c r="F44" s="21">
        <v>302330</v>
      </c>
      <c r="G44" s="42">
        <v>-0.20599999999999999</v>
      </c>
      <c r="H44" s="21" t="s">
        <v>2108</v>
      </c>
      <c r="I44" s="39">
        <f ca="1">IFERROR(__xludf.DUMMYFUNCTION("IF(SUM(COUNTIF(artists!A:A, SPLIT(D44, "",""))) &gt; 0, ""UA"", 0)"),0)</f>
        <v>0</v>
      </c>
      <c r="J44" s="40" t="str">
        <f ca="1">IFERROR(__xludf.DUMMYFUNCTION("IF(SUM(COUNTIF(artists!C:C, SPLIT(D44, "",""))) &gt; 0, ""RU"", 0)"),"RU")</f>
        <v>RU</v>
      </c>
      <c r="K44" s="39">
        <f ca="1">IFERROR(__xludf.DUMMYFUNCTION("IF(SUM(COUNTIF(artists!E:E, SPLIT(D44, "",""))) &gt; 0, ""OTHER"", 0)"),0)</f>
        <v>0</v>
      </c>
    </row>
    <row r="45" spans="1:11" ht="14.25" customHeight="1">
      <c r="A45" s="21">
        <v>44</v>
      </c>
      <c r="B45" s="21">
        <v>42</v>
      </c>
      <c r="C45" s="21" t="s">
        <v>2063</v>
      </c>
      <c r="D45" s="21" t="s">
        <v>2064</v>
      </c>
      <c r="E45" s="21">
        <v>11</v>
      </c>
      <c r="F45" s="21">
        <v>299512</v>
      </c>
      <c r="G45" s="42">
        <v>-5.8999999999999997E-2</v>
      </c>
      <c r="H45" s="21" t="s">
        <v>2065</v>
      </c>
      <c r="I45" s="39">
        <f ca="1">IFERROR(__xludf.DUMMYFUNCTION("IF(SUM(COUNTIF(artists!A:A, SPLIT(D45, "",""))) &gt; 0, ""UA"", 0)"),0)</f>
        <v>0</v>
      </c>
      <c r="J45" s="40" t="str">
        <f ca="1">IFERROR(__xludf.DUMMYFUNCTION("IF(SUM(COUNTIF(artists!C:C, SPLIT(D45, "",""))) &gt; 0, ""RU"", 0)"),"RU")</f>
        <v>RU</v>
      </c>
      <c r="K45" s="39">
        <f ca="1">IFERROR(__xludf.DUMMYFUNCTION("IF(SUM(COUNTIF(artists!E:E, SPLIT(D45, "",""))) &gt; 0, ""OTHER"", 0)"),0)</f>
        <v>0</v>
      </c>
    </row>
    <row r="46" spans="1:11" ht="14.25" customHeight="1">
      <c r="A46" s="21">
        <v>45</v>
      </c>
      <c r="B46" s="21">
        <v>49</v>
      </c>
      <c r="C46" s="21" t="s">
        <v>2002</v>
      </c>
      <c r="D46" s="21" t="s">
        <v>2003</v>
      </c>
      <c r="E46" s="21">
        <v>30</v>
      </c>
      <c r="F46" s="21">
        <v>297795</v>
      </c>
      <c r="G46" s="43">
        <v>0.08</v>
      </c>
      <c r="H46" s="21" t="s">
        <v>2004</v>
      </c>
      <c r="I46" s="39">
        <f ca="1">IFERROR(__xludf.DUMMYFUNCTION("IF(SUM(COUNTIF(artists!A:A, SPLIT(D46, "",""))) &gt; 0, ""UA"", 0)"),0)</f>
        <v>0</v>
      </c>
      <c r="J46" s="40" t="str">
        <f ca="1">IFERROR(__xludf.DUMMYFUNCTION("IF(SUM(COUNTIF(artists!C:C, SPLIT(D46, "",""))) &gt; 0, ""RU"", 0)"),"RU")</f>
        <v>RU</v>
      </c>
      <c r="K46" s="39">
        <f ca="1">IFERROR(__xludf.DUMMYFUNCTION("IF(SUM(COUNTIF(artists!E:E, SPLIT(D46, "",""))) &gt; 0, ""OTHER"", 0)"),0)</f>
        <v>0</v>
      </c>
    </row>
    <row r="47" spans="1:11" ht="14.25" customHeight="1">
      <c r="A47" s="21">
        <v>46</v>
      </c>
      <c r="B47" s="21">
        <v>45</v>
      </c>
      <c r="C47" s="21" t="s">
        <v>2032</v>
      </c>
      <c r="D47" s="21" t="s">
        <v>2033</v>
      </c>
      <c r="E47" s="21">
        <v>3</v>
      </c>
      <c r="F47" s="21">
        <v>296188</v>
      </c>
      <c r="G47" s="42">
        <v>4.2999999999999997E-2</v>
      </c>
      <c r="H47" s="21" t="s">
        <v>2034</v>
      </c>
      <c r="I47" s="39">
        <f ca="1">IFERROR(__xludf.DUMMYFUNCTION("IF(SUM(COUNTIF(artists!A:A, SPLIT(D47, "",""))) &gt; 0, ""UA"", 0)"),0)</f>
        <v>0</v>
      </c>
      <c r="J47" s="40" t="str">
        <f ca="1">IFERROR(__xludf.DUMMYFUNCTION("IF(SUM(COUNTIF(artists!C:C, SPLIT(D47, "",""))) &gt; 0, ""RU"", 0)"),"RU")</f>
        <v>RU</v>
      </c>
      <c r="K47" s="39">
        <f ca="1">IFERROR(__xludf.DUMMYFUNCTION("IF(SUM(COUNTIF(artists!E:E, SPLIT(D47, "",""))) &gt; 0, ""OTHER"", 0)"),0)</f>
        <v>0</v>
      </c>
    </row>
    <row r="48" spans="1:11" ht="14.25" customHeight="1">
      <c r="A48" s="21">
        <v>47</v>
      </c>
      <c r="B48" s="21">
        <v>38</v>
      </c>
      <c r="C48" s="21" t="s">
        <v>2131</v>
      </c>
      <c r="D48" s="21" t="s">
        <v>2132</v>
      </c>
      <c r="E48" s="21">
        <v>2</v>
      </c>
      <c r="F48" s="21">
        <v>280682</v>
      </c>
      <c r="G48" s="42">
        <v>-0.17599999999999999</v>
      </c>
      <c r="H48" s="21" t="s">
        <v>2133</v>
      </c>
      <c r="I48" s="39">
        <f ca="1">IFERROR(__xludf.DUMMYFUNCTION("IF(SUM(COUNTIF(artists!A:A, SPLIT(D48, "",""))) &gt; 0, ""UA"", 0)"),0)</f>
        <v>0</v>
      </c>
      <c r="J48" s="40" t="str">
        <f ca="1">IFERROR(__xludf.DUMMYFUNCTION("IF(SUM(COUNTIF(artists!C:C, SPLIT(D48, "",""))) &gt; 0, ""RU"", 0)"),"RU")</f>
        <v>RU</v>
      </c>
      <c r="K48" s="39">
        <f ca="1">IFERROR(__xludf.DUMMYFUNCTION("IF(SUM(COUNTIF(artists!E:E, SPLIT(D48, "",""))) &gt; 0, ""OTHER"", 0)"),0)</f>
        <v>0</v>
      </c>
    </row>
    <row r="49" spans="1:11" ht="14.25" customHeight="1">
      <c r="A49" s="21">
        <v>48</v>
      </c>
      <c r="B49" s="21">
        <v>47</v>
      </c>
      <c r="C49" s="21" t="s">
        <v>1654</v>
      </c>
      <c r="D49" s="21" t="s">
        <v>1655</v>
      </c>
      <c r="E49" s="21">
        <v>20</v>
      </c>
      <c r="F49" s="21">
        <v>274008</v>
      </c>
      <c r="G49" s="42">
        <v>-1.0999999999999999E-2</v>
      </c>
      <c r="H49" s="21" t="s">
        <v>1656</v>
      </c>
      <c r="I49" s="39">
        <f ca="1">IFERROR(__xludf.DUMMYFUNCTION("IF(SUM(COUNTIF(artists!A:A, SPLIT(D49, "",""))) &gt; 0, ""UA"", 0)"),0)</f>
        <v>0</v>
      </c>
      <c r="J49" s="40" t="str">
        <f ca="1">IFERROR(__xludf.DUMMYFUNCTION("IF(SUM(COUNTIF(artists!C:C, SPLIT(D49, "",""))) &gt; 0, ""RU"", 0)"),"RU")</f>
        <v>RU</v>
      </c>
      <c r="K49" s="39">
        <f ca="1">IFERROR(__xludf.DUMMYFUNCTION("IF(SUM(COUNTIF(artists!E:E, SPLIT(D49, "",""))) &gt; 0, ""OTHER"", 0)"),0)</f>
        <v>0</v>
      </c>
    </row>
    <row r="50" spans="1:11" ht="14.25" customHeight="1">
      <c r="A50" s="21">
        <v>49</v>
      </c>
      <c r="B50" s="21">
        <v>41</v>
      </c>
      <c r="C50" s="21" t="s">
        <v>1939</v>
      </c>
      <c r="D50" s="21" t="s">
        <v>1940</v>
      </c>
      <c r="E50" s="21">
        <v>6</v>
      </c>
      <c r="F50" s="21">
        <v>270982</v>
      </c>
      <c r="G50" s="42">
        <v>-0.14899999999999999</v>
      </c>
      <c r="H50" s="21" t="s">
        <v>1941</v>
      </c>
      <c r="I50" s="39">
        <f ca="1">IFERROR(__xludf.DUMMYFUNCTION("IF(SUM(COUNTIF(artists!A:A, SPLIT(D50, "",""))) &gt; 0, ""UA"", 0)"),0)</f>
        <v>0</v>
      </c>
      <c r="J50" s="40" t="str">
        <f ca="1">IFERROR(__xludf.DUMMYFUNCTION("IF(SUM(COUNTIF(artists!C:C, SPLIT(D50, "",""))) &gt; 0, ""RU"", 0)"),"RU")</f>
        <v>RU</v>
      </c>
      <c r="K50" s="39">
        <f ca="1">IFERROR(__xludf.DUMMYFUNCTION("IF(SUM(COUNTIF(artists!E:E, SPLIT(D50, "",""))) &gt; 0, ""OTHER"", 0)"),0)</f>
        <v>0</v>
      </c>
    </row>
    <row r="51" spans="1:11" ht="14.25" customHeight="1">
      <c r="A51" s="21">
        <v>50</v>
      </c>
      <c r="B51" s="21">
        <v>51</v>
      </c>
      <c r="C51" s="21" t="s">
        <v>1327</v>
      </c>
      <c r="D51" s="21" t="s">
        <v>89</v>
      </c>
      <c r="E51" s="21">
        <v>21</v>
      </c>
      <c r="F51" s="21">
        <v>270632</v>
      </c>
      <c r="G51" s="42">
        <v>2.1000000000000001E-2</v>
      </c>
      <c r="H51" s="21" t="s">
        <v>1328</v>
      </c>
      <c r="I51" s="39" t="str">
        <f ca="1">IFERROR(__xludf.DUMMYFUNCTION("IF(SUM(COUNTIF(artists!A:A, SPLIT(D51, "",""))) &gt; 0, ""UA"", 0)"),"UA")</f>
        <v>UA</v>
      </c>
      <c r="J51" s="40">
        <f ca="1">IFERROR(__xludf.DUMMYFUNCTION("IF(SUM(COUNTIF(artists!C:C, SPLIT(D51, "",""))) &gt; 0, ""RU"", 0)"),0)</f>
        <v>0</v>
      </c>
      <c r="K51" s="39">
        <f ca="1">IFERROR(__xludf.DUMMYFUNCTION("IF(SUM(COUNTIF(artists!E:E, SPLIT(D51, "",""))) &gt; 0, ""OTHER"", 0)"),0)</f>
        <v>0</v>
      </c>
    </row>
    <row r="52" spans="1:11" ht="14.25" customHeight="1">
      <c r="A52" s="21">
        <v>51</v>
      </c>
      <c r="B52" s="21">
        <v>46</v>
      </c>
      <c r="C52" s="21" t="s">
        <v>1483</v>
      </c>
      <c r="D52" s="21" t="s">
        <v>972</v>
      </c>
      <c r="E52" s="21">
        <v>12</v>
      </c>
      <c r="F52" s="21">
        <v>258775</v>
      </c>
      <c r="G52" s="42">
        <v>-6.7000000000000004E-2</v>
      </c>
      <c r="H52" s="21" t="s">
        <v>1484</v>
      </c>
      <c r="I52" s="39">
        <f ca="1">IFERROR(__xludf.DUMMYFUNCTION("IF(SUM(COUNTIF(artists!A:A, SPLIT(D52, "",""))) &gt; 0, ""UA"", 0)"),0)</f>
        <v>0</v>
      </c>
      <c r="J52" s="40">
        <f ca="1">IFERROR(__xludf.DUMMYFUNCTION("IF(SUM(COUNTIF(artists!C:C, SPLIT(D52, "",""))) &gt; 0, ""RU"", 0)"),0)</f>
        <v>0</v>
      </c>
      <c r="K52" s="39" t="str">
        <f ca="1">IFERROR(__xludf.DUMMYFUNCTION("IF(SUM(COUNTIF(artists!E:E, SPLIT(D52, "",""))) &gt; 0, ""OTHER"", 0)"),"OTHER")</f>
        <v>OTHER</v>
      </c>
    </row>
    <row r="53" spans="1:11" ht="14.25" customHeight="1">
      <c r="A53" s="21">
        <v>52</v>
      </c>
      <c r="B53" s="21">
        <v>59</v>
      </c>
      <c r="C53" s="21" t="s">
        <v>1863</v>
      </c>
      <c r="D53" s="21" t="s">
        <v>1660</v>
      </c>
      <c r="E53" s="21">
        <v>3</v>
      </c>
      <c r="F53" s="21">
        <v>241631</v>
      </c>
      <c r="G53" s="42">
        <v>5.1999999999999998E-2</v>
      </c>
      <c r="H53" s="21" t="s">
        <v>1864</v>
      </c>
      <c r="I53" s="39">
        <f ca="1">IFERROR(__xludf.DUMMYFUNCTION("IF(SUM(COUNTIF(artists!A:A, SPLIT(D53, "",""))) &gt; 0, ""UA"", 0)"),0)</f>
        <v>0</v>
      </c>
      <c r="J53" s="40" t="str">
        <f ca="1">IFERROR(__xludf.DUMMYFUNCTION("IF(SUM(COUNTIF(artists!C:C, SPLIT(D53, "",""))) &gt; 0, ""RU"", 0)"),"RU")</f>
        <v>RU</v>
      </c>
      <c r="K53" s="39">
        <f ca="1">IFERROR(__xludf.DUMMYFUNCTION("IF(SUM(COUNTIF(artists!E:E, SPLIT(D53, "",""))) &gt; 0, ""OTHER"", 0)"),0)</f>
        <v>0</v>
      </c>
    </row>
    <row r="54" spans="1:11" ht="14.25" customHeight="1">
      <c r="A54" s="21">
        <v>53</v>
      </c>
      <c r="B54" s="21">
        <v>54</v>
      </c>
      <c r="C54" s="21" t="s">
        <v>2007</v>
      </c>
      <c r="D54" s="21" t="s">
        <v>1652</v>
      </c>
      <c r="E54" s="21">
        <v>15</v>
      </c>
      <c r="F54" s="21">
        <v>238346</v>
      </c>
      <c r="G54" s="42">
        <v>-3.2000000000000001E-2</v>
      </c>
      <c r="H54" s="21" t="s">
        <v>2008</v>
      </c>
      <c r="I54" s="39">
        <f ca="1">IFERROR(__xludf.DUMMYFUNCTION("IF(SUM(COUNTIF(artists!A:A, SPLIT(D54, "",""))) &gt; 0, ""UA"", 0)"),0)</f>
        <v>0</v>
      </c>
      <c r="J54" s="40" t="str">
        <f ca="1">IFERROR(__xludf.DUMMYFUNCTION("IF(SUM(COUNTIF(artists!C:C, SPLIT(D54, "",""))) &gt; 0, ""RU"", 0)"),"RU")</f>
        <v>RU</v>
      </c>
      <c r="K54" s="39">
        <f ca="1">IFERROR(__xludf.DUMMYFUNCTION("IF(SUM(COUNTIF(artists!E:E, SPLIT(D54, "",""))) &gt; 0, ""OTHER"", 0)"),0)</f>
        <v>0</v>
      </c>
    </row>
    <row r="55" spans="1:11" ht="14.25" customHeight="1">
      <c r="A55" s="21">
        <v>54</v>
      </c>
      <c r="B55" s="21">
        <v>58</v>
      </c>
      <c r="C55" s="21" t="s">
        <v>2101</v>
      </c>
      <c r="D55" s="21" t="s">
        <v>2102</v>
      </c>
      <c r="E55" s="21">
        <v>9</v>
      </c>
      <c r="F55" s="21">
        <v>224598</v>
      </c>
      <c r="G55" s="42">
        <v>-5.2999999999999999E-2</v>
      </c>
      <c r="H55" s="21" t="s">
        <v>2103</v>
      </c>
      <c r="I55" s="39">
        <f ca="1">IFERROR(__xludf.DUMMYFUNCTION("IF(SUM(COUNTIF(artists!A:A, SPLIT(D55, "",""))) &gt; 0, ""UA"", 0)"),0)</f>
        <v>0</v>
      </c>
      <c r="J55" s="40" t="str">
        <f ca="1">IFERROR(__xludf.DUMMYFUNCTION("IF(SUM(COUNTIF(artists!C:C, SPLIT(D55, "",""))) &gt; 0, ""RU"", 0)"),"RU")</f>
        <v>RU</v>
      </c>
      <c r="K55" s="39">
        <f ca="1">IFERROR(__xludf.DUMMYFUNCTION("IF(SUM(COUNTIF(artists!E:E, SPLIT(D55, "",""))) &gt; 0, ""OTHER"", 0)"),0)</f>
        <v>0</v>
      </c>
    </row>
    <row r="56" spans="1:11" ht="14.25" customHeight="1">
      <c r="A56" s="21">
        <v>55</v>
      </c>
      <c r="B56" s="21">
        <v>57</v>
      </c>
      <c r="C56" s="21" t="s">
        <v>2094</v>
      </c>
      <c r="D56" s="21" t="s">
        <v>104</v>
      </c>
      <c r="E56" s="21">
        <v>10</v>
      </c>
      <c r="F56" s="21">
        <v>223695</v>
      </c>
      <c r="G56" s="42">
        <v>-6.4000000000000001E-2</v>
      </c>
      <c r="H56" s="21" t="s">
        <v>2095</v>
      </c>
      <c r="I56" s="39" t="str">
        <f ca="1">IFERROR(__xludf.DUMMYFUNCTION("IF(SUM(COUNTIF(artists!A:A, SPLIT(D56, "",""))) &gt; 0, ""UA"", 0)"),"UA")</f>
        <v>UA</v>
      </c>
      <c r="J56" s="40">
        <f ca="1">IFERROR(__xludf.DUMMYFUNCTION("IF(SUM(COUNTIF(artists!C:C, SPLIT(D56, "",""))) &gt; 0, ""RU"", 0)"),0)</f>
        <v>0</v>
      </c>
      <c r="K56" s="39">
        <f ca="1">IFERROR(__xludf.DUMMYFUNCTION("IF(SUM(COUNTIF(artists!E:E, SPLIT(D56, "",""))) &gt; 0, ""OTHER"", 0)"),0)</f>
        <v>0</v>
      </c>
    </row>
    <row r="57" spans="1:11" ht="14.25" customHeight="1">
      <c r="A57" s="21">
        <v>56</v>
      </c>
      <c r="C57" s="21" t="s">
        <v>2199</v>
      </c>
      <c r="D57" s="21" t="s">
        <v>1954</v>
      </c>
      <c r="E57" s="21">
        <v>1</v>
      </c>
      <c r="F57" s="21">
        <v>221226</v>
      </c>
      <c r="H57" s="21" t="s">
        <v>2200</v>
      </c>
      <c r="I57" s="39">
        <f ca="1">IFERROR(__xludf.DUMMYFUNCTION("IF(SUM(COUNTIF(artists!A:A, SPLIT(D57, "",""))) &gt; 0, ""UA"", 0)"),0)</f>
        <v>0</v>
      </c>
      <c r="J57" s="40" t="str">
        <f ca="1">IFERROR(__xludf.DUMMYFUNCTION("IF(SUM(COUNTIF(artists!C:C, SPLIT(D57, "",""))) &gt; 0, ""RU"", 0)"),"RU")</f>
        <v>RU</v>
      </c>
      <c r="K57" s="39">
        <f ca="1">IFERROR(__xludf.DUMMYFUNCTION("IF(SUM(COUNTIF(artists!E:E, SPLIT(D57, "",""))) &gt; 0, ""OTHER"", 0)"),0)</f>
        <v>0</v>
      </c>
    </row>
    <row r="58" spans="1:11" ht="14.25" customHeight="1">
      <c r="A58" s="21">
        <v>57</v>
      </c>
      <c r="B58" s="21">
        <v>55</v>
      </c>
      <c r="C58" s="21" t="s">
        <v>613</v>
      </c>
      <c r="D58" s="21" t="s">
        <v>614</v>
      </c>
      <c r="E58" s="21">
        <v>7</v>
      </c>
      <c r="F58" s="21">
        <v>219525</v>
      </c>
      <c r="G58" s="42">
        <v>-0.105</v>
      </c>
      <c r="H58" s="21" t="s">
        <v>615</v>
      </c>
      <c r="I58" s="39">
        <f ca="1">IFERROR(__xludf.DUMMYFUNCTION("IF(SUM(COUNTIF(artists!A:A, SPLIT(D58, "",""))) &gt; 0, ""UA"", 0)"),0)</f>
        <v>0</v>
      </c>
      <c r="J58" s="40" t="str">
        <f ca="1">IFERROR(__xludf.DUMMYFUNCTION("IF(SUM(COUNTIF(artists!C:C, SPLIT(D58, "",""))) &gt; 0, ""RU"", 0)"),"RU")</f>
        <v>RU</v>
      </c>
      <c r="K58" s="39">
        <f ca="1">IFERROR(__xludf.DUMMYFUNCTION("IF(SUM(COUNTIF(artists!E:E, SPLIT(D58, "",""))) &gt; 0, ""OTHER"", 0)"),0)</f>
        <v>0</v>
      </c>
    </row>
    <row r="59" spans="1:11" ht="14.25" customHeight="1">
      <c r="A59" s="21">
        <v>58</v>
      </c>
      <c r="C59" s="21" t="s">
        <v>1392</v>
      </c>
      <c r="D59" s="21" t="s">
        <v>1393</v>
      </c>
      <c r="E59" s="21">
        <v>1</v>
      </c>
      <c r="F59" s="21">
        <v>219452</v>
      </c>
      <c r="H59" s="21" t="s">
        <v>1394</v>
      </c>
      <c r="I59" s="39">
        <f ca="1">IFERROR(__xludf.DUMMYFUNCTION("IF(SUM(COUNTIF(artists!A:A, SPLIT(D59, "",""))) &gt; 0, ""UA"", 0)"),0)</f>
        <v>0</v>
      </c>
      <c r="J59" s="40" t="str">
        <f ca="1">IFERROR(__xludf.DUMMYFUNCTION("IF(SUM(COUNTIF(artists!C:C, SPLIT(D59, "",""))) &gt; 0, ""RU"", 0)"),"RU")</f>
        <v>RU</v>
      </c>
      <c r="K59" s="39">
        <f ca="1">IFERROR(__xludf.DUMMYFUNCTION("IF(SUM(COUNTIF(artists!E:E, SPLIT(D59, "",""))) &gt; 0, ""OTHER"", 0)"),0)</f>
        <v>0</v>
      </c>
    </row>
    <row r="60" spans="1:11" ht="14.25" customHeight="1">
      <c r="A60" s="21">
        <v>59</v>
      </c>
      <c r="B60" s="21">
        <v>62</v>
      </c>
      <c r="C60" s="21" t="s">
        <v>1337</v>
      </c>
      <c r="D60" s="21" t="s">
        <v>1338</v>
      </c>
      <c r="E60" s="21">
        <v>5</v>
      </c>
      <c r="F60" s="21">
        <v>215937</v>
      </c>
      <c r="G60" s="42">
        <v>1.7000000000000001E-2</v>
      </c>
      <c r="H60" s="21" t="s">
        <v>1339</v>
      </c>
      <c r="I60" s="39">
        <f ca="1">IFERROR(__xludf.DUMMYFUNCTION("IF(SUM(COUNTIF(artists!A:A, SPLIT(D60, "",""))) &gt; 0, ""UA"", 0)"),0)</f>
        <v>0</v>
      </c>
      <c r="J60" s="40">
        <f ca="1">IFERROR(__xludf.DUMMYFUNCTION("IF(SUM(COUNTIF(artists!C:C, SPLIT(D60, "",""))) &gt; 0, ""RU"", 0)"),0)</f>
        <v>0</v>
      </c>
      <c r="K60" s="39" t="str">
        <f ca="1">IFERROR(__xludf.DUMMYFUNCTION("IF(SUM(COUNTIF(artists!E:E, SPLIT(D60, "",""))) &gt; 0, ""OTHER"", 0)"),"OTHER")</f>
        <v>OTHER</v>
      </c>
    </row>
    <row r="61" spans="1:11" ht="14.25" customHeight="1">
      <c r="A61" s="21">
        <v>60</v>
      </c>
      <c r="B61" s="21">
        <v>67</v>
      </c>
      <c r="C61" s="21" t="s">
        <v>968</v>
      </c>
      <c r="D61" s="21" t="s">
        <v>969</v>
      </c>
      <c r="E61" s="21">
        <v>7</v>
      </c>
      <c r="F61" s="21">
        <v>210459</v>
      </c>
      <c r="G61" s="42">
        <v>8.4000000000000005E-2</v>
      </c>
      <c r="H61" s="21" t="s">
        <v>970</v>
      </c>
      <c r="I61" s="39" t="str">
        <f ca="1">IFERROR(__xludf.DUMMYFUNCTION("IF(SUM(COUNTIF(artists!A:A, SPLIT(D61, "",""))) &gt; 0, ""UA"", 0)"),"UA")</f>
        <v>UA</v>
      </c>
      <c r="J61" s="40">
        <f ca="1">IFERROR(__xludf.DUMMYFUNCTION("IF(SUM(COUNTIF(artists!C:C, SPLIT(D61, "",""))) &gt; 0, ""RU"", 0)"),0)</f>
        <v>0</v>
      </c>
      <c r="K61" s="39">
        <f ca="1">IFERROR(__xludf.DUMMYFUNCTION("IF(SUM(COUNTIF(artists!E:E, SPLIT(D61, "",""))) &gt; 0, ""OTHER"", 0)"),0)</f>
        <v>0</v>
      </c>
    </row>
    <row r="62" spans="1:11" ht="14.25" customHeight="1">
      <c r="A62" s="21">
        <v>61</v>
      </c>
      <c r="B62" s="21">
        <v>65</v>
      </c>
      <c r="C62" s="21" t="s">
        <v>2104</v>
      </c>
      <c r="D62" s="21" t="s">
        <v>2105</v>
      </c>
      <c r="E62" s="21">
        <v>5</v>
      </c>
      <c r="F62" s="21">
        <v>206873</v>
      </c>
      <c r="G62" s="42">
        <v>-1E-3</v>
      </c>
      <c r="H62" s="21" t="s">
        <v>2106</v>
      </c>
      <c r="I62" s="39">
        <f ca="1">IFERROR(__xludf.DUMMYFUNCTION("IF(SUM(COUNTIF(artists!A:A, SPLIT(D62, "",""))) &gt; 0, ""UA"", 0)"),0)</f>
        <v>0</v>
      </c>
      <c r="J62" s="40" t="str">
        <f ca="1">IFERROR(__xludf.DUMMYFUNCTION("IF(SUM(COUNTIF(artists!C:C, SPLIT(D62, "",""))) &gt; 0, ""RU"", 0)"),"RU")</f>
        <v>RU</v>
      </c>
      <c r="K62" s="39">
        <f ca="1">IFERROR(__xludf.DUMMYFUNCTION("IF(SUM(COUNTIF(artists!E:E, SPLIT(D62, "",""))) &gt; 0, ""OTHER"", 0)"),0)</f>
        <v>0</v>
      </c>
    </row>
    <row r="63" spans="1:11" ht="14.25" customHeight="1">
      <c r="A63" s="21">
        <v>62</v>
      </c>
      <c r="B63" s="21">
        <v>68</v>
      </c>
      <c r="C63" s="21" t="s">
        <v>2054</v>
      </c>
      <c r="D63" s="21" t="s">
        <v>2055</v>
      </c>
      <c r="E63" s="21">
        <v>7</v>
      </c>
      <c r="F63" s="21">
        <v>202565</v>
      </c>
      <c r="G63" s="43">
        <v>0.05</v>
      </c>
      <c r="H63" s="21" t="s">
        <v>2056</v>
      </c>
      <c r="I63" s="39">
        <f ca="1">IFERROR(__xludf.DUMMYFUNCTION("IF(SUM(COUNTIF(artists!A:A, SPLIT(D63, "",""))) &gt; 0, ""UA"", 0)"),0)</f>
        <v>0</v>
      </c>
      <c r="J63" s="40">
        <f ca="1">IFERROR(__xludf.DUMMYFUNCTION("IF(SUM(COUNTIF(artists!C:C, SPLIT(D63, "",""))) &gt; 0, ""RU"", 0)"),0)</f>
        <v>0</v>
      </c>
      <c r="K63" s="39" t="str">
        <f ca="1">IFERROR(__xludf.DUMMYFUNCTION("IF(SUM(COUNTIF(artists!E:E, SPLIT(D63, "",""))) &gt; 0, ""OTHER"", 0)"),"OTHER")</f>
        <v>OTHER</v>
      </c>
    </row>
    <row r="64" spans="1:11" ht="14.25" customHeight="1">
      <c r="A64" s="21">
        <v>63</v>
      </c>
      <c r="B64" s="21">
        <v>63</v>
      </c>
      <c r="C64" s="21" t="s">
        <v>2129</v>
      </c>
      <c r="D64" s="21" t="s">
        <v>1652</v>
      </c>
      <c r="E64" s="21">
        <v>15</v>
      </c>
      <c r="F64" s="21">
        <v>198242</v>
      </c>
      <c r="G64" s="42">
        <v>-6.6000000000000003E-2</v>
      </c>
      <c r="H64" s="21" t="s">
        <v>2130</v>
      </c>
      <c r="I64" s="39">
        <f ca="1">IFERROR(__xludf.DUMMYFUNCTION("IF(SUM(COUNTIF(artists!A:A, SPLIT(D64, "",""))) &gt; 0, ""UA"", 0)"),0)</f>
        <v>0</v>
      </c>
      <c r="J64" s="40" t="str">
        <f ca="1">IFERROR(__xludf.DUMMYFUNCTION("IF(SUM(COUNTIF(artists!C:C, SPLIT(D64, "",""))) &gt; 0, ""RU"", 0)"),"RU")</f>
        <v>RU</v>
      </c>
      <c r="K64" s="39">
        <f ca="1">IFERROR(__xludf.DUMMYFUNCTION("IF(SUM(COUNTIF(artists!E:E, SPLIT(D64, "",""))) &gt; 0, ""OTHER"", 0)"),0)</f>
        <v>0</v>
      </c>
    </row>
    <row r="65" spans="1:11" ht="14.25" customHeight="1">
      <c r="A65" s="21">
        <v>64</v>
      </c>
      <c r="C65" s="21" t="s">
        <v>2201</v>
      </c>
      <c r="D65" s="21" t="s">
        <v>1730</v>
      </c>
      <c r="E65" s="21">
        <v>21</v>
      </c>
      <c r="F65" s="21">
        <v>197363</v>
      </c>
      <c r="H65" s="21" t="s">
        <v>2202</v>
      </c>
      <c r="I65" s="39">
        <f ca="1">IFERROR(__xludf.DUMMYFUNCTION("IF(SUM(COUNTIF(artists!A:A, SPLIT(D65, "",""))) &gt; 0, ""UA"", 0)"),0)</f>
        <v>0</v>
      </c>
      <c r="J65" s="40" t="str">
        <f ca="1">IFERROR(__xludf.DUMMYFUNCTION("IF(SUM(COUNTIF(artists!C:C, SPLIT(D65, "",""))) &gt; 0, ""RU"", 0)"),"RU")</f>
        <v>RU</v>
      </c>
      <c r="K65" s="39">
        <f ca="1">IFERROR(__xludf.DUMMYFUNCTION("IF(SUM(COUNTIF(artists!E:E, SPLIT(D65, "",""))) &gt; 0, ""OTHER"", 0)"),0)</f>
        <v>0</v>
      </c>
    </row>
    <row r="66" spans="1:11" ht="14.25" customHeight="1">
      <c r="A66" s="21">
        <v>65</v>
      </c>
      <c r="B66" s="21">
        <v>56</v>
      </c>
      <c r="C66" s="21" t="s">
        <v>2134</v>
      </c>
      <c r="D66" s="21" t="s">
        <v>2135</v>
      </c>
      <c r="E66" s="21">
        <v>4</v>
      </c>
      <c r="F66" s="21">
        <v>195229</v>
      </c>
      <c r="G66" s="42">
        <v>-0.19800000000000001</v>
      </c>
      <c r="H66" s="21" t="s">
        <v>2136</v>
      </c>
      <c r="I66" s="39" t="str">
        <f ca="1">IFERROR(__xludf.DUMMYFUNCTION("IF(SUM(COUNTIF(artists!A:A, SPLIT(D66, "",""))) &gt; 0, ""UA"", 0)"),"UA")</f>
        <v>UA</v>
      </c>
      <c r="J66" s="40">
        <f ca="1">IFERROR(__xludf.DUMMYFUNCTION("IF(SUM(COUNTIF(artists!C:C, SPLIT(D66, "",""))) &gt; 0, ""RU"", 0)"),0)</f>
        <v>0</v>
      </c>
      <c r="K66" s="39">
        <f ca="1">IFERROR(__xludf.DUMMYFUNCTION("IF(SUM(COUNTIF(artists!E:E, SPLIT(D66, "",""))) &gt; 0, ""OTHER"", 0)"),0)</f>
        <v>0</v>
      </c>
    </row>
    <row r="67" spans="1:11" ht="14.25" customHeight="1">
      <c r="A67" s="21">
        <v>66</v>
      </c>
      <c r="C67" s="21" t="s">
        <v>1498</v>
      </c>
      <c r="D67" s="21" t="s">
        <v>969</v>
      </c>
      <c r="E67" s="21">
        <v>21</v>
      </c>
      <c r="F67" s="21">
        <v>194645</v>
      </c>
      <c r="H67" s="21" t="s">
        <v>1499</v>
      </c>
      <c r="I67" s="39" t="str">
        <f ca="1">IFERROR(__xludf.DUMMYFUNCTION("IF(SUM(COUNTIF(artists!A:A, SPLIT(D67, "",""))) &gt; 0, ""UA"", 0)"),"UA")</f>
        <v>UA</v>
      </c>
      <c r="J67" s="40">
        <f ca="1">IFERROR(__xludf.DUMMYFUNCTION("IF(SUM(COUNTIF(artists!C:C, SPLIT(D67, "",""))) &gt; 0, ""RU"", 0)"),0)</f>
        <v>0</v>
      </c>
      <c r="K67" s="39">
        <f ca="1">IFERROR(__xludf.DUMMYFUNCTION("IF(SUM(COUNTIF(artists!E:E, SPLIT(D67, "",""))) &gt; 0, ""OTHER"", 0)"),0)</f>
        <v>0</v>
      </c>
    </row>
    <row r="68" spans="1:11" ht="14.25" customHeight="1">
      <c r="A68" s="21">
        <v>67</v>
      </c>
      <c r="B68" s="21">
        <v>69</v>
      </c>
      <c r="C68" s="21" t="s">
        <v>2109</v>
      </c>
      <c r="D68" s="21" t="s">
        <v>2110</v>
      </c>
      <c r="E68" s="21">
        <v>5</v>
      </c>
      <c r="F68" s="21">
        <v>194358</v>
      </c>
      <c r="G68" s="43">
        <v>0.01</v>
      </c>
      <c r="H68" s="21" t="s">
        <v>2111</v>
      </c>
      <c r="I68" s="39">
        <f ca="1">IFERROR(__xludf.DUMMYFUNCTION("IF(SUM(COUNTIF(artists!A:A, SPLIT(D68, "",""))) &gt; 0, ""UA"", 0)"),0)</f>
        <v>0</v>
      </c>
      <c r="J68" s="40" t="str">
        <f ca="1">IFERROR(__xludf.DUMMYFUNCTION("IF(SUM(COUNTIF(artists!C:C, SPLIT(D68, "",""))) &gt; 0, ""RU"", 0)"),"RU")</f>
        <v>RU</v>
      </c>
      <c r="K68" s="39">
        <f ca="1">IFERROR(__xludf.DUMMYFUNCTION("IF(SUM(COUNTIF(artists!E:E, SPLIT(D68, "",""))) &gt; 0, ""OTHER"", 0)"),0)</f>
        <v>0</v>
      </c>
    </row>
    <row r="69" spans="1:11" ht="14.25" customHeight="1">
      <c r="A69" s="21">
        <v>68</v>
      </c>
      <c r="B69" s="21">
        <v>70</v>
      </c>
      <c r="C69" s="21" t="s">
        <v>2154</v>
      </c>
      <c r="D69" s="21" t="s">
        <v>1646</v>
      </c>
      <c r="E69" s="21">
        <v>18</v>
      </c>
      <c r="F69" s="21">
        <v>192363</v>
      </c>
      <c r="G69" s="42">
        <v>5.6000000000000001E-2</v>
      </c>
      <c r="H69" s="21" t="s">
        <v>2155</v>
      </c>
      <c r="I69" s="39">
        <f ca="1">IFERROR(__xludf.DUMMYFUNCTION("IF(SUM(COUNTIF(artists!A:A, SPLIT(D69, "",""))) &gt; 0, ""UA"", 0)"),0)</f>
        <v>0</v>
      </c>
      <c r="J69" s="40" t="str">
        <f ca="1">IFERROR(__xludf.DUMMYFUNCTION("IF(SUM(COUNTIF(artists!C:C, SPLIT(D69, "",""))) &gt; 0, ""RU"", 0)"),"RU")</f>
        <v>RU</v>
      </c>
      <c r="K69" s="39">
        <f ca="1">IFERROR(__xludf.DUMMYFUNCTION("IF(SUM(COUNTIF(artists!E:E, SPLIT(D69, "",""))) &gt; 0, ""OTHER"", 0)"),0)</f>
        <v>0</v>
      </c>
    </row>
    <row r="70" spans="1:11" ht="14.25" customHeight="1">
      <c r="A70" s="21">
        <v>69</v>
      </c>
      <c r="B70" s="21">
        <v>94</v>
      </c>
      <c r="C70" s="21" t="s">
        <v>530</v>
      </c>
      <c r="D70" s="21" t="s">
        <v>531</v>
      </c>
      <c r="E70" s="21">
        <v>19</v>
      </c>
      <c r="F70" s="21">
        <v>189158</v>
      </c>
      <c r="G70" s="42">
        <v>0.22800000000000001</v>
      </c>
      <c r="H70" s="21" t="s">
        <v>532</v>
      </c>
      <c r="I70" s="39">
        <f ca="1">IFERROR(__xludf.DUMMYFUNCTION("IF(SUM(COUNTIF(artists!A:A, SPLIT(D70, "",""))) &gt; 0, ""UA"", 0)"),0)</f>
        <v>0</v>
      </c>
      <c r="J70" s="40" t="str">
        <f ca="1">IFERROR(__xludf.DUMMYFUNCTION("IF(SUM(COUNTIF(artists!C:C, SPLIT(D70, "",""))) &gt; 0, ""RU"", 0)"),"RU")</f>
        <v>RU</v>
      </c>
      <c r="K70" s="39">
        <f ca="1">IFERROR(__xludf.DUMMYFUNCTION("IF(SUM(COUNTIF(artists!E:E, SPLIT(D70, "",""))) &gt; 0, ""OTHER"", 0)"),0)</f>
        <v>0</v>
      </c>
    </row>
    <row r="71" spans="1:11" ht="14.25" customHeight="1">
      <c r="A71" s="21">
        <v>70</v>
      </c>
      <c r="C71" s="21" t="s">
        <v>2203</v>
      </c>
      <c r="D71" s="21" t="s">
        <v>2204</v>
      </c>
      <c r="E71" s="21">
        <v>1</v>
      </c>
      <c r="F71" s="21">
        <v>187790</v>
      </c>
      <c r="H71" s="21" t="s">
        <v>2205</v>
      </c>
      <c r="I71" s="39">
        <f ca="1">IFERROR(__xludf.DUMMYFUNCTION("IF(SUM(COUNTIF(artists!A:A, SPLIT(D71, "",""))) &gt; 0, ""UA"", 0)"),0)</f>
        <v>0</v>
      </c>
      <c r="J71" s="40" t="str">
        <f ca="1">IFERROR(__xludf.DUMMYFUNCTION("IF(SUM(COUNTIF(artists!C:C, SPLIT(D71, "",""))) &gt; 0, ""RU"", 0)"),"RU")</f>
        <v>RU</v>
      </c>
      <c r="K71" s="39">
        <f ca="1">IFERROR(__xludf.DUMMYFUNCTION("IF(SUM(COUNTIF(artists!E:E, SPLIT(D71, "",""))) &gt; 0, ""OTHER"", 0)"),0)</f>
        <v>0</v>
      </c>
    </row>
    <row r="72" spans="1:11" ht="14.25" customHeight="1">
      <c r="A72" s="21">
        <v>71</v>
      </c>
      <c r="C72" s="21" t="s">
        <v>1713</v>
      </c>
      <c r="D72" s="21" t="s">
        <v>969</v>
      </c>
      <c r="E72" s="21">
        <v>24</v>
      </c>
      <c r="F72" s="21">
        <v>187423</v>
      </c>
      <c r="H72" s="21" t="s">
        <v>1714</v>
      </c>
      <c r="I72" s="39" t="str">
        <f ca="1">IFERROR(__xludf.DUMMYFUNCTION("IF(SUM(COUNTIF(artists!A:A, SPLIT(D72, "",""))) &gt; 0, ""UA"", 0)"),"UA")</f>
        <v>UA</v>
      </c>
      <c r="J72" s="40">
        <f ca="1">IFERROR(__xludf.DUMMYFUNCTION("IF(SUM(COUNTIF(artists!C:C, SPLIT(D72, "",""))) &gt; 0, ""RU"", 0)"),0)</f>
        <v>0</v>
      </c>
      <c r="K72" s="39">
        <f ca="1">IFERROR(__xludf.DUMMYFUNCTION("IF(SUM(COUNTIF(artists!E:E, SPLIT(D72, "",""))) &gt; 0, ""OTHER"", 0)"),0)</f>
        <v>0</v>
      </c>
    </row>
    <row r="73" spans="1:11" ht="14.25" customHeight="1">
      <c r="A73" s="21">
        <v>72</v>
      </c>
      <c r="C73" s="21" t="s">
        <v>2206</v>
      </c>
      <c r="D73" s="21" t="s">
        <v>2207</v>
      </c>
      <c r="E73" s="21">
        <v>1</v>
      </c>
      <c r="F73" s="21">
        <v>186067</v>
      </c>
      <c r="H73" s="21" t="s">
        <v>2208</v>
      </c>
      <c r="I73" s="39">
        <f ca="1">IFERROR(__xludf.DUMMYFUNCTION("IF(SUM(COUNTIF(artists!A:A, SPLIT(D73, "",""))) &gt; 0, ""UA"", 0)"),0)</f>
        <v>0</v>
      </c>
      <c r="J73" s="40" t="str">
        <f ca="1">IFERROR(__xludf.DUMMYFUNCTION("IF(SUM(COUNTIF(artists!C:C, SPLIT(D73, "",""))) &gt; 0, ""RU"", 0)"),"RU")</f>
        <v>RU</v>
      </c>
      <c r="K73" s="39">
        <f ca="1">IFERROR(__xludf.DUMMYFUNCTION("IF(SUM(COUNTIF(artists!E:E, SPLIT(D73, "",""))) &gt; 0, ""OTHER"", 0)"),0)</f>
        <v>0</v>
      </c>
    </row>
    <row r="74" spans="1:11" ht="14.25" customHeight="1">
      <c r="A74" s="21">
        <v>73</v>
      </c>
      <c r="B74" s="21">
        <v>71</v>
      </c>
      <c r="C74" s="21" t="s">
        <v>1984</v>
      </c>
      <c r="D74" s="21" t="s">
        <v>1985</v>
      </c>
      <c r="E74" s="21">
        <v>2</v>
      </c>
      <c r="F74" s="21">
        <v>185977</v>
      </c>
      <c r="G74" s="42">
        <v>2.3E-2</v>
      </c>
      <c r="H74" s="21" t="s">
        <v>1986</v>
      </c>
      <c r="I74" s="39">
        <f ca="1">IFERROR(__xludf.DUMMYFUNCTION("IF(SUM(COUNTIF(artists!A:A, SPLIT(D74, "",""))) &gt; 0, ""UA"", 0)"),0)</f>
        <v>0</v>
      </c>
      <c r="J74" s="40" t="str">
        <f ca="1">IFERROR(__xludf.DUMMYFUNCTION("IF(SUM(COUNTIF(artists!C:C, SPLIT(D74, "",""))) &gt; 0, ""RU"", 0)"),"RU")</f>
        <v>RU</v>
      </c>
      <c r="K74" s="39">
        <f ca="1">IFERROR(__xludf.DUMMYFUNCTION("IF(SUM(COUNTIF(artists!E:E, SPLIT(D74, "",""))) &gt; 0, ""OTHER"", 0)"),0)</f>
        <v>0</v>
      </c>
    </row>
    <row r="75" spans="1:11" ht="14.25" customHeight="1">
      <c r="A75" s="21">
        <v>74</v>
      </c>
      <c r="B75" s="21">
        <v>60</v>
      </c>
      <c r="C75" s="21" t="s">
        <v>2209</v>
      </c>
      <c r="D75" s="21" t="s">
        <v>2132</v>
      </c>
      <c r="E75" s="21">
        <v>6</v>
      </c>
      <c r="F75" s="21">
        <v>181444</v>
      </c>
      <c r="G75" s="42">
        <v>-0.16900000000000001</v>
      </c>
      <c r="H75" s="21" t="s">
        <v>2210</v>
      </c>
      <c r="I75" s="39">
        <f ca="1">IFERROR(__xludf.DUMMYFUNCTION("IF(SUM(COUNTIF(artists!A:A, SPLIT(D75, "",""))) &gt; 0, ""UA"", 0)"),0)</f>
        <v>0</v>
      </c>
      <c r="J75" s="40" t="str">
        <f ca="1">IFERROR(__xludf.DUMMYFUNCTION("IF(SUM(COUNTIF(artists!C:C, SPLIT(D75, "",""))) &gt; 0, ""RU"", 0)"),"RU")</f>
        <v>RU</v>
      </c>
      <c r="K75" s="39">
        <f ca="1">IFERROR(__xludf.DUMMYFUNCTION("IF(SUM(COUNTIF(artists!E:E, SPLIT(D75, "",""))) &gt; 0, ""OTHER"", 0)"),0)</f>
        <v>0</v>
      </c>
    </row>
    <row r="76" spans="1:11" ht="14.25" customHeight="1">
      <c r="A76" s="21">
        <v>75</v>
      </c>
      <c r="B76" s="21">
        <v>74</v>
      </c>
      <c r="C76" s="21" t="s">
        <v>2161</v>
      </c>
      <c r="D76" s="21" t="s">
        <v>698</v>
      </c>
      <c r="E76" s="21">
        <v>7</v>
      </c>
      <c r="F76" s="21">
        <v>179113</v>
      </c>
      <c r="G76" s="42">
        <v>-5.0000000000000001E-3</v>
      </c>
      <c r="H76" s="21" t="s">
        <v>2162</v>
      </c>
      <c r="I76" s="39">
        <f ca="1">IFERROR(__xludf.DUMMYFUNCTION("IF(SUM(COUNTIF(artists!A:A, SPLIT(D76, "",""))) &gt; 0, ""UA"", 0)"),0)</f>
        <v>0</v>
      </c>
      <c r="J76" s="40" t="str">
        <f ca="1">IFERROR(__xludf.DUMMYFUNCTION("IF(SUM(COUNTIF(artists!C:C, SPLIT(D76, "",""))) &gt; 0, ""RU"", 0)"),"RU")</f>
        <v>RU</v>
      </c>
      <c r="K76" s="39">
        <f ca="1">IFERROR(__xludf.DUMMYFUNCTION("IF(SUM(COUNTIF(artists!E:E, SPLIT(D76, "",""))) &gt; 0, ""OTHER"", 0)"),0)</f>
        <v>0</v>
      </c>
    </row>
    <row r="77" spans="1:11" ht="14.25" customHeight="1">
      <c r="A77" s="21">
        <v>76</v>
      </c>
      <c r="B77" s="21">
        <v>66</v>
      </c>
      <c r="C77" s="21" t="s">
        <v>2182</v>
      </c>
      <c r="D77" s="21" t="s">
        <v>2183</v>
      </c>
      <c r="E77" s="21">
        <v>10</v>
      </c>
      <c r="F77" s="21">
        <v>171896</v>
      </c>
      <c r="G77" s="42">
        <v>-0.153</v>
      </c>
      <c r="H77" s="21" t="s">
        <v>2184</v>
      </c>
      <c r="I77" s="39">
        <f ca="1">IFERROR(__xludf.DUMMYFUNCTION("IF(SUM(COUNTIF(artists!A:A, SPLIT(D77, "",""))) &gt; 0, ""UA"", 0)"),0)</f>
        <v>0</v>
      </c>
      <c r="J77" s="40" t="str">
        <f ca="1">IFERROR(__xludf.DUMMYFUNCTION("IF(SUM(COUNTIF(artists!C:C, SPLIT(D77, "",""))) &gt; 0, ""RU"", 0)"),"RU")</f>
        <v>RU</v>
      </c>
      <c r="K77" s="39">
        <f ca="1">IFERROR(__xludf.DUMMYFUNCTION("IF(SUM(COUNTIF(artists!E:E, SPLIT(D77, "",""))) &gt; 0, ""OTHER"", 0)"),0)</f>
        <v>0</v>
      </c>
    </row>
    <row r="78" spans="1:11" ht="14.25" customHeight="1">
      <c r="A78" s="21">
        <v>77</v>
      </c>
      <c r="B78" s="21">
        <v>83</v>
      </c>
      <c r="C78" s="21" t="s">
        <v>2114</v>
      </c>
      <c r="D78" s="21" t="s">
        <v>2115</v>
      </c>
      <c r="E78" s="21">
        <v>9</v>
      </c>
      <c r="F78" s="21">
        <v>171162</v>
      </c>
      <c r="G78" s="42">
        <v>1.7000000000000001E-2</v>
      </c>
      <c r="H78" s="21" t="s">
        <v>2116</v>
      </c>
      <c r="I78" s="39">
        <f ca="1">IFERROR(__xludf.DUMMYFUNCTION("IF(SUM(COUNTIF(artists!A:A, SPLIT(D78, "",""))) &gt; 0, ""UA"", 0)"),0)</f>
        <v>0</v>
      </c>
      <c r="J78" s="40" t="str">
        <f ca="1">IFERROR(__xludf.DUMMYFUNCTION("IF(SUM(COUNTIF(artists!C:C, SPLIT(D78, "",""))) &gt; 0, ""RU"", 0)"),"RU")</f>
        <v>RU</v>
      </c>
      <c r="K78" s="39">
        <f ca="1">IFERROR(__xludf.DUMMYFUNCTION("IF(SUM(COUNTIF(artists!E:E, SPLIT(D78, "",""))) &gt; 0, ""OTHER"", 0)"),0)</f>
        <v>0</v>
      </c>
    </row>
    <row r="79" spans="1:11" ht="14.25" customHeight="1">
      <c r="A79" s="21">
        <v>78</v>
      </c>
      <c r="B79" s="21">
        <v>76</v>
      </c>
      <c r="C79" s="21" t="s">
        <v>2211</v>
      </c>
      <c r="D79" s="21" t="s">
        <v>1951</v>
      </c>
      <c r="E79" s="21">
        <v>20</v>
      </c>
      <c r="F79" s="21">
        <v>168112</v>
      </c>
      <c r="G79" s="42">
        <v>-3.4000000000000002E-2</v>
      </c>
      <c r="H79" s="21" t="s">
        <v>2212</v>
      </c>
      <c r="I79" s="39">
        <f ca="1">IFERROR(__xludf.DUMMYFUNCTION("IF(SUM(COUNTIF(artists!A:A, SPLIT(D79, "",""))) &gt; 0, ""UA"", 0)"),0)</f>
        <v>0</v>
      </c>
      <c r="J79" s="40" t="str">
        <f ca="1">IFERROR(__xludf.DUMMYFUNCTION("IF(SUM(COUNTIF(artists!C:C, SPLIT(D79, "",""))) &gt; 0, ""RU"", 0)"),"RU")</f>
        <v>RU</v>
      </c>
      <c r="K79" s="39">
        <f ca="1">IFERROR(__xludf.DUMMYFUNCTION("IF(SUM(COUNTIF(artists!E:E, SPLIT(D79, "",""))) &gt; 0, ""OTHER"", 0)"),0)</f>
        <v>0</v>
      </c>
    </row>
    <row r="80" spans="1:11" ht="14.25" customHeight="1">
      <c r="A80" s="21">
        <v>79</v>
      </c>
      <c r="B80" s="21">
        <v>81</v>
      </c>
      <c r="C80" s="21" t="s">
        <v>2213</v>
      </c>
      <c r="D80" s="21" t="s">
        <v>2214</v>
      </c>
      <c r="E80" s="21">
        <v>20</v>
      </c>
      <c r="F80" s="21">
        <v>166819</v>
      </c>
      <c r="G80" s="42">
        <v>-1.4999999999999999E-2</v>
      </c>
      <c r="H80" s="21" t="s">
        <v>2215</v>
      </c>
      <c r="I80" s="39">
        <f ca="1">IFERROR(__xludf.DUMMYFUNCTION("IF(SUM(COUNTIF(artists!A:A, SPLIT(D80, "",""))) &gt; 0, ""UA"", 0)"),0)</f>
        <v>0</v>
      </c>
      <c r="J80" s="40" t="str">
        <f ca="1">IFERROR(__xludf.DUMMYFUNCTION("IF(SUM(COUNTIF(artists!C:C, SPLIT(D80, "",""))) &gt; 0, ""RU"", 0)"),"RU")</f>
        <v>RU</v>
      </c>
      <c r="K80" s="39">
        <f ca="1">IFERROR(__xludf.DUMMYFUNCTION("IF(SUM(COUNTIF(artists!E:E, SPLIT(D80, "",""))) &gt; 0, ""OTHER"", 0)"),0)</f>
        <v>0</v>
      </c>
    </row>
    <row r="81" spans="1:11" ht="14.25" customHeight="1">
      <c r="A81" s="21">
        <v>80</v>
      </c>
      <c r="B81" s="21">
        <v>87</v>
      </c>
      <c r="C81" s="21" t="s">
        <v>2112</v>
      </c>
      <c r="D81" s="21" t="s">
        <v>1996</v>
      </c>
      <c r="E81" s="21">
        <v>9</v>
      </c>
      <c r="F81" s="21">
        <v>166669</v>
      </c>
      <c r="G81" s="42">
        <v>2.4E-2</v>
      </c>
      <c r="H81" s="21" t="s">
        <v>2113</v>
      </c>
      <c r="I81" s="39">
        <f ca="1">IFERROR(__xludf.DUMMYFUNCTION("IF(SUM(COUNTIF(artists!A:A, SPLIT(D81, "",""))) &gt; 0, ""UA"", 0)"),0)</f>
        <v>0</v>
      </c>
      <c r="J81" s="40" t="str">
        <f ca="1">IFERROR(__xludf.DUMMYFUNCTION("IF(SUM(COUNTIF(artists!C:C, SPLIT(D81, "",""))) &gt; 0, ""RU"", 0)"),"RU")</f>
        <v>RU</v>
      </c>
      <c r="K81" s="39">
        <f ca="1">IFERROR(__xludf.DUMMYFUNCTION("IF(SUM(COUNTIF(artists!E:E, SPLIT(D81, "",""))) &gt; 0, ""OTHER"", 0)"),0)</f>
        <v>0</v>
      </c>
    </row>
    <row r="82" spans="1:11" ht="14.25" customHeight="1">
      <c r="A82" s="21">
        <v>81</v>
      </c>
      <c r="B82" s="21">
        <v>86</v>
      </c>
      <c r="C82" s="21" t="s">
        <v>2027</v>
      </c>
      <c r="D82" s="21" t="s">
        <v>959</v>
      </c>
      <c r="E82" s="21">
        <v>14</v>
      </c>
      <c r="F82" s="21">
        <v>166410</v>
      </c>
      <c r="G82" s="42">
        <v>1.9E-2</v>
      </c>
      <c r="H82" s="21" t="s">
        <v>2028</v>
      </c>
      <c r="I82" s="39">
        <f ca="1">IFERROR(__xludf.DUMMYFUNCTION("IF(SUM(COUNTIF(artists!A:A, SPLIT(D82, "",""))) &gt; 0, ""UA"", 0)"),0)</f>
        <v>0</v>
      </c>
      <c r="J82" s="40" t="str">
        <f ca="1">IFERROR(__xludf.DUMMYFUNCTION("IF(SUM(COUNTIF(artists!C:C, SPLIT(D82, "",""))) &gt; 0, ""RU"", 0)"),"RU")</f>
        <v>RU</v>
      </c>
      <c r="K82" s="39">
        <f ca="1">IFERROR(__xludf.DUMMYFUNCTION("IF(SUM(COUNTIF(artists!E:E, SPLIT(D82, "",""))) &gt; 0, ""OTHER"", 0)"),0)</f>
        <v>0</v>
      </c>
    </row>
    <row r="83" spans="1:11" ht="14.25" customHeight="1">
      <c r="A83" s="21">
        <v>82</v>
      </c>
      <c r="B83" s="21">
        <v>72</v>
      </c>
      <c r="C83" s="21" t="s">
        <v>2170</v>
      </c>
      <c r="D83" s="21" t="s">
        <v>2171</v>
      </c>
      <c r="E83" s="21">
        <v>12</v>
      </c>
      <c r="F83" s="21">
        <v>165881</v>
      </c>
      <c r="G83" s="42">
        <v>-8.5999999999999993E-2</v>
      </c>
      <c r="H83" s="21" t="s">
        <v>2172</v>
      </c>
      <c r="I83" s="39">
        <f ca="1">IFERROR(__xludf.DUMMYFUNCTION("IF(SUM(COUNTIF(artists!A:A, SPLIT(D83, "",""))) &gt; 0, ""UA"", 0)"),0)</f>
        <v>0</v>
      </c>
      <c r="J83" s="40" t="str">
        <f ca="1">IFERROR(__xludf.DUMMYFUNCTION("IF(SUM(COUNTIF(artists!C:C, SPLIT(D83, "",""))) &gt; 0, ""RU"", 0)"),"RU")</f>
        <v>RU</v>
      </c>
      <c r="K83" s="39">
        <f ca="1">IFERROR(__xludf.DUMMYFUNCTION("IF(SUM(COUNTIF(artists!E:E, SPLIT(D83, "",""))) &gt; 0, ""OTHER"", 0)"),0)</f>
        <v>0</v>
      </c>
    </row>
    <row r="84" spans="1:11" ht="14.25" customHeight="1">
      <c r="A84" s="21">
        <v>83</v>
      </c>
      <c r="C84" s="21" t="s">
        <v>1622</v>
      </c>
      <c r="D84" s="21" t="s">
        <v>137</v>
      </c>
      <c r="E84" s="21">
        <v>7</v>
      </c>
      <c r="F84" s="21">
        <v>164575</v>
      </c>
      <c r="H84" s="21" t="s">
        <v>1623</v>
      </c>
      <c r="I84" s="39" t="str">
        <f ca="1">IFERROR(__xludf.DUMMYFUNCTION("IF(SUM(COUNTIF(artists!A:A, SPLIT(D84, "",""))) &gt; 0, ""UA"", 0)"),"UA")</f>
        <v>UA</v>
      </c>
      <c r="J84" s="40">
        <f ca="1">IFERROR(__xludf.DUMMYFUNCTION("IF(SUM(COUNTIF(artists!C:C, SPLIT(D84, "",""))) &gt; 0, ""RU"", 0)"),0)</f>
        <v>0</v>
      </c>
      <c r="K84" s="39">
        <f ca="1">IFERROR(__xludf.DUMMYFUNCTION("IF(SUM(COUNTIF(artists!E:E, SPLIT(D84, "",""))) &gt; 0, ""OTHER"", 0)"),0)</f>
        <v>0</v>
      </c>
    </row>
    <row r="85" spans="1:11" ht="14.25" customHeight="1">
      <c r="A85" s="21">
        <v>84</v>
      </c>
      <c r="B85" s="21">
        <v>73</v>
      </c>
      <c r="C85" s="21" t="s">
        <v>2216</v>
      </c>
      <c r="D85" s="21" t="s">
        <v>2217</v>
      </c>
      <c r="E85" s="21">
        <v>4</v>
      </c>
      <c r="F85" s="21">
        <v>163253</v>
      </c>
      <c r="G85" s="42">
        <v>-9.6000000000000002E-2</v>
      </c>
      <c r="H85" s="21" t="s">
        <v>2218</v>
      </c>
      <c r="I85" s="39">
        <f ca="1">IFERROR(__xludf.DUMMYFUNCTION("IF(SUM(COUNTIF(artists!A:A, SPLIT(D85, "",""))) &gt; 0, ""UA"", 0)"),0)</f>
        <v>0</v>
      </c>
      <c r="J85" s="40" t="str">
        <f ca="1">IFERROR(__xludf.DUMMYFUNCTION("IF(SUM(COUNTIF(artists!C:C, SPLIT(D85, "",""))) &gt; 0, ""RU"", 0)"),"RU")</f>
        <v>RU</v>
      </c>
      <c r="K85" s="39">
        <f ca="1">IFERROR(__xludf.DUMMYFUNCTION("IF(SUM(COUNTIF(artists!E:E, SPLIT(D85, "",""))) &gt; 0, ""OTHER"", 0)"),0)</f>
        <v>0</v>
      </c>
    </row>
    <row r="86" spans="1:11" ht="14.25" customHeight="1">
      <c r="A86" s="21">
        <v>85</v>
      </c>
      <c r="B86" s="21">
        <v>75</v>
      </c>
      <c r="C86" s="21" t="s">
        <v>2173</v>
      </c>
      <c r="D86" s="21" t="s">
        <v>2174</v>
      </c>
      <c r="E86" s="21">
        <v>15</v>
      </c>
      <c r="F86" s="21">
        <v>162169</v>
      </c>
      <c r="G86" s="42">
        <v>-7.3999999999999996E-2</v>
      </c>
      <c r="H86" s="21" t="s">
        <v>2175</v>
      </c>
      <c r="I86" s="39">
        <f ca="1">IFERROR(__xludf.DUMMYFUNCTION("IF(SUM(COUNTIF(artists!A:A, SPLIT(D86, "",""))) &gt; 0, ""UA"", 0)"),0)</f>
        <v>0</v>
      </c>
      <c r="J86" s="40" t="str">
        <f ca="1">IFERROR(__xludf.DUMMYFUNCTION("IF(SUM(COUNTIF(artists!C:C, SPLIT(D86, "",""))) &gt; 0, ""RU"", 0)"),"RU")</f>
        <v>RU</v>
      </c>
      <c r="K86" s="39">
        <f ca="1">IFERROR(__xludf.DUMMYFUNCTION("IF(SUM(COUNTIF(artists!E:E, SPLIT(D86, "",""))) &gt; 0, ""OTHER"", 0)"),0)</f>
        <v>0</v>
      </c>
    </row>
    <row r="87" spans="1:11" ht="14.25" customHeight="1">
      <c r="A87" s="21">
        <v>86</v>
      </c>
      <c r="B87" s="21">
        <v>92</v>
      </c>
      <c r="C87" s="21" t="s">
        <v>1222</v>
      </c>
      <c r="D87" s="21" t="s">
        <v>1223</v>
      </c>
      <c r="E87" s="21">
        <v>16</v>
      </c>
      <c r="F87" s="21">
        <v>161095</v>
      </c>
      <c r="G87" s="42">
        <v>2.9000000000000001E-2</v>
      </c>
      <c r="H87" s="21" t="s">
        <v>1224</v>
      </c>
      <c r="I87" s="39">
        <f ca="1">IFERROR(__xludf.DUMMYFUNCTION("IF(SUM(COUNTIF(artists!A:A, SPLIT(D87, "",""))) &gt; 0, ""UA"", 0)"),0)</f>
        <v>0</v>
      </c>
      <c r="J87" s="40" t="str">
        <f ca="1">IFERROR(__xludf.DUMMYFUNCTION("IF(SUM(COUNTIF(artists!C:C, SPLIT(D87, "",""))) &gt; 0, ""RU"", 0)"),"RU")</f>
        <v>RU</v>
      </c>
      <c r="K87" s="39">
        <f ca="1">IFERROR(__xludf.DUMMYFUNCTION("IF(SUM(COUNTIF(artists!E:E, SPLIT(D87, "",""))) &gt; 0, ""OTHER"", 0)"),0)</f>
        <v>0</v>
      </c>
    </row>
    <row r="88" spans="1:11" ht="14.25" customHeight="1">
      <c r="A88" s="21">
        <v>87</v>
      </c>
      <c r="B88" s="21">
        <v>88</v>
      </c>
      <c r="C88" s="21" t="s">
        <v>2219</v>
      </c>
      <c r="D88" s="21" t="s">
        <v>2220</v>
      </c>
      <c r="E88" s="21">
        <v>2</v>
      </c>
      <c r="F88" s="21">
        <v>160667</v>
      </c>
      <c r="G88" s="42">
        <v>-8.0000000000000002E-3</v>
      </c>
      <c r="H88" s="21" t="s">
        <v>2221</v>
      </c>
      <c r="I88" s="39">
        <f ca="1">IFERROR(__xludf.DUMMYFUNCTION("IF(SUM(COUNTIF(artists!A:A, SPLIT(D88, "",""))) &gt; 0, ""UA"", 0)"),0)</f>
        <v>0</v>
      </c>
      <c r="J88" s="40" t="str">
        <f ca="1">IFERROR(__xludf.DUMMYFUNCTION("IF(SUM(COUNTIF(artists!C:C, SPLIT(D88, "",""))) &gt; 0, ""RU"", 0)"),"RU")</f>
        <v>RU</v>
      </c>
      <c r="K88" s="39">
        <f ca="1">IFERROR(__xludf.DUMMYFUNCTION("IF(SUM(COUNTIF(artists!E:E, SPLIT(D88, "",""))) &gt; 0, ""OTHER"", 0)"),0)</f>
        <v>0</v>
      </c>
    </row>
    <row r="89" spans="1:11" ht="14.25" customHeight="1">
      <c r="A89" s="21">
        <v>88</v>
      </c>
      <c r="B89" s="21">
        <v>78</v>
      </c>
      <c r="C89" s="21" t="s">
        <v>2189</v>
      </c>
      <c r="D89" s="21" t="s">
        <v>125</v>
      </c>
      <c r="E89" s="21">
        <v>9</v>
      </c>
      <c r="F89" s="21">
        <v>159599</v>
      </c>
      <c r="G89" s="42">
        <v>-7.5999999999999998E-2</v>
      </c>
      <c r="H89" s="21" t="s">
        <v>2190</v>
      </c>
      <c r="I89" s="39">
        <f ca="1">IFERROR(__xludf.DUMMYFUNCTION("IF(SUM(COUNTIF(artists!A:A, SPLIT(D89, "",""))) &gt; 0, ""UA"", 0)"),0)</f>
        <v>0</v>
      </c>
      <c r="J89" s="40" t="str">
        <f ca="1">IFERROR(__xludf.DUMMYFUNCTION("IF(SUM(COUNTIF(artists!C:C, SPLIT(D89, "",""))) &gt; 0, ""RU"", 0)"),"RU")</f>
        <v>RU</v>
      </c>
      <c r="K89" s="39">
        <f ca="1">IFERROR(__xludf.DUMMYFUNCTION("IF(SUM(COUNTIF(artists!E:E, SPLIT(D89, "",""))) &gt; 0, ""OTHER"", 0)"),0)</f>
        <v>0</v>
      </c>
    </row>
    <row r="90" spans="1:11" ht="14.25" customHeight="1">
      <c r="A90" s="21">
        <v>89</v>
      </c>
      <c r="B90" s="21">
        <v>93</v>
      </c>
      <c r="C90" s="21" t="s">
        <v>2096</v>
      </c>
      <c r="D90" s="21" t="s">
        <v>2097</v>
      </c>
      <c r="E90" s="21">
        <v>4</v>
      </c>
      <c r="F90" s="21">
        <v>159304</v>
      </c>
      <c r="G90" s="42">
        <v>2.1000000000000001E-2</v>
      </c>
      <c r="H90" s="21" t="s">
        <v>2098</v>
      </c>
      <c r="I90" s="39">
        <f ca="1">IFERROR(__xludf.DUMMYFUNCTION("IF(SUM(COUNTIF(artists!A:A, SPLIT(D90, "",""))) &gt; 0, ""UA"", 0)"),0)</f>
        <v>0</v>
      </c>
      <c r="J90" s="40" t="str">
        <f ca="1">IFERROR(__xludf.DUMMYFUNCTION("IF(SUM(COUNTIF(artists!C:C, SPLIT(D90, "",""))) &gt; 0, ""RU"", 0)"),"RU")</f>
        <v>RU</v>
      </c>
      <c r="K90" s="39">
        <f ca="1">IFERROR(__xludf.DUMMYFUNCTION("IF(SUM(COUNTIF(artists!E:E, SPLIT(D90, "",""))) &gt; 0, ""OTHER"", 0)"),0)</f>
        <v>0</v>
      </c>
    </row>
    <row r="91" spans="1:11" ht="14.25" customHeight="1">
      <c r="A91" s="21">
        <v>90</v>
      </c>
      <c r="B91" s="21">
        <v>82</v>
      </c>
      <c r="C91" s="21" t="s">
        <v>2141</v>
      </c>
      <c r="D91" s="21" t="s">
        <v>2018</v>
      </c>
      <c r="E91" s="21">
        <v>13</v>
      </c>
      <c r="F91" s="21">
        <v>158194</v>
      </c>
      <c r="G91" s="42">
        <v>-6.2E-2</v>
      </c>
      <c r="H91" s="21" t="s">
        <v>2142</v>
      </c>
      <c r="I91" s="39">
        <f ca="1">IFERROR(__xludf.DUMMYFUNCTION("IF(SUM(COUNTIF(artists!A:A, SPLIT(D91, "",""))) &gt; 0, ""UA"", 0)"),0)</f>
        <v>0</v>
      </c>
      <c r="J91" s="40" t="str">
        <f ca="1">IFERROR(__xludf.DUMMYFUNCTION("IF(SUM(COUNTIF(artists!C:C, SPLIT(D91, "",""))) &gt; 0, ""RU"", 0)"),"RU")</f>
        <v>RU</v>
      </c>
      <c r="K91" s="39">
        <f ca="1">IFERROR(__xludf.DUMMYFUNCTION("IF(SUM(COUNTIF(artists!E:E, SPLIT(D91, "",""))) &gt; 0, ""OTHER"", 0)"),0)</f>
        <v>0</v>
      </c>
    </row>
    <row r="92" spans="1:11" ht="14.25" customHeight="1">
      <c r="A92" s="21">
        <v>91</v>
      </c>
      <c r="B92" s="21">
        <v>77</v>
      </c>
      <c r="C92" s="21" t="s">
        <v>2117</v>
      </c>
      <c r="D92" s="21" t="s">
        <v>2118</v>
      </c>
      <c r="E92" s="21">
        <v>6</v>
      </c>
      <c r="F92" s="21">
        <v>158191</v>
      </c>
      <c r="G92" s="42">
        <v>-8.7999999999999995E-2</v>
      </c>
      <c r="H92" s="21" t="s">
        <v>2119</v>
      </c>
      <c r="I92" s="39">
        <f ca="1">IFERROR(__xludf.DUMMYFUNCTION("IF(SUM(COUNTIF(artists!A:A, SPLIT(D92, "",""))) &gt; 0, ""UA"", 0)"),0)</f>
        <v>0</v>
      </c>
      <c r="J92" s="40">
        <f ca="1">IFERROR(__xludf.DUMMYFUNCTION("IF(SUM(COUNTIF(artists!C:C, SPLIT(D92, "",""))) &gt; 0, ""RU"", 0)"),0)</f>
        <v>0</v>
      </c>
      <c r="K92" s="39" t="str">
        <f ca="1">IFERROR(__xludf.DUMMYFUNCTION("IF(SUM(COUNTIF(artists!E:E, SPLIT(D92, "",""))) &gt; 0, ""OTHER"", 0)"),"OTHER")</f>
        <v>OTHER</v>
      </c>
    </row>
    <row r="93" spans="1:11" ht="14.25" customHeight="1">
      <c r="A93" s="21">
        <v>92</v>
      </c>
      <c r="B93" s="21">
        <v>95</v>
      </c>
      <c r="C93" s="21" t="s">
        <v>2185</v>
      </c>
      <c r="D93" s="21" t="s">
        <v>2061</v>
      </c>
      <c r="E93" s="21">
        <v>2</v>
      </c>
      <c r="F93" s="21">
        <v>157819</v>
      </c>
      <c r="G93" s="42">
        <v>2.5000000000000001E-2</v>
      </c>
      <c r="H93" s="21" t="s">
        <v>2186</v>
      </c>
      <c r="I93" s="39">
        <f ca="1">IFERROR(__xludf.DUMMYFUNCTION("IF(SUM(COUNTIF(artists!A:A, SPLIT(D93, "",""))) &gt; 0, ""UA"", 0)"),0)</f>
        <v>0</v>
      </c>
      <c r="J93" s="40" t="str">
        <f ca="1">IFERROR(__xludf.DUMMYFUNCTION("IF(SUM(COUNTIF(artists!C:C, SPLIT(D93, "",""))) &gt; 0, ""RU"", 0)"),"RU")</f>
        <v>RU</v>
      </c>
      <c r="K93" s="39">
        <f ca="1">IFERROR(__xludf.DUMMYFUNCTION("IF(SUM(COUNTIF(artists!E:E, SPLIT(D93, "",""))) &gt; 0, ""OTHER"", 0)"),0)</f>
        <v>0</v>
      </c>
    </row>
    <row r="94" spans="1:11" ht="14.25" customHeight="1">
      <c r="A94" s="21">
        <v>93</v>
      </c>
      <c r="C94" s="21" t="s">
        <v>2222</v>
      </c>
      <c r="D94" s="21" t="s">
        <v>2223</v>
      </c>
      <c r="E94" s="21">
        <v>1</v>
      </c>
      <c r="F94" s="21">
        <v>157595</v>
      </c>
      <c r="H94" s="21" t="s">
        <v>2224</v>
      </c>
      <c r="I94" s="39">
        <f ca="1">IFERROR(__xludf.DUMMYFUNCTION("IF(SUM(COUNTIF(artists!A:A, SPLIT(D94, "",""))) &gt; 0, ""UA"", 0)"),0)</f>
        <v>0</v>
      </c>
      <c r="J94" s="40" t="str">
        <f ca="1">IFERROR(__xludf.DUMMYFUNCTION("IF(SUM(COUNTIF(artists!C:C, SPLIT(D94, "",""))) &gt; 0, ""RU"", 0)"),"RU")</f>
        <v>RU</v>
      </c>
      <c r="K94" s="39">
        <f ca="1">IFERROR(__xludf.DUMMYFUNCTION("IF(SUM(COUNTIF(artists!E:E, SPLIT(D94, "",""))) &gt; 0, ""OTHER"", 0)"),0)</f>
        <v>0</v>
      </c>
    </row>
    <row r="95" spans="1:11" ht="14.25" customHeight="1">
      <c r="A95" s="21">
        <v>94</v>
      </c>
      <c r="C95" s="21" t="s">
        <v>2225</v>
      </c>
      <c r="D95" s="21" t="s">
        <v>1534</v>
      </c>
      <c r="E95" s="21">
        <v>1</v>
      </c>
      <c r="F95" s="21">
        <v>157367</v>
      </c>
      <c r="H95" s="21" t="s">
        <v>2226</v>
      </c>
      <c r="I95" s="39">
        <f ca="1">IFERROR(__xludf.DUMMYFUNCTION("IF(SUM(COUNTIF(artists!A:A, SPLIT(D95, "",""))) &gt; 0, ""UA"", 0)"),0)</f>
        <v>0</v>
      </c>
      <c r="J95" s="40" t="str">
        <f ca="1">IFERROR(__xludf.DUMMYFUNCTION("IF(SUM(COUNTIF(artists!C:C, SPLIT(D95, "",""))) &gt; 0, ""RU"", 0)"),"RU")</f>
        <v>RU</v>
      </c>
      <c r="K95" s="39">
        <f ca="1">IFERROR(__xludf.DUMMYFUNCTION("IF(SUM(COUNTIF(artists!E:E, SPLIT(D95, "",""))) &gt; 0, ""OTHER"", 0)"),0)</f>
        <v>0</v>
      </c>
    </row>
    <row r="96" spans="1:11" ht="14.25" customHeight="1">
      <c r="A96" s="21">
        <v>95</v>
      </c>
      <c r="C96" s="21" t="s">
        <v>2191</v>
      </c>
      <c r="D96" s="21" t="s">
        <v>2192</v>
      </c>
      <c r="E96" s="21">
        <v>3</v>
      </c>
      <c r="F96" s="21">
        <v>156819</v>
      </c>
      <c r="H96" s="21" t="s">
        <v>2193</v>
      </c>
      <c r="I96" s="39">
        <f ca="1">IFERROR(__xludf.DUMMYFUNCTION("IF(SUM(COUNTIF(artists!A:A, SPLIT(D96, "",""))) &gt; 0, ""UA"", 0)"),0)</f>
        <v>0</v>
      </c>
      <c r="J96" s="40" t="str">
        <f ca="1">IFERROR(__xludf.DUMMYFUNCTION("IF(SUM(COUNTIF(artists!C:C, SPLIT(D96, "",""))) &gt; 0, ""RU"", 0)"),"RU")</f>
        <v>RU</v>
      </c>
      <c r="K96" s="39">
        <f ca="1">IFERROR(__xludf.DUMMYFUNCTION("IF(SUM(COUNTIF(artists!E:E, SPLIT(D96, "",""))) &gt; 0, ""OTHER"", 0)"),0)</f>
        <v>0</v>
      </c>
    </row>
    <row r="97" spans="1:11" ht="14.25" customHeight="1">
      <c r="A97" s="21">
        <v>96</v>
      </c>
      <c r="B97" s="21">
        <v>98</v>
      </c>
      <c r="C97" s="21" t="s">
        <v>2227</v>
      </c>
      <c r="D97" s="21" t="s">
        <v>2228</v>
      </c>
      <c r="E97" s="21">
        <v>19</v>
      </c>
      <c r="F97" s="21">
        <v>155398</v>
      </c>
      <c r="G97" s="42">
        <v>2.3E-2</v>
      </c>
      <c r="H97" s="21" t="s">
        <v>2229</v>
      </c>
      <c r="I97" s="39">
        <f ca="1">IFERROR(__xludf.DUMMYFUNCTION("IF(SUM(COUNTIF(artists!A:A, SPLIT(D97, "",""))) &gt; 0, ""UA"", 0)"),0)</f>
        <v>0</v>
      </c>
      <c r="J97" s="40" t="str">
        <f ca="1">IFERROR(__xludf.DUMMYFUNCTION("IF(SUM(COUNTIF(artists!C:C, SPLIT(D97, "",""))) &gt; 0, ""RU"", 0)"),"RU")</f>
        <v>RU</v>
      </c>
      <c r="K97" s="39">
        <f ca="1">IFERROR(__xludf.DUMMYFUNCTION("IF(SUM(COUNTIF(artists!E:E, SPLIT(D97, "",""))) &gt; 0, ""OTHER"", 0)"),0)</f>
        <v>0</v>
      </c>
    </row>
    <row r="98" spans="1:11" ht="14.25" customHeight="1">
      <c r="A98" s="21">
        <v>97</v>
      </c>
      <c r="B98" s="21">
        <v>100</v>
      </c>
      <c r="C98" s="21" t="s">
        <v>2194</v>
      </c>
      <c r="D98" s="21" t="s">
        <v>2195</v>
      </c>
      <c r="E98" s="21">
        <v>19</v>
      </c>
      <c r="F98" s="21">
        <v>154895</v>
      </c>
      <c r="G98" s="42">
        <v>3.5000000000000003E-2</v>
      </c>
      <c r="H98" s="21" t="s">
        <v>2196</v>
      </c>
      <c r="I98" s="39">
        <f ca="1">IFERROR(__xludf.DUMMYFUNCTION("IF(SUM(COUNTIF(artists!A:A, SPLIT(D98, "",""))) &gt; 0, ""UA"", 0)"),0)</f>
        <v>0</v>
      </c>
      <c r="J98" s="40" t="str">
        <f ca="1">IFERROR(__xludf.DUMMYFUNCTION("IF(SUM(COUNTIF(artists!C:C, SPLIT(D98, "",""))) &gt; 0, ""RU"", 0)"),"RU")</f>
        <v>RU</v>
      </c>
      <c r="K98" s="39">
        <f ca="1">IFERROR(__xludf.DUMMYFUNCTION("IF(SUM(COUNTIF(artists!E:E, SPLIT(D98, "",""))) &gt; 0, ""OTHER"", 0)"),0)</f>
        <v>0</v>
      </c>
    </row>
    <row r="99" spans="1:11" ht="14.25" customHeight="1">
      <c r="A99" s="21">
        <v>98</v>
      </c>
      <c r="C99" s="21" t="s">
        <v>2230</v>
      </c>
      <c r="D99" s="21" t="s">
        <v>2231</v>
      </c>
      <c r="E99" s="21">
        <v>5</v>
      </c>
      <c r="F99" s="21">
        <v>153353</v>
      </c>
      <c r="H99" s="21" t="s">
        <v>2232</v>
      </c>
      <c r="I99" s="39">
        <f ca="1">IFERROR(__xludf.DUMMYFUNCTION("IF(SUM(COUNTIF(artists!A:A, SPLIT(D99, "",""))) &gt; 0, ""UA"", 0)"),0)</f>
        <v>0</v>
      </c>
      <c r="J99" s="40" t="str">
        <f ca="1">IFERROR(__xludf.DUMMYFUNCTION("IF(SUM(COUNTIF(artists!C:C, SPLIT(D99, "",""))) &gt; 0, ""RU"", 0)"),"RU")</f>
        <v>RU</v>
      </c>
      <c r="K99" s="39">
        <f ca="1">IFERROR(__xludf.DUMMYFUNCTION("IF(SUM(COUNTIF(artists!E:E, SPLIT(D99, "",""))) &gt; 0, ""OTHER"", 0)"),0)</f>
        <v>0</v>
      </c>
    </row>
    <row r="100" spans="1:11" ht="14.25" customHeight="1">
      <c r="A100" s="21">
        <v>99</v>
      </c>
      <c r="B100" s="21">
        <v>89</v>
      </c>
      <c r="C100" s="21" t="s">
        <v>2120</v>
      </c>
      <c r="D100" s="21" t="s">
        <v>2121</v>
      </c>
      <c r="E100" s="21">
        <v>7</v>
      </c>
      <c r="F100" s="21">
        <v>151803</v>
      </c>
      <c r="G100" s="43">
        <v>-0.06</v>
      </c>
      <c r="H100" s="21" t="s">
        <v>2122</v>
      </c>
      <c r="I100" s="39">
        <f ca="1">IFERROR(__xludf.DUMMYFUNCTION("IF(SUM(COUNTIF(artists!A:A, SPLIT(D100, "",""))) &gt; 0, ""UA"", 0)"),0)</f>
        <v>0</v>
      </c>
      <c r="J100" s="40">
        <f ca="1">IFERROR(__xludf.DUMMYFUNCTION("IF(SUM(COUNTIF(artists!C:C, SPLIT(D100, "",""))) &gt; 0, ""RU"", 0)"),0)</f>
        <v>0</v>
      </c>
      <c r="K100" s="39" t="str">
        <f ca="1">IFERROR(__xludf.DUMMYFUNCTION("IF(SUM(COUNTIF(artists!E:E, SPLIT(D100, "",""))) &gt; 0, ""OTHER"", 0)"),"OTHER")</f>
        <v>OTHER</v>
      </c>
    </row>
    <row r="101" spans="1:11" ht="14.25" customHeight="1">
      <c r="A101" s="21">
        <v>100</v>
      </c>
      <c r="B101" s="21">
        <v>91</v>
      </c>
      <c r="C101" s="21" t="s">
        <v>841</v>
      </c>
      <c r="D101" s="21" t="s">
        <v>842</v>
      </c>
      <c r="E101" s="21">
        <v>4</v>
      </c>
      <c r="F101" s="21">
        <v>151666</v>
      </c>
      <c r="G101" s="42">
        <v>-4.3999999999999997E-2</v>
      </c>
      <c r="H101" s="21" t="s">
        <v>843</v>
      </c>
      <c r="I101" s="39">
        <f ca="1">IFERROR(__xludf.DUMMYFUNCTION("IF(SUM(COUNTIF(artists!A:A, SPLIT(D101, "",""))) &gt; 0, ""UA"", 0)"),0)</f>
        <v>0</v>
      </c>
      <c r="J101" s="40">
        <f ca="1">IFERROR(__xludf.DUMMYFUNCTION("IF(SUM(COUNTIF(artists!C:C, SPLIT(D101, "",""))) &gt; 0, ""RU"", 0)"),0)</f>
        <v>0</v>
      </c>
      <c r="K101" s="39" t="str">
        <f ca="1">IFERROR(__xludf.DUMMYFUNCTION("IF(SUM(COUNTIF(artists!E:E, SPLIT(D101, "",""))) &gt; 0, ""OTHER"", 0)"),"OTHER")</f>
        <v>OTHER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9" priority="1">
      <formula>AND($I2=0, $J2=0, $K2=0)</formula>
    </cfRule>
    <cfRule type="expression" dxfId="8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A00-000000000000}">
  <sheetPr codeName="Аркуш59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4" width="8.6640625" customWidth="1"/>
    <col min="5" max="5" width="8.6640625" hidden="1" customWidth="1"/>
    <col min="6" max="6" width="8.6640625" customWidth="1"/>
    <col min="7" max="7" width="13.10937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B2" s="21">
        <v>2</v>
      </c>
      <c r="C2" s="21" t="s">
        <v>935</v>
      </c>
      <c r="D2" s="21" t="s">
        <v>936</v>
      </c>
      <c r="E2" s="21">
        <v>13</v>
      </c>
      <c r="F2" s="21">
        <v>1339755</v>
      </c>
      <c r="G2" s="42">
        <v>-2.5000000000000001E-2</v>
      </c>
      <c r="H2" s="21" t="s">
        <v>937</v>
      </c>
      <c r="I2" s="39">
        <f ca="1">IFERROR(__xludf.DUMMYFUNCTION("IF(SUM(COUNTIF(artists!A:A, SPLIT(D2, "",""))) &gt; 0, ""UA"", 0)"),0)</f>
        <v>0</v>
      </c>
      <c r="J2" s="40" t="str">
        <f ca="1">IFERROR(__xludf.DUMMYFUNCTION("IF(SUM(COUNTIF(artists!C:C, SPLIT(D2, "",""))) &gt; 0, ""RU"", 0)"),"RU")</f>
        <v>RU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B3" s="21">
        <v>1</v>
      </c>
      <c r="C3" s="21" t="s">
        <v>1674</v>
      </c>
      <c r="D3" s="21" t="s">
        <v>172</v>
      </c>
      <c r="E3" s="21">
        <v>2</v>
      </c>
      <c r="F3" s="21">
        <v>1200522</v>
      </c>
      <c r="G3" s="42">
        <v>-0.14499999999999999</v>
      </c>
      <c r="H3" s="21" t="s">
        <v>1675</v>
      </c>
      <c r="I3" s="39">
        <f ca="1">IFERROR(__xludf.DUMMYFUNCTION("IF(SUM(COUNTIF(artists!A:A, SPLIT(D3, "",""))) &gt; 0, ""UA"", 0)"),0)</f>
        <v>0</v>
      </c>
      <c r="J3" s="40" t="str">
        <f ca="1">IFERROR(__xludf.DUMMYFUNCTION("IF(SUM(COUNTIF(artists!C:C, SPLIT(D3, "",""))) &gt; 0, ""RU"", 0)"),"RU")</f>
        <v>RU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B4" s="21">
        <v>8</v>
      </c>
      <c r="C4" s="21" t="s">
        <v>1263</v>
      </c>
      <c r="D4" s="21" t="s">
        <v>1264</v>
      </c>
      <c r="E4" s="21">
        <v>12</v>
      </c>
      <c r="F4" s="21">
        <v>948397</v>
      </c>
      <c r="G4" s="42">
        <v>0.29899999999999999</v>
      </c>
      <c r="H4" s="21" t="s">
        <v>1265</v>
      </c>
      <c r="I4" s="39">
        <f ca="1">IFERROR(__xludf.DUMMYFUNCTION("IF(SUM(COUNTIF(artists!A:A, SPLIT(D4, "",""))) &gt; 0, ""UA"", 0)"),0)</f>
        <v>0</v>
      </c>
      <c r="J4" s="40" t="str">
        <f ca="1">IFERROR(__xludf.DUMMYFUNCTION("IF(SUM(COUNTIF(artists!C:C, SPLIT(D4, "",""))) &gt; 0, ""RU"", 0)"),"RU")</f>
        <v>RU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B5" s="21">
        <v>4</v>
      </c>
      <c r="C5" s="21" t="s">
        <v>1116</v>
      </c>
      <c r="D5" s="21" t="s">
        <v>1117</v>
      </c>
      <c r="E5" s="21">
        <v>9</v>
      </c>
      <c r="F5" s="21">
        <v>802551</v>
      </c>
      <c r="G5" s="42">
        <v>-0.157</v>
      </c>
      <c r="H5" s="21" t="s">
        <v>1118</v>
      </c>
      <c r="I5" s="39">
        <f ca="1">IFERROR(__xludf.DUMMYFUNCTION("IF(SUM(COUNTIF(artists!A:A, SPLIT(D5, "",""))) &gt; 0, ""UA"", 0)"),0)</f>
        <v>0</v>
      </c>
      <c r="J5" s="40" t="str">
        <f ca="1">IFERROR(__xludf.DUMMYFUNCTION("IF(SUM(COUNTIF(artists!C:C, SPLIT(D5, "",""))) &gt; 0, ""RU"", 0)"),"RU")</f>
        <v>RU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B6" s="21">
        <v>6</v>
      </c>
      <c r="C6" s="21" t="s">
        <v>1325</v>
      </c>
      <c r="D6" s="21" t="s">
        <v>1237</v>
      </c>
      <c r="E6" s="21">
        <v>36</v>
      </c>
      <c r="F6" s="21">
        <v>751611</v>
      </c>
      <c r="G6" s="42">
        <v>-1.9E-2</v>
      </c>
      <c r="H6" s="21" t="s">
        <v>1326</v>
      </c>
      <c r="I6" s="39">
        <f ca="1">IFERROR(__xludf.DUMMYFUNCTION("IF(SUM(COUNTIF(artists!A:A, SPLIT(D6, "",""))) &gt; 0, ""UA"", 0)"),0)</f>
        <v>0</v>
      </c>
      <c r="J6" s="40" t="str">
        <f ca="1">IFERROR(__xludf.DUMMYFUNCTION("IF(SUM(COUNTIF(artists!C:C, SPLIT(D6, "",""))) &gt; 0, ""RU"", 0)"),"RU")</f>
        <v>RU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B7" s="21">
        <v>7</v>
      </c>
      <c r="C7" s="21" t="s">
        <v>1956</v>
      </c>
      <c r="D7" s="21" t="s">
        <v>1957</v>
      </c>
      <c r="E7" s="21">
        <v>14</v>
      </c>
      <c r="F7" s="21">
        <v>723464</v>
      </c>
      <c r="G7" s="42">
        <v>-1.0999999999999999E-2</v>
      </c>
      <c r="H7" s="21" t="s">
        <v>1958</v>
      </c>
      <c r="I7" s="39">
        <f ca="1">IFERROR(__xludf.DUMMYFUNCTION("IF(SUM(COUNTIF(artists!A:A, SPLIT(D7, "",""))) &gt; 0, ""UA"", 0)"),0)</f>
        <v>0</v>
      </c>
      <c r="J7" s="40" t="str">
        <f ca="1">IFERROR(__xludf.DUMMYFUNCTION("IF(SUM(COUNTIF(artists!C:C, SPLIT(D7, "",""))) &gt; 0, ""RU"", 0)"),"RU")</f>
        <v>RU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B8" s="21">
        <v>5</v>
      </c>
      <c r="C8" s="21" t="s">
        <v>1839</v>
      </c>
      <c r="D8" s="21" t="s">
        <v>1840</v>
      </c>
      <c r="E8" s="21">
        <v>2</v>
      </c>
      <c r="F8" s="21">
        <v>704435</v>
      </c>
      <c r="G8" s="42">
        <v>-0.248</v>
      </c>
      <c r="H8" s="21" t="s">
        <v>1841</v>
      </c>
      <c r="I8" s="39">
        <f ca="1">IFERROR(__xludf.DUMMYFUNCTION("IF(SUM(COUNTIF(artists!A:A, SPLIT(D8, "",""))) &gt; 0, ""UA"", 0)"),0)</f>
        <v>0</v>
      </c>
      <c r="J8" s="40" t="str">
        <f ca="1">IFERROR(__xludf.DUMMYFUNCTION("IF(SUM(COUNTIF(artists!C:C, SPLIT(D8, "",""))) &gt; 0, ""RU"", 0)"),"RU")</f>
        <v>RU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B9" s="21">
        <v>9</v>
      </c>
      <c r="C9" s="21" t="s">
        <v>1676</v>
      </c>
      <c r="D9" s="21" t="s">
        <v>743</v>
      </c>
      <c r="E9" s="21">
        <v>12</v>
      </c>
      <c r="F9" s="21">
        <v>635068</v>
      </c>
      <c r="G9" s="42">
        <v>-5.7000000000000002E-2</v>
      </c>
      <c r="H9" s="21" t="s">
        <v>1677</v>
      </c>
      <c r="I9" s="39">
        <f ca="1">IFERROR(__xludf.DUMMYFUNCTION("IF(SUM(COUNTIF(artists!A:A, SPLIT(D9, "",""))) &gt; 0, ""UA"", 0)"),0)</f>
        <v>0</v>
      </c>
      <c r="J9" s="40" t="str">
        <f ca="1">IFERROR(__xludf.DUMMYFUNCTION("IF(SUM(COUNTIF(artists!C:C, SPLIT(D9, "",""))) &gt; 0, ""RU"", 0)"),"RU")</f>
        <v>RU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B10" s="21">
        <v>12</v>
      </c>
      <c r="C10" s="21" t="s">
        <v>1500</v>
      </c>
      <c r="D10" s="21" t="s">
        <v>907</v>
      </c>
      <c r="E10" s="21">
        <v>16</v>
      </c>
      <c r="F10" s="21">
        <v>619812</v>
      </c>
      <c r="G10" s="42">
        <v>1.2E-2</v>
      </c>
      <c r="H10" s="21" t="s">
        <v>1501</v>
      </c>
      <c r="I10" s="39">
        <f ca="1">IFERROR(__xludf.DUMMYFUNCTION("IF(SUM(COUNTIF(artists!A:A, SPLIT(D10, "",""))) &gt; 0, ""UA"", 0)"),0)</f>
        <v>0</v>
      </c>
      <c r="J10" s="40" t="str">
        <f ca="1">IFERROR(__xludf.DUMMYFUNCTION("IF(SUM(COUNTIF(artists!C:C, SPLIT(D10, "",""))) &gt; 0, ""RU"", 0)"),"RU")</f>
        <v>RU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B11" s="21">
        <v>3</v>
      </c>
      <c r="C11" s="21" t="s">
        <v>1960</v>
      </c>
      <c r="D11" s="21" t="s">
        <v>1050</v>
      </c>
      <c r="E11" s="21">
        <v>2</v>
      </c>
      <c r="F11" s="21">
        <v>612078</v>
      </c>
      <c r="G11" s="42">
        <v>-0.53400000000000003</v>
      </c>
      <c r="H11" s="21" t="s">
        <v>1961</v>
      </c>
      <c r="I11" s="39">
        <f ca="1">IFERROR(__xludf.DUMMYFUNCTION("IF(SUM(COUNTIF(artists!A:A, SPLIT(D11, "",""))) &gt; 0, ""UA"", 0)"),0)</f>
        <v>0</v>
      </c>
      <c r="J11" s="40" t="str">
        <f ca="1">IFERROR(__xludf.DUMMYFUNCTION("IF(SUM(COUNTIF(artists!C:C, SPLIT(D11, "",""))) &gt; 0, ""RU"", 0)"),"RU")</f>
        <v>RU</v>
      </c>
      <c r="K11" s="39">
        <f ca="1">IFERROR(__xludf.DUMMYFUNCTION("IF(SUM(COUNTIF(artists!E:E, SPLIT(D11, "",""))) &gt; 0, ""OTHER"", 0)"),0)</f>
        <v>0</v>
      </c>
    </row>
    <row r="12" spans="1:11" ht="14.25" customHeight="1">
      <c r="A12" s="21">
        <v>11</v>
      </c>
      <c r="B12" s="21">
        <v>10</v>
      </c>
      <c r="C12" s="21" t="s">
        <v>1825</v>
      </c>
      <c r="D12" s="21" t="s">
        <v>1895</v>
      </c>
      <c r="E12" s="21">
        <v>40</v>
      </c>
      <c r="F12" s="21">
        <v>604423</v>
      </c>
      <c r="G12" s="42">
        <v>-2.9000000000000001E-2</v>
      </c>
      <c r="H12" s="21" t="s">
        <v>1827</v>
      </c>
      <c r="I12" s="39">
        <f ca="1">IFERROR(__xludf.DUMMYFUNCTION("IF(SUM(COUNTIF(artists!A:A, SPLIT(D12, "",""))) &gt; 0, ""UA"", 0)"),0)</f>
        <v>0</v>
      </c>
      <c r="J12" s="40">
        <f ca="1">IFERROR(__xludf.DUMMYFUNCTION("IF(SUM(COUNTIF(artists!C:C, SPLIT(D12, "",""))) &gt; 0, ""RU"", 0)"),0)</f>
        <v>0</v>
      </c>
      <c r="K12" s="39" t="str">
        <f ca="1">IFERROR(__xludf.DUMMYFUNCTION("IF(SUM(COUNTIF(artists!E:E, SPLIT(D12, "",""))) &gt; 0, ""OTHER"", 0)"),"OTHER")</f>
        <v>OTHER</v>
      </c>
    </row>
    <row r="13" spans="1:11" ht="14.25" customHeight="1">
      <c r="A13" s="21">
        <v>12</v>
      </c>
      <c r="B13" s="21">
        <v>11</v>
      </c>
      <c r="C13" s="21" t="s">
        <v>2041</v>
      </c>
      <c r="D13" s="21" t="s">
        <v>584</v>
      </c>
      <c r="E13" s="21">
        <v>7</v>
      </c>
      <c r="F13" s="21">
        <v>559895</v>
      </c>
      <c r="G13" s="42">
        <v>-9.4E-2</v>
      </c>
      <c r="H13" s="21" t="s">
        <v>2042</v>
      </c>
      <c r="I13" s="39">
        <f ca="1">IFERROR(__xludf.DUMMYFUNCTION("IF(SUM(COUNTIF(artists!A:A, SPLIT(D13, "",""))) &gt; 0, ""UA"", 0)"),0)</f>
        <v>0</v>
      </c>
      <c r="J13" s="40" t="str">
        <f ca="1">IFERROR(__xludf.DUMMYFUNCTION("IF(SUM(COUNTIF(artists!C:C, SPLIT(D13, "",""))) &gt; 0, ""RU"", 0)"),"RU")</f>
        <v>RU</v>
      </c>
      <c r="K13" s="39">
        <f ca="1">IFERROR(__xludf.DUMMYFUNCTION("IF(SUM(COUNTIF(artists!E:E, SPLIT(D13, "",""))) &gt; 0, ""OTHER"", 0)"),0)</f>
        <v>0</v>
      </c>
    </row>
    <row r="14" spans="1:11" ht="14.25" customHeight="1">
      <c r="A14" s="21">
        <v>13</v>
      </c>
      <c r="B14" s="21">
        <v>13</v>
      </c>
      <c r="C14" s="21" t="s">
        <v>918</v>
      </c>
      <c r="D14" s="21" t="s">
        <v>108</v>
      </c>
      <c r="E14" s="21">
        <v>31</v>
      </c>
      <c r="F14" s="21">
        <v>533773</v>
      </c>
      <c r="G14" s="43">
        <v>-0.09</v>
      </c>
      <c r="H14" s="21" t="s">
        <v>919</v>
      </c>
      <c r="I14" s="39" t="str">
        <f ca="1">IFERROR(__xludf.DUMMYFUNCTION("IF(SUM(COUNTIF(artists!A:A, SPLIT(D14, "",""))) &gt; 0, ""UA"", 0)"),"UA")</f>
        <v>UA</v>
      </c>
      <c r="J14" s="40">
        <f ca="1">IFERROR(__xludf.DUMMYFUNCTION("IF(SUM(COUNTIF(artists!C:C, SPLIT(D14, "",""))) &gt; 0, ""RU"", 0)"),0)</f>
        <v>0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B15" s="21">
        <v>17</v>
      </c>
      <c r="C15" s="21" t="s">
        <v>1261</v>
      </c>
      <c r="D15" s="21" t="s">
        <v>137</v>
      </c>
      <c r="E15" s="21">
        <v>11</v>
      </c>
      <c r="F15" s="21">
        <v>528465</v>
      </c>
      <c r="G15" s="43">
        <v>-0.01</v>
      </c>
      <c r="H15" s="21" t="s">
        <v>1262</v>
      </c>
      <c r="I15" s="39" t="str">
        <f ca="1">IFERROR(__xludf.DUMMYFUNCTION("IF(SUM(COUNTIF(artists!A:A, SPLIT(D15, "",""))) &gt; 0, ""UA"", 0)"),"UA")</f>
        <v>UA</v>
      </c>
      <c r="J15" s="40">
        <f ca="1">IFERROR(__xludf.DUMMYFUNCTION("IF(SUM(COUNTIF(artists!C:C, SPLIT(D15, "",""))) &gt; 0, ""RU"", 0)"),0)</f>
        <v>0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B16" s="21">
        <v>16</v>
      </c>
      <c r="C16" s="21" t="s">
        <v>1729</v>
      </c>
      <c r="D16" s="21" t="s">
        <v>1730</v>
      </c>
      <c r="E16" s="21">
        <v>37</v>
      </c>
      <c r="F16" s="21">
        <v>513679</v>
      </c>
      <c r="G16" s="42">
        <v>-4.2999999999999997E-2</v>
      </c>
      <c r="H16" s="21" t="s">
        <v>1731</v>
      </c>
      <c r="I16" s="39">
        <f ca="1">IFERROR(__xludf.DUMMYFUNCTION("IF(SUM(COUNTIF(artists!A:A, SPLIT(D16, "",""))) &gt; 0, ""UA"", 0)"),0)</f>
        <v>0</v>
      </c>
      <c r="J16" s="40" t="str">
        <f ca="1">IFERROR(__xludf.DUMMYFUNCTION("IF(SUM(COUNTIF(artists!C:C, SPLIT(D16, "",""))) &gt; 0, ""RU"", 0)"),"RU")</f>
        <v>RU</v>
      </c>
      <c r="K16" s="39">
        <f ca="1">IFERROR(__xludf.DUMMYFUNCTION("IF(SUM(COUNTIF(artists!E:E, SPLIT(D16, "",""))) &gt; 0, ""OTHER"", 0)"),0)</f>
        <v>0</v>
      </c>
    </row>
    <row r="17" spans="1:11" ht="14.25" customHeight="1">
      <c r="A17" s="21">
        <v>16</v>
      </c>
      <c r="B17" s="21">
        <v>21</v>
      </c>
      <c r="C17" s="21" t="s">
        <v>1616</v>
      </c>
      <c r="D17" s="21" t="s">
        <v>1617</v>
      </c>
      <c r="E17" s="21">
        <v>32</v>
      </c>
      <c r="F17" s="21">
        <v>489155</v>
      </c>
      <c r="G17" s="42">
        <v>-1.0999999999999999E-2</v>
      </c>
      <c r="H17" s="21" t="s">
        <v>1618</v>
      </c>
      <c r="I17" s="39">
        <f ca="1">IFERROR(__xludf.DUMMYFUNCTION("IF(SUM(COUNTIF(artists!A:A, SPLIT(D17, "",""))) &gt; 0, ""UA"", 0)"),0)</f>
        <v>0</v>
      </c>
      <c r="J17" s="40" t="str">
        <f ca="1">IFERROR(__xludf.DUMMYFUNCTION("IF(SUM(COUNTIF(artists!C:C, SPLIT(D17, "",""))) &gt; 0, ""RU"", 0)"),"RU")</f>
        <v>RU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B18" s="21">
        <v>23</v>
      </c>
      <c r="C18" s="21" t="s">
        <v>2074</v>
      </c>
      <c r="D18" s="21" t="s">
        <v>584</v>
      </c>
      <c r="E18" s="21">
        <v>47</v>
      </c>
      <c r="F18" s="21">
        <v>487999</v>
      </c>
      <c r="G18" s="42">
        <v>4.2999999999999997E-2</v>
      </c>
      <c r="H18" s="21" t="s">
        <v>2075</v>
      </c>
      <c r="I18" s="39">
        <f ca="1">IFERROR(__xludf.DUMMYFUNCTION("IF(SUM(COUNTIF(artists!A:A, SPLIT(D18, "",""))) &gt; 0, ""UA"", 0)"),0)</f>
        <v>0</v>
      </c>
      <c r="J18" s="40" t="str">
        <f ca="1">IFERROR(__xludf.DUMMYFUNCTION("IF(SUM(COUNTIF(artists!C:C, SPLIT(D18, "",""))) &gt; 0, ""RU"", 0)"),"RU")</f>
        <v>RU</v>
      </c>
      <c r="K18" s="39">
        <f ca="1">IFERROR(__xludf.DUMMYFUNCTION("IF(SUM(COUNTIF(artists!E:E, SPLIT(D18, "",""))) &gt; 0, ""OTHER"", 0)"),0)</f>
        <v>0</v>
      </c>
    </row>
    <row r="19" spans="1:11" ht="14.25" customHeight="1">
      <c r="A19" s="21">
        <v>18</v>
      </c>
      <c r="B19" s="21">
        <v>15</v>
      </c>
      <c r="C19" s="21" t="s">
        <v>906</v>
      </c>
      <c r="D19" s="21" t="s">
        <v>907</v>
      </c>
      <c r="E19" s="21">
        <v>7</v>
      </c>
      <c r="F19" s="21">
        <v>485937</v>
      </c>
      <c r="G19" s="42">
        <v>-0.108</v>
      </c>
      <c r="H19" s="21" t="s">
        <v>908</v>
      </c>
      <c r="I19" s="39">
        <f ca="1">IFERROR(__xludf.DUMMYFUNCTION("IF(SUM(COUNTIF(artists!A:A, SPLIT(D19, "",""))) &gt; 0, ""UA"", 0)"),0)</f>
        <v>0</v>
      </c>
      <c r="J19" s="40" t="str">
        <f ca="1">IFERROR(__xludf.DUMMYFUNCTION("IF(SUM(COUNTIF(artists!C:C, SPLIT(D19, "",""))) &gt; 0, ""RU"", 0)"),"RU")</f>
        <v>RU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B20" s="21">
        <v>22</v>
      </c>
      <c r="C20" s="21" t="s">
        <v>1964</v>
      </c>
      <c r="D20" s="21" t="s">
        <v>1965</v>
      </c>
      <c r="E20" s="21">
        <v>13</v>
      </c>
      <c r="F20" s="21">
        <v>466381</v>
      </c>
      <c r="G20" s="42">
        <v>-4.8000000000000001E-2</v>
      </c>
      <c r="H20" s="21" t="s">
        <v>1966</v>
      </c>
      <c r="I20" s="39">
        <f ca="1">IFERROR(__xludf.DUMMYFUNCTION("IF(SUM(COUNTIF(artists!A:A, SPLIT(D20, "",""))) &gt; 0, ""UA"", 0)"),0)</f>
        <v>0</v>
      </c>
      <c r="J20" s="40" t="str">
        <f ca="1">IFERROR(__xludf.DUMMYFUNCTION("IF(SUM(COUNTIF(artists!C:C, SPLIT(D20, "",""))) &gt; 0, ""RU"", 0)"),"RU")</f>
        <v>RU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B21" s="21">
        <v>20</v>
      </c>
      <c r="C21" s="21" t="s">
        <v>1867</v>
      </c>
      <c r="D21" s="21" t="s">
        <v>1099</v>
      </c>
      <c r="E21" s="21">
        <v>10</v>
      </c>
      <c r="F21" s="21">
        <v>453825</v>
      </c>
      <c r="G21" s="42">
        <v>-9.2999999999999999E-2</v>
      </c>
      <c r="H21" s="21" t="s">
        <v>1868</v>
      </c>
      <c r="I21" s="39">
        <f ca="1">IFERROR(__xludf.DUMMYFUNCTION("IF(SUM(COUNTIF(artists!A:A, SPLIT(D21, "",""))) &gt; 0, ""UA"", 0)"),0)</f>
        <v>0</v>
      </c>
      <c r="J21" s="40" t="str">
        <f ca="1">IFERROR(__xludf.DUMMYFUNCTION("IF(SUM(COUNTIF(artists!C:C, SPLIT(D21, "",""))) &gt; 0, ""RU"", 0)"),"RU")</f>
        <v>RU</v>
      </c>
      <c r="K21" s="39">
        <f ca="1">IFERROR(__xludf.DUMMYFUNCTION("IF(SUM(COUNTIF(artists!E:E, SPLIT(D21, "",""))) &gt; 0, ""OTHER"", 0)"),0)</f>
        <v>0</v>
      </c>
    </row>
    <row r="22" spans="1:11" ht="14.25" customHeight="1">
      <c r="A22" s="21">
        <v>21</v>
      </c>
      <c r="B22" s="21">
        <v>14</v>
      </c>
      <c r="C22" s="21" t="s">
        <v>1887</v>
      </c>
      <c r="D22" s="21" t="s">
        <v>1099</v>
      </c>
      <c r="E22" s="21">
        <v>3</v>
      </c>
      <c r="F22" s="21">
        <v>422078</v>
      </c>
      <c r="G22" s="42">
        <v>-0.246</v>
      </c>
      <c r="H22" s="21" t="s">
        <v>1888</v>
      </c>
      <c r="I22" s="39">
        <f ca="1">IFERROR(__xludf.DUMMYFUNCTION("IF(SUM(COUNTIF(artists!A:A, SPLIT(D22, "",""))) &gt; 0, ""UA"", 0)"),0)</f>
        <v>0</v>
      </c>
      <c r="J22" s="40" t="str">
        <f ca="1">IFERROR(__xludf.DUMMYFUNCTION("IF(SUM(COUNTIF(artists!C:C, SPLIT(D22, "",""))) &gt; 0, ""RU"", 0)"),"RU")</f>
        <v>RU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B23" s="21">
        <v>24</v>
      </c>
      <c r="C23" s="21" t="s">
        <v>2078</v>
      </c>
      <c r="D23" s="21" t="s">
        <v>584</v>
      </c>
      <c r="E23" s="21">
        <v>17</v>
      </c>
      <c r="F23" s="21">
        <v>415745</v>
      </c>
      <c r="G23" s="42">
        <v>-7.9000000000000001E-2</v>
      </c>
      <c r="H23" s="21" t="s">
        <v>2079</v>
      </c>
      <c r="I23" s="39">
        <f ca="1">IFERROR(__xludf.DUMMYFUNCTION("IF(SUM(COUNTIF(artists!A:A, SPLIT(D23, "",""))) &gt; 0, ""UA"", 0)"),0)</f>
        <v>0</v>
      </c>
      <c r="J23" s="40" t="str">
        <f ca="1">IFERROR(__xludf.DUMMYFUNCTION("IF(SUM(COUNTIF(artists!C:C, SPLIT(D23, "",""))) &gt; 0, ""RU"", 0)"),"RU")</f>
        <v>RU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B24" s="21">
        <v>25</v>
      </c>
      <c r="C24" s="21" t="s">
        <v>2076</v>
      </c>
      <c r="D24" s="21" t="s">
        <v>1027</v>
      </c>
      <c r="E24" s="21">
        <v>36</v>
      </c>
      <c r="F24" s="21">
        <v>412510</v>
      </c>
      <c r="G24" s="42">
        <v>-4.9000000000000002E-2</v>
      </c>
      <c r="H24" s="21" t="s">
        <v>2077</v>
      </c>
      <c r="I24" s="39" t="str">
        <f ca="1">IFERROR(__xludf.DUMMYFUNCTION("IF(SUM(COUNTIF(artists!A:A, SPLIT(D24, "",""))) &gt; 0, ""UA"", 0)"),"UA")</f>
        <v>UA</v>
      </c>
      <c r="J24" s="40">
        <f ca="1">IFERROR(__xludf.DUMMYFUNCTION("IF(SUM(COUNTIF(artists!C:C, SPLIT(D24, "",""))) &gt; 0, ""RU"", 0)"),0)</f>
        <v>0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B25" s="21">
        <v>29</v>
      </c>
      <c r="C25" s="21" t="s">
        <v>1496</v>
      </c>
      <c r="D25" s="21" t="s">
        <v>969</v>
      </c>
      <c r="E25" s="21">
        <v>36</v>
      </c>
      <c r="F25" s="21">
        <v>402605</v>
      </c>
      <c r="G25" s="42">
        <v>-3.0000000000000001E-3</v>
      </c>
      <c r="H25" s="21" t="s">
        <v>1497</v>
      </c>
      <c r="I25" s="39" t="str">
        <f ca="1">IFERROR(__xludf.DUMMYFUNCTION("IF(SUM(COUNTIF(artists!A:A, SPLIT(D25, "",""))) &gt; 0, ""UA"", 0)"),"UA")</f>
        <v>UA</v>
      </c>
      <c r="J25" s="40">
        <f ca="1">IFERROR(__xludf.DUMMYFUNCTION("IF(SUM(COUNTIF(artists!C:C, SPLIT(D25, "",""))) &gt; 0, ""RU"", 0)"),0)</f>
        <v>0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B26" s="21">
        <v>27</v>
      </c>
      <c r="C26" s="21" t="s">
        <v>1282</v>
      </c>
      <c r="D26" s="21" t="s">
        <v>108</v>
      </c>
      <c r="E26" s="21">
        <v>14</v>
      </c>
      <c r="F26" s="21">
        <v>389403</v>
      </c>
      <c r="G26" s="42">
        <v>-5.8999999999999997E-2</v>
      </c>
      <c r="H26" s="21" t="s">
        <v>1283</v>
      </c>
      <c r="I26" s="39" t="str">
        <f ca="1">IFERROR(__xludf.DUMMYFUNCTION("IF(SUM(COUNTIF(artists!A:A, SPLIT(D26, "",""))) &gt; 0, ""UA"", 0)"),"UA")</f>
        <v>UA</v>
      </c>
      <c r="J26" s="40">
        <f ca="1">IFERROR(__xludf.DUMMYFUNCTION("IF(SUM(COUNTIF(artists!C:C, SPLIT(D26, "",""))) &gt; 0, ""RU"", 0)"),0)</f>
        <v>0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B27" s="21">
        <v>26</v>
      </c>
      <c r="C27" s="21" t="s">
        <v>1942</v>
      </c>
      <c r="D27" s="21" t="s">
        <v>1637</v>
      </c>
      <c r="E27" s="21">
        <v>27</v>
      </c>
      <c r="F27" s="21">
        <v>388847</v>
      </c>
      <c r="G27" s="42">
        <v>-8.7999999999999995E-2</v>
      </c>
      <c r="H27" s="21" t="s">
        <v>1943</v>
      </c>
      <c r="I27" s="39">
        <f ca="1">IFERROR(__xludf.DUMMYFUNCTION("IF(SUM(COUNTIF(artists!A:A, SPLIT(D27, "",""))) &gt; 0, ""UA"", 0)"),0)</f>
        <v>0</v>
      </c>
      <c r="J27" s="40" t="str">
        <f ca="1">IFERROR(__xludf.DUMMYFUNCTION("IF(SUM(COUNTIF(artists!C:C, SPLIT(D27, "",""))) &gt; 0, ""RU"", 0)"),"RU")</f>
        <v>RU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B28" s="21">
        <v>28</v>
      </c>
      <c r="C28" s="21" t="s">
        <v>1651</v>
      </c>
      <c r="D28" s="21" t="s">
        <v>1652</v>
      </c>
      <c r="E28" s="21">
        <v>14</v>
      </c>
      <c r="F28" s="21">
        <v>388302</v>
      </c>
      <c r="G28" s="43">
        <v>-0.05</v>
      </c>
      <c r="H28" s="21" t="s">
        <v>1959</v>
      </c>
      <c r="I28" s="39">
        <f ca="1">IFERROR(__xludf.DUMMYFUNCTION("IF(SUM(COUNTIF(artists!A:A, SPLIT(D28, "",""))) &gt; 0, ""UA"", 0)"),0)</f>
        <v>0</v>
      </c>
      <c r="J28" s="40" t="str">
        <f ca="1">IFERROR(__xludf.DUMMYFUNCTION("IF(SUM(COUNTIF(artists!C:C, SPLIT(D28, "",""))) &gt; 0, ""RU"", 0)"),"RU")</f>
        <v>RU</v>
      </c>
      <c r="K28" s="39">
        <f ca="1">IFERROR(__xludf.DUMMYFUNCTION("IF(SUM(COUNTIF(artists!E:E, SPLIT(D28, "",""))) &gt; 0, ""OTHER"", 0)"),0)</f>
        <v>0</v>
      </c>
    </row>
    <row r="29" spans="1:11" ht="14.25" customHeight="1">
      <c r="A29" s="21">
        <v>28</v>
      </c>
      <c r="B29" s="21">
        <v>30</v>
      </c>
      <c r="C29" s="21" t="s">
        <v>1995</v>
      </c>
      <c r="D29" s="21" t="s">
        <v>1996</v>
      </c>
      <c r="E29" s="21">
        <v>35</v>
      </c>
      <c r="F29" s="21">
        <v>383472</v>
      </c>
      <c r="G29" s="42">
        <v>-4.3999999999999997E-2</v>
      </c>
      <c r="H29" s="21" t="s">
        <v>1997</v>
      </c>
      <c r="I29" s="39">
        <f ca="1">IFERROR(__xludf.DUMMYFUNCTION("IF(SUM(COUNTIF(artists!A:A, SPLIT(D29, "",""))) &gt; 0, ""UA"", 0)"),0)</f>
        <v>0</v>
      </c>
      <c r="J29" s="40" t="str">
        <f ca="1">IFERROR(__xludf.DUMMYFUNCTION("IF(SUM(COUNTIF(artists!C:C, SPLIT(D29, "",""))) &gt; 0, ""RU"", 0)"),"RU")</f>
        <v>RU</v>
      </c>
      <c r="K29" s="39">
        <f ca="1">IFERROR(__xludf.DUMMYFUNCTION("IF(SUM(COUNTIF(artists!E:E, SPLIT(D29, "",""))) &gt; 0, ""OTHER"", 0)"),0)</f>
        <v>0</v>
      </c>
    </row>
    <row r="30" spans="1:11" ht="14.25" customHeight="1">
      <c r="A30" s="21">
        <v>29</v>
      </c>
      <c r="B30" s="21">
        <v>35</v>
      </c>
      <c r="C30" s="21" t="s">
        <v>1896</v>
      </c>
      <c r="D30" s="21" t="s">
        <v>1099</v>
      </c>
      <c r="E30" s="21">
        <v>43</v>
      </c>
      <c r="F30" s="21">
        <v>383314</v>
      </c>
      <c r="G30" s="42">
        <v>5.7000000000000002E-2</v>
      </c>
      <c r="H30" s="21" t="s">
        <v>1897</v>
      </c>
      <c r="I30" s="39">
        <f ca="1">IFERROR(__xludf.DUMMYFUNCTION("IF(SUM(COUNTIF(artists!A:A, SPLIT(D30, "",""))) &gt; 0, ""UA"", 0)"),0)</f>
        <v>0</v>
      </c>
      <c r="J30" s="40" t="str">
        <f ca="1">IFERROR(__xludf.DUMMYFUNCTION("IF(SUM(COUNTIF(artists!C:C, SPLIT(D30, "",""))) &gt; 0, ""RU"", 0)"),"RU")</f>
        <v>RU</v>
      </c>
      <c r="K30" s="39">
        <f ca="1">IFERROR(__xludf.DUMMYFUNCTION("IF(SUM(COUNTIF(artists!E:E, SPLIT(D30, "",""))) &gt; 0, ""OTHER"", 0)"),0)</f>
        <v>0</v>
      </c>
    </row>
    <row r="31" spans="1:11" ht="14.25" customHeight="1">
      <c r="A31" s="21">
        <v>30</v>
      </c>
      <c r="B31" s="21">
        <v>59</v>
      </c>
      <c r="C31" s="21" t="s">
        <v>2233</v>
      </c>
      <c r="D31" s="21" t="s">
        <v>2234</v>
      </c>
      <c r="E31" s="21">
        <v>2</v>
      </c>
      <c r="F31" s="21">
        <v>382805</v>
      </c>
      <c r="G31" s="42">
        <v>0.67200000000000004</v>
      </c>
      <c r="H31" s="21" t="s">
        <v>2235</v>
      </c>
      <c r="I31" s="39" t="str">
        <f ca="1">IFERROR(__xludf.DUMMYFUNCTION("IF(SUM(COUNTIF(artists!A:A, SPLIT(D31, "",""))) &gt; 0, ""UA"", 0)"),"UA")</f>
        <v>UA</v>
      </c>
      <c r="J31" s="40">
        <f ca="1">IFERROR(__xludf.DUMMYFUNCTION("IF(SUM(COUNTIF(artists!C:C, SPLIT(D31, "",""))) &gt; 0, ""RU"", 0)"),0)</f>
        <v>0</v>
      </c>
      <c r="K31" s="39">
        <f ca="1">IFERROR(__xludf.DUMMYFUNCTION("IF(SUM(COUNTIF(artists!E:E, SPLIT(D31, "",""))) &gt; 0, ""OTHER"", 0)"),0)</f>
        <v>0</v>
      </c>
    </row>
    <row r="32" spans="1:11" ht="14.25" customHeight="1">
      <c r="A32" s="21">
        <v>31</v>
      </c>
      <c r="B32" s="21">
        <v>19</v>
      </c>
      <c r="C32" s="21" t="s">
        <v>2107</v>
      </c>
      <c r="D32" s="21" t="s">
        <v>1783</v>
      </c>
      <c r="E32" s="21">
        <v>3</v>
      </c>
      <c r="F32" s="21">
        <v>380762</v>
      </c>
      <c r="G32" s="42">
        <v>-0.254</v>
      </c>
      <c r="H32" s="21" t="s">
        <v>2108</v>
      </c>
      <c r="I32" s="39">
        <f ca="1">IFERROR(__xludf.DUMMYFUNCTION("IF(SUM(COUNTIF(artists!A:A, SPLIT(D32, "",""))) &gt; 0, ""UA"", 0)"),0)</f>
        <v>0</v>
      </c>
      <c r="J32" s="40" t="str">
        <f ca="1">IFERROR(__xludf.DUMMYFUNCTION("IF(SUM(COUNTIF(artists!C:C, SPLIT(D32, "",""))) &gt; 0, ""RU"", 0)"),"RU")</f>
        <v>RU</v>
      </c>
      <c r="K32" s="39">
        <f ca="1">IFERROR(__xludf.DUMMYFUNCTION("IF(SUM(COUNTIF(artists!E:E, SPLIT(D32, "",""))) &gt; 0, ""OTHER"", 0)"),0)</f>
        <v>0</v>
      </c>
    </row>
    <row r="33" spans="1:11" ht="14.25" customHeight="1">
      <c r="A33" s="21">
        <v>32</v>
      </c>
      <c r="B33" s="21">
        <v>34</v>
      </c>
      <c r="C33" s="21" t="s">
        <v>2051</v>
      </c>
      <c r="D33" s="21" t="s">
        <v>2052</v>
      </c>
      <c r="E33" s="21">
        <v>5</v>
      </c>
      <c r="F33" s="21">
        <v>377665</v>
      </c>
      <c r="G33" s="42">
        <v>3.9E-2</v>
      </c>
      <c r="H33" s="21" t="s">
        <v>2053</v>
      </c>
      <c r="I33" s="39">
        <f ca="1">IFERROR(__xludf.DUMMYFUNCTION("IF(SUM(COUNTIF(artists!A:A, SPLIT(D33, "",""))) &gt; 0, ""UA"", 0)"),0)</f>
        <v>0</v>
      </c>
      <c r="J33" s="40" t="str">
        <f ca="1">IFERROR(__xludf.DUMMYFUNCTION("IF(SUM(COUNTIF(artists!C:C, SPLIT(D33, "",""))) &gt; 0, ""RU"", 0)"),"RU")</f>
        <v>RU</v>
      </c>
      <c r="K33" s="39">
        <f ca="1">IFERROR(__xludf.DUMMYFUNCTION("IF(SUM(COUNTIF(artists!E:E, SPLIT(D33, "",""))) &gt; 0, ""OTHER"", 0)"),0)</f>
        <v>0</v>
      </c>
    </row>
    <row r="34" spans="1:11" ht="14.25" customHeight="1">
      <c r="A34" s="21">
        <v>33</v>
      </c>
      <c r="B34" s="21">
        <v>32</v>
      </c>
      <c r="C34" s="21" t="s">
        <v>2009</v>
      </c>
      <c r="D34" s="21" t="s">
        <v>2010</v>
      </c>
      <c r="E34" s="21">
        <v>5</v>
      </c>
      <c r="F34" s="21">
        <v>373594</v>
      </c>
      <c r="G34" s="42">
        <v>7.0000000000000001E-3</v>
      </c>
      <c r="H34" s="21" t="s">
        <v>2011</v>
      </c>
      <c r="I34" s="39">
        <f ca="1">IFERROR(__xludf.DUMMYFUNCTION("IF(SUM(COUNTIF(artists!A:A, SPLIT(D34, "",""))) &gt; 0, ""UA"", 0)"),0)</f>
        <v>0</v>
      </c>
      <c r="J34" s="40" t="str">
        <f ca="1">IFERROR(__xludf.DUMMYFUNCTION("IF(SUM(COUNTIF(artists!C:C, SPLIT(D34, "",""))) &gt; 0, ""RU"", 0)"),"RU")</f>
        <v>RU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B35" s="21">
        <v>33</v>
      </c>
      <c r="C35" s="21" t="s">
        <v>1774</v>
      </c>
      <c r="D35" s="21" t="s">
        <v>1775</v>
      </c>
      <c r="E35" s="21">
        <v>13</v>
      </c>
      <c r="F35" s="21">
        <v>370741</v>
      </c>
      <c r="G35" s="42">
        <v>3.0000000000000001E-3</v>
      </c>
      <c r="H35" s="21" t="s">
        <v>1776</v>
      </c>
      <c r="I35" s="39">
        <f ca="1">IFERROR(__xludf.DUMMYFUNCTION("IF(SUM(COUNTIF(artists!A:A, SPLIT(D35, "",""))) &gt; 0, ""UA"", 0)"),0)</f>
        <v>0</v>
      </c>
      <c r="J35" s="40" t="str">
        <f ca="1">IFERROR(__xludf.DUMMYFUNCTION("IF(SUM(COUNTIF(artists!C:C, SPLIT(D35, "",""))) &gt; 0, ""RU"", 0)"),"RU")</f>
        <v>RU</v>
      </c>
      <c r="K35" s="39">
        <f ca="1">IFERROR(__xludf.DUMMYFUNCTION("IF(SUM(COUNTIF(artists!E:E, SPLIT(D35, "",""))) &gt; 0, ""OTHER"", 0)"),0)</f>
        <v>0</v>
      </c>
    </row>
    <row r="36" spans="1:11" ht="14.25" customHeight="1">
      <c r="A36" s="21">
        <v>35</v>
      </c>
      <c r="B36" s="21">
        <v>36</v>
      </c>
      <c r="C36" s="21" t="s">
        <v>1944</v>
      </c>
      <c r="D36" s="21" t="s">
        <v>1945</v>
      </c>
      <c r="E36" s="21">
        <v>10</v>
      </c>
      <c r="F36" s="21">
        <v>359028</v>
      </c>
      <c r="G36" s="42">
        <v>-8.0000000000000002E-3</v>
      </c>
      <c r="H36" s="21" t="s">
        <v>1946</v>
      </c>
      <c r="I36" s="39">
        <f ca="1">IFERROR(__xludf.DUMMYFUNCTION("IF(SUM(COUNTIF(artists!A:A, SPLIT(D36, "",""))) &gt; 0, ""UA"", 0)"),0)</f>
        <v>0</v>
      </c>
      <c r="J36" s="40" t="str">
        <f ca="1">IFERROR(__xludf.DUMMYFUNCTION("IF(SUM(COUNTIF(artists!C:C, SPLIT(D36, "",""))) &gt; 0, ""RU"", 0)"),"RU")</f>
        <v>RU</v>
      </c>
      <c r="K36" s="39">
        <f ca="1">IFERROR(__xludf.DUMMYFUNCTION("IF(SUM(COUNTIF(artists!E:E, SPLIT(D36, "",""))) &gt; 0, ""OTHER"", 0)"),0)</f>
        <v>0</v>
      </c>
    </row>
    <row r="37" spans="1:11" ht="14.25" customHeight="1">
      <c r="A37" s="21">
        <v>36</v>
      </c>
      <c r="B37" s="21">
        <v>37</v>
      </c>
      <c r="C37" s="21" t="s">
        <v>1865</v>
      </c>
      <c r="D37" s="21" t="s">
        <v>1646</v>
      </c>
      <c r="E37" s="21">
        <v>7</v>
      </c>
      <c r="F37" s="21">
        <v>347345</v>
      </c>
      <c r="G37" s="42">
        <v>8.9999999999999993E-3</v>
      </c>
      <c r="H37" s="21" t="s">
        <v>1866</v>
      </c>
      <c r="I37" s="39">
        <f ca="1">IFERROR(__xludf.DUMMYFUNCTION("IF(SUM(COUNTIF(artists!A:A, SPLIT(D37, "",""))) &gt; 0, ""UA"", 0)"),0)</f>
        <v>0</v>
      </c>
      <c r="J37" s="40" t="str">
        <f ca="1">IFERROR(__xludf.DUMMYFUNCTION("IF(SUM(COUNTIF(artists!C:C, SPLIT(D37, "",""))) &gt; 0, ""RU"", 0)"),"RU")</f>
        <v>RU</v>
      </c>
      <c r="K37" s="39">
        <f ca="1">IFERROR(__xludf.DUMMYFUNCTION("IF(SUM(COUNTIF(artists!E:E, SPLIT(D37, "",""))) &gt; 0, ""OTHER"", 0)"),0)</f>
        <v>0</v>
      </c>
    </row>
    <row r="38" spans="1:11" ht="14.25" customHeight="1">
      <c r="A38" s="21">
        <v>37</v>
      </c>
      <c r="B38" s="21">
        <v>38</v>
      </c>
      <c r="C38" s="21" t="s">
        <v>2017</v>
      </c>
      <c r="D38" s="21" t="s">
        <v>2018</v>
      </c>
      <c r="E38" s="21">
        <v>36</v>
      </c>
      <c r="F38" s="21">
        <v>340692</v>
      </c>
      <c r="G38" s="42">
        <v>1.7000000000000001E-2</v>
      </c>
      <c r="H38" s="21" t="s">
        <v>2019</v>
      </c>
      <c r="I38" s="39">
        <f ca="1">IFERROR(__xludf.DUMMYFUNCTION("IF(SUM(COUNTIF(artists!A:A, SPLIT(D38, "",""))) &gt; 0, ""UA"", 0)"),0)</f>
        <v>0</v>
      </c>
      <c r="J38" s="40" t="str">
        <f ca="1">IFERROR(__xludf.DUMMYFUNCTION("IF(SUM(COUNTIF(artists!C:C, SPLIT(D38, "",""))) &gt; 0, ""RU"", 0)"),"RU")</f>
        <v>RU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C39" s="21" t="s">
        <v>2131</v>
      </c>
      <c r="D39" s="21" t="s">
        <v>2132</v>
      </c>
      <c r="E39" s="21">
        <v>1</v>
      </c>
      <c r="F39" s="21">
        <v>340436</v>
      </c>
      <c r="H39" s="21" t="s">
        <v>2133</v>
      </c>
      <c r="I39" s="39">
        <f ca="1">IFERROR(__xludf.DUMMYFUNCTION("IF(SUM(COUNTIF(artists!A:A, SPLIT(D39, "",""))) &gt; 0, ""UA"", 0)"),0)</f>
        <v>0</v>
      </c>
      <c r="J39" s="40" t="str">
        <f ca="1">IFERROR(__xludf.DUMMYFUNCTION("IF(SUM(COUNTIF(artists!C:C, SPLIT(D39, "",""))) &gt; 0, ""RU"", 0)"),"RU")</f>
        <v>RU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B40" s="21">
        <v>39</v>
      </c>
      <c r="C40" s="21" t="s">
        <v>2071</v>
      </c>
      <c r="D40" s="21" t="s">
        <v>2072</v>
      </c>
      <c r="E40" s="21">
        <v>11</v>
      </c>
      <c r="F40" s="21">
        <v>327913</v>
      </c>
      <c r="G40" s="42">
        <v>-1.7999999999999999E-2</v>
      </c>
      <c r="H40" s="21" t="s">
        <v>2073</v>
      </c>
      <c r="I40" s="39">
        <f ca="1">IFERROR(__xludf.DUMMYFUNCTION("IF(SUM(COUNTIF(artists!A:A, SPLIT(D40, "",""))) &gt; 0, ""UA"", 0)"),0)</f>
        <v>0</v>
      </c>
      <c r="J40" s="40" t="str">
        <f ca="1">IFERROR(__xludf.DUMMYFUNCTION("IF(SUM(COUNTIF(artists!C:C, SPLIT(D40, "",""))) &gt; 0, ""RU"", 0)"),"RU")</f>
        <v>RU</v>
      </c>
      <c r="K40" s="39">
        <f ca="1">IFERROR(__xludf.DUMMYFUNCTION("IF(SUM(COUNTIF(artists!E:E, SPLIT(D40, "",""))) &gt; 0, ""OTHER"", 0)"),0)</f>
        <v>0</v>
      </c>
    </row>
    <row r="41" spans="1:11" ht="14.25" customHeight="1">
      <c r="A41" s="21">
        <v>40</v>
      </c>
      <c r="B41" s="21">
        <v>40</v>
      </c>
      <c r="C41" s="21" t="s">
        <v>2000</v>
      </c>
      <c r="D41" s="21" t="s">
        <v>137</v>
      </c>
      <c r="E41" s="21">
        <v>41</v>
      </c>
      <c r="F41" s="21">
        <v>324889</v>
      </c>
      <c r="G41" s="42">
        <v>2.5999999999999999E-2</v>
      </c>
      <c r="H41" s="21" t="s">
        <v>2001</v>
      </c>
      <c r="I41" s="39" t="str">
        <f ca="1">IFERROR(__xludf.DUMMYFUNCTION("IF(SUM(COUNTIF(artists!A:A, SPLIT(D41, "",""))) &gt; 0, ""UA"", 0)"),"UA")</f>
        <v>UA</v>
      </c>
      <c r="J41" s="40">
        <f ca="1">IFERROR(__xludf.DUMMYFUNCTION("IF(SUM(COUNTIF(artists!C:C, SPLIT(D41, "",""))) &gt; 0, ""RU"", 0)"),0)</f>
        <v>0</v>
      </c>
      <c r="K41" s="39">
        <f ca="1">IFERROR(__xludf.DUMMYFUNCTION("IF(SUM(COUNTIF(artists!E:E, SPLIT(D41, "",""))) &gt; 0, ""OTHER"", 0)"),0)</f>
        <v>0</v>
      </c>
    </row>
    <row r="42" spans="1:11" ht="14.25" customHeight="1">
      <c r="A42" s="21">
        <v>41</v>
      </c>
      <c r="B42" s="21">
        <v>31</v>
      </c>
      <c r="C42" s="21" t="s">
        <v>1939</v>
      </c>
      <c r="D42" s="21" t="s">
        <v>1940</v>
      </c>
      <c r="E42" s="21">
        <v>5</v>
      </c>
      <c r="F42" s="21">
        <v>318515</v>
      </c>
      <c r="G42" s="42">
        <v>-0.154</v>
      </c>
      <c r="H42" s="21" t="s">
        <v>1941</v>
      </c>
      <c r="I42" s="39">
        <f ca="1">IFERROR(__xludf.DUMMYFUNCTION("IF(SUM(COUNTIF(artists!A:A, SPLIT(D42, "",""))) &gt; 0, ""UA"", 0)"),0)</f>
        <v>0</v>
      </c>
      <c r="J42" s="40" t="str">
        <f ca="1">IFERROR(__xludf.DUMMYFUNCTION("IF(SUM(COUNTIF(artists!C:C, SPLIT(D42, "",""))) &gt; 0, ""RU"", 0)"),"RU")</f>
        <v>RU</v>
      </c>
      <c r="K42" s="39">
        <f ca="1">IFERROR(__xludf.DUMMYFUNCTION("IF(SUM(COUNTIF(artists!E:E, SPLIT(D42, "",""))) &gt; 0, ""OTHER"", 0)"),0)</f>
        <v>0</v>
      </c>
    </row>
    <row r="43" spans="1:11" ht="14.25" customHeight="1">
      <c r="A43" s="21">
        <v>42</v>
      </c>
      <c r="B43" s="21">
        <v>42</v>
      </c>
      <c r="C43" s="21" t="s">
        <v>2063</v>
      </c>
      <c r="D43" s="21" t="s">
        <v>2064</v>
      </c>
      <c r="E43" s="21">
        <v>10</v>
      </c>
      <c r="F43" s="21">
        <v>318196</v>
      </c>
      <c r="G43" s="42">
        <v>6.6000000000000003E-2</v>
      </c>
      <c r="H43" s="21" t="s">
        <v>2065</v>
      </c>
      <c r="I43" s="39">
        <f ca="1">IFERROR(__xludf.DUMMYFUNCTION("IF(SUM(COUNTIF(artists!A:A, SPLIT(D43, "",""))) &gt; 0, ""UA"", 0)"),0)</f>
        <v>0</v>
      </c>
      <c r="J43" s="40" t="str">
        <f ca="1">IFERROR(__xludf.DUMMYFUNCTION("IF(SUM(COUNTIF(artists!C:C, SPLIT(D43, "",""))) &gt; 0, ""RU"", 0)"),"RU")</f>
        <v>RU</v>
      </c>
      <c r="K43" s="39">
        <f ca="1">IFERROR(__xludf.DUMMYFUNCTION("IF(SUM(COUNTIF(artists!E:E, SPLIT(D43, "",""))) &gt; 0, ""OTHER"", 0)"),0)</f>
        <v>0</v>
      </c>
    </row>
    <row r="44" spans="1:11" ht="14.25" customHeight="1">
      <c r="A44" s="21">
        <v>43</v>
      </c>
      <c r="C44" s="21" t="s">
        <v>1636</v>
      </c>
      <c r="D44" s="21" t="s">
        <v>1637</v>
      </c>
      <c r="E44" s="21">
        <v>1</v>
      </c>
      <c r="F44" s="21">
        <v>307962</v>
      </c>
      <c r="H44" s="21" t="s">
        <v>1638</v>
      </c>
      <c r="I44" s="39">
        <f ca="1">IFERROR(__xludf.DUMMYFUNCTION("IF(SUM(COUNTIF(artists!A:A, SPLIT(D44, "",""))) &gt; 0, ""UA"", 0)"),0)</f>
        <v>0</v>
      </c>
      <c r="J44" s="40" t="str">
        <f ca="1">IFERROR(__xludf.DUMMYFUNCTION("IF(SUM(COUNTIF(artists!C:C, SPLIT(D44, "",""))) &gt; 0, ""RU"", 0)"),"RU")</f>
        <v>RU</v>
      </c>
      <c r="K44" s="39">
        <f ca="1">IFERROR(__xludf.DUMMYFUNCTION("IF(SUM(COUNTIF(artists!E:E, SPLIT(D44, "",""))) &gt; 0, ""OTHER"", 0)"),0)</f>
        <v>0</v>
      </c>
    </row>
    <row r="45" spans="1:11" ht="14.25" customHeight="1">
      <c r="A45" s="21">
        <v>44</v>
      </c>
      <c r="B45" s="21">
        <v>41</v>
      </c>
      <c r="C45" s="21" t="s">
        <v>2005</v>
      </c>
      <c r="D45" s="21" t="s">
        <v>1593</v>
      </c>
      <c r="E45" s="21">
        <v>14</v>
      </c>
      <c r="F45" s="21">
        <v>301676</v>
      </c>
      <c r="G45" s="43">
        <v>-0.04</v>
      </c>
      <c r="H45" s="21" t="s">
        <v>2006</v>
      </c>
      <c r="I45" s="39">
        <f ca="1">IFERROR(__xludf.DUMMYFUNCTION("IF(SUM(COUNTIF(artists!A:A, SPLIT(D45, "",""))) &gt; 0, ""UA"", 0)"),0)</f>
        <v>0</v>
      </c>
      <c r="J45" s="40" t="str">
        <f ca="1">IFERROR(__xludf.DUMMYFUNCTION("IF(SUM(COUNTIF(artists!C:C, SPLIT(D45, "",""))) &gt; 0, ""RU"", 0)"),"RU")</f>
        <v>RU</v>
      </c>
      <c r="K45" s="39">
        <f ca="1">IFERROR(__xludf.DUMMYFUNCTION("IF(SUM(COUNTIF(artists!E:E, SPLIT(D45, "",""))) &gt; 0, ""OTHER"", 0)"),0)</f>
        <v>0</v>
      </c>
    </row>
    <row r="46" spans="1:11" ht="14.25" customHeight="1">
      <c r="A46" s="21">
        <v>45</v>
      </c>
      <c r="B46" s="21">
        <v>52</v>
      </c>
      <c r="C46" s="21" t="s">
        <v>2032</v>
      </c>
      <c r="D46" s="21" t="s">
        <v>2033</v>
      </c>
      <c r="E46" s="21">
        <v>2</v>
      </c>
      <c r="F46" s="21">
        <v>283922</v>
      </c>
      <c r="G46" s="42">
        <v>0.108</v>
      </c>
      <c r="H46" s="21" t="s">
        <v>2034</v>
      </c>
      <c r="I46" s="39">
        <f ca="1">IFERROR(__xludf.DUMMYFUNCTION("IF(SUM(COUNTIF(artists!A:A, SPLIT(D46, "",""))) &gt; 0, ""UA"", 0)"),0)</f>
        <v>0</v>
      </c>
      <c r="J46" s="40" t="str">
        <f ca="1">IFERROR(__xludf.DUMMYFUNCTION("IF(SUM(COUNTIF(artists!C:C, SPLIT(D46, "",""))) &gt; 0, ""RU"", 0)"),"RU")</f>
        <v>RU</v>
      </c>
      <c r="K46" s="39">
        <f ca="1">IFERROR(__xludf.DUMMYFUNCTION("IF(SUM(COUNTIF(artists!E:E, SPLIT(D46, "",""))) &gt; 0, ""OTHER"", 0)"),0)</f>
        <v>0</v>
      </c>
    </row>
    <row r="47" spans="1:11" ht="14.25" customHeight="1">
      <c r="A47" s="21">
        <v>46</v>
      </c>
      <c r="B47" s="21">
        <v>45</v>
      </c>
      <c r="C47" s="21" t="s">
        <v>1483</v>
      </c>
      <c r="D47" s="21" t="s">
        <v>972</v>
      </c>
      <c r="E47" s="21">
        <v>11</v>
      </c>
      <c r="F47" s="21">
        <v>277417</v>
      </c>
      <c r="G47" s="42">
        <v>1E-3</v>
      </c>
      <c r="H47" s="21" t="s">
        <v>1484</v>
      </c>
      <c r="I47" s="39">
        <f ca="1">IFERROR(__xludf.DUMMYFUNCTION("IF(SUM(COUNTIF(artists!A:A, SPLIT(D47, "",""))) &gt; 0, ""UA"", 0)"),0)</f>
        <v>0</v>
      </c>
      <c r="J47" s="40">
        <f ca="1">IFERROR(__xludf.DUMMYFUNCTION("IF(SUM(COUNTIF(artists!C:C, SPLIT(D47, "",""))) &gt; 0, ""RU"", 0)"),0)</f>
        <v>0</v>
      </c>
      <c r="K47" s="39" t="str">
        <f ca="1">IFERROR(__xludf.DUMMYFUNCTION("IF(SUM(COUNTIF(artists!E:E, SPLIT(D47, "",""))) &gt; 0, ""OTHER"", 0)"),"OTHER")</f>
        <v>OTHER</v>
      </c>
    </row>
    <row r="48" spans="1:11" ht="14.25" customHeight="1">
      <c r="A48" s="21">
        <v>47</v>
      </c>
      <c r="B48" s="21">
        <v>49</v>
      </c>
      <c r="C48" s="21" t="s">
        <v>1654</v>
      </c>
      <c r="D48" s="21" t="s">
        <v>1655</v>
      </c>
      <c r="E48" s="21">
        <v>19</v>
      </c>
      <c r="F48" s="21">
        <v>277099</v>
      </c>
      <c r="G48" s="42">
        <v>4.2999999999999997E-2</v>
      </c>
      <c r="H48" s="21" t="s">
        <v>1656</v>
      </c>
      <c r="I48" s="39">
        <f ca="1">IFERROR(__xludf.DUMMYFUNCTION("IF(SUM(COUNTIF(artists!A:A, SPLIT(D48, "",""))) &gt; 0, ""UA"", 0)"),0)</f>
        <v>0</v>
      </c>
      <c r="J48" s="40" t="str">
        <f ca="1">IFERROR(__xludf.DUMMYFUNCTION("IF(SUM(COUNTIF(artists!C:C, SPLIT(D48, "",""))) &gt; 0, ""RU"", 0)"),"RU")</f>
        <v>RU</v>
      </c>
      <c r="K48" s="39">
        <f ca="1">IFERROR(__xludf.DUMMYFUNCTION("IF(SUM(COUNTIF(artists!E:E, SPLIT(D48, "",""))) &gt; 0, ""OTHER"", 0)"),0)</f>
        <v>0</v>
      </c>
    </row>
    <row r="49" spans="1:11" ht="14.25" customHeight="1">
      <c r="A49" s="21">
        <v>48</v>
      </c>
      <c r="C49" s="21" t="s">
        <v>2236</v>
      </c>
      <c r="D49" s="21" t="s">
        <v>1534</v>
      </c>
      <c r="E49" s="21">
        <v>1</v>
      </c>
      <c r="F49" s="21">
        <v>276252</v>
      </c>
      <c r="H49" s="21" t="s">
        <v>2237</v>
      </c>
      <c r="I49" s="39">
        <f ca="1">IFERROR(__xludf.DUMMYFUNCTION("IF(SUM(COUNTIF(artists!A:A, SPLIT(D49, "",""))) &gt; 0, ""UA"", 0)"),0)</f>
        <v>0</v>
      </c>
      <c r="J49" s="40" t="str">
        <f ca="1">IFERROR(__xludf.DUMMYFUNCTION("IF(SUM(COUNTIF(artists!C:C, SPLIT(D49, "",""))) &gt; 0, ""RU"", 0)"),"RU")</f>
        <v>RU</v>
      </c>
      <c r="K49" s="39">
        <f ca="1">IFERROR(__xludf.DUMMYFUNCTION("IF(SUM(COUNTIF(artists!E:E, SPLIT(D49, "",""))) &gt; 0, ""OTHER"", 0)"),0)</f>
        <v>0</v>
      </c>
    </row>
    <row r="50" spans="1:11" ht="14.25" customHeight="1">
      <c r="A50" s="21">
        <v>49</v>
      </c>
      <c r="B50" s="21">
        <v>43</v>
      </c>
      <c r="C50" s="21" t="s">
        <v>2002</v>
      </c>
      <c r="D50" s="21" t="s">
        <v>2003</v>
      </c>
      <c r="E50" s="21">
        <v>29</v>
      </c>
      <c r="F50" s="21">
        <v>275746</v>
      </c>
      <c r="G50" s="42">
        <v>-6.8000000000000005E-2</v>
      </c>
      <c r="H50" s="21" t="s">
        <v>2004</v>
      </c>
      <c r="I50" s="39">
        <f ca="1">IFERROR(__xludf.DUMMYFUNCTION("IF(SUM(COUNTIF(artists!A:A, SPLIT(D50, "",""))) &gt; 0, ""UA"", 0)"),0)</f>
        <v>0</v>
      </c>
      <c r="J50" s="40" t="str">
        <f ca="1">IFERROR(__xludf.DUMMYFUNCTION("IF(SUM(COUNTIF(artists!C:C, SPLIT(D50, "",""))) &gt; 0, ""RU"", 0)"),"RU")</f>
        <v>RU</v>
      </c>
      <c r="K50" s="39">
        <f ca="1">IFERROR(__xludf.DUMMYFUNCTION("IF(SUM(COUNTIF(artists!E:E, SPLIT(D50, "",""))) &gt; 0, ""OTHER"", 0)"),0)</f>
        <v>0</v>
      </c>
    </row>
    <row r="51" spans="1:11" ht="14.25" customHeight="1">
      <c r="A51" s="21">
        <v>50</v>
      </c>
      <c r="B51" s="21">
        <v>46</v>
      </c>
      <c r="C51" s="21" t="s">
        <v>1678</v>
      </c>
      <c r="D51" s="21" t="s">
        <v>1679</v>
      </c>
      <c r="E51" s="21">
        <v>32</v>
      </c>
      <c r="F51" s="21">
        <v>270266</v>
      </c>
      <c r="G51" s="42">
        <v>-1.9E-2</v>
      </c>
      <c r="H51" s="21" t="s">
        <v>1680</v>
      </c>
      <c r="I51" s="39">
        <f ca="1">IFERROR(__xludf.DUMMYFUNCTION("IF(SUM(COUNTIF(artists!A:A, SPLIT(D51, "",""))) &gt; 0, ""UA"", 0)"),0)</f>
        <v>0</v>
      </c>
      <c r="J51" s="40" t="str">
        <f ca="1">IFERROR(__xludf.DUMMYFUNCTION("IF(SUM(COUNTIF(artists!C:C, SPLIT(D51, "",""))) &gt; 0, ""RU"", 0)"),"RU")</f>
        <v>RU</v>
      </c>
      <c r="K51" s="39">
        <f ca="1">IFERROR(__xludf.DUMMYFUNCTION("IF(SUM(COUNTIF(artists!E:E, SPLIT(D51, "",""))) &gt; 0, ""OTHER"", 0)"),0)</f>
        <v>0</v>
      </c>
    </row>
    <row r="52" spans="1:11" ht="14.25" customHeight="1">
      <c r="A52" s="21">
        <v>51</v>
      </c>
      <c r="B52" s="21">
        <v>44</v>
      </c>
      <c r="C52" s="21" t="s">
        <v>1327</v>
      </c>
      <c r="D52" s="21" t="s">
        <v>89</v>
      </c>
      <c r="E52" s="21">
        <v>20</v>
      </c>
      <c r="F52" s="21">
        <v>265180</v>
      </c>
      <c r="G52" s="42">
        <v>-7.8E-2</v>
      </c>
      <c r="H52" s="21" t="s">
        <v>1328</v>
      </c>
      <c r="I52" s="39" t="str">
        <f ca="1">IFERROR(__xludf.DUMMYFUNCTION("IF(SUM(COUNTIF(artists!A:A, SPLIT(D52, "",""))) &gt; 0, ""UA"", 0)"),"UA")</f>
        <v>UA</v>
      </c>
      <c r="J52" s="40">
        <f ca="1">IFERROR(__xludf.DUMMYFUNCTION("IF(SUM(COUNTIF(artists!C:C, SPLIT(D52, "",""))) &gt; 0, ""RU"", 0)"),0)</f>
        <v>0</v>
      </c>
      <c r="K52" s="39">
        <f ca="1">IFERROR(__xludf.DUMMYFUNCTION("IF(SUM(COUNTIF(artists!E:E, SPLIT(D52, "",""))) &gt; 0, ""OTHER"", 0)"),0)</f>
        <v>0</v>
      </c>
    </row>
    <row r="53" spans="1:11" ht="14.25" customHeight="1">
      <c r="A53" s="21">
        <v>52</v>
      </c>
      <c r="C53" s="21" t="s">
        <v>2238</v>
      </c>
      <c r="D53" s="21" t="s">
        <v>2239</v>
      </c>
      <c r="E53" s="21">
        <v>1</v>
      </c>
      <c r="F53" s="21">
        <v>263202</v>
      </c>
      <c r="H53" s="21" t="s">
        <v>2240</v>
      </c>
      <c r="I53" s="39">
        <f ca="1">IFERROR(__xludf.DUMMYFUNCTION("IF(SUM(COUNTIF(artists!A:A, SPLIT(D53, "",""))) &gt; 0, ""UA"", 0)"),0)</f>
        <v>0</v>
      </c>
      <c r="J53" s="40" t="str">
        <f ca="1">IFERROR(__xludf.DUMMYFUNCTION("IF(SUM(COUNTIF(artists!C:C, SPLIT(D53, "",""))) &gt; 0, ""RU"", 0)"),"RU")</f>
        <v>RU</v>
      </c>
      <c r="K53" s="39">
        <f ca="1">IFERROR(__xludf.DUMMYFUNCTION("IF(SUM(COUNTIF(artists!E:E, SPLIT(D53, "",""))) &gt; 0, ""OTHER"", 0)"),0)</f>
        <v>0</v>
      </c>
    </row>
    <row r="54" spans="1:11" ht="14.25" customHeight="1">
      <c r="A54" s="21">
        <v>53</v>
      </c>
      <c r="B54" s="21">
        <v>48</v>
      </c>
      <c r="C54" s="21" t="s">
        <v>2012</v>
      </c>
      <c r="D54" s="21" t="s">
        <v>125</v>
      </c>
      <c r="E54" s="21">
        <v>20</v>
      </c>
      <c r="F54" s="21">
        <v>253293</v>
      </c>
      <c r="G54" s="43">
        <v>-0.06</v>
      </c>
      <c r="H54" s="21" t="s">
        <v>2013</v>
      </c>
      <c r="I54" s="39">
        <f ca="1">IFERROR(__xludf.DUMMYFUNCTION("IF(SUM(COUNTIF(artists!A:A, SPLIT(D54, "",""))) &gt; 0, ""UA"", 0)"),0)</f>
        <v>0</v>
      </c>
      <c r="J54" s="40" t="str">
        <f ca="1">IFERROR(__xludf.DUMMYFUNCTION("IF(SUM(COUNTIF(artists!C:C, SPLIT(D54, "",""))) &gt; 0, ""RU"", 0)"),"RU")</f>
        <v>RU</v>
      </c>
      <c r="K54" s="39">
        <f ca="1">IFERROR(__xludf.DUMMYFUNCTION("IF(SUM(COUNTIF(artists!E:E, SPLIT(D54, "",""))) &gt; 0, ""OTHER"", 0)"),0)</f>
        <v>0</v>
      </c>
    </row>
    <row r="55" spans="1:11" ht="14.25" customHeight="1">
      <c r="A55" s="21">
        <v>54</v>
      </c>
      <c r="B55" s="21">
        <v>51</v>
      </c>
      <c r="C55" s="21" t="s">
        <v>2007</v>
      </c>
      <c r="D55" s="21" t="s">
        <v>1652</v>
      </c>
      <c r="E55" s="21">
        <v>14</v>
      </c>
      <c r="F55" s="21">
        <v>246308</v>
      </c>
      <c r="G55" s="42">
        <v>-4.2000000000000003E-2</v>
      </c>
      <c r="H55" s="21" t="s">
        <v>2008</v>
      </c>
      <c r="I55" s="39">
        <f ca="1">IFERROR(__xludf.DUMMYFUNCTION("IF(SUM(COUNTIF(artists!A:A, SPLIT(D55, "",""))) &gt; 0, ""UA"", 0)"),0)</f>
        <v>0</v>
      </c>
      <c r="J55" s="40" t="str">
        <f ca="1">IFERROR(__xludf.DUMMYFUNCTION("IF(SUM(COUNTIF(artists!C:C, SPLIT(D55, "",""))) &gt; 0, ""RU"", 0)"),"RU")</f>
        <v>RU</v>
      </c>
      <c r="K55" s="39">
        <f ca="1">IFERROR(__xludf.DUMMYFUNCTION("IF(SUM(COUNTIF(artists!E:E, SPLIT(D55, "",""))) &gt; 0, ""OTHER"", 0)"),0)</f>
        <v>0</v>
      </c>
    </row>
    <row r="56" spans="1:11" ht="14.25" customHeight="1">
      <c r="A56" s="21">
        <v>55</v>
      </c>
      <c r="B56" s="21">
        <v>55</v>
      </c>
      <c r="C56" s="21" t="s">
        <v>613</v>
      </c>
      <c r="D56" s="21" t="s">
        <v>614</v>
      </c>
      <c r="E56" s="21">
        <v>6</v>
      </c>
      <c r="F56" s="21">
        <v>245391</v>
      </c>
      <c r="G56" s="42">
        <v>4.0000000000000001E-3</v>
      </c>
      <c r="H56" s="21" t="s">
        <v>615</v>
      </c>
      <c r="I56" s="39">
        <f ca="1">IFERROR(__xludf.DUMMYFUNCTION("IF(SUM(COUNTIF(artists!A:A, SPLIT(D56, "",""))) &gt; 0, ""UA"", 0)"),0)</f>
        <v>0</v>
      </c>
      <c r="J56" s="40" t="str">
        <f ca="1">IFERROR(__xludf.DUMMYFUNCTION("IF(SUM(COUNTIF(artists!C:C, SPLIT(D56, "",""))) &gt; 0, ""RU"", 0)"),"RU")</f>
        <v>RU</v>
      </c>
      <c r="K56" s="39">
        <f ca="1">IFERROR(__xludf.DUMMYFUNCTION("IF(SUM(COUNTIF(artists!E:E, SPLIT(D56, "",""))) &gt; 0, ""OTHER"", 0)"),0)</f>
        <v>0</v>
      </c>
    </row>
    <row r="57" spans="1:11" ht="14.25" customHeight="1">
      <c r="A57" s="21">
        <v>56</v>
      </c>
      <c r="B57" s="21">
        <v>47</v>
      </c>
      <c r="C57" s="21" t="s">
        <v>2134</v>
      </c>
      <c r="D57" s="21" t="s">
        <v>2135</v>
      </c>
      <c r="E57" s="21">
        <v>3</v>
      </c>
      <c r="F57" s="21">
        <v>243540</v>
      </c>
      <c r="G57" s="42">
        <v>-0.11600000000000001</v>
      </c>
      <c r="H57" s="21" t="s">
        <v>2136</v>
      </c>
      <c r="I57" s="39" t="str">
        <f ca="1">IFERROR(__xludf.DUMMYFUNCTION("IF(SUM(COUNTIF(artists!A:A, SPLIT(D57, "",""))) &gt; 0, ""UA"", 0)"),"UA")</f>
        <v>UA</v>
      </c>
      <c r="J57" s="40">
        <f ca="1">IFERROR(__xludf.DUMMYFUNCTION("IF(SUM(COUNTIF(artists!C:C, SPLIT(D57, "",""))) &gt; 0, ""RU"", 0)"),0)</f>
        <v>0</v>
      </c>
      <c r="K57" s="39">
        <f ca="1">IFERROR(__xludf.DUMMYFUNCTION("IF(SUM(COUNTIF(artists!E:E, SPLIT(D57, "",""))) &gt; 0, ""OTHER"", 0)"),0)</f>
        <v>0</v>
      </c>
    </row>
    <row r="58" spans="1:11" ht="14.25" customHeight="1">
      <c r="A58" s="21">
        <v>57</v>
      </c>
      <c r="B58" s="21">
        <v>57</v>
      </c>
      <c r="C58" s="21" t="s">
        <v>2094</v>
      </c>
      <c r="D58" s="21" t="s">
        <v>104</v>
      </c>
      <c r="E58" s="21">
        <v>9</v>
      </c>
      <c r="F58" s="21">
        <v>238865</v>
      </c>
      <c r="G58" s="42">
        <v>1.7999999999999999E-2</v>
      </c>
      <c r="H58" s="21" t="s">
        <v>2095</v>
      </c>
      <c r="I58" s="39" t="str">
        <f ca="1">IFERROR(__xludf.DUMMYFUNCTION("IF(SUM(COUNTIF(artists!A:A, SPLIT(D58, "",""))) &gt; 0, ""UA"", 0)"),"UA")</f>
        <v>UA</v>
      </c>
      <c r="J58" s="40">
        <f ca="1">IFERROR(__xludf.DUMMYFUNCTION("IF(SUM(COUNTIF(artists!C:C, SPLIT(D58, "",""))) &gt; 0, ""RU"", 0)"),0)</f>
        <v>0</v>
      </c>
      <c r="K58" s="39">
        <f ca="1">IFERROR(__xludf.DUMMYFUNCTION("IF(SUM(COUNTIF(artists!E:E, SPLIT(D58, "",""))) &gt; 0, ""OTHER"", 0)"),0)</f>
        <v>0</v>
      </c>
    </row>
    <row r="59" spans="1:11" ht="14.25" customHeight="1">
      <c r="A59" s="21">
        <v>58</v>
      </c>
      <c r="B59" s="21">
        <v>56</v>
      </c>
      <c r="C59" s="21" t="s">
        <v>2101</v>
      </c>
      <c r="D59" s="21" t="s">
        <v>2102</v>
      </c>
      <c r="E59" s="21">
        <v>8</v>
      </c>
      <c r="F59" s="21">
        <v>237109</v>
      </c>
      <c r="G59" s="42">
        <v>-2.3E-2</v>
      </c>
      <c r="H59" s="21" t="s">
        <v>2103</v>
      </c>
      <c r="I59" s="39">
        <f ca="1">IFERROR(__xludf.DUMMYFUNCTION("IF(SUM(COUNTIF(artists!A:A, SPLIT(D59, "",""))) &gt; 0, ""UA"", 0)"),0)</f>
        <v>0</v>
      </c>
      <c r="J59" s="40" t="str">
        <f ca="1">IFERROR(__xludf.DUMMYFUNCTION("IF(SUM(COUNTIF(artists!C:C, SPLIT(D59, "",""))) &gt; 0, ""RU"", 0)"),"RU")</f>
        <v>RU</v>
      </c>
      <c r="K59" s="39">
        <f ca="1">IFERROR(__xludf.DUMMYFUNCTION("IF(SUM(COUNTIF(artists!E:E, SPLIT(D59, "",""))) &gt; 0, ""OTHER"", 0)"),0)</f>
        <v>0</v>
      </c>
    </row>
    <row r="60" spans="1:11" ht="14.25" customHeight="1">
      <c r="A60" s="21">
        <v>59</v>
      </c>
      <c r="B60" s="21">
        <v>67</v>
      </c>
      <c r="C60" s="21" t="s">
        <v>1863</v>
      </c>
      <c r="D60" s="21" t="s">
        <v>1660</v>
      </c>
      <c r="E60" s="21">
        <v>2</v>
      </c>
      <c r="F60" s="21">
        <v>229581</v>
      </c>
      <c r="G60" s="42">
        <v>9.8000000000000004E-2</v>
      </c>
      <c r="H60" s="21" t="s">
        <v>1864</v>
      </c>
      <c r="I60" s="39">
        <f ca="1">IFERROR(__xludf.DUMMYFUNCTION("IF(SUM(COUNTIF(artists!A:A, SPLIT(D60, "",""))) &gt; 0, ""UA"", 0)"),0)</f>
        <v>0</v>
      </c>
      <c r="J60" s="40" t="str">
        <f ca="1">IFERROR(__xludf.DUMMYFUNCTION("IF(SUM(COUNTIF(artists!C:C, SPLIT(D60, "",""))) &gt; 0, ""RU"", 0)"),"RU")</f>
        <v>RU</v>
      </c>
      <c r="K60" s="39">
        <f ca="1">IFERROR(__xludf.DUMMYFUNCTION("IF(SUM(COUNTIF(artists!E:E, SPLIT(D60, "",""))) &gt; 0, ""OTHER"", 0)"),0)</f>
        <v>0</v>
      </c>
    </row>
    <row r="61" spans="1:11" ht="14.25" customHeight="1">
      <c r="A61" s="21">
        <v>60</v>
      </c>
      <c r="B61" s="21">
        <v>54</v>
      </c>
      <c r="C61" s="21" t="s">
        <v>2209</v>
      </c>
      <c r="D61" s="21" t="s">
        <v>2132</v>
      </c>
      <c r="E61" s="21">
        <v>5</v>
      </c>
      <c r="F61" s="21">
        <v>218380</v>
      </c>
      <c r="G61" s="42">
        <v>-0.113</v>
      </c>
      <c r="H61" s="21" t="s">
        <v>2210</v>
      </c>
      <c r="I61" s="39">
        <f ca="1">IFERROR(__xludf.DUMMYFUNCTION("IF(SUM(COUNTIF(artists!A:A, SPLIT(D61, "",""))) &gt; 0, ""UA"", 0)"),0)</f>
        <v>0</v>
      </c>
      <c r="J61" s="40" t="str">
        <f ca="1">IFERROR(__xludf.DUMMYFUNCTION("IF(SUM(COUNTIF(artists!C:C, SPLIT(D61, "",""))) &gt; 0, ""RU"", 0)"),"RU")</f>
        <v>RU</v>
      </c>
      <c r="K61" s="39">
        <f ca="1">IFERROR(__xludf.DUMMYFUNCTION("IF(SUM(COUNTIF(artists!E:E, SPLIT(D61, "",""))) &gt; 0, ""OTHER"", 0)"),0)</f>
        <v>0</v>
      </c>
    </row>
    <row r="62" spans="1:11" ht="14.25" customHeight="1">
      <c r="A62" s="21">
        <v>61</v>
      </c>
      <c r="C62" s="21" t="s">
        <v>2241</v>
      </c>
      <c r="D62" s="21" t="s">
        <v>2242</v>
      </c>
      <c r="E62" s="21">
        <v>1</v>
      </c>
      <c r="F62" s="21">
        <v>214816</v>
      </c>
      <c r="H62" s="21" t="s">
        <v>2243</v>
      </c>
      <c r="I62" s="39">
        <f ca="1">IFERROR(__xludf.DUMMYFUNCTION("IF(SUM(COUNTIF(artists!A:A, SPLIT(D62, "",""))) &gt; 0, ""UA"", 0)"),0)</f>
        <v>0</v>
      </c>
      <c r="J62" s="40" t="str">
        <f ca="1">IFERROR(__xludf.DUMMYFUNCTION("IF(SUM(COUNTIF(artists!C:C, SPLIT(D62, "",""))) &gt; 0, ""RU"", 0)"),"RU")</f>
        <v>RU</v>
      </c>
      <c r="K62" s="39">
        <f ca="1">IFERROR(__xludf.DUMMYFUNCTION("IF(SUM(COUNTIF(artists!E:E, SPLIT(D62, "",""))) &gt; 0, ""OTHER"", 0)"),0)</f>
        <v>0</v>
      </c>
    </row>
    <row r="63" spans="1:11" ht="14.25" customHeight="1">
      <c r="A63" s="21">
        <v>62</v>
      </c>
      <c r="B63" s="21">
        <v>50</v>
      </c>
      <c r="C63" s="21" t="s">
        <v>1337</v>
      </c>
      <c r="D63" s="21" t="s">
        <v>1338</v>
      </c>
      <c r="E63" s="21">
        <v>4</v>
      </c>
      <c r="F63" s="21">
        <v>212342</v>
      </c>
      <c r="G63" s="42">
        <v>-0.193</v>
      </c>
      <c r="H63" s="21" t="s">
        <v>1339</v>
      </c>
      <c r="I63" s="39">
        <f ca="1">IFERROR(__xludf.DUMMYFUNCTION("IF(SUM(COUNTIF(artists!A:A, SPLIT(D63, "",""))) &gt; 0, ""UA"", 0)"),0)</f>
        <v>0</v>
      </c>
      <c r="J63" s="40">
        <f ca="1">IFERROR(__xludf.DUMMYFUNCTION("IF(SUM(COUNTIF(artists!C:C, SPLIT(D63, "",""))) &gt; 0, ""RU"", 0)"),0)</f>
        <v>0</v>
      </c>
      <c r="K63" s="39" t="str">
        <f ca="1">IFERROR(__xludf.DUMMYFUNCTION("IF(SUM(COUNTIF(artists!E:E, SPLIT(D63, "",""))) &gt; 0, ""OTHER"", 0)"),"OTHER")</f>
        <v>OTHER</v>
      </c>
    </row>
    <row r="64" spans="1:11" ht="14.25" customHeight="1">
      <c r="A64" s="21">
        <v>63</v>
      </c>
      <c r="B64" s="21">
        <v>58</v>
      </c>
      <c r="C64" s="21" t="s">
        <v>2129</v>
      </c>
      <c r="D64" s="21" t="s">
        <v>1652</v>
      </c>
      <c r="E64" s="21">
        <v>14</v>
      </c>
      <c r="F64" s="21">
        <v>212150</v>
      </c>
      <c r="G64" s="42">
        <v>-7.8E-2</v>
      </c>
      <c r="H64" s="21" t="s">
        <v>2130</v>
      </c>
      <c r="I64" s="39">
        <f ca="1">IFERROR(__xludf.DUMMYFUNCTION("IF(SUM(COUNTIF(artists!A:A, SPLIT(D64, "",""))) &gt; 0, ""UA"", 0)"),0)</f>
        <v>0</v>
      </c>
      <c r="J64" s="40" t="str">
        <f ca="1">IFERROR(__xludf.DUMMYFUNCTION("IF(SUM(COUNTIF(artists!C:C, SPLIT(D64, "",""))) &gt; 0, ""RU"", 0)"),"RU")</f>
        <v>RU</v>
      </c>
      <c r="K64" s="39">
        <f ca="1">IFERROR(__xludf.DUMMYFUNCTION("IF(SUM(COUNTIF(artists!E:E, SPLIT(D64, "",""))) &gt; 0, ""OTHER"", 0)"),0)</f>
        <v>0</v>
      </c>
    </row>
    <row r="65" spans="1:11" ht="14.25" customHeight="1">
      <c r="A65" s="21">
        <v>64</v>
      </c>
      <c r="C65" s="21" t="s">
        <v>2085</v>
      </c>
      <c r="D65" s="21" t="s">
        <v>2086</v>
      </c>
      <c r="E65" s="21">
        <v>4</v>
      </c>
      <c r="F65" s="21">
        <v>209295</v>
      </c>
      <c r="H65" s="21" t="s">
        <v>2087</v>
      </c>
      <c r="I65" s="39">
        <f ca="1">IFERROR(__xludf.DUMMYFUNCTION("IF(SUM(COUNTIF(artists!A:A, SPLIT(D65, "",""))) &gt; 0, ""UA"", 0)"),0)</f>
        <v>0</v>
      </c>
      <c r="J65" s="40" t="str">
        <f ca="1">IFERROR(__xludf.DUMMYFUNCTION("IF(SUM(COUNTIF(artists!C:C, SPLIT(D65, "",""))) &gt; 0, ""RU"", 0)"),"RU")</f>
        <v>RU</v>
      </c>
      <c r="K65" s="39">
        <f ca="1">IFERROR(__xludf.DUMMYFUNCTION("IF(SUM(COUNTIF(artists!E:E, SPLIT(D65, "",""))) &gt; 0, ""OTHER"", 0)"),0)</f>
        <v>0</v>
      </c>
    </row>
    <row r="66" spans="1:11" ht="14.25" customHeight="1">
      <c r="A66" s="21">
        <v>65</v>
      </c>
      <c r="B66" s="21">
        <v>66</v>
      </c>
      <c r="C66" s="21" t="s">
        <v>2104</v>
      </c>
      <c r="D66" s="21" t="s">
        <v>2105</v>
      </c>
      <c r="E66" s="21">
        <v>4</v>
      </c>
      <c r="F66" s="21">
        <v>207022</v>
      </c>
      <c r="G66" s="42">
        <v>-3.4000000000000002E-2</v>
      </c>
      <c r="H66" s="21" t="s">
        <v>2106</v>
      </c>
      <c r="I66" s="39">
        <f ca="1">IFERROR(__xludf.DUMMYFUNCTION("IF(SUM(COUNTIF(artists!A:A, SPLIT(D66, "",""))) &gt; 0, ""UA"", 0)"),0)</f>
        <v>0</v>
      </c>
      <c r="J66" s="40" t="str">
        <f ca="1">IFERROR(__xludf.DUMMYFUNCTION("IF(SUM(COUNTIF(artists!C:C, SPLIT(D66, "",""))) &gt; 0, ""RU"", 0)"),"RU")</f>
        <v>RU</v>
      </c>
      <c r="K66" s="39">
        <f ca="1">IFERROR(__xludf.DUMMYFUNCTION("IF(SUM(COUNTIF(artists!E:E, SPLIT(D66, "",""))) &gt; 0, ""OTHER"", 0)"),0)</f>
        <v>0</v>
      </c>
    </row>
    <row r="67" spans="1:11" ht="14.25" customHeight="1">
      <c r="A67" s="21">
        <v>66</v>
      </c>
      <c r="B67" s="21">
        <v>64</v>
      </c>
      <c r="C67" s="21" t="s">
        <v>2182</v>
      </c>
      <c r="D67" s="21" t="s">
        <v>2183</v>
      </c>
      <c r="E67" s="21">
        <v>9</v>
      </c>
      <c r="F67" s="21">
        <v>202857</v>
      </c>
      <c r="G67" s="42">
        <v>-5.7000000000000002E-2</v>
      </c>
      <c r="H67" s="21" t="s">
        <v>2184</v>
      </c>
      <c r="I67" s="39">
        <f ca="1">IFERROR(__xludf.DUMMYFUNCTION("IF(SUM(COUNTIF(artists!A:A, SPLIT(D67, "",""))) &gt; 0, ""UA"", 0)"),0)</f>
        <v>0</v>
      </c>
      <c r="J67" s="40" t="str">
        <f ca="1">IFERROR(__xludf.DUMMYFUNCTION("IF(SUM(COUNTIF(artists!C:C, SPLIT(D67, "",""))) &gt; 0, ""RU"", 0)"),"RU")</f>
        <v>RU</v>
      </c>
      <c r="K67" s="39">
        <f ca="1">IFERROR(__xludf.DUMMYFUNCTION("IF(SUM(COUNTIF(artists!E:E, SPLIT(D67, "",""))) &gt; 0, ""OTHER"", 0)"),0)</f>
        <v>0</v>
      </c>
    </row>
    <row r="68" spans="1:11" ht="14.25" customHeight="1">
      <c r="A68" s="21">
        <v>67</v>
      </c>
      <c r="B68" s="21">
        <v>73</v>
      </c>
      <c r="C68" s="21" t="s">
        <v>968</v>
      </c>
      <c r="D68" s="21" t="s">
        <v>969</v>
      </c>
      <c r="E68" s="21">
        <v>6</v>
      </c>
      <c r="F68" s="21">
        <v>194072</v>
      </c>
      <c r="G68" s="42">
        <v>-2E-3</v>
      </c>
      <c r="H68" s="21" t="s">
        <v>970</v>
      </c>
      <c r="I68" s="39" t="str">
        <f ca="1">IFERROR(__xludf.DUMMYFUNCTION("IF(SUM(COUNTIF(artists!A:A, SPLIT(D68, "",""))) &gt; 0, ""UA"", 0)"),"UA")</f>
        <v>UA</v>
      </c>
      <c r="J68" s="40">
        <f ca="1">IFERROR(__xludf.DUMMYFUNCTION("IF(SUM(COUNTIF(artists!C:C, SPLIT(D68, "",""))) &gt; 0, ""RU"", 0)"),0)</f>
        <v>0</v>
      </c>
      <c r="K68" s="39">
        <f ca="1">IFERROR(__xludf.DUMMYFUNCTION("IF(SUM(COUNTIF(artists!E:E, SPLIT(D68, "",""))) &gt; 0, ""OTHER"", 0)"),0)</f>
        <v>0</v>
      </c>
    </row>
    <row r="69" spans="1:11" ht="14.25" customHeight="1">
      <c r="A69" s="21">
        <v>68</v>
      </c>
      <c r="B69" s="21">
        <v>83</v>
      </c>
      <c r="C69" s="21" t="s">
        <v>2054</v>
      </c>
      <c r="D69" s="21" t="s">
        <v>2055</v>
      </c>
      <c r="E69" s="21">
        <v>6</v>
      </c>
      <c r="F69" s="21">
        <v>192875</v>
      </c>
      <c r="G69" s="42">
        <v>0.105</v>
      </c>
      <c r="H69" s="21" t="s">
        <v>2056</v>
      </c>
      <c r="I69" s="39">
        <f ca="1">IFERROR(__xludf.DUMMYFUNCTION("IF(SUM(COUNTIF(artists!A:A, SPLIT(D69, "",""))) &gt; 0, ""UA"", 0)"),0)</f>
        <v>0</v>
      </c>
      <c r="J69" s="40">
        <f ca="1">IFERROR(__xludf.DUMMYFUNCTION("IF(SUM(COUNTIF(artists!C:C, SPLIT(D69, "",""))) &gt; 0, ""RU"", 0)"),0)</f>
        <v>0</v>
      </c>
      <c r="K69" s="39" t="str">
        <f ca="1">IFERROR(__xludf.DUMMYFUNCTION("IF(SUM(COUNTIF(artists!E:E, SPLIT(D69, "",""))) &gt; 0, ""OTHER"", 0)"),"OTHER")</f>
        <v>OTHER</v>
      </c>
    </row>
    <row r="70" spans="1:11" ht="14.25" customHeight="1">
      <c r="A70" s="21">
        <v>69</v>
      </c>
      <c r="B70" s="21">
        <v>72</v>
      </c>
      <c r="C70" s="21" t="s">
        <v>2109</v>
      </c>
      <c r="D70" s="21" t="s">
        <v>2110</v>
      </c>
      <c r="E70" s="21">
        <v>4</v>
      </c>
      <c r="F70" s="21">
        <v>192374</v>
      </c>
      <c r="G70" s="42">
        <v>-1.0999999999999999E-2</v>
      </c>
      <c r="H70" s="21" t="s">
        <v>2111</v>
      </c>
      <c r="I70" s="39">
        <f ca="1">IFERROR(__xludf.DUMMYFUNCTION("IF(SUM(COUNTIF(artists!A:A, SPLIT(D70, "",""))) &gt; 0, ""UA"", 0)"),0)</f>
        <v>0</v>
      </c>
      <c r="J70" s="40" t="str">
        <f ca="1">IFERROR(__xludf.DUMMYFUNCTION("IF(SUM(COUNTIF(artists!C:C, SPLIT(D70, "",""))) &gt; 0, ""RU"", 0)"),"RU")</f>
        <v>RU</v>
      </c>
      <c r="K70" s="39">
        <f ca="1">IFERROR(__xludf.DUMMYFUNCTION("IF(SUM(COUNTIF(artists!E:E, SPLIT(D70, "",""))) &gt; 0, ""OTHER"", 0)"),0)</f>
        <v>0</v>
      </c>
    </row>
    <row r="71" spans="1:11" ht="14.25" customHeight="1">
      <c r="A71" s="21">
        <v>70</v>
      </c>
      <c r="B71" s="21">
        <v>74</v>
      </c>
      <c r="C71" s="21" t="s">
        <v>2154</v>
      </c>
      <c r="D71" s="21" t="s">
        <v>1646</v>
      </c>
      <c r="E71" s="21">
        <v>17</v>
      </c>
      <c r="F71" s="21">
        <v>182207</v>
      </c>
      <c r="G71" s="42">
        <v>-5.2999999999999999E-2</v>
      </c>
      <c r="H71" s="21" t="s">
        <v>2155</v>
      </c>
      <c r="I71" s="39">
        <f ca="1">IFERROR(__xludf.DUMMYFUNCTION("IF(SUM(COUNTIF(artists!A:A, SPLIT(D71, "",""))) &gt; 0, ""UA"", 0)"),0)</f>
        <v>0</v>
      </c>
      <c r="J71" s="40" t="str">
        <f ca="1">IFERROR(__xludf.DUMMYFUNCTION("IF(SUM(COUNTIF(artists!C:C, SPLIT(D71, "",""))) &gt; 0, ""RU"", 0)"),"RU")</f>
        <v>RU</v>
      </c>
      <c r="K71" s="39">
        <f ca="1">IFERROR(__xludf.DUMMYFUNCTION("IF(SUM(COUNTIF(artists!E:E, SPLIT(D71, "",""))) &gt; 0, ""OTHER"", 0)"),0)</f>
        <v>0</v>
      </c>
    </row>
    <row r="72" spans="1:11" ht="14.25" customHeight="1">
      <c r="A72" s="21">
        <v>71</v>
      </c>
      <c r="C72" s="21" t="s">
        <v>1984</v>
      </c>
      <c r="D72" s="21" t="s">
        <v>1985</v>
      </c>
      <c r="E72" s="21">
        <v>1</v>
      </c>
      <c r="F72" s="21">
        <v>181774</v>
      </c>
      <c r="H72" s="21" t="s">
        <v>1986</v>
      </c>
      <c r="I72" s="39">
        <f ca="1">IFERROR(__xludf.DUMMYFUNCTION("IF(SUM(COUNTIF(artists!A:A, SPLIT(D72, "",""))) &gt; 0, ""UA"", 0)"),0)</f>
        <v>0</v>
      </c>
      <c r="J72" s="40" t="str">
        <f ca="1">IFERROR(__xludf.DUMMYFUNCTION("IF(SUM(COUNTIF(artists!C:C, SPLIT(D72, "",""))) &gt; 0, ""RU"", 0)"),"RU")</f>
        <v>RU</v>
      </c>
      <c r="K72" s="39">
        <f ca="1">IFERROR(__xludf.DUMMYFUNCTION("IF(SUM(COUNTIF(artists!E:E, SPLIT(D72, "",""))) &gt; 0, ""OTHER"", 0)"),0)</f>
        <v>0</v>
      </c>
    </row>
    <row r="73" spans="1:11" ht="14.25" customHeight="1">
      <c r="A73" s="21">
        <v>72</v>
      </c>
      <c r="B73" s="21">
        <v>69</v>
      </c>
      <c r="C73" s="21" t="s">
        <v>2170</v>
      </c>
      <c r="D73" s="21" t="s">
        <v>2171</v>
      </c>
      <c r="E73" s="21">
        <v>11</v>
      </c>
      <c r="F73" s="21">
        <v>181529</v>
      </c>
      <c r="G73" s="42">
        <v>-0.104</v>
      </c>
      <c r="H73" s="21" t="s">
        <v>2172</v>
      </c>
      <c r="I73" s="39">
        <f ca="1">IFERROR(__xludf.DUMMYFUNCTION("IF(SUM(COUNTIF(artists!A:A, SPLIT(D73, "",""))) &gt; 0, ""UA"", 0)"),0)</f>
        <v>0</v>
      </c>
      <c r="J73" s="40" t="str">
        <f ca="1">IFERROR(__xludf.DUMMYFUNCTION("IF(SUM(COUNTIF(artists!C:C, SPLIT(D73, "",""))) &gt; 0, ""RU"", 0)"),"RU")</f>
        <v>RU</v>
      </c>
      <c r="K73" s="39">
        <f ca="1">IFERROR(__xludf.DUMMYFUNCTION("IF(SUM(COUNTIF(artists!E:E, SPLIT(D73, "",""))) &gt; 0, ""OTHER"", 0)"),0)</f>
        <v>0</v>
      </c>
    </row>
    <row r="74" spans="1:11" ht="14.25" customHeight="1">
      <c r="A74" s="21">
        <v>73</v>
      </c>
      <c r="B74" s="21">
        <v>62</v>
      </c>
      <c r="C74" s="21" t="s">
        <v>2216</v>
      </c>
      <c r="D74" s="21" t="s">
        <v>2217</v>
      </c>
      <c r="E74" s="21">
        <v>3</v>
      </c>
      <c r="F74" s="21">
        <v>180564</v>
      </c>
      <c r="G74" s="42">
        <v>-0.191</v>
      </c>
      <c r="H74" s="21" t="s">
        <v>2218</v>
      </c>
      <c r="I74" s="39">
        <f ca="1">IFERROR(__xludf.DUMMYFUNCTION("IF(SUM(COUNTIF(artists!A:A, SPLIT(D74, "",""))) &gt; 0, ""UA"", 0)"),0)</f>
        <v>0</v>
      </c>
      <c r="J74" s="40" t="str">
        <f ca="1">IFERROR(__xludf.DUMMYFUNCTION("IF(SUM(COUNTIF(artists!C:C, SPLIT(D74, "",""))) &gt; 0, ""RU"", 0)"),"RU")</f>
        <v>RU</v>
      </c>
      <c r="K74" s="39">
        <f ca="1">IFERROR(__xludf.DUMMYFUNCTION("IF(SUM(COUNTIF(artists!E:E, SPLIT(D74, "",""))) &gt; 0, ""OTHER"", 0)"),0)</f>
        <v>0</v>
      </c>
    </row>
    <row r="75" spans="1:11" ht="14.25" customHeight="1">
      <c r="A75" s="21">
        <v>74</v>
      </c>
      <c r="B75" s="21">
        <v>68</v>
      </c>
      <c r="C75" s="21" t="s">
        <v>2161</v>
      </c>
      <c r="D75" s="21" t="s">
        <v>698</v>
      </c>
      <c r="E75" s="21">
        <v>6</v>
      </c>
      <c r="F75" s="21">
        <v>179981</v>
      </c>
      <c r="G75" s="42">
        <v>-0.13800000000000001</v>
      </c>
      <c r="H75" s="21" t="s">
        <v>2162</v>
      </c>
      <c r="I75" s="39">
        <f ca="1">IFERROR(__xludf.DUMMYFUNCTION("IF(SUM(COUNTIF(artists!A:A, SPLIT(D75, "",""))) &gt; 0, ""UA"", 0)"),0)</f>
        <v>0</v>
      </c>
      <c r="J75" s="40" t="str">
        <f ca="1">IFERROR(__xludf.DUMMYFUNCTION("IF(SUM(COUNTIF(artists!C:C, SPLIT(D75, "",""))) &gt; 0, ""RU"", 0)"),"RU")</f>
        <v>RU</v>
      </c>
      <c r="K75" s="39">
        <f ca="1">IFERROR(__xludf.DUMMYFUNCTION("IF(SUM(COUNTIF(artists!E:E, SPLIT(D75, "",""))) &gt; 0, ""OTHER"", 0)"),0)</f>
        <v>0</v>
      </c>
    </row>
    <row r="76" spans="1:11" ht="14.25" customHeight="1">
      <c r="A76" s="21">
        <v>75</v>
      </c>
      <c r="B76" s="21">
        <v>82</v>
      </c>
      <c r="C76" s="21" t="s">
        <v>2173</v>
      </c>
      <c r="D76" s="21" t="s">
        <v>2174</v>
      </c>
      <c r="E76" s="21">
        <v>14</v>
      </c>
      <c r="F76" s="21">
        <v>175094</v>
      </c>
      <c r="G76" s="42">
        <v>-8.0000000000000002E-3</v>
      </c>
      <c r="H76" s="21" t="s">
        <v>2175</v>
      </c>
      <c r="I76" s="39">
        <f ca="1">IFERROR(__xludf.DUMMYFUNCTION("IF(SUM(COUNTIF(artists!A:A, SPLIT(D76, "",""))) &gt; 0, ""UA"", 0)"),0)</f>
        <v>0</v>
      </c>
      <c r="J76" s="40" t="str">
        <f ca="1">IFERROR(__xludf.DUMMYFUNCTION("IF(SUM(COUNTIF(artists!C:C, SPLIT(D76, "",""))) &gt; 0, ""RU"", 0)"),"RU")</f>
        <v>RU</v>
      </c>
      <c r="K76" s="39">
        <f ca="1">IFERROR(__xludf.DUMMYFUNCTION("IF(SUM(COUNTIF(artists!E:E, SPLIT(D76, "",""))) &gt; 0, ""OTHER"", 0)"),0)</f>
        <v>0</v>
      </c>
    </row>
    <row r="77" spans="1:11" ht="14.25" customHeight="1">
      <c r="A77" s="21">
        <v>76</v>
      </c>
      <c r="B77" s="21">
        <v>80</v>
      </c>
      <c r="C77" s="21" t="s">
        <v>2211</v>
      </c>
      <c r="D77" s="21" t="s">
        <v>1951</v>
      </c>
      <c r="E77" s="21">
        <v>19</v>
      </c>
      <c r="F77" s="21">
        <v>173981</v>
      </c>
      <c r="G77" s="42">
        <v>-3.3000000000000002E-2</v>
      </c>
      <c r="H77" s="21" t="s">
        <v>2212</v>
      </c>
      <c r="I77" s="39">
        <f ca="1">IFERROR(__xludf.DUMMYFUNCTION("IF(SUM(COUNTIF(artists!A:A, SPLIT(D77, "",""))) &gt; 0, ""UA"", 0)"),0)</f>
        <v>0</v>
      </c>
      <c r="J77" s="40" t="str">
        <f ca="1">IFERROR(__xludf.DUMMYFUNCTION("IF(SUM(COUNTIF(artists!C:C, SPLIT(D77, "",""))) &gt; 0, ""RU"", 0)"),"RU")</f>
        <v>RU</v>
      </c>
      <c r="K77" s="39">
        <f ca="1">IFERROR(__xludf.DUMMYFUNCTION("IF(SUM(COUNTIF(artists!E:E, SPLIT(D77, "",""))) &gt; 0, ""OTHER"", 0)"),0)</f>
        <v>0</v>
      </c>
    </row>
    <row r="78" spans="1:11" ht="14.25" customHeight="1">
      <c r="A78" s="21">
        <v>77</v>
      </c>
      <c r="B78" s="21">
        <v>99</v>
      </c>
      <c r="C78" s="21" t="s">
        <v>2117</v>
      </c>
      <c r="D78" s="21" t="s">
        <v>2118</v>
      </c>
      <c r="E78" s="21">
        <v>5</v>
      </c>
      <c r="F78" s="21">
        <v>173449</v>
      </c>
      <c r="G78" s="42">
        <v>0.13600000000000001</v>
      </c>
      <c r="H78" s="21" t="s">
        <v>2119</v>
      </c>
      <c r="I78" s="39">
        <f ca="1">IFERROR(__xludf.DUMMYFUNCTION("IF(SUM(COUNTIF(artists!A:A, SPLIT(D78, "",""))) &gt; 0, ""UA"", 0)"),0)</f>
        <v>0</v>
      </c>
      <c r="J78" s="40">
        <f ca="1">IFERROR(__xludf.DUMMYFUNCTION("IF(SUM(COUNTIF(artists!C:C, SPLIT(D78, "",""))) &gt; 0, ""RU"", 0)"),0)</f>
        <v>0</v>
      </c>
      <c r="K78" s="39" t="str">
        <f ca="1">IFERROR(__xludf.DUMMYFUNCTION("IF(SUM(COUNTIF(artists!E:E, SPLIT(D78, "",""))) &gt; 0, ""OTHER"", 0)"),"OTHER")</f>
        <v>OTHER</v>
      </c>
    </row>
    <row r="79" spans="1:11" ht="14.25" customHeight="1">
      <c r="A79" s="21">
        <v>78</v>
      </c>
      <c r="B79" s="21">
        <v>77</v>
      </c>
      <c r="C79" s="21" t="s">
        <v>2189</v>
      </c>
      <c r="D79" s="21" t="s">
        <v>125</v>
      </c>
      <c r="E79" s="21">
        <v>8</v>
      </c>
      <c r="F79" s="21">
        <v>172656</v>
      </c>
      <c r="G79" s="42">
        <v>-7.8E-2</v>
      </c>
      <c r="H79" s="21" t="s">
        <v>2190</v>
      </c>
      <c r="I79" s="39">
        <f ca="1">IFERROR(__xludf.DUMMYFUNCTION("IF(SUM(COUNTIF(artists!A:A, SPLIT(D79, "",""))) &gt; 0, ""UA"", 0)"),0)</f>
        <v>0</v>
      </c>
      <c r="J79" s="40" t="str">
        <f ca="1">IFERROR(__xludf.DUMMYFUNCTION("IF(SUM(COUNTIF(artists!C:C, SPLIT(D79, "",""))) &gt; 0, ""RU"", 0)"),"RU")</f>
        <v>RU</v>
      </c>
      <c r="K79" s="39">
        <f ca="1">IFERROR(__xludf.DUMMYFUNCTION("IF(SUM(COUNTIF(artists!E:E, SPLIT(D79, "",""))) &gt; 0, ""OTHER"", 0)"),0)</f>
        <v>0</v>
      </c>
    </row>
    <row r="80" spans="1:11" ht="14.25" customHeight="1">
      <c r="A80" s="21">
        <v>79</v>
      </c>
      <c r="B80" s="21">
        <v>60</v>
      </c>
      <c r="C80" s="21" t="s">
        <v>2244</v>
      </c>
      <c r="D80" s="21" t="s">
        <v>1050</v>
      </c>
      <c r="E80" s="21">
        <v>5</v>
      </c>
      <c r="F80" s="21">
        <v>172598</v>
      </c>
      <c r="G80" s="42">
        <v>-0.23200000000000001</v>
      </c>
      <c r="H80" s="21" t="s">
        <v>2245</v>
      </c>
      <c r="I80" s="39">
        <f ca="1">IFERROR(__xludf.DUMMYFUNCTION("IF(SUM(COUNTIF(artists!A:A, SPLIT(D80, "",""))) &gt; 0, ""UA"", 0)"),0)</f>
        <v>0</v>
      </c>
      <c r="J80" s="40" t="str">
        <f ca="1">IFERROR(__xludf.DUMMYFUNCTION("IF(SUM(COUNTIF(artists!C:C, SPLIT(D80, "",""))) &gt; 0, ""RU"", 0)"),"RU")</f>
        <v>RU</v>
      </c>
      <c r="K80" s="39">
        <f ca="1">IFERROR(__xludf.DUMMYFUNCTION("IF(SUM(COUNTIF(artists!E:E, SPLIT(D80, "",""))) &gt; 0, ""OTHER"", 0)"),0)</f>
        <v>0</v>
      </c>
    </row>
    <row r="81" spans="1:11" ht="14.25" customHeight="1">
      <c r="A81" s="21">
        <v>80</v>
      </c>
      <c r="B81" s="21">
        <v>65</v>
      </c>
      <c r="C81" s="21" t="s">
        <v>2246</v>
      </c>
      <c r="D81" s="21" t="s">
        <v>1117</v>
      </c>
      <c r="E81" s="21">
        <v>2</v>
      </c>
      <c r="F81" s="21">
        <v>170831</v>
      </c>
      <c r="G81" s="42">
        <v>-0.20300000000000001</v>
      </c>
      <c r="H81" s="21" t="s">
        <v>2247</v>
      </c>
      <c r="I81" s="39">
        <f ca="1">IFERROR(__xludf.DUMMYFUNCTION("IF(SUM(COUNTIF(artists!A:A, SPLIT(D81, "",""))) &gt; 0, ""UA"", 0)"),0)</f>
        <v>0</v>
      </c>
      <c r="J81" s="40" t="str">
        <f ca="1">IFERROR(__xludf.DUMMYFUNCTION("IF(SUM(COUNTIF(artists!C:C, SPLIT(D81, "",""))) &gt; 0, ""RU"", 0)"),"RU")</f>
        <v>RU</v>
      </c>
      <c r="K81" s="39">
        <f ca="1">IFERROR(__xludf.DUMMYFUNCTION("IF(SUM(COUNTIF(artists!E:E, SPLIT(D81, "",""))) &gt; 0, ""OTHER"", 0)"),0)</f>
        <v>0</v>
      </c>
    </row>
    <row r="82" spans="1:11" ht="14.25" customHeight="1">
      <c r="A82" s="21">
        <v>81</v>
      </c>
      <c r="B82" s="21">
        <v>76</v>
      </c>
      <c r="C82" s="21" t="s">
        <v>2213</v>
      </c>
      <c r="D82" s="21" t="s">
        <v>2214</v>
      </c>
      <c r="E82" s="21">
        <v>19</v>
      </c>
      <c r="F82" s="21">
        <v>169412</v>
      </c>
      <c r="G82" s="42">
        <v>-9.9000000000000005E-2</v>
      </c>
      <c r="H82" s="21" t="s">
        <v>2215</v>
      </c>
      <c r="I82" s="39">
        <f ca="1">IFERROR(__xludf.DUMMYFUNCTION("IF(SUM(COUNTIF(artists!A:A, SPLIT(D82, "",""))) &gt; 0, ""UA"", 0)"),0)</f>
        <v>0</v>
      </c>
      <c r="J82" s="40" t="str">
        <f ca="1">IFERROR(__xludf.DUMMYFUNCTION("IF(SUM(COUNTIF(artists!C:C, SPLIT(D82, "",""))) &gt; 0, ""RU"", 0)"),"RU")</f>
        <v>RU</v>
      </c>
      <c r="K82" s="39">
        <f ca="1">IFERROR(__xludf.DUMMYFUNCTION("IF(SUM(COUNTIF(artists!E:E, SPLIT(D82, "",""))) &gt; 0, ""OTHER"", 0)"),0)</f>
        <v>0</v>
      </c>
    </row>
    <row r="83" spans="1:11" ht="14.25" customHeight="1">
      <c r="A83" s="21">
        <v>82</v>
      </c>
      <c r="B83" s="21">
        <v>90</v>
      </c>
      <c r="C83" s="21" t="s">
        <v>2141</v>
      </c>
      <c r="D83" s="21" t="s">
        <v>2018</v>
      </c>
      <c r="E83" s="21">
        <v>12</v>
      </c>
      <c r="F83" s="21">
        <v>168720</v>
      </c>
      <c r="G83" s="42">
        <v>2.9000000000000001E-2</v>
      </c>
      <c r="H83" s="21" t="s">
        <v>2142</v>
      </c>
      <c r="I83" s="39">
        <f ca="1">IFERROR(__xludf.DUMMYFUNCTION("IF(SUM(COUNTIF(artists!A:A, SPLIT(D83, "",""))) &gt; 0, ""UA"", 0)"),0)</f>
        <v>0</v>
      </c>
      <c r="J83" s="40" t="str">
        <f ca="1">IFERROR(__xludf.DUMMYFUNCTION("IF(SUM(COUNTIF(artists!C:C, SPLIT(D83, "",""))) &gt; 0, ""RU"", 0)"),"RU")</f>
        <v>RU</v>
      </c>
      <c r="K83" s="39">
        <f ca="1">IFERROR(__xludf.DUMMYFUNCTION("IF(SUM(COUNTIF(artists!E:E, SPLIT(D83, "",""))) &gt; 0, ""OTHER"", 0)"),0)</f>
        <v>0</v>
      </c>
    </row>
    <row r="84" spans="1:11" ht="14.25" customHeight="1">
      <c r="A84" s="21">
        <v>83</v>
      </c>
      <c r="B84" s="21">
        <v>96</v>
      </c>
      <c r="C84" s="21" t="s">
        <v>2114</v>
      </c>
      <c r="D84" s="21" t="s">
        <v>2115</v>
      </c>
      <c r="E84" s="21">
        <v>8</v>
      </c>
      <c r="F84" s="21">
        <v>168335</v>
      </c>
      <c r="G84" s="42">
        <v>7.1999999999999995E-2</v>
      </c>
      <c r="H84" s="21" t="s">
        <v>2116</v>
      </c>
      <c r="I84" s="39">
        <f ca="1">IFERROR(__xludf.DUMMYFUNCTION("IF(SUM(COUNTIF(artists!A:A, SPLIT(D84, "",""))) &gt; 0, ""UA"", 0)"),0)</f>
        <v>0</v>
      </c>
      <c r="J84" s="40" t="str">
        <f ca="1">IFERROR(__xludf.DUMMYFUNCTION("IF(SUM(COUNTIF(artists!C:C, SPLIT(D84, "",""))) &gt; 0, ""RU"", 0)"),"RU")</f>
        <v>RU</v>
      </c>
      <c r="K84" s="39">
        <f ca="1">IFERROR(__xludf.DUMMYFUNCTION("IF(SUM(COUNTIF(artists!E:E, SPLIT(D84, "",""))) &gt; 0, ""OTHER"", 0)"),0)</f>
        <v>0</v>
      </c>
    </row>
    <row r="85" spans="1:11" ht="14.25" customHeight="1">
      <c r="A85" s="21">
        <v>84</v>
      </c>
      <c r="B85" s="21">
        <v>61</v>
      </c>
      <c r="C85" s="21" t="s">
        <v>2248</v>
      </c>
      <c r="D85" s="21" t="s">
        <v>630</v>
      </c>
      <c r="E85" s="21">
        <v>4</v>
      </c>
      <c r="F85" s="21">
        <v>167489</v>
      </c>
      <c r="G85" s="42">
        <v>-0.252</v>
      </c>
      <c r="H85" s="21" t="s">
        <v>2249</v>
      </c>
      <c r="I85" s="39" t="str">
        <f ca="1">IFERROR(__xludf.DUMMYFUNCTION("IF(SUM(COUNTIF(artists!A:A, SPLIT(D85, "",""))) &gt; 0, ""UA"", 0)"),"UA")</f>
        <v>UA</v>
      </c>
      <c r="J85" s="40">
        <f ca="1">IFERROR(__xludf.DUMMYFUNCTION("IF(SUM(COUNTIF(artists!C:C, SPLIT(D85, "",""))) &gt; 0, ""RU"", 0)"),0)</f>
        <v>0</v>
      </c>
      <c r="K85" s="39">
        <f ca="1">IFERROR(__xludf.DUMMYFUNCTION("IF(SUM(COUNTIF(artists!E:E, SPLIT(D85, "",""))) &gt; 0, ""OTHER"", 0)"),0)</f>
        <v>0</v>
      </c>
    </row>
    <row r="86" spans="1:11" ht="14.25" customHeight="1">
      <c r="A86" s="21">
        <v>85</v>
      </c>
      <c r="B86" s="21">
        <v>81</v>
      </c>
      <c r="C86" s="21" t="s">
        <v>2250</v>
      </c>
      <c r="D86" s="21" t="s">
        <v>1968</v>
      </c>
      <c r="E86" s="21">
        <v>2</v>
      </c>
      <c r="F86" s="21">
        <v>166433</v>
      </c>
      <c r="G86" s="42">
        <v>-7.1999999999999995E-2</v>
      </c>
      <c r="H86" s="21" t="s">
        <v>2251</v>
      </c>
      <c r="I86" s="39">
        <f ca="1">IFERROR(__xludf.DUMMYFUNCTION("IF(SUM(COUNTIF(artists!A:A, SPLIT(D86, "",""))) &gt; 0, ""UA"", 0)"),0)</f>
        <v>0</v>
      </c>
      <c r="J86" s="40" t="str">
        <f ca="1">IFERROR(__xludf.DUMMYFUNCTION("IF(SUM(COUNTIF(artists!C:C, SPLIT(D86, "",""))) &gt; 0, ""RU"", 0)"),"RU")</f>
        <v>RU</v>
      </c>
      <c r="K86" s="39">
        <f ca="1">IFERROR(__xludf.DUMMYFUNCTION("IF(SUM(COUNTIF(artists!E:E, SPLIT(D86, "",""))) &gt; 0, ""OTHER"", 0)"),0)</f>
        <v>0</v>
      </c>
    </row>
    <row r="87" spans="1:11" ht="14.25" customHeight="1">
      <c r="A87" s="21">
        <v>86</v>
      </c>
      <c r="C87" s="21" t="s">
        <v>2027</v>
      </c>
      <c r="D87" s="21" t="s">
        <v>959</v>
      </c>
      <c r="E87" s="21">
        <v>13</v>
      </c>
      <c r="F87" s="21">
        <v>163296</v>
      </c>
      <c r="H87" s="21" t="s">
        <v>2028</v>
      </c>
      <c r="I87" s="39">
        <f ca="1">IFERROR(__xludf.DUMMYFUNCTION("IF(SUM(COUNTIF(artists!A:A, SPLIT(D87, "",""))) &gt; 0, ""UA"", 0)"),0)</f>
        <v>0</v>
      </c>
      <c r="J87" s="40" t="str">
        <f ca="1">IFERROR(__xludf.DUMMYFUNCTION("IF(SUM(COUNTIF(artists!C:C, SPLIT(D87, "",""))) &gt; 0, ""RU"", 0)"),"RU")</f>
        <v>RU</v>
      </c>
      <c r="K87" s="39">
        <f ca="1">IFERROR(__xludf.DUMMYFUNCTION("IF(SUM(COUNTIF(artists!E:E, SPLIT(D87, "",""))) &gt; 0, ""OTHER"", 0)"),0)</f>
        <v>0</v>
      </c>
    </row>
    <row r="88" spans="1:11" ht="14.25" customHeight="1">
      <c r="A88" s="21">
        <v>87</v>
      </c>
      <c r="B88" s="21">
        <v>71</v>
      </c>
      <c r="C88" s="21" t="s">
        <v>2112</v>
      </c>
      <c r="D88" s="21" t="s">
        <v>1996</v>
      </c>
      <c r="E88" s="21">
        <v>8</v>
      </c>
      <c r="F88" s="21">
        <v>162760</v>
      </c>
      <c r="G88" s="42">
        <v>-0.16700000000000001</v>
      </c>
      <c r="H88" s="21" t="s">
        <v>2113</v>
      </c>
      <c r="I88" s="39">
        <f ca="1">IFERROR(__xludf.DUMMYFUNCTION("IF(SUM(COUNTIF(artists!A:A, SPLIT(D88, "",""))) &gt; 0, ""UA"", 0)"),0)</f>
        <v>0</v>
      </c>
      <c r="J88" s="40" t="str">
        <f ca="1">IFERROR(__xludf.DUMMYFUNCTION("IF(SUM(COUNTIF(artists!C:C, SPLIT(D88, "",""))) &gt; 0, ""RU"", 0)"),"RU")</f>
        <v>RU</v>
      </c>
      <c r="K88" s="39">
        <f ca="1">IFERROR(__xludf.DUMMYFUNCTION("IF(SUM(COUNTIF(artists!E:E, SPLIT(D88, "",""))) &gt; 0, ""OTHER"", 0)"),0)</f>
        <v>0</v>
      </c>
    </row>
    <row r="89" spans="1:11" ht="14.25" customHeight="1">
      <c r="A89" s="21">
        <v>88</v>
      </c>
      <c r="C89" s="21" t="s">
        <v>2219</v>
      </c>
      <c r="D89" s="21" t="s">
        <v>2220</v>
      </c>
      <c r="E89" s="21">
        <v>1</v>
      </c>
      <c r="F89" s="21">
        <v>161904</v>
      </c>
      <c r="H89" s="21" t="s">
        <v>2221</v>
      </c>
      <c r="I89" s="39">
        <f ca="1">IFERROR(__xludf.DUMMYFUNCTION("IF(SUM(COUNTIF(artists!A:A, SPLIT(D89, "",""))) &gt; 0, ""UA"", 0)"),0)</f>
        <v>0</v>
      </c>
      <c r="J89" s="40" t="str">
        <f ca="1">IFERROR(__xludf.DUMMYFUNCTION("IF(SUM(COUNTIF(artists!C:C, SPLIT(D89, "",""))) &gt; 0, ""RU"", 0)"),"RU")</f>
        <v>RU</v>
      </c>
      <c r="K89" s="39">
        <f ca="1">IFERROR(__xludf.DUMMYFUNCTION("IF(SUM(COUNTIF(artists!E:E, SPLIT(D89, "",""))) &gt; 0, ""OTHER"", 0)"),0)</f>
        <v>0</v>
      </c>
    </row>
    <row r="90" spans="1:11" ht="14.25" customHeight="1">
      <c r="A90" s="21">
        <v>89</v>
      </c>
      <c r="B90" s="21">
        <v>89</v>
      </c>
      <c r="C90" s="21" t="s">
        <v>2120</v>
      </c>
      <c r="D90" s="21" t="s">
        <v>2121</v>
      </c>
      <c r="E90" s="21">
        <v>6</v>
      </c>
      <c r="F90" s="21">
        <v>161450</v>
      </c>
      <c r="G90" s="42">
        <v>-3.5000000000000003E-2</v>
      </c>
      <c r="H90" s="21" t="s">
        <v>2122</v>
      </c>
      <c r="I90" s="39">
        <f ca="1">IFERROR(__xludf.DUMMYFUNCTION("IF(SUM(COUNTIF(artists!A:A, SPLIT(D90, "",""))) &gt; 0, ""UA"", 0)"),0)</f>
        <v>0</v>
      </c>
      <c r="J90" s="40">
        <f ca="1">IFERROR(__xludf.DUMMYFUNCTION("IF(SUM(COUNTIF(artists!C:C, SPLIT(D90, "",""))) &gt; 0, ""RU"", 0)"),0)</f>
        <v>0</v>
      </c>
      <c r="K90" s="39" t="str">
        <f ca="1">IFERROR(__xludf.DUMMYFUNCTION("IF(SUM(COUNTIF(artists!E:E, SPLIT(D90, "",""))) &gt; 0, ""OTHER"", 0)"),"OTHER")</f>
        <v>OTHER</v>
      </c>
    </row>
    <row r="91" spans="1:11" ht="14.25" customHeight="1">
      <c r="A91" s="21">
        <v>90</v>
      </c>
      <c r="C91" s="21" t="s">
        <v>2252</v>
      </c>
      <c r="D91" s="21" t="s">
        <v>815</v>
      </c>
      <c r="E91" s="21">
        <v>1</v>
      </c>
      <c r="F91" s="21">
        <v>158691</v>
      </c>
      <c r="H91" s="21" t="s">
        <v>2253</v>
      </c>
      <c r="I91" s="39">
        <f ca="1">IFERROR(__xludf.DUMMYFUNCTION("IF(SUM(COUNTIF(artists!A:A, SPLIT(D91, "",""))) &gt; 0, ""UA"", 0)"),0)</f>
        <v>0</v>
      </c>
      <c r="J91" s="40" t="str">
        <f ca="1">IFERROR(__xludf.DUMMYFUNCTION("IF(SUM(COUNTIF(artists!C:C, SPLIT(D91, "",""))) &gt; 0, ""RU"", 0)"),"RU")</f>
        <v>RU</v>
      </c>
      <c r="K91" s="39">
        <f ca="1">IFERROR(__xludf.DUMMYFUNCTION("IF(SUM(COUNTIF(artists!E:E, SPLIT(D91, "",""))) &gt; 0, ""OTHER"", 0)"),0)</f>
        <v>0</v>
      </c>
    </row>
    <row r="92" spans="1:11" ht="14.25" customHeight="1">
      <c r="A92" s="21">
        <v>91</v>
      </c>
      <c r="C92" s="21" t="s">
        <v>841</v>
      </c>
      <c r="D92" s="21" t="s">
        <v>842</v>
      </c>
      <c r="E92" s="21">
        <v>3</v>
      </c>
      <c r="F92" s="21">
        <v>158631</v>
      </c>
      <c r="H92" s="21" t="s">
        <v>843</v>
      </c>
      <c r="I92" s="39">
        <f ca="1">IFERROR(__xludf.DUMMYFUNCTION("IF(SUM(COUNTIF(artists!A:A, SPLIT(D92, "",""))) &gt; 0, ""UA"", 0)"),0)</f>
        <v>0</v>
      </c>
      <c r="J92" s="40">
        <f ca="1">IFERROR(__xludf.DUMMYFUNCTION("IF(SUM(COUNTIF(artists!C:C, SPLIT(D92, "",""))) &gt; 0, ""RU"", 0)"),0)</f>
        <v>0</v>
      </c>
      <c r="K92" s="39" t="str">
        <f ca="1">IFERROR(__xludf.DUMMYFUNCTION("IF(SUM(COUNTIF(artists!E:E, SPLIT(D92, "",""))) &gt; 0, ""OTHER"", 0)"),"OTHER")</f>
        <v>OTHER</v>
      </c>
    </row>
    <row r="93" spans="1:11" ht="14.25" customHeight="1">
      <c r="A93" s="21">
        <v>92</v>
      </c>
      <c r="B93" s="21">
        <v>93</v>
      </c>
      <c r="C93" s="21" t="s">
        <v>1222</v>
      </c>
      <c r="D93" s="21" t="s">
        <v>1223</v>
      </c>
      <c r="E93" s="21">
        <v>15</v>
      </c>
      <c r="F93" s="21">
        <v>156588</v>
      </c>
      <c r="G93" s="42">
        <v>-1.2999999999999999E-2</v>
      </c>
      <c r="H93" s="21" t="s">
        <v>1224</v>
      </c>
      <c r="I93" s="39">
        <f ca="1">IFERROR(__xludf.DUMMYFUNCTION("IF(SUM(COUNTIF(artists!A:A, SPLIT(D93, "",""))) &gt; 0, ""UA"", 0)"),0)</f>
        <v>0</v>
      </c>
      <c r="J93" s="40" t="str">
        <f ca="1">IFERROR(__xludf.DUMMYFUNCTION("IF(SUM(COUNTIF(artists!C:C, SPLIT(D93, "",""))) &gt; 0, ""RU"", 0)"),"RU")</f>
        <v>RU</v>
      </c>
      <c r="K93" s="39">
        <f ca="1">IFERROR(__xludf.DUMMYFUNCTION("IF(SUM(COUNTIF(artists!E:E, SPLIT(D93, "",""))) &gt; 0, ""OTHER"", 0)"),0)</f>
        <v>0</v>
      </c>
    </row>
    <row r="94" spans="1:11" ht="14.25" customHeight="1">
      <c r="A94" s="21">
        <v>93</v>
      </c>
      <c r="B94" s="21">
        <v>91</v>
      </c>
      <c r="C94" s="21" t="s">
        <v>2096</v>
      </c>
      <c r="D94" s="21" t="s">
        <v>2097</v>
      </c>
      <c r="E94" s="21">
        <v>3</v>
      </c>
      <c r="F94" s="21">
        <v>156007</v>
      </c>
      <c r="G94" s="42">
        <v>-4.5999999999999999E-2</v>
      </c>
      <c r="H94" s="21" t="s">
        <v>2098</v>
      </c>
      <c r="I94" s="39">
        <f ca="1">IFERROR(__xludf.DUMMYFUNCTION("IF(SUM(COUNTIF(artists!A:A, SPLIT(D94, "",""))) &gt; 0, ""UA"", 0)"),0)</f>
        <v>0</v>
      </c>
      <c r="J94" s="40" t="str">
        <f ca="1">IFERROR(__xludf.DUMMYFUNCTION("IF(SUM(COUNTIF(artists!C:C, SPLIT(D94, "",""))) &gt; 0, ""RU"", 0)"),"RU")</f>
        <v>RU</v>
      </c>
      <c r="K94" s="39">
        <f ca="1">IFERROR(__xludf.DUMMYFUNCTION("IF(SUM(COUNTIF(artists!E:E, SPLIT(D94, "",""))) &gt; 0, ""OTHER"", 0)"),0)</f>
        <v>0</v>
      </c>
    </row>
    <row r="95" spans="1:11" ht="14.25" customHeight="1">
      <c r="A95" s="21">
        <v>94</v>
      </c>
      <c r="B95" s="21">
        <v>95</v>
      </c>
      <c r="C95" s="21" t="s">
        <v>530</v>
      </c>
      <c r="D95" s="21" t="s">
        <v>531</v>
      </c>
      <c r="E95" s="21">
        <v>18</v>
      </c>
      <c r="F95" s="21">
        <v>154080</v>
      </c>
      <c r="G95" s="43">
        <v>-0.02</v>
      </c>
      <c r="H95" s="21" t="s">
        <v>532</v>
      </c>
      <c r="I95" s="39">
        <f ca="1">IFERROR(__xludf.DUMMYFUNCTION("IF(SUM(COUNTIF(artists!A:A, SPLIT(D95, "",""))) &gt; 0, ""UA"", 0)"),0)</f>
        <v>0</v>
      </c>
      <c r="J95" s="40" t="str">
        <f ca="1">IFERROR(__xludf.DUMMYFUNCTION("IF(SUM(COUNTIF(artists!C:C, SPLIT(D95, "",""))) &gt; 0, ""RU"", 0)"),"RU")</f>
        <v>RU</v>
      </c>
      <c r="K95" s="39">
        <f ca="1">IFERROR(__xludf.DUMMYFUNCTION("IF(SUM(COUNTIF(artists!E:E, SPLIT(D95, "",""))) &gt; 0, ""OTHER"", 0)"),0)</f>
        <v>0</v>
      </c>
    </row>
    <row r="96" spans="1:11" ht="14.25" customHeight="1">
      <c r="A96" s="21">
        <v>95</v>
      </c>
      <c r="C96" s="21" t="s">
        <v>2185</v>
      </c>
      <c r="D96" s="21" t="s">
        <v>2061</v>
      </c>
      <c r="E96" s="21">
        <v>1</v>
      </c>
      <c r="F96" s="21">
        <v>153921</v>
      </c>
      <c r="H96" s="21" t="s">
        <v>2186</v>
      </c>
      <c r="I96" s="39">
        <f ca="1">IFERROR(__xludf.DUMMYFUNCTION("IF(SUM(COUNTIF(artists!A:A, SPLIT(D96, "",""))) &gt; 0, ""UA"", 0)"),0)</f>
        <v>0</v>
      </c>
      <c r="J96" s="40" t="str">
        <f ca="1">IFERROR(__xludf.DUMMYFUNCTION("IF(SUM(COUNTIF(artists!C:C, SPLIT(D96, "",""))) &gt; 0, ""RU"", 0)"),"RU")</f>
        <v>RU</v>
      </c>
      <c r="K96" s="39">
        <f ca="1">IFERROR(__xludf.DUMMYFUNCTION("IF(SUM(COUNTIF(artists!E:E, SPLIT(D96, "",""))) &gt; 0, ""OTHER"", 0)"),0)</f>
        <v>0</v>
      </c>
    </row>
    <row r="97" spans="1:11" ht="14.25" customHeight="1">
      <c r="A97" s="21">
        <v>96</v>
      </c>
      <c r="C97" s="21" t="s">
        <v>2254</v>
      </c>
      <c r="D97" s="21" t="s">
        <v>2255</v>
      </c>
      <c r="E97" s="21">
        <v>24</v>
      </c>
      <c r="F97" s="21">
        <v>153744</v>
      </c>
      <c r="H97" s="21" t="s">
        <v>2256</v>
      </c>
      <c r="I97" s="39">
        <f ca="1">IFERROR(__xludf.DUMMYFUNCTION("IF(SUM(COUNTIF(artists!A:A, SPLIT(D97, "",""))) &gt; 0, ""UA"", 0)"),0)</f>
        <v>0</v>
      </c>
      <c r="J97" s="40" t="str">
        <f ca="1">IFERROR(__xludf.DUMMYFUNCTION("IF(SUM(COUNTIF(artists!C:C, SPLIT(D97, "",""))) &gt; 0, ""RU"", 0)"),"RU")</f>
        <v>RU</v>
      </c>
      <c r="K97" s="39">
        <f ca="1">IFERROR(__xludf.DUMMYFUNCTION("IF(SUM(COUNTIF(artists!E:E, SPLIT(D97, "",""))) &gt; 0, ""OTHER"", 0)"),0)</f>
        <v>0</v>
      </c>
    </row>
    <row r="98" spans="1:11" ht="14.25" customHeight="1">
      <c r="A98" s="21">
        <v>97</v>
      </c>
      <c r="C98" s="21" t="s">
        <v>2257</v>
      </c>
      <c r="D98" s="21" t="s">
        <v>2110</v>
      </c>
      <c r="E98" s="21">
        <v>10</v>
      </c>
      <c r="F98" s="21">
        <v>151967</v>
      </c>
      <c r="H98" s="21" t="s">
        <v>2258</v>
      </c>
      <c r="I98" s="39">
        <f ca="1">IFERROR(__xludf.DUMMYFUNCTION("IF(SUM(COUNTIF(artists!A:A, SPLIT(D98, "",""))) &gt; 0, ""UA"", 0)"),0)</f>
        <v>0</v>
      </c>
      <c r="J98" s="40" t="str">
        <f ca="1">IFERROR(__xludf.DUMMYFUNCTION("IF(SUM(COUNTIF(artists!C:C, SPLIT(D98, "",""))) &gt; 0, ""RU"", 0)"),"RU")</f>
        <v>RU</v>
      </c>
      <c r="K98" s="39">
        <f ca="1">IFERROR(__xludf.DUMMYFUNCTION("IF(SUM(COUNTIF(artists!E:E, SPLIT(D98, "",""))) &gt; 0, ""OTHER"", 0)"),0)</f>
        <v>0</v>
      </c>
    </row>
    <row r="99" spans="1:11" ht="14.25" customHeight="1">
      <c r="A99" s="21">
        <v>98</v>
      </c>
      <c r="B99" s="21">
        <v>87</v>
      </c>
      <c r="C99" s="21" t="s">
        <v>2227</v>
      </c>
      <c r="D99" s="21" t="s">
        <v>2228</v>
      </c>
      <c r="E99" s="21">
        <v>18</v>
      </c>
      <c r="F99" s="21">
        <v>151935</v>
      </c>
      <c r="G99" s="42">
        <v>-9.7000000000000003E-2</v>
      </c>
      <c r="H99" s="21" t="s">
        <v>2229</v>
      </c>
      <c r="I99" s="39">
        <f ca="1">IFERROR(__xludf.DUMMYFUNCTION("IF(SUM(COUNTIF(artists!A:A, SPLIT(D99, "",""))) &gt; 0, ""UA"", 0)"),0)</f>
        <v>0</v>
      </c>
      <c r="J99" s="40" t="str">
        <f ca="1">IFERROR(__xludf.DUMMYFUNCTION("IF(SUM(COUNTIF(artists!C:C, SPLIT(D99, "",""))) &gt; 0, ""RU"", 0)"),"RU")</f>
        <v>RU</v>
      </c>
      <c r="K99" s="39">
        <f ca="1">IFERROR(__xludf.DUMMYFUNCTION("IF(SUM(COUNTIF(artists!E:E, SPLIT(D99, "",""))) &gt; 0, ""OTHER"", 0)"),0)</f>
        <v>0</v>
      </c>
    </row>
    <row r="100" spans="1:11" ht="14.25" customHeight="1">
      <c r="A100" s="21">
        <v>99</v>
      </c>
      <c r="B100" s="21">
        <v>92</v>
      </c>
      <c r="C100" s="21" t="s">
        <v>2259</v>
      </c>
      <c r="D100" s="21" t="s">
        <v>2260</v>
      </c>
      <c r="E100" s="21">
        <v>8</v>
      </c>
      <c r="F100" s="21">
        <v>151392</v>
      </c>
      <c r="G100" s="42">
        <v>-6.4000000000000001E-2</v>
      </c>
      <c r="H100" s="21" t="s">
        <v>2261</v>
      </c>
      <c r="I100" s="39">
        <f ca="1">IFERROR(__xludf.DUMMYFUNCTION("IF(SUM(COUNTIF(artists!A:A, SPLIT(D100, "",""))) &gt; 0, ""UA"", 0)"),0)</f>
        <v>0</v>
      </c>
      <c r="J100" s="40" t="str">
        <f ca="1">IFERROR(__xludf.DUMMYFUNCTION("IF(SUM(COUNTIF(artists!C:C, SPLIT(D100, "",""))) &gt; 0, ""RU"", 0)"),"RU")</f>
        <v>RU</v>
      </c>
      <c r="K100" s="39">
        <f ca="1">IFERROR(__xludf.DUMMYFUNCTION("IF(SUM(COUNTIF(artists!E:E, SPLIT(D100, "",""))) &gt; 0, ""OTHER"", 0)"),0)</f>
        <v>0</v>
      </c>
    </row>
    <row r="101" spans="1:11" ht="14.25" customHeight="1">
      <c r="A101" s="21">
        <v>100</v>
      </c>
      <c r="C101" s="21" t="s">
        <v>2194</v>
      </c>
      <c r="D101" s="21" t="s">
        <v>2195</v>
      </c>
      <c r="E101" s="21">
        <v>18</v>
      </c>
      <c r="F101" s="21">
        <v>149725</v>
      </c>
      <c r="H101" s="21" t="s">
        <v>2196</v>
      </c>
      <c r="I101" s="39">
        <f ca="1">IFERROR(__xludf.DUMMYFUNCTION("IF(SUM(COUNTIF(artists!A:A, SPLIT(D101, "",""))) &gt; 0, ""UA"", 0)"),0)</f>
        <v>0</v>
      </c>
      <c r="J101" s="40" t="str">
        <f ca="1">IFERROR(__xludf.DUMMYFUNCTION("IF(SUM(COUNTIF(artists!C:C, SPLIT(D101, "",""))) &gt; 0, ""RU"", 0)"),"RU")</f>
        <v>RU</v>
      </c>
      <c r="K101" s="39">
        <f ca="1">IFERROR(__xludf.DUMMYFUNCTION("IF(SUM(COUNTIF(artists!E:E, SPLIT(D101, "",""))) &gt; 0, ""OTHER"", 0)"),0)</f>
        <v>0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7" priority="1">
      <formula>AND($I2=0, $J2=0, $K2=0)</formula>
    </cfRule>
    <cfRule type="expression" dxfId="6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Аркуш6">
    <tabColor rgb="FF38761D"/>
    <outlinePr summaryBelow="0" summaryRight="0"/>
  </sheetPr>
  <dimension ref="A1:K101"/>
  <sheetViews>
    <sheetView workbookViewId="0"/>
  </sheetViews>
  <sheetFormatPr defaultColWidth="14.44140625" defaultRowHeight="15.75" customHeight="1"/>
  <cols>
    <col min="1" max="1" width="5" customWidth="1"/>
    <col min="2" max="2" width="14.44140625" hidden="1"/>
    <col min="5" max="5" width="14.44140625" hidden="1"/>
    <col min="8" max="8" width="14.44140625" hidden="1"/>
  </cols>
  <sheetData>
    <row r="1" spans="1:1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>
      <c r="A2" s="21">
        <v>1</v>
      </c>
      <c r="B2" s="21">
        <v>1</v>
      </c>
      <c r="C2" s="21" t="s">
        <v>91</v>
      </c>
      <c r="D2" s="21" t="s">
        <v>92</v>
      </c>
      <c r="E2" s="21">
        <v>3</v>
      </c>
      <c r="F2" s="21">
        <v>1335226</v>
      </c>
      <c r="G2" s="21" t="s">
        <v>639</v>
      </c>
      <c r="H2" s="38" t="s">
        <v>94</v>
      </c>
      <c r="I2" s="39">
        <f ca="1">IFERROR(__xludf.DUMMYFUNCTION("IF(SUM(COUNTIF(artists!A:A, SPLIT(D2, "",""))) &gt; 0, ""UA"", 0)"),0)</f>
        <v>0</v>
      </c>
      <c r="J2" s="40">
        <f ca="1">IFERROR(__xludf.DUMMYFUNCTION("IF(SUM(COUNTIF(artists!C:C, SPLIT(D2, "",""))) &gt; 0, ""RU"", 0)"),0)</f>
        <v>0</v>
      </c>
      <c r="K2" s="39" t="str">
        <f ca="1">IFERROR(__xludf.DUMMYFUNCTION("IF(SUM(COUNTIF(artists!E:E, SPLIT(D2, "",""))) &gt; 0, ""OTHER"", 0)"),"OTHER")</f>
        <v>OTHER</v>
      </c>
    </row>
    <row r="3" spans="1:11">
      <c r="A3" s="21">
        <v>2</v>
      </c>
      <c r="C3" s="21" t="s">
        <v>142</v>
      </c>
      <c r="D3" s="21" t="s">
        <v>104</v>
      </c>
      <c r="E3" s="21">
        <v>1</v>
      </c>
      <c r="F3" s="21">
        <v>1017197</v>
      </c>
      <c r="H3" s="38" t="s">
        <v>144</v>
      </c>
      <c r="I3" s="39" t="str">
        <f ca="1">IFERROR(__xludf.DUMMYFUNCTION("IF(SUM(COUNTIF(artists!A:A, SPLIT(D3, "",""))) &gt; 0, ""UA"", 0)"),"UA")</f>
        <v>UA</v>
      </c>
      <c r="J3" s="40">
        <f ca="1">IFERROR(__xludf.DUMMYFUNCTION("IF(SUM(COUNTIF(artists!C:C, SPLIT(D3, "",""))) &gt; 0, ""RU"", 0)"),0)</f>
        <v>0</v>
      </c>
      <c r="K3" s="39">
        <f ca="1">IFERROR(__xludf.DUMMYFUNCTION("IF(SUM(COUNTIF(artists!E:E, SPLIT(D3, "",""))) &gt; 0, ""OTHER"", 0)"),0)</f>
        <v>0</v>
      </c>
    </row>
    <row r="4" spans="1:11">
      <c r="A4" s="21">
        <v>3</v>
      </c>
      <c r="B4" s="21">
        <v>2</v>
      </c>
      <c r="C4" s="21" t="s">
        <v>88</v>
      </c>
      <c r="D4" s="21" t="s">
        <v>89</v>
      </c>
      <c r="E4" s="21">
        <v>27</v>
      </c>
      <c r="F4" s="21">
        <v>787376</v>
      </c>
      <c r="G4" s="21" t="s">
        <v>640</v>
      </c>
      <c r="H4" s="38" t="s">
        <v>90</v>
      </c>
      <c r="I4" s="39" t="str">
        <f ca="1">IFERROR(__xludf.DUMMYFUNCTION("IF(SUM(COUNTIF(artists!A:A, SPLIT(D4, "",""))) &gt; 0, ""UA"", 0)"),"UA")</f>
        <v>UA</v>
      </c>
      <c r="J4" s="40">
        <f ca="1">IFERROR(__xludf.DUMMYFUNCTION("IF(SUM(COUNTIF(artists!C:C, SPLIT(D4, "",""))) &gt; 0, ""RU"", 0)"),0)</f>
        <v>0</v>
      </c>
      <c r="K4" s="39">
        <f ca="1">IFERROR(__xludf.DUMMYFUNCTION("IF(SUM(COUNTIF(artists!E:E, SPLIT(D4, "",""))) &gt; 0, ""OTHER"", 0)"),0)</f>
        <v>0</v>
      </c>
    </row>
    <row r="5" spans="1:11">
      <c r="A5" s="21">
        <v>4</v>
      </c>
      <c r="B5" s="21">
        <v>4</v>
      </c>
      <c r="C5" s="21" t="s">
        <v>95</v>
      </c>
      <c r="D5" s="21" t="s">
        <v>96</v>
      </c>
      <c r="E5" s="21">
        <v>12</v>
      </c>
      <c r="F5" s="21">
        <v>751823</v>
      </c>
      <c r="G5" s="21" t="s">
        <v>318</v>
      </c>
      <c r="H5" s="38" t="s">
        <v>98</v>
      </c>
      <c r="I5" s="39" t="str">
        <f ca="1">IFERROR(__xludf.DUMMYFUNCTION("IF(SUM(COUNTIF(artists!A:A, SPLIT(D5, "",""))) &gt; 0, ""UA"", 0)"),"UA")</f>
        <v>UA</v>
      </c>
      <c r="J5" s="40">
        <f ca="1">IFERROR(__xludf.DUMMYFUNCTION("IF(SUM(COUNTIF(artists!C:C, SPLIT(D5, "",""))) &gt; 0, ""RU"", 0)"),0)</f>
        <v>0</v>
      </c>
      <c r="K5" s="39">
        <f ca="1">IFERROR(__xludf.DUMMYFUNCTION("IF(SUM(COUNTIF(artists!E:E, SPLIT(D5, "",""))) &gt; 0, ""OTHER"", 0)"),0)</f>
        <v>0</v>
      </c>
    </row>
    <row r="6" spans="1:11">
      <c r="A6" s="21">
        <v>5</v>
      </c>
      <c r="B6" s="21">
        <v>5</v>
      </c>
      <c r="C6" s="21" t="s">
        <v>111</v>
      </c>
      <c r="D6" s="21" t="s">
        <v>112</v>
      </c>
      <c r="E6" s="21">
        <v>8</v>
      </c>
      <c r="F6" s="21">
        <v>711667</v>
      </c>
      <c r="G6" s="21" t="s">
        <v>641</v>
      </c>
      <c r="H6" s="38" t="s">
        <v>114</v>
      </c>
      <c r="I6" s="39" t="str">
        <f ca="1">IFERROR(__xludf.DUMMYFUNCTION("IF(SUM(COUNTIF(artists!A:A, SPLIT(D6, "",""))) &gt; 0, ""UA"", 0)"),"UA")</f>
        <v>UA</v>
      </c>
      <c r="J6" s="40">
        <f ca="1">IFERROR(__xludf.DUMMYFUNCTION("IF(SUM(COUNTIF(artists!C:C, SPLIT(D6, "",""))) &gt; 0, ""RU"", 0)"),0)</f>
        <v>0</v>
      </c>
      <c r="K6" s="39">
        <f ca="1">IFERROR(__xludf.DUMMYFUNCTION("IF(SUM(COUNTIF(artists!E:E, SPLIT(D6, "",""))) &gt; 0, ""OTHER"", 0)"),0)</f>
        <v>0</v>
      </c>
    </row>
    <row r="7" spans="1:11">
      <c r="A7" s="21">
        <v>6</v>
      </c>
      <c r="B7" s="21">
        <v>3</v>
      </c>
      <c r="C7" s="21" t="s">
        <v>124</v>
      </c>
      <c r="D7" s="21" t="s">
        <v>125</v>
      </c>
      <c r="E7" s="21">
        <v>10</v>
      </c>
      <c r="F7" s="21">
        <v>703563</v>
      </c>
      <c r="G7" s="21" t="s">
        <v>642</v>
      </c>
      <c r="H7" s="38" t="s">
        <v>127</v>
      </c>
      <c r="I7" s="39">
        <f ca="1">IFERROR(__xludf.DUMMYFUNCTION("IF(SUM(COUNTIF(artists!A:A, SPLIT(D7, "",""))) &gt; 0, ""UA"", 0)"),0)</f>
        <v>0</v>
      </c>
      <c r="J7" s="40" t="str">
        <f ca="1">IFERROR(__xludf.DUMMYFUNCTION("IF(SUM(COUNTIF(artists!C:C, SPLIT(D7, "",""))) &gt; 0, ""RU"", 0)"),"RU")</f>
        <v>RU</v>
      </c>
      <c r="K7" s="39">
        <f ca="1">IFERROR(__xludf.DUMMYFUNCTION("IF(SUM(COUNTIF(artists!E:E, SPLIT(D7, "",""))) &gt; 0, ""OTHER"", 0)"),0)</f>
        <v>0</v>
      </c>
    </row>
    <row r="8" spans="1:11">
      <c r="A8" s="21">
        <v>7</v>
      </c>
      <c r="B8" s="21">
        <v>6</v>
      </c>
      <c r="C8" s="21" t="s">
        <v>103</v>
      </c>
      <c r="D8" s="21" t="s">
        <v>104</v>
      </c>
      <c r="E8" s="21">
        <v>8</v>
      </c>
      <c r="F8" s="21">
        <v>677371</v>
      </c>
      <c r="G8" s="41">
        <v>0.02</v>
      </c>
      <c r="H8" s="38" t="s">
        <v>106</v>
      </c>
      <c r="I8" s="39" t="str">
        <f ca="1">IFERROR(__xludf.DUMMYFUNCTION("IF(SUM(COUNTIF(artists!A:A, SPLIT(D8, "",""))) &gt; 0, ""UA"", 0)"),"UA")</f>
        <v>UA</v>
      </c>
      <c r="J8" s="40">
        <f ca="1">IFERROR(__xludf.DUMMYFUNCTION("IF(SUM(COUNTIF(artists!C:C, SPLIT(D8, "",""))) &gt; 0, ""RU"", 0)"),0)</f>
        <v>0</v>
      </c>
      <c r="K8" s="39">
        <f ca="1">IFERROR(__xludf.DUMMYFUNCTION("IF(SUM(COUNTIF(artists!E:E, SPLIT(D8, "",""))) &gt; 0, ""OTHER"", 0)"),0)</f>
        <v>0</v>
      </c>
    </row>
    <row r="9" spans="1:11">
      <c r="A9" s="21">
        <v>8</v>
      </c>
      <c r="B9" s="21">
        <v>9</v>
      </c>
      <c r="C9" s="21" t="s">
        <v>84</v>
      </c>
      <c r="D9" s="21" t="s">
        <v>85</v>
      </c>
      <c r="E9" s="21">
        <v>6</v>
      </c>
      <c r="F9" s="21">
        <v>642833</v>
      </c>
      <c r="G9" s="21" t="s">
        <v>147</v>
      </c>
      <c r="H9" s="38" t="s">
        <v>87</v>
      </c>
      <c r="I9" s="39" t="str">
        <f ca="1">IFERROR(__xludf.DUMMYFUNCTION("IF(SUM(COUNTIF(artists!A:A, SPLIT(D9, "",""))) &gt; 0, ""UA"", 0)"),"UA")</f>
        <v>UA</v>
      </c>
      <c r="J9" s="40">
        <f ca="1">IFERROR(__xludf.DUMMYFUNCTION("IF(SUM(COUNTIF(artists!C:C, SPLIT(D9, "",""))) &gt; 0, ""RU"", 0)"),0)</f>
        <v>0</v>
      </c>
      <c r="K9" s="39">
        <f ca="1">IFERROR(__xludf.DUMMYFUNCTION("IF(SUM(COUNTIF(artists!E:E, SPLIT(D9, "",""))) &gt; 0, ""OTHER"", 0)"),0)</f>
        <v>0</v>
      </c>
    </row>
    <row r="10" spans="1:11">
      <c r="A10" s="21">
        <v>9</v>
      </c>
      <c r="B10" s="21">
        <v>7</v>
      </c>
      <c r="C10" s="21" t="s">
        <v>121</v>
      </c>
      <c r="D10" s="21" t="s">
        <v>122</v>
      </c>
      <c r="E10" s="21">
        <v>7</v>
      </c>
      <c r="F10" s="21">
        <v>632414</v>
      </c>
      <c r="G10" s="21" t="s">
        <v>162</v>
      </c>
      <c r="H10" s="38" t="s">
        <v>123</v>
      </c>
      <c r="I10" s="39" t="str">
        <f ca="1">IFERROR(__xludf.DUMMYFUNCTION("IF(SUM(COUNTIF(artists!A:A, SPLIT(D10, "",""))) &gt; 0, ""UA"", 0)"),"UA")</f>
        <v>UA</v>
      </c>
      <c r="J10" s="40">
        <f ca="1">IFERROR(__xludf.DUMMYFUNCTION("IF(SUM(COUNTIF(artists!C:C, SPLIT(D10, "",""))) &gt; 0, ""RU"", 0)"),0)</f>
        <v>0</v>
      </c>
      <c r="K10" s="39">
        <f ca="1">IFERROR(__xludf.DUMMYFUNCTION("IF(SUM(COUNTIF(artists!E:E, SPLIT(D10, "",""))) &gt; 0, ""OTHER"", 0)"),0)</f>
        <v>0</v>
      </c>
    </row>
    <row r="11" spans="1:11">
      <c r="A11" s="21">
        <v>10</v>
      </c>
      <c r="B11" s="21">
        <v>8</v>
      </c>
      <c r="C11" s="21" t="s">
        <v>153</v>
      </c>
      <c r="D11" s="21" t="s">
        <v>154</v>
      </c>
      <c r="E11" s="21">
        <v>7</v>
      </c>
      <c r="F11" s="21">
        <v>594456</v>
      </c>
      <c r="G11" s="21" t="s">
        <v>334</v>
      </c>
      <c r="H11" s="38" t="s">
        <v>156</v>
      </c>
      <c r="I11" s="39">
        <f ca="1">IFERROR(__xludf.DUMMYFUNCTION("IF(SUM(COUNTIF(artists!A:A, SPLIT(D11, "",""))) &gt; 0, ""UA"", 0)"),0)</f>
        <v>0</v>
      </c>
      <c r="J11" s="40" t="str">
        <f ca="1">IFERROR(__xludf.DUMMYFUNCTION("IF(SUM(COUNTIF(artists!C:C, SPLIT(D11, "",""))) &gt; 0, ""RU"", 0)"),"RU")</f>
        <v>RU</v>
      </c>
      <c r="K11" s="39">
        <f ca="1">IFERROR(__xludf.DUMMYFUNCTION("IF(SUM(COUNTIF(artists!E:E, SPLIT(D11, "",""))) &gt; 0, ""OTHER"", 0)"),0)</f>
        <v>0</v>
      </c>
    </row>
    <row r="12" spans="1:11">
      <c r="A12" s="21">
        <v>11</v>
      </c>
      <c r="B12" s="21">
        <v>19</v>
      </c>
      <c r="C12" s="21" t="s">
        <v>99</v>
      </c>
      <c r="D12" s="21" t="s">
        <v>100</v>
      </c>
      <c r="E12" s="21">
        <v>9</v>
      </c>
      <c r="F12" s="21">
        <v>587703</v>
      </c>
      <c r="G12" s="21" t="s">
        <v>643</v>
      </c>
      <c r="H12" s="38" t="s">
        <v>102</v>
      </c>
      <c r="I12" s="39" t="str">
        <f ca="1">IFERROR(__xludf.DUMMYFUNCTION("IF(SUM(COUNTIF(artists!A:A, SPLIT(D12, "",""))) &gt; 0, ""UA"", 0)"),"UA")</f>
        <v>UA</v>
      </c>
      <c r="J12" s="40">
        <f ca="1">IFERROR(__xludf.DUMMYFUNCTION("IF(SUM(COUNTIF(artists!C:C, SPLIT(D12, "",""))) &gt; 0, ""RU"", 0)"),0)</f>
        <v>0</v>
      </c>
      <c r="K12" s="39">
        <f ca="1">IFERROR(__xludf.DUMMYFUNCTION("IF(SUM(COUNTIF(artists!E:E, SPLIT(D12, "",""))) &gt; 0, ""OTHER"", 0)"),0)</f>
        <v>0</v>
      </c>
    </row>
    <row r="13" spans="1:11">
      <c r="A13" s="21">
        <v>12</v>
      </c>
      <c r="B13" s="21">
        <v>10</v>
      </c>
      <c r="C13" s="21" t="s">
        <v>128</v>
      </c>
      <c r="D13" s="21" t="s">
        <v>129</v>
      </c>
      <c r="E13" s="21">
        <v>35</v>
      </c>
      <c r="F13" s="21">
        <v>555930</v>
      </c>
      <c r="G13" s="21" t="s">
        <v>644</v>
      </c>
      <c r="H13" s="38" t="s">
        <v>131</v>
      </c>
      <c r="I13" s="39" t="str">
        <f ca="1">IFERROR(__xludf.DUMMYFUNCTION("IF(SUM(COUNTIF(artists!A:A, SPLIT(D13, "",""))) &gt; 0, ""UA"", 0)"),"UA")</f>
        <v>UA</v>
      </c>
      <c r="J13" s="40">
        <f ca="1">IFERROR(__xludf.DUMMYFUNCTION("IF(SUM(COUNTIF(artists!C:C, SPLIT(D13, "",""))) &gt; 0, ""RU"", 0)"),0)</f>
        <v>0</v>
      </c>
      <c r="K13" s="39">
        <f ca="1">IFERROR(__xludf.DUMMYFUNCTION("IF(SUM(COUNTIF(artists!E:E, SPLIT(D13, "",""))) &gt; 0, ""OTHER"", 0)"),0)</f>
        <v>0</v>
      </c>
    </row>
    <row r="14" spans="1:11">
      <c r="A14" s="21">
        <v>13</v>
      </c>
      <c r="B14" s="21">
        <v>11</v>
      </c>
      <c r="C14" s="21" t="s">
        <v>107</v>
      </c>
      <c r="D14" s="21" t="s">
        <v>108</v>
      </c>
      <c r="E14" s="21">
        <v>7</v>
      </c>
      <c r="F14" s="21">
        <v>527661</v>
      </c>
      <c r="G14" s="41">
        <v>-0.02</v>
      </c>
      <c r="H14" s="38" t="s">
        <v>110</v>
      </c>
      <c r="I14" s="39" t="str">
        <f ca="1">IFERROR(__xludf.DUMMYFUNCTION("IF(SUM(COUNTIF(artists!A:A, SPLIT(D14, "",""))) &gt; 0, ""UA"", 0)"),"UA")</f>
        <v>UA</v>
      </c>
      <c r="J14" s="40">
        <f ca="1">IFERROR(__xludf.DUMMYFUNCTION("IF(SUM(COUNTIF(artists!C:C, SPLIT(D14, "",""))) &gt; 0, ""RU"", 0)"),0)</f>
        <v>0</v>
      </c>
      <c r="K14" s="39">
        <f ca="1">IFERROR(__xludf.DUMMYFUNCTION("IF(SUM(COUNTIF(artists!E:E, SPLIT(D14, "",""))) &gt; 0, ""OTHER"", 0)"),0)</f>
        <v>0</v>
      </c>
    </row>
    <row r="15" spans="1:11">
      <c r="A15" s="21">
        <v>14</v>
      </c>
      <c r="B15" s="21">
        <v>12</v>
      </c>
      <c r="C15" s="21" t="s">
        <v>645</v>
      </c>
      <c r="D15" s="21" t="s">
        <v>352</v>
      </c>
      <c r="E15" s="21">
        <v>52</v>
      </c>
      <c r="F15" s="21">
        <v>501216</v>
      </c>
      <c r="G15" s="21" t="s">
        <v>646</v>
      </c>
      <c r="H15" s="38" t="s">
        <v>647</v>
      </c>
      <c r="I15" s="39" t="str">
        <f ca="1">IFERROR(__xludf.DUMMYFUNCTION("IF(SUM(COUNTIF(artists!A:A, SPLIT(D15, "",""))) &gt; 0, ""UA"", 0)"),"UA")</f>
        <v>UA</v>
      </c>
      <c r="J15" s="40">
        <f ca="1">IFERROR(__xludf.DUMMYFUNCTION("IF(SUM(COUNTIF(artists!C:C, SPLIT(D15, "",""))) &gt; 0, ""RU"", 0)"),0)</f>
        <v>0</v>
      </c>
      <c r="K15" s="39">
        <f ca="1">IFERROR(__xludf.DUMMYFUNCTION("IF(SUM(COUNTIF(artists!E:E, SPLIT(D15, "",""))) &gt; 0, ""OTHER"", 0)"),0)</f>
        <v>0</v>
      </c>
    </row>
    <row r="16" spans="1:11">
      <c r="A16" s="21">
        <v>15</v>
      </c>
      <c r="B16" s="21">
        <v>14</v>
      </c>
      <c r="C16" s="21" t="s">
        <v>115</v>
      </c>
      <c r="D16" s="21" t="s">
        <v>116</v>
      </c>
      <c r="E16" s="21">
        <v>29</v>
      </c>
      <c r="F16" s="21">
        <v>452024</v>
      </c>
      <c r="G16" s="21" t="s">
        <v>296</v>
      </c>
      <c r="H16" s="38" t="s">
        <v>117</v>
      </c>
      <c r="I16" s="39" t="str">
        <f ca="1">IFERROR(__xludf.DUMMYFUNCTION("IF(SUM(COUNTIF(artists!A:A, SPLIT(D16, "",""))) &gt; 0, ""UA"", 0)"),"UA")</f>
        <v>UA</v>
      </c>
      <c r="J16" s="40">
        <f ca="1">IFERROR(__xludf.DUMMYFUNCTION("IF(SUM(COUNTIF(artists!C:C, SPLIT(D16, "",""))) &gt; 0, ""RU"", 0)"),0)</f>
        <v>0</v>
      </c>
      <c r="K16" s="39">
        <f ca="1">IFERROR(__xludf.DUMMYFUNCTION("IF(SUM(COUNTIF(artists!E:E, SPLIT(D16, "",""))) &gt; 0, ""OTHER"", 0)"),0)</f>
        <v>0</v>
      </c>
    </row>
    <row r="17" spans="1:11">
      <c r="A17" s="21">
        <v>16</v>
      </c>
      <c r="B17" s="21">
        <v>26</v>
      </c>
      <c r="C17" s="21" t="s">
        <v>136</v>
      </c>
      <c r="D17" s="21" t="s">
        <v>137</v>
      </c>
      <c r="E17" s="21">
        <v>5</v>
      </c>
      <c r="F17" s="21">
        <v>434280</v>
      </c>
      <c r="G17" s="21" t="s">
        <v>648</v>
      </c>
      <c r="H17" s="38" t="s">
        <v>138</v>
      </c>
      <c r="I17" s="39" t="str">
        <f ca="1">IFERROR(__xludf.DUMMYFUNCTION("IF(SUM(COUNTIF(artists!A:A, SPLIT(D17, "",""))) &gt; 0, ""UA"", 0)"),"UA")</f>
        <v>UA</v>
      </c>
      <c r="J17" s="40">
        <f ca="1">IFERROR(__xludf.DUMMYFUNCTION("IF(SUM(COUNTIF(artists!C:C, SPLIT(D17, "",""))) &gt; 0, ""RU"", 0)"),0)</f>
        <v>0</v>
      </c>
      <c r="K17" s="39">
        <f ca="1">IFERROR(__xludf.DUMMYFUNCTION("IF(SUM(COUNTIF(artists!E:E, SPLIT(D17, "",""))) &gt; 0, ""OTHER"", 0)"),0)</f>
        <v>0</v>
      </c>
    </row>
    <row r="18" spans="1:11">
      <c r="A18" s="21">
        <v>17</v>
      </c>
      <c r="B18" s="21">
        <v>15</v>
      </c>
      <c r="C18" s="21" t="s">
        <v>168</v>
      </c>
      <c r="D18" s="21" t="s">
        <v>137</v>
      </c>
      <c r="E18" s="21">
        <v>30</v>
      </c>
      <c r="F18" s="21">
        <v>432906</v>
      </c>
      <c r="G18" s="21" t="s">
        <v>649</v>
      </c>
      <c r="H18" s="38" t="s">
        <v>170</v>
      </c>
      <c r="I18" s="39" t="str">
        <f ca="1">IFERROR(__xludf.DUMMYFUNCTION("IF(SUM(COUNTIF(artists!A:A, SPLIT(D18, "",""))) &gt; 0, ""UA"", 0)"),"UA")</f>
        <v>UA</v>
      </c>
      <c r="J18" s="40">
        <f ca="1">IFERROR(__xludf.DUMMYFUNCTION("IF(SUM(COUNTIF(artists!C:C, SPLIT(D18, "",""))) &gt; 0, ""RU"", 0)"),0)</f>
        <v>0</v>
      </c>
      <c r="K18" s="39">
        <f ca="1">IFERROR(__xludf.DUMMYFUNCTION("IF(SUM(COUNTIF(artists!E:E, SPLIT(D18, "",""))) &gt; 0, ""OTHER"", 0)"),0)</f>
        <v>0</v>
      </c>
    </row>
    <row r="19" spans="1:11">
      <c r="A19" s="21">
        <v>18</v>
      </c>
      <c r="B19" s="21">
        <v>13</v>
      </c>
      <c r="C19" s="21" t="s">
        <v>132</v>
      </c>
      <c r="D19" s="21" t="s">
        <v>133</v>
      </c>
      <c r="E19" s="21">
        <v>39</v>
      </c>
      <c r="F19" s="21">
        <v>428022</v>
      </c>
      <c r="G19" s="21" t="s">
        <v>650</v>
      </c>
      <c r="H19" s="38" t="s">
        <v>135</v>
      </c>
      <c r="I19" s="39" t="str">
        <f ca="1">IFERROR(__xludf.DUMMYFUNCTION("IF(SUM(COUNTIF(artists!A:A, SPLIT(D19, "",""))) &gt; 0, ""UA"", 0)"),"UA")</f>
        <v>UA</v>
      </c>
      <c r="J19" s="40">
        <f ca="1">IFERROR(__xludf.DUMMYFUNCTION("IF(SUM(COUNTIF(artists!C:C, SPLIT(D19, "",""))) &gt; 0, ""RU"", 0)"),0)</f>
        <v>0</v>
      </c>
      <c r="K19" s="39">
        <f ca="1">IFERROR(__xludf.DUMMYFUNCTION("IF(SUM(COUNTIF(artists!E:E, SPLIT(D19, "",""))) &gt; 0, ""OTHER"", 0)"),0)</f>
        <v>0</v>
      </c>
    </row>
    <row r="20" spans="1:11">
      <c r="A20" s="21">
        <v>19</v>
      </c>
      <c r="B20" s="21">
        <v>17</v>
      </c>
      <c r="C20" s="21" t="s">
        <v>145</v>
      </c>
      <c r="D20" s="21" t="s">
        <v>146</v>
      </c>
      <c r="E20" s="21">
        <v>33</v>
      </c>
      <c r="F20" s="21">
        <v>416146</v>
      </c>
      <c r="G20" s="21" t="s">
        <v>651</v>
      </c>
      <c r="H20" s="38" t="s">
        <v>148</v>
      </c>
      <c r="I20" s="39" t="str">
        <f ca="1">IFERROR(__xludf.DUMMYFUNCTION("IF(SUM(COUNTIF(artists!A:A, SPLIT(D20, "",""))) &gt; 0, ""UA"", 0)"),"UA")</f>
        <v>UA</v>
      </c>
      <c r="J20" s="40">
        <f ca="1">IFERROR(__xludf.DUMMYFUNCTION("IF(SUM(COUNTIF(artists!C:C, SPLIT(D20, "",""))) &gt; 0, ""RU"", 0)"),0)</f>
        <v>0</v>
      </c>
      <c r="K20" s="39">
        <f ca="1">IFERROR(__xludf.DUMMYFUNCTION("IF(SUM(COUNTIF(artists!E:E, SPLIT(D20, "",""))) &gt; 0, ""OTHER"", 0)"),0)</f>
        <v>0</v>
      </c>
    </row>
    <row r="21" spans="1:11">
      <c r="A21" s="21">
        <v>20</v>
      </c>
      <c r="B21" s="21">
        <v>16</v>
      </c>
      <c r="C21" s="21" t="s">
        <v>149</v>
      </c>
      <c r="D21" s="21" t="s">
        <v>150</v>
      </c>
      <c r="E21" s="21">
        <v>32</v>
      </c>
      <c r="F21" s="21">
        <v>410490</v>
      </c>
      <c r="G21" s="21" t="s">
        <v>652</v>
      </c>
      <c r="H21" s="38" t="s">
        <v>152</v>
      </c>
      <c r="I21" s="39" t="str">
        <f ca="1">IFERROR(__xludf.DUMMYFUNCTION("IF(SUM(COUNTIF(artists!A:A, SPLIT(D21, "",""))) &gt; 0, ""UA"", 0)"),"UA")</f>
        <v>UA</v>
      </c>
      <c r="J21" s="40">
        <f ca="1">IFERROR(__xludf.DUMMYFUNCTION("IF(SUM(COUNTIF(artists!C:C, SPLIT(D21, "",""))) &gt; 0, ""RU"", 0)"),0)</f>
        <v>0</v>
      </c>
      <c r="K21" s="39">
        <f ca="1">IFERROR(__xludf.DUMMYFUNCTION("IF(SUM(COUNTIF(artists!E:E, SPLIT(D21, "",""))) &gt; 0, ""OTHER"", 0)"),0)</f>
        <v>0</v>
      </c>
    </row>
    <row r="22" spans="1:11">
      <c r="A22" s="21">
        <v>21</v>
      </c>
      <c r="B22" s="21">
        <v>22</v>
      </c>
      <c r="C22" s="21" t="s">
        <v>160</v>
      </c>
      <c r="D22" s="21" t="s">
        <v>161</v>
      </c>
      <c r="E22" s="21">
        <v>33</v>
      </c>
      <c r="F22" s="21">
        <v>374731</v>
      </c>
      <c r="G22" s="21" t="s">
        <v>433</v>
      </c>
      <c r="H22" s="38" t="s">
        <v>163</v>
      </c>
      <c r="I22" s="39" t="str">
        <f ca="1">IFERROR(__xludf.DUMMYFUNCTION("IF(SUM(COUNTIF(artists!A:A, SPLIT(D22, "",""))) &gt; 0, ""UA"", 0)"),"UA")</f>
        <v>UA</v>
      </c>
      <c r="J22" s="40">
        <f ca="1">IFERROR(__xludf.DUMMYFUNCTION("IF(SUM(COUNTIF(artists!C:C, SPLIT(D22, "",""))) &gt; 0, ""RU"", 0)"),0)</f>
        <v>0</v>
      </c>
      <c r="K22" s="39">
        <f ca="1">IFERROR(__xludf.DUMMYFUNCTION("IF(SUM(COUNTIF(artists!E:E, SPLIT(D22, "",""))) &gt; 0, ""OTHER"", 0)"),0)</f>
        <v>0</v>
      </c>
    </row>
    <row r="23" spans="1:11">
      <c r="A23" s="21">
        <v>22</v>
      </c>
      <c r="B23" s="21">
        <v>21</v>
      </c>
      <c r="C23" s="21" t="s">
        <v>171</v>
      </c>
      <c r="D23" s="21" t="s">
        <v>172</v>
      </c>
      <c r="E23" s="21">
        <v>34</v>
      </c>
      <c r="F23" s="21">
        <v>372109</v>
      </c>
      <c r="G23" s="21" t="s">
        <v>105</v>
      </c>
      <c r="H23" s="38" t="s">
        <v>174</v>
      </c>
      <c r="I23" s="39">
        <f ca="1">IFERROR(__xludf.DUMMYFUNCTION("IF(SUM(COUNTIF(artists!A:A, SPLIT(D23, "",""))) &gt; 0, ""UA"", 0)"),0)</f>
        <v>0</v>
      </c>
      <c r="J23" s="40" t="str">
        <f ca="1">IFERROR(__xludf.DUMMYFUNCTION("IF(SUM(COUNTIF(artists!C:C, SPLIT(D23, "",""))) &gt; 0, ""RU"", 0)"),"RU")</f>
        <v>RU</v>
      </c>
      <c r="K23" s="39">
        <f ca="1">IFERROR(__xludf.DUMMYFUNCTION("IF(SUM(COUNTIF(artists!E:E, SPLIT(D23, "",""))) &gt; 0, ""OTHER"", 0)"),0)</f>
        <v>0</v>
      </c>
    </row>
    <row r="24" spans="1:11">
      <c r="A24" s="21">
        <v>23</v>
      </c>
      <c r="B24" s="21">
        <v>30</v>
      </c>
      <c r="C24" s="21" t="s">
        <v>653</v>
      </c>
      <c r="D24" s="21" t="s">
        <v>85</v>
      </c>
      <c r="E24" s="21">
        <v>15</v>
      </c>
      <c r="F24" s="21">
        <v>366496</v>
      </c>
      <c r="G24" s="21" t="s">
        <v>654</v>
      </c>
      <c r="H24" s="38" t="s">
        <v>655</v>
      </c>
      <c r="I24" s="39" t="str">
        <f ca="1">IFERROR(__xludf.DUMMYFUNCTION("IF(SUM(COUNTIF(artists!A:A, SPLIT(D24, "",""))) &gt; 0, ""UA"", 0)"),"UA")</f>
        <v>UA</v>
      </c>
      <c r="J24" s="40">
        <f ca="1">IFERROR(__xludf.DUMMYFUNCTION("IF(SUM(COUNTIF(artists!C:C, SPLIT(D24, "",""))) &gt; 0, ""RU"", 0)"),0)</f>
        <v>0</v>
      </c>
      <c r="K24" s="39">
        <f ca="1">IFERROR(__xludf.DUMMYFUNCTION("IF(SUM(COUNTIF(artists!E:E, SPLIT(D24, "",""))) &gt; 0, ""OTHER"", 0)"),0)</f>
        <v>0</v>
      </c>
    </row>
    <row r="25" spans="1:11">
      <c r="A25" s="21">
        <v>24</v>
      </c>
      <c r="B25" s="21">
        <v>20</v>
      </c>
      <c r="C25" s="21" t="s">
        <v>175</v>
      </c>
      <c r="D25" s="21" t="s">
        <v>89</v>
      </c>
      <c r="E25" s="21">
        <v>39</v>
      </c>
      <c r="F25" s="21">
        <v>359306</v>
      </c>
      <c r="G25" s="21" t="s">
        <v>656</v>
      </c>
      <c r="H25" s="38" t="s">
        <v>177</v>
      </c>
      <c r="I25" s="39" t="str">
        <f ca="1">IFERROR(__xludf.DUMMYFUNCTION("IF(SUM(COUNTIF(artists!A:A, SPLIT(D25, "",""))) &gt; 0, ""UA"", 0)"),"UA")</f>
        <v>UA</v>
      </c>
      <c r="J25" s="40">
        <f ca="1">IFERROR(__xludf.DUMMYFUNCTION("IF(SUM(COUNTIF(artists!C:C, SPLIT(D25, "",""))) &gt; 0, ""RU"", 0)"),0)</f>
        <v>0</v>
      </c>
      <c r="K25" s="39">
        <f ca="1">IFERROR(__xludf.DUMMYFUNCTION("IF(SUM(COUNTIF(artists!E:E, SPLIT(D25, "",""))) &gt; 0, ""OTHER"", 0)"),0)</f>
        <v>0</v>
      </c>
    </row>
    <row r="26" spans="1:11">
      <c r="A26" s="21">
        <v>25</v>
      </c>
      <c r="B26" s="21">
        <v>23</v>
      </c>
      <c r="C26" s="21" t="s">
        <v>182</v>
      </c>
      <c r="D26" s="21" t="s">
        <v>183</v>
      </c>
      <c r="E26" s="21">
        <v>35</v>
      </c>
      <c r="F26" s="21">
        <v>355368</v>
      </c>
      <c r="G26" s="21" t="s">
        <v>651</v>
      </c>
      <c r="H26" s="38" t="s">
        <v>185</v>
      </c>
      <c r="I26" s="39" t="str">
        <f ca="1">IFERROR(__xludf.DUMMYFUNCTION("IF(SUM(COUNTIF(artists!A:A, SPLIT(D26, "",""))) &gt; 0, ""UA"", 0)"),"UA")</f>
        <v>UA</v>
      </c>
      <c r="J26" s="40">
        <f ca="1">IFERROR(__xludf.DUMMYFUNCTION("IF(SUM(COUNTIF(artists!C:C, SPLIT(D26, "",""))) &gt; 0, ""RU"", 0)"),0)</f>
        <v>0</v>
      </c>
      <c r="K26" s="39">
        <f ca="1">IFERROR(__xludf.DUMMYFUNCTION("IF(SUM(COUNTIF(artists!E:E, SPLIT(D26, "",""))) &gt; 0, ""OTHER"", 0)"),0)</f>
        <v>0</v>
      </c>
    </row>
    <row r="27" spans="1:11">
      <c r="A27" s="21">
        <v>26</v>
      </c>
      <c r="B27" s="21">
        <v>24</v>
      </c>
      <c r="C27" s="21" t="s">
        <v>186</v>
      </c>
      <c r="D27" s="21" t="s">
        <v>187</v>
      </c>
      <c r="E27" s="21">
        <v>43</v>
      </c>
      <c r="F27" s="21">
        <v>339225</v>
      </c>
      <c r="G27" s="21" t="s">
        <v>155</v>
      </c>
      <c r="H27" s="38" t="s">
        <v>189</v>
      </c>
      <c r="I27" s="39" t="str">
        <f ca="1">IFERROR(__xludf.DUMMYFUNCTION("IF(SUM(COUNTIF(artists!A:A, SPLIT(D27, "",""))) &gt; 0, ""UA"", 0)"),"UA")</f>
        <v>UA</v>
      </c>
      <c r="J27" s="40">
        <f ca="1">IFERROR(__xludf.DUMMYFUNCTION("IF(SUM(COUNTIF(artists!C:C, SPLIT(D27, "",""))) &gt; 0, ""RU"", 0)"),0)</f>
        <v>0</v>
      </c>
      <c r="K27" s="39">
        <f ca="1">IFERROR(__xludf.DUMMYFUNCTION("IF(SUM(COUNTIF(artists!E:E, SPLIT(D27, "",""))) &gt; 0, ""OTHER"", 0)"),0)</f>
        <v>0</v>
      </c>
    </row>
    <row r="28" spans="1:11">
      <c r="A28" s="21">
        <v>27</v>
      </c>
      <c r="B28" s="21">
        <v>27</v>
      </c>
      <c r="C28" s="21" t="s">
        <v>221</v>
      </c>
      <c r="D28" s="21" t="s">
        <v>222</v>
      </c>
      <c r="E28" s="21">
        <v>8</v>
      </c>
      <c r="F28" s="21">
        <v>336625</v>
      </c>
      <c r="G28" s="21" t="s">
        <v>657</v>
      </c>
      <c r="H28" s="38" t="s">
        <v>224</v>
      </c>
      <c r="I28" s="39">
        <f ca="1">IFERROR(__xludf.DUMMYFUNCTION("IF(SUM(COUNTIF(artists!A:A, SPLIT(D28, "",""))) &gt; 0, ""UA"", 0)"),0)</f>
        <v>0</v>
      </c>
      <c r="J28" s="40">
        <f ca="1">IFERROR(__xludf.DUMMYFUNCTION("IF(SUM(COUNTIF(artists!C:C, SPLIT(D28, "",""))) &gt; 0, ""RU"", 0)"),0)</f>
        <v>0</v>
      </c>
      <c r="K28" s="39" t="str">
        <f ca="1">IFERROR(__xludf.DUMMYFUNCTION("IF(SUM(COUNTIF(artists!E:E, SPLIT(D28, "",""))) &gt; 0, ""OTHER"", 0)"),"OTHER")</f>
        <v>OTHER</v>
      </c>
    </row>
    <row r="29" spans="1:11">
      <c r="A29" s="21">
        <v>28</v>
      </c>
      <c r="B29" s="21">
        <v>18</v>
      </c>
      <c r="C29" s="21" t="s">
        <v>290</v>
      </c>
      <c r="D29" s="21" t="s">
        <v>291</v>
      </c>
      <c r="E29" s="21">
        <v>4</v>
      </c>
      <c r="F29" s="21">
        <v>329078</v>
      </c>
      <c r="G29" s="21" t="s">
        <v>658</v>
      </c>
      <c r="H29" s="38" t="s">
        <v>293</v>
      </c>
      <c r="I29" s="39" t="str">
        <f ca="1">IFERROR(__xludf.DUMMYFUNCTION("IF(SUM(COUNTIF(artists!A:A, SPLIT(D29, "",""))) &gt; 0, ""UA"", 0)"),"UA")</f>
        <v>UA</v>
      </c>
      <c r="J29" s="40">
        <f ca="1">IFERROR(__xludf.DUMMYFUNCTION("IF(SUM(COUNTIF(artists!C:C, SPLIT(D29, "",""))) &gt; 0, ""RU"", 0)"),0)</f>
        <v>0</v>
      </c>
      <c r="K29" s="39">
        <f ca="1">IFERROR(__xludf.DUMMYFUNCTION("IF(SUM(COUNTIF(artists!E:E, SPLIT(D29, "",""))) &gt; 0, ""OTHER"", 0)"),0)</f>
        <v>0</v>
      </c>
    </row>
    <row r="30" spans="1:11">
      <c r="A30" s="21">
        <v>29</v>
      </c>
      <c r="B30" s="21">
        <v>25</v>
      </c>
      <c r="C30" s="21" t="s">
        <v>217</v>
      </c>
      <c r="D30" s="21" t="s">
        <v>218</v>
      </c>
      <c r="E30" s="21">
        <v>3</v>
      </c>
      <c r="F30" s="21">
        <v>324451</v>
      </c>
      <c r="G30" s="21" t="s">
        <v>231</v>
      </c>
      <c r="H30" s="38" t="s">
        <v>220</v>
      </c>
      <c r="I30" s="39" t="str">
        <f ca="1">IFERROR(__xludf.DUMMYFUNCTION("IF(SUM(COUNTIF(artists!A:A, SPLIT(D30, "",""))) &gt; 0, ""UA"", 0)"),"UA")</f>
        <v>UA</v>
      </c>
      <c r="J30" s="40">
        <f ca="1">IFERROR(__xludf.DUMMYFUNCTION("IF(SUM(COUNTIF(artists!C:C, SPLIT(D30, "",""))) &gt; 0, ""RU"", 0)"),0)</f>
        <v>0</v>
      </c>
      <c r="K30" s="39">
        <f ca="1">IFERROR(__xludf.DUMMYFUNCTION("IF(SUM(COUNTIF(artists!E:E, SPLIT(D30, "",""))) &gt; 0, ""OTHER"", 0)"),0)</f>
        <v>0</v>
      </c>
    </row>
    <row r="31" spans="1:11">
      <c r="A31" s="21">
        <v>30</v>
      </c>
      <c r="B31" s="21">
        <v>28</v>
      </c>
      <c r="C31" s="21" t="s">
        <v>164</v>
      </c>
      <c r="D31" s="21" t="s">
        <v>165</v>
      </c>
      <c r="E31" s="21">
        <v>6</v>
      </c>
      <c r="F31" s="21">
        <v>321305</v>
      </c>
      <c r="G31" s="21" t="s">
        <v>101</v>
      </c>
      <c r="H31" s="38" t="s">
        <v>167</v>
      </c>
      <c r="I31" s="39" t="str">
        <f ca="1">IFERROR(__xludf.DUMMYFUNCTION("IF(SUM(COUNTIF(artists!A:A, SPLIT(D31, "",""))) &gt; 0, ""UA"", 0)"),"UA")</f>
        <v>UA</v>
      </c>
      <c r="J31" s="40">
        <f ca="1">IFERROR(__xludf.DUMMYFUNCTION("IF(SUM(COUNTIF(artists!C:C, SPLIT(D31, "",""))) &gt; 0, ""RU"", 0)"),0)</f>
        <v>0</v>
      </c>
      <c r="K31" s="39">
        <f ca="1">IFERROR(__xludf.DUMMYFUNCTION("IF(SUM(COUNTIF(artists!E:E, SPLIT(D31, "",""))) &gt; 0, ""OTHER"", 0)"),0)</f>
        <v>0</v>
      </c>
    </row>
    <row r="32" spans="1:11">
      <c r="A32" s="21">
        <v>31</v>
      </c>
      <c r="B32" s="21">
        <v>29</v>
      </c>
      <c r="C32" s="21" t="s">
        <v>202</v>
      </c>
      <c r="D32" s="21" t="s">
        <v>203</v>
      </c>
      <c r="E32" s="21">
        <v>29</v>
      </c>
      <c r="F32" s="21">
        <v>310067</v>
      </c>
      <c r="G32" s="21" t="s">
        <v>659</v>
      </c>
      <c r="H32" s="38" t="s">
        <v>204</v>
      </c>
      <c r="I32" s="39" t="str">
        <f ca="1">IFERROR(__xludf.DUMMYFUNCTION("IF(SUM(COUNTIF(artists!A:A, SPLIT(D32, "",""))) &gt; 0, ""UA"", 0)"),"UA")</f>
        <v>UA</v>
      </c>
      <c r="J32" s="40">
        <f ca="1">IFERROR(__xludf.DUMMYFUNCTION("IF(SUM(COUNTIF(artists!C:C, SPLIT(D32, "",""))) &gt; 0, ""RU"", 0)"),0)</f>
        <v>0</v>
      </c>
      <c r="K32" s="39">
        <f ca="1">IFERROR(__xludf.DUMMYFUNCTION("IF(SUM(COUNTIF(artists!E:E, SPLIT(D32, "",""))) &gt; 0, ""OTHER"", 0)"),0)</f>
        <v>0</v>
      </c>
    </row>
    <row r="33" spans="1:11">
      <c r="A33" s="21">
        <v>32</v>
      </c>
      <c r="B33" s="21">
        <v>37</v>
      </c>
      <c r="C33" s="21" t="s">
        <v>190</v>
      </c>
      <c r="D33" s="21" t="s">
        <v>191</v>
      </c>
      <c r="E33" s="21">
        <v>14</v>
      </c>
      <c r="F33" s="21">
        <v>302941</v>
      </c>
      <c r="G33" s="21" t="s">
        <v>485</v>
      </c>
      <c r="H33" s="38" t="s">
        <v>193</v>
      </c>
      <c r="I33" s="39" t="str">
        <f ca="1">IFERROR(__xludf.DUMMYFUNCTION("IF(SUM(COUNTIF(artists!A:A, SPLIT(D33, "",""))) &gt; 0, ""UA"", 0)"),"UA")</f>
        <v>UA</v>
      </c>
      <c r="J33" s="40">
        <f ca="1">IFERROR(__xludf.DUMMYFUNCTION("IF(SUM(COUNTIF(artists!C:C, SPLIT(D33, "",""))) &gt; 0, ""RU"", 0)"),0)</f>
        <v>0</v>
      </c>
      <c r="K33" s="39">
        <f ca="1">IFERROR(__xludf.DUMMYFUNCTION("IF(SUM(COUNTIF(artists!E:E, SPLIT(D33, "",""))) &gt; 0, ""OTHER"", 0)"),0)</f>
        <v>0</v>
      </c>
    </row>
    <row r="34" spans="1:11">
      <c r="A34" s="21">
        <v>33</v>
      </c>
      <c r="B34" s="21">
        <v>33</v>
      </c>
      <c r="C34" s="21" t="s">
        <v>178</v>
      </c>
      <c r="D34" s="21" t="s">
        <v>179</v>
      </c>
      <c r="E34" s="21">
        <v>43</v>
      </c>
      <c r="F34" s="21">
        <v>297617</v>
      </c>
      <c r="G34" s="21" t="s">
        <v>180</v>
      </c>
      <c r="H34" s="38" t="s">
        <v>181</v>
      </c>
      <c r="I34" s="39" t="str">
        <f ca="1">IFERROR(__xludf.DUMMYFUNCTION("IF(SUM(COUNTIF(artists!A:A, SPLIT(D34, "",""))) &gt; 0, ""UA"", 0)"),"UA")</f>
        <v>UA</v>
      </c>
      <c r="J34" s="40">
        <f ca="1">IFERROR(__xludf.DUMMYFUNCTION("IF(SUM(COUNTIF(artists!C:C, SPLIT(D34, "",""))) &gt; 0, ""RU"", 0)"),0)</f>
        <v>0</v>
      </c>
      <c r="K34" s="39">
        <f ca="1">IFERROR(__xludf.DUMMYFUNCTION("IF(SUM(COUNTIF(artists!E:E, SPLIT(D34, "",""))) &gt; 0, ""OTHER"", 0)"),0)</f>
        <v>0</v>
      </c>
    </row>
    <row r="35" spans="1:11">
      <c r="A35" s="21">
        <v>34</v>
      </c>
      <c r="B35" s="21">
        <v>34</v>
      </c>
      <c r="C35" s="21" t="s">
        <v>277</v>
      </c>
      <c r="D35" s="21" t="s">
        <v>125</v>
      </c>
      <c r="E35" s="21">
        <v>6</v>
      </c>
      <c r="F35" s="21">
        <v>288959</v>
      </c>
      <c r="G35" s="21" t="s">
        <v>660</v>
      </c>
      <c r="H35" s="38" t="s">
        <v>279</v>
      </c>
      <c r="I35" s="39">
        <f ca="1">IFERROR(__xludf.DUMMYFUNCTION("IF(SUM(COUNTIF(artists!A:A, SPLIT(D35, "",""))) &gt; 0, ""UA"", 0)"),0)</f>
        <v>0</v>
      </c>
      <c r="J35" s="40" t="str">
        <f ca="1">IFERROR(__xludf.DUMMYFUNCTION("IF(SUM(COUNTIF(artists!C:C, SPLIT(D35, "",""))) &gt; 0, ""RU"", 0)"),"RU")</f>
        <v>RU</v>
      </c>
      <c r="K35" s="39">
        <f ca="1">IFERROR(__xludf.DUMMYFUNCTION("IF(SUM(COUNTIF(artists!E:E, SPLIT(D35, "",""))) &gt; 0, ""OTHER"", 0)"),0)</f>
        <v>0</v>
      </c>
    </row>
    <row r="36" spans="1:11">
      <c r="A36" s="21">
        <v>35</v>
      </c>
      <c r="B36" s="21">
        <v>38</v>
      </c>
      <c r="C36" s="21" t="s">
        <v>209</v>
      </c>
      <c r="D36" s="21" t="s">
        <v>210</v>
      </c>
      <c r="E36" s="21">
        <v>32</v>
      </c>
      <c r="F36" s="21">
        <v>285500</v>
      </c>
      <c r="G36" s="21" t="s">
        <v>430</v>
      </c>
      <c r="H36" s="38" t="s">
        <v>212</v>
      </c>
      <c r="I36" s="39" t="str">
        <f ca="1">IFERROR(__xludf.DUMMYFUNCTION("IF(SUM(COUNTIF(artists!A:A, SPLIT(D36, "",""))) &gt; 0, ""UA"", 0)"),"UA")</f>
        <v>UA</v>
      </c>
      <c r="J36" s="40">
        <f ca="1">IFERROR(__xludf.DUMMYFUNCTION("IF(SUM(COUNTIF(artists!C:C, SPLIT(D36, "",""))) &gt; 0, ""RU"", 0)"),0)</f>
        <v>0</v>
      </c>
      <c r="K36" s="39">
        <f ca="1">IFERROR(__xludf.DUMMYFUNCTION("IF(SUM(COUNTIF(artists!E:E, SPLIT(D36, "",""))) &gt; 0, ""OTHER"", 0)"),0)</f>
        <v>0</v>
      </c>
    </row>
    <row r="37" spans="1:11">
      <c r="A37" s="21">
        <v>36</v>
      </c>
      <c r="B37" s="21">
        <v>31</v>
      </c>
      <c r="C37" s="21" t="s">
        <v>268</v>
      </c>
      <c r="D37" s="21" t="s">
        <v>466</v>
      </c>
      <c r="E37" s="21">
        <v>12</v>
      </c>
      <c r="F37" s="21">
        <v>285074</v>
      </c>
      <c r="G37" s="41">
        <v>-0.08</v>
      </c>
      <c r="H37" s="38" t="s">
        <v>270</v>
      </c>
      <c r="I37" s="39" t="str">
        <f ca="1">IFERROR(__xludf.DUMMYFUNCTION("IF(SUM(COUNTIF(artists!A:A, SPLIT(D37, "",""))) &gt; 0, ""UA"", 0)"),"UA")</f>
        <v>UA</v>
      </c>
      <c r="J37" s="40">
        <f ca="1">IFERROR(__xludf.DUMMYFUNCTION("IF(SUM(COUNTIF(artists!C:C, SPLIT(D37, "",""))) &gt; 0, ""RU"", 0)"),0)</f>
        <v>0</v>
      </c>
      <c r="K37" s="39">
        <f ca="1">IFERROR(__xludf.DUMMYFUNCTION("IF(SUM(COUNTIF(artists!E:E, SPLIT(D37, "",""))) &gt; 0, ""OTHER"", 0)"),0)</f>
        <v>0</v>
      </c>
    </row>
    <row r="38" spans="1:11">
      <c r="A38" s="21">
        <v>37</v>
      </c>
      <c r="B38" s="21">
        <v>36</v>
      </c>
      <c r="C38" s="21" t="s">
        <v>194</v>
      </c>
      <c r="D38" s="21" t="s">
        <v>195</v>
      </c>
      <c r="E38" s="21">
        <v>42</v>
      </c>
      <c r="F38" s="21">
        <v>282616</v>
      </c>
      <c r="G38" s="21" t="s">
        <v>644</v>
      </c>
      <c r="H38" s="38" t="s">
        <v>197</v>
      </c>
      <c r="I38" s="39" t="str">
        <f ca="1">IFERROR(__xludf.DUMMYFUNCTION("IF(SUM(COUNTIF(artists!A:A, SPLIT(D38, "",""))) &gt; 0, ""UA"", 0)"),"UA")</f>
        <v>UA</v>
      </c>
      <c r="J38" s="40">
        <f ca="1">IFERROR(__xludf.DUMMYFUNCTION("IF(SUM(COUNTIF(artists!C:C, SPLIT(D38, "",""))) &gt; 0, ""RU"", 0)"),0)</f>
        <v>0</v>
      </c>
      <c r="K38" s="39">
        <f ca="1">IFERROR(__xludf.DUMMYFUNCTION("IF(SUM(COUNTIF(artists!E:E, SPLIT(D38, "",""))) &gt; 0, ""OTHER"", 0)"),0)</f>
        <v>0</v>
      </c>
    </row>
    <row r="39" spans="1:11">
      <c r="A39" s="21">
        <v>38</v>
      </c>
      <c r="B39" s="21">
        <v>35</v>
      </c>
      <c r="C39" s="21" t="s">
        <v>198</v>
      </c>
      <c r="D39" s="21" t="s">
        <v>199</v>
      </c>
      <c r="E39" s="21">
        <v>20</v>
      </c>
      <c r="F39" s="21">
        <v>278696</v>
      </c>
      <c r="G39" s="41">
        <v>-0.06</v>
      </c>
      <c r="H39" s="38" t="s">
        <v>201</v>
      </c>
      <c r="I39" s="39" t="str">
        <f ca="1">IFERROR(__xludf.DUMMYFUNCTION("IF(SUM(COUNTIF(artists!A:A, SPLIT(D39, "",""))) &gt; 0, ""UA"", 0)"),"UA")</f>
        <v>UA</v>
      </c>
      <c r="J39" s="40">
        <f ca="1">IFERROR(__xludf.DUMMYFUNCTION("IF(SUM(COUNTIF(artists!C:C, SPLIT(D39, "",""))) &gt; 0, ""RU"", 0)"),0)</f>
        <v>0</v>
      </c>
      <c r="K39" s="39">
        <f ca="1">IFERROR(__xludf.DUMMYFUNCTION("IF(SUM(COUNTIF(artists!E:E, SPLIT(D39, "",""))) &gt; 0, ""OTHER"", 0)"),0)</f>
        <v>0</v>
      </c>
    </row>
    <row r="40" spans="1:11">
      <c r="A40" s="21">
        <v>39</v>
      </c>
      <c r="B40" s="21">
        <v>32</v>
      </c>
      <c r="C40" s="21" t="s">
        <v>237</v>
      </c>
      <c r="D40" s="21" t="s">
        <v>238</v>
      </c>
      <c r="E40" s="21">
        <v>8</v>
      </c>
      <c r="F40" s="21">
        <v>275450</v>
      </c>
      <c r="G40" s="21" t="s">
        <v>374</v>
      </c>
      <c r="H40" s="38" t="s">
        <v>240</v>
      </c>
      <c r="I40" s="39" t="str">
        <f ca="1">IFERROR(__xludf.DUMMYFUNCTION("IF(SUM(COUNTIF(artists!A:A, SPLIT(D40, "",""))) &gt; 0, ""UA"", 0)"),"UA")</f>
        <v>UA</v>
      </c>
      <c r="J40" s="40">
        <f ca="1">IFERROR(__xludf.DUMMYFUNCTION("IF(SUM(COUNTIF(artists!C:C, SPLIT(D40, "",""))) &gt; 0, ""RU"", 0)"),0)</f>
        <v>0</v>
      </c>
      <c r="K40" s="39">
        <f ca="1">IFERROR(__xludf.DUMMYFUNCTION("IF(SUM(COUNTIF(artists!E:E, SPLIT(D40, "",""))) &gt; 0, ""OTHER"", 0)"),0)</f>
        <v>0</v>
      </c>
    </row>
    <row r="41" spans="1:11">
      <c r="A41" s="21">
        <v>40</v>
      </c>
      <c r="B41" s="21">
        <v>41</v>
      </c>
      <c r="C41" s="21" t="s">
        <v>462</v>
      </c>
      <c r="D41" s="21" t="s">
        <v>463</v>
      </c>
      <c r="E41" s="21">
        <v>24</v>
      </c>
      <c r="F41" s="21">
        <v>248648</v>
      </c>
      <c r="G41" s="21" t="s">
        <v>184</v>
      </c>
      <c r="H41" s="38" t="s">
        <v>465</v>
      </c>
      <c r="I41" s="39" t="str">
        <f ca="1">IFERROR(__xludf.DUMMYFUNCTION("IF(SUM(COUNTIF(artists!A:A, SPLIT(D41, "",""))) &gt; 0, ""UA"", 0)"),"UA")</f>
        <v>UA</v>
      </c>
      <c r="J41" s="40">
        <f ca="1">IFERROR(__xludf.DUMMYFUNCTION("IF(SUM(COUNTIF(artists!C:C, SPLIT(D41, "",""))) &gt; 0, ""RU"", 0)"),0)</f>
        <v>0</v>
      </c>
      <c r="K41" s="39">
        <f ca="1">IFERROR(__xludf.DUMMYFUNCTION("IF(SUM(COUNTIF(artists!E:E, SPLIT(D41, "",""))) &gt; 0, ""OTHER"", 0)"),0)</f>
        <v>0</v>
      </c>
    </row>
    <row r="42" spans="1:11">
      <c r="A42" s="21">
        <v>41</v>
      </c>
      <c r="B42" s="21">
        <v>39</v>
      </c>
      <c r="C42" s="21" t="s">
        <v>247</v>
      </c>
      <c r="D42" s="21" t="s">
        <v>454</v>
      </c>
      <c r="E42" s="21">
        <v>16</v>
      </c>
      <c r="F42" s="21">
        <v>247021</v>
      </c>
      <c r="G42" s="21" t="s">
        <v>661</v>
      </c>
      <c r="H42" s="38" t="s">
        <v>250</v>
      </c>
      <c r="I42" s="39" t="str">
        <f ca="1">IFERROR(__xludf.DUMMYFUNCTION("IF(SUM(COUNTIF(artists!A:A, SPLIT(D42, "",""))) &gt; 0, ""UA"", 0)"),"UA")</f>
        <v>UA</v>
      </c>
      <c r="J42" s="40">
        <f ca="1">IFERROR(__xludf.DUMMYFUNCTION("IF(SUM(COUNTIF(artists!C:C, SPLIT(D42, "",""))) &gt; 0, ""RU"", 0)"),0)</f>
        <v>0</v>
      </c>
      <c r="K42" s="39">
        <f ca="1">IFERROR(__xludf.DUMMYFUNCTION("IF(SUM(COUNTIF(artists!E:E, SPLIT(D42, "",""))) &gt; 0, ""OTHER"", 0)"),0)</f>
        <v>0</v>
      </c>
    </row>
    <row r="43" spans="1:11">
      <c r="A43" s="21">
        <v>42</v>
      </c>
      <c r="B43" s="21">
        <v>45</v>
      </c>
      <c r="C43" s="21" t="s">
        <v>251</v>
      </c>
      <c r="D43" s="21" t="s">
        <v>133</v>
      </c>
      <c r="E43" s="21">
        <v>24</v>
      </c>
      <c r="F43" s="21">
        <v>244029</v>
      </c>
      <c r="G43" s="21" t="s">
        <v>662</v>
      </c>
      <c r="H43" s="38" t="s">
        <v>252</v>
      </c>
      <c r="I43" s="39" t="str">
        <f ca="1">IFERROR(__xludf.DUMMYFUNCTION("IF(SUM(COUNTIF(artists!A:A, SPLIT(D43, "",""))) &gt; 0, ""UA"", 0)"),"UA")</f>
        <v>UA</v>
      </c>
      <c r="J43" s="40">
        <f ca="1">IFERROR(__xludf.DUMMYFUNCTION("IF(SUM(COUNTIF(artists!C:C, SPLIT(D43, "",""))) &gt; 0, ""RU"", 0)"),0)</f>
        <v>0</v>
      </c>
      <c r="K43" s="39">
        <f ca="1">IFERROR(__xludf.DUMMYFUNCTION("IF(SUM(COUNTIF(artists!E:E, SPLIT(D43, "",""))) &gt; 0, ""OTHER"", 0)"),0)</f>
        <v>0</v>
      </c>
    </row>
    <row r="44" spans="1:11">
      <c r="A44" s="21">
        <v>43</v>
      </c>
      <c r="B44" s="21">
        <v>42</v>
      </c>
      <c r="C44" s="21" t="s">
        <v>229</v>
      </c>
      <c r="D44" s="21" t="s">
        <v>230</v>
      </c>
      <c r="E44" s="21">
        <v>46</v>
      </c>
      <c r="F44" s="21">
        <v>243060</v>
      </c>
      <c r="G44" s="21" t="s">
        <v>649</v>
      </c>
      <c r="H44" s="38" t="s">
        <v>232</v>
      </c>
      <c r="I44" s="39" t="str">
        <f ca="1">IFERROR(__xludf.DUMMYFUNCTION("IF(SUM(COUNTIF(artists!A:A, SPLIT(D44, "",""))) &gt; 0, ""UA"", 0)"),"UA")</f>
        <v>UA</v>
      </c>
      <c r="J44" s="40">
        <f ca="1">IFERROR(__xludf.DUMMYFUNCTION("IF(SUM(COUNTIF(artists!C:C, SPLIT(D44, "",""))) &gt; 0, ""RU"", 0)"),0)</f>
        <v>0</v>
      </c>
      <c r="K44" s="39">
        <f ca="1">IFERROR(__xludf.DUMMYFUNCTION("IF(SUM(COUNTIF(artists!E:E, SPLIT(D44, "",""))) &gt; 0, ""OTHER"", 0)"),0)</f>
        <v>0</v>
      </c>
    </row>
    <row r="45" spans="1:11">
      <c r="A45" s="21">
        <v>44</v>
      </c>
      <c r="B45" s="21">
        <v>44</v>
      </c>
      <c r="C45" s="21" t="s">
        <v>286</v>
      </c>
      <c r="D45" s="21" t="s">
        <v>287</v>
      </c>
      <c r="E45" s="21">
        <v>14</v>
      </c>
      <c r="F45" s="21">
        <v>238928</v>
      </c>
      <c r="G45" s="21" t="s">
        <v>663</v>
      </c>
      <c r="H45" s="38" t="s">
        <v>289</v>
      </c>
      <c r="I45" s="39">
        <f ca="1">IFERROR(__xludf.DUMMYFUNCTION("IF(SUM(COUNTIF(artists!A:A, SPLIT(D45, "",""))) &gt; 0, ""UA"", 0)"),0)</f>
        <v>0</v>
      </c>
      <c r="J45" s="40" t="str">
        <f ca="1">IFERROR(__xludf.DUMMYFUNCTION("IF(SUM(COUNTIF(artists!C:C, SPLIT(D45, "",""))) &gt; 0, ""RU"", 0)"),"RU")</f>
        <v>RU</v>
      </c>
      <c r="K45" s="39">
        <f ca="1">IFERROR(__xludf.DUMMYFUNCTION("IF(SUM(COUNTIF(artists!E:E, SPLIT(D45, "",""))) &gt; 0, ""OTHER"", 0)"),0)</f>
        <v>0</v>
      </c>
    </row>
    <row r="46" spans="1:11">
      <c r="A46" s="21">
        <v>45</v>
      </c>
      <c r="B46" s="21">
        <v>43</v>
      </c>
      <c r="C46" s="21" t="s">
        <v>253</v>
      </c>
      <c r="D46" s="21" t="s">
        <v>89</v>
      </c>
      <c r="E46" s="21">
        <v>48</v>
      </c>
      <c r="F46" s="21">
        <v>238862</v>
      </c>
      <c r="G46" s="21" t="s">
        <v>581</v>
      </c>
      <c r="H46" s="38" t="s">
        <v>254</v>
      </c>
      <c r="I46" s="39" t="str">
        <f ca="1">IFERROR(__xludf.DUMMYFUNCTION("IF(SUM(COUNTIF(artists!A:A, SPLIT(D46, "",""))) &gt; 0, ""UA"", 0)"),"UA")</f>
        <v>UA</v>
      </c>
      <c r="J46" s="40">
        <f ca="1">IFERROR(__xludf.DUMMYFUNCTION("IF(SUM(COUNTIF(artists!C:C, SPLIT(D46, "",""))) &gt; 0, ""RU"", 0)"),0)</f>
        <v>0</v>
      </c>
      <c r="K46" s="39">
        <f ca="1">IFERROR(__xludf.DUMMYFUNCTION("IF(SUM(COUNTIF(artists!E:E, SPLIT(D46, "",""))) &gt; 0, ""OTHER"", 0)"),0)</f>
        <v>0</v>
      </c>
    </row>
    <row r="47" spans="1:11">
      <c r="A47" s="21">
        <v>46</v>
      </c>
      <c r="B47" s="21">
        <v>49</v>
      </c>
      <c r="C47" s="21" t="s">
        <v>456</v>
      </c>
      <c r="D47" s="21" t="s">
        <v>457</v>
      </c>
      <c r="E47" s="21">
        <v>19</v>
      </c>
      <c r="F47" s="21">
        <v>237826</v>
      </c>
      <c r="G47" s="21" t="s">
        <v>538</v>
      </c>
      <c r="H47" s="38" t="s">
        <v>459</v>
      </c>
      <c r="I47" s="39">
        <f ca="1">IFERROR(__xludf.DUMMYFUNCTION("IF(SUM(COUNTIF(artists!A:A, SPLIT(D47, "",""))) &gt; 0, ""UA"", 0)"),0)</f>
        <v>0</v>
      </c>
      <c r="J47" s="40">
        <f ca="1">IFERROR(__xludf.DUMMYFUNCTION("IF(SUM(COUNTIF(artists!C:C, SPLIT(D47, "",""))) &gt; 0, ""RU"", 0)"),0)</f>
        <v>0</v>
      </c>
      <c r="K47" s="39" t="str">
        <f ca="1">IFERROR(__xludf.DUMMYFUNCTION("IF(SUM(COUNTIF(artists!E:E, SPLIT(D47, "",""))) &gt; 0, ""OTHER"", 0)"),"OTHER")</f>
        <v>OTHER</v>
      </c>
    </row>
    <row r="48" spans="1:11">
      <c r="A48" s="21">
        <v>47</v>
      </c>
      <c r="B48" s="21">
        <v>40</v>
      </c>
      <c r="C48" s="21" t="s">
        <v>261</v>
      </c>
      <c r="D48" s="21" t="s">
        <v>262</v>
      </c>
      <c r="E48" s="21">
        <v>9</v>
      </c>
      <c r="F48" s="21">
        <v>236911</v>
      </c>
      <c r="G48" s="21" t="s">
        <v>664</v>
      </c>
      <c r="H48" s="38" t="s">
        <v>263</v>
      </c>
      <c r="I48" s="39" t="str">
        <f ca="1">IFERROR(__xludf.DUMMYFUNCTION("IF(SUM(COUNTIF(artists!A:A, SPLIT(D48, "",""))) &gt; 0, ""UA"", 0)"),"UA")</f>
        <v>UA</v>
      </c>
      <c r="J48" s="40">
        <f ca="1">IFERROR(__xludf.DUMMYFUNCTION("IF(SUM(COUNTIF(artists!C:C, SPLIT(D48, "",""))) &gt; 0, ""RU"", 0)"),0)</f>
        <v>0</v>
      </c>
      <c r="K48" s="39">
        <f ca="1">IFERROR(__xludf.DUMMYFUNCTION("IF(SUM(COUNTIF(artists!E:E, SPLIT(D48, "",""))) &gt; 0, ""OTHER"", 0)"),0)</f>
        <v>0</v>
      </c>
    </row>
    <row r="49" spans="1:11">
      <c r="A49" s="21">
        <v>48</v>
      </c>
      <c r="B49" s="21">
        <v>47</v>
      </c>
      <c r="C49" s="21" t="s">
        <v>264</v>
      </c>
      <c r="D49" s="21" t="s">
        <v>265</v>
      </c>
      <c r="E49" s="21">
        <v>17</v>
      </c>
      <c r="F49" s="21">
        <v>219598</v>
      </c>
      <c r="G49" s="41">
        <v>-0.03</v>
      </c>
      <c r="H49" s="38" t="s">
        <v>267</v>
      </c>
      <c r="I49" s="39">
        <f ca="1">IFERROR(__xludf.DUMMYFUNCTION("IF(SUM(COUNTIF(artists!A:A, SPLIT(D49, "",""))) &gt; 0, ""UA"", 0)"),0)</f>
        <v>0</v>
      </c>
      <c r="J49" s="40">
        <f ca="1">IFERROR(__xludf.DUMMYFUNCTION("IF(SUM(COUNTIF(artists!C:C, SPLIT(D49, "",""))) &gt; 0, ""RU"", 0)"),0)</f>
        <v>0</v>
      </c>
      <c r="K49" s="39" t="str">
        <f ca="1">IFERROR(__xludf.DUMMYFUNCTION("IF(SUM(COUNTIF(artists!E:E, SPLIT(D49, "",""))) &gt; 0, ""OTHER"", 0)"),"OTHER")</f>
        <v>OTHER</v>
      </c>
    </row>
    <row r="50" spans="1:11">
      <c r="A50" s="21">
        <v>49</v>
      </c>
      <c r="B50" s="21">
        <v>46</v>
      </c>
      <c r="C50" s="21" t="s">
        <v>294</v>
      </c>
      <c r="D50" s="21" t="s">
        <v>295</v>
      </c>
      <c r="E50" s="21">
        <v>11</v>
      </c>
      <c r="F50" s="21">
        <v>212904</v>
      </c>
      <c r="G50" s="21" t="s">
        <v>665</v>
      </c>
      <c r="H50" s="38" t="s">
        <v>297</v>
      </c>
      <c r="I50" s="39">
        <f ca="1">IFERROR(__xludf.DUMMYFUNCTION("IF(SUM(COUNTIF(artists!A:A, SPLIT(D50, "",""))) &gt; 0, ""UA"", 0)"),0)</f>
        <v>0</v>
      </c>
      <c r="J50" s="40" t="str">
        <f ca="1">IFERROR(__xludf.DUMMYFUNCTION("IF(SUM(COUNTIF(artists!C:C, SPLIT(D50, "",""))) &gt; 0, ""RU"", 0)"),"RU")</f>
        <v>RU</v>
      </c>
      <c r="K50" s="39">
        <f ca="1">IFERROR(__xludf.DUMMYFUNCTION("IF(SUM(COUNTIF(artists!E:E, SPLIT(D50, "",""))) &gt; 0, ""OTHER"", 0)"),0)</f>
        <v>0</v>
      </c>
    </row>
    <row r="51" spans="1:11">
      <c r="A51" s="21">
        <v>50</v>
      </c>
      <c r="B51" s="21">
        <v>54</v>
      </c>
      <c r="C51" s="21" t="s">
        <v>244</v>
      </c>
      <c r="D51" s="21" t="s">
        <v>161</v>
      </c>
      <c r="E51" s="21">
        <v>8</v>
      </c>
      <c r="F51" s="21">
        <v>211965</v>
      </c>
      <c r="G51" s="21" t="s">
        <v>442</v>
      </c>
      <c r="H51" s="38" t="s">
        <v>246</v>
      </c>
      <c r="I51" s="39" t="str">
        <f ca="1">IFERROR(__xludf.DUMMYFUNCTION("IF(SUM(COUNTIF(artists!A:A, SPLIT(D51, "",""))) &gt; 0, ""UA"", 0)"),"UA")</f>
        <v>UA</v>
      </c>
      <c r="J51" s="40">
        <f ca="1">IFERROR(__xludf.DUMMYFUNCTION("IF(SUM(COUNTIF(artists!C:C, SPLIT(D51, "",""))) &gt; 0, ""RU"", 0)"),0)</f>
        <v>0</v>
      </c>
      <c r="K51" s="39">
        <f ca="1">IFERROR(__xludf.DUMMYFUNCTION("IF(SUM(COUNTIF(artists!E:E, SPLIT(D51, "",""))) &gt; 0, ""OTHER"", 0)"),0)</f>
        <v>0</v>
      </c>
    </row>
    <row r="52" spans="1:11">
      <c r="A52" s="21">
        <v>51</v>
      </c>
      <c r="B52" s="21">
        <v>52</v>
      </c>
      <c r="C52" s="21" t="s">
        <v>339</v>
      </c>
      <c r="D52" s="21" t="s">
        <v>340</v>
      </c>
      <c r="E52" s="21">
        <v>15</v>
      </c>
      <c r="F52" s="21">
        <v>203689</v>
      </c>
      <c r="G52" s="21" t="s">
        <v>173</v>
      </c>
      <c r="H52" s="38" t="s">
        <v>342</v>
      </c>
      <c r="I52" s="39" t="str">
        <f ca="1">IFERROR(__xludf.DUMMYFUNCTION("IF(SUM(COUNTIF(artists!A:A, SPLIT(D52, "",""))) &gt; 0, ""UA"", 0)"),"UA")</f>
        <v>UA</v>
      </c>
      <c r="J52" s="40">
        <f ca="1">IFERROR(__xludf.DUMMYFUNCTION("IF(SUM(COUNTIF(artists!C:C, SPLIT(D52, "",""))) &gt; 0, ""RU"", 0)"),0)</f>
        <v>0</v>
      </c>
      <c r="K52" s="39">
        <f ca="1">IFERROR(__xludf.DUMMYFUNCTION("IF(SUM(COUNTIF(artists!E:E, SPLIT(D52, "",""))) &gt; 0, ""OTHER"", 0)"),0)</f>
        <v>0</v>
      </c>
    </row>
    <row r="53" spans="1:11">
      <c r="A53" s="21">
        <v>52</v>
      </c>
      <c r="B53" s="21">
        <v>50</v>
      </c>
      <c r="C53" s="21" t="s">
        <v>298</v>
      </c>
      <c r="D53" s="21" t="s">
        <v>299</v>
      </c>
      <c r="E53" s="21">
        <v>16</v>
      </c>
      <c r="F53" s="21">
        <v>201659</v>
      </c>
      <c r="G53" s="21" t="s">
        <v>666</v>
      </c>
      <c r="H53" s="38" t="s">
        <v>300</v>
      </c>
      <c r="I53" s="39">
        <f ca="1">IFERROR(__xludf.DUMMYFUNCTION("IF(SUM(COUNTIF(artists!A:A, SPLIT(D53, "",""))) &gt; 0, ""UA"", 0)"),0)</f>
        <v>0</v>
      </c>
      <c r="J53" s="40">
        <f ca="1">IFERROR(__xludf.DUMMYFUNCTION("IF(SUM(COUNTIF(artists!C:C, SPLIT(D53, "",""))) &gt; 0, ""RU"", 0)"),0)</f>
        <v>0</v>
      </c>
      <c r="K53" s="39" t="str">
        <f ca="1">IFERROR(__xludf.DUMMYFUNCTION("IF(SUM(COUNTIF(artists!E:E, SPLIT(D53, "",""))) &gt; 0, ""OTHER"", 0)"),"OTHER")</f>
        <v>OTHER</v>
      </c>
    </row>
    <row r="54" spans="1:11">
      <c r="A54" s="21">
        <v>53</v>
      </c>
      <c r="B54" s="21">
        <v>51</v>
      </c>
      <c r="C54" s="21" t="s">
        <v>351</v>
      </c>
      <c r="D54" s="21" t="s">
        <v>352</v>
      </c>
      <c r="E54" s="21">
        <v>15</v>
      </c>
      <c r="F54" s="21">
        <v>196063</v>
      </c>
      <c r="G54" s="21" t="s">
        <v>155</v>
      </c>
      <c r="H54" s="38" t="s">
        <v>354</v>
      </c>
      <c r="I54" s="39" t="str">
        <f ca="1">IFERROR(__xludf.DUMMYFUNCTION("IF(SUM(COUNTIF(artists!A:A, SPLIT(D54, "",""))) &gt; 0, ""UA"", 0)"),"UA")</f>
        <v>UA</v>
      </c>
      <c r="J54" s="40">
        <f ca="1">IFERROR(__xludf.DUMMYFUNCTION("IF(SUM(COUNTIF(artists!C:C, SPLIT(D54, "",""))) &gt; 0, ""RU"", 0)"),0)</f>
        <v>0</v>
      </c>
      <c r="K54" s="39">
        <f ca="1">IFERROR(__xludf.DUMMYFUNCTION("IF(SUM(COUNTIF(artists!E:E, SPLIT(D54, "",""))) &gt; 0, ""OTHER"", 0)"),0)</f>
        <v>0</v>
      </c>
    </row>
    <row r="55" spans="1:11">
      <c r="A55" s="21">
        <v>54</v>
      </c>
      <c r="B55" s="21">
        <v>57</v>
      </c>
      <c r="C55" s="21" t="s">
        <v>667</v>
      </c>
      <c r="D55" s="21" t="s">
        <v>668</v>
      </c>
      <c r="E55" s="21">
        <v>20</v>
      </c>
      <c r="F55" s="21">
        <v>195847</v>
      </c>
      <c r="G55" s="21" t="s">
        <v>431</v>
      </c>
      <c r="H55" s="38" t="s">
        <v>669</v>
      </c>
      <c r="I55" s="39">
        <f ca="1">IFERROR(__xludf.DUMMYFUNCTION("IF(SUM(COUNTIF(artists!A:A, SPLIT(D55, "",""))) &gt; 0, ""UA"", 0)"),0)</f>
        <v>0</v>
      </c>
      <c r="J55" s="40" t="str">
        <f ca="1">IFERROR(__xludf.DUMMYFUNCTION("IF(SUM(COUNTIF(artists!C:C, SPLIT(D55, "",""))) &gt; 0, ""RU"", 0)"),"RU")</f>
        <v>RU</v>
      </c>
      <c r="K55" s="39">
        <f ca="1">IFERROR(__xludf.DUMMYFUNCTION("IF(SUM(COUNTIF(artists!E:E, SPLIT(D55, "",""))) &gt; 0, ""OTHER"", 0)"),0)</f>
        <v>0</v>
      </c>
    </row>
    <row r="56" spans="1:11">
      <c r="A56" s="21">
        <v>55</v>
      </c>
      <c r="C56" s="21" t="s">
        <v>670</v>
      </c>
      <c r="D56" s="21" t="s">
        <v>671</v>
      </c>
      <c r="E56" s="21">
        <v>2</v>
      </c>
      <c r="F56" s="21">
        <v>194087</v>
      </c>
      <c r="H56" s="38" t="s">
        <v>672</v>
      </c>
      <c r="I56" s="39" t="str">
        <f ca="1">IFERROR(__xludf.DUMMYFUNCTION("IF(SUM(COUNTIF(artists!A:A, SPLIT(D56, "",""))) &gt; 0, ""UA"", 0)"),"UA")</f>
        <v>UA</v>
      </c>
      <c r="J56" s="40">
        <f ca="1">IFERROR(__xludf.DUMMYFUNCTION("IF(SUM(COUNTIF(artists!C:C, SPLIT(D56, "",""))) &gt; 0, ""RU"", 0)"),0)</f>
        <v>0</v>
      </c>
      <c r="K56" s="39">
        <f ca="1">IFERROR(__xludf.DUMMYFUNCTION("IF(SUM(COUNTIF(artists!E:E, SPLIT(D56, "",""))) &gt; 0, ""OTHER"", 0)"),0)</f>
        <v>0</v>
      </c>
    </row>
    <row r="57" spans="1:11">
      <c r="A57" s="21">
        <v>56</v>
      </c>
      <c r="B57" s="21">
        <v>63</v>
      </c>
      <c r="C57" s="21" t="s">
        <v>258</v>
      </c>
      <c r="D57" s="21" t="s">
        <v>259</v>
      </c>
      <c r="E57" s="21">
        <v>6</v>
      </c>
      <c r="F57" s="21">
        <v>190655</v>
      </c>
      <c r="G57" s="21" t="s">
        <v>673</v>
      </c>
      <c r="H57" s="38" t="s">
        <v>260</v>
      </c>
      <c r="I57" s="39" t="str">
        <f ca="1">IFERROR(__xludf.DUMMYFUNCTION("IF(SUM(COUNTIF(artists!A:A, SPLIT(D57, "",""))) &gt; 0, ""UA"", 0)"),"UA")</f>
        <v>UA</v>
      </c>
      <c r="J57" s="40">
        <f ca="1">IFERROR(__xludf.DUMMYFUNCTION("IF(SUM(COUNTIF(artists!C:C, SPLIT(D57, "",""))) &gt; 0, ""RU"", 0)"),0)</f>
        <v>0</v>
      </c>
      <c r="K57" s="39">
        <f ca="1">IFERROR(__xludf.DUMMYFUNCTION("IF(SUM(COUNTIF(artists!E:E, SPLIT(D57, "",""))) &gt; 0, ""OTHER"", 0)"),0)</f>
        <v>0</v>
      </c>
    </row>
    <row r="58" spans="1:11">
      <c r="A58" s="21">
        <v>57</v>
      </c>
      <c r="B58" s="21">
        <v>59</v>
      </c>
      <c r="C58" s="21" t="s">
        <v>482</v>
      </c>
      <c r="D58" s="21" t="s">
        <v>210</v>
      </c>
      <c r="E58" s="21">
        <v>18</v>
      </c>
      <c r="F58" s="21">
        <v>182586</v>
      </c>
      <c r="G58" s="21" t="s">
        <v>371</v>
      </c>
      <c r="H58" s="38" t="s">
        <v>484</v>
      </c>
      <c r="I58" s="39" t="str">
        <f ca="1">IFERROR(__xludf.DUMMYFUNCTION("IF(SUM(COUNTIF(artists!A:A, SPLIT(D58, "",""))) &gt; 0, ""UA"", 0)"),"UA")</f>
        <v>UA</v>
      </c>
      <c r="J58" s="40">
        <f ca="1">IFERROR(__xludf.DUMMYFUNCTION("IF(SUM(COUNTIF(artists!C:C, SPLIT(D58, "",""))) &gt; 0, ""RU"", 0)"),0)</f>
        <v>0</v>
      </c>
      <c r="K58" s="39">
        <f ca="1">IFERROR(__xludf.DUMMYFUNCTION("IF(SUM(COUNTIF(artists!E:E, SPLIT(D58, "",""))) &gt; 0, ""OTHER"", 0)"),0)</f>
        <v>0</v>
      </c>
    </row>
    <row r="59" spans="1:11">
      <c r="A59" s="21">
        <v>58</v>
      </c>
      <c r="C59" s="21" t="s">
        <v>674</v>
      </c>
      <c r="D59" s="21" t="s">
        <v>675</v>
      </c>
      <c r="E59" s="21">
        <v>1</v>
      </c>
      <c r="F59" s="21">
        <v>177751</v>
      </c>
      <c r="H59" s="38" t="s">
        <v>676</v>
      </c>
      <c r="I59" s="39">
        <f ca="1">IFERROR(__xludf.DUMMYFUNCTION("IF(SUM(COUNTIF(artists!A:A, SPLIT(D59, "",""))) &gt; 0, ""UA"", 0)"),0)</f>
        <v>0</v>
      </c>
      <c r="J59" s="40" t="str">
        <f ca="1">IFERROR(__xludf.DUMMYFUNCTION("IF(SUM(COUNTIF(artists!C:C, SPLIT(D59, "",""))) &gt; 0, ""RU"", 0)"),"RU")</f>
        <v>RU</v>
      </c>
      <c r="K59" s="39">
        <f ca="1">IFERROR(__xludf.DUMMYFUNCTION("IF(SUM(COUNTIF(artists!E:E, SPLIT(D59, "",""))) &gt; 0, ""OTHER"", 0)"),0)</f>
        <v>0</v>
      </c>
    </row>
    <row r="60" spans="1:11">
      <c r="A60" s="21">
        <v>59</v>
      </c>
      <c r="C60" s="21" t="s">
        <v>213</v>
      </c>
      <c r="D60" s="21" t="s">
        <v>214</v>
      </c>
      <c r="E60" s="21">
        <v>1</v>
      </c>
      <c r="F60" s="21">
        <v>174469</v>
      </c>
      <c r="H60" s="38" t="s">
        <v>216</v>
      </c>
      <c r="I60" s="39" t="str">
        <f ca="1">IFERROR(__xludf.DUMMYFUNCTION("IF(SUM(COUNTIF(artists!A:A, SPLIT(D60, "",""))) &gt; 0, ""UA"", 0)"),"UA")</f>
        <v>UA</v>
      </c>
      <c r="J60" s="40">
        <f ca="1">IFERROR(__xludf.DUMMYFUNCTION("IF(SUM(COUNTIF(artists!C:C, SPLIT(D60, "",""))) &gt; 0, ""RU"", 0)"),0)</f>
        <v>0</v>
      </c>
      <c r="K60" s="39">
        <f ca="1">IFERROR(__xludf.DUMMYFUNCTION("IF(SUM(COUNTIF(artists!E:E, SPLIT(D60, "",""))) &gt; 0, ""OTHER"", 0)"),0)</f>
        <v>0</v>
      </c>
    </row>
    <row r="61" spans="1:11">
      <c r="A61" s="21">
        <v>60</v>
      </c>
      <c r="B61" s="21">
        <v>58</v>
      </c>
      <c r="C61" s="21" t="s">
        <v>324</v>
      </c>
      <c r="D61" s="21" t="s">
        <v>325</v>
      </c>
      <c r="E61" s="21">
        <v>9</v>
      </c>
      <c r="F61" s="21">
        <v>170197</v>
      </c>
      <c r="G61" s="21" t="s">
        <v>173</v>
      </c>
      <c r="H61" s="38" t="s">
        <v>327</v>
      </c>
      <c r="I61" s="39" t="str">
        <f ca="1">IFERROR(__xludf.DUMMYFUNCTION("IF(SUM(COUNTIF(artists!A:A, SPLIT(D61, "",""))) &gt; 0, ""UA"", 0)"),"UA")</f>
        <v>UA</v>
      </c>
      <c r="J61" s="40">
        <f ca="1">IFERROR(__xludf.DUMMYFUNCTION("IF(SUM(COUNTIF(artists!C:C, SPLIT(D61, "",""))) &gt; 0, ""RU"", 0)"),0)</f>
        <v>0</v>
      </c>
      <c r="K61" s="39">
        <f ca="1">IFERROR(__xludf.DUMMYFUNCTION("IF(SUM(COUNTIF(artists!E:E, SPLIT(D61, "",""))) &gt; 0, ""OTHER"", 0)"),0)</f>
        <v>0</v>
      </c>
    </row>
    <row r="62" spans="1:11">
      <c r="A62" s="21">
        <v>61</v>
      </c>
      <c r="B62" s="21">
        <v>55</v>
      </c>
      <c r="C62" s="21" t="s">
        <v>500</v>
      </c>
      <c r="D62" s="21" t="s">
        <v>501</v>
      </c>
      <c r="E62" s="21">
        <v>18</v>
      </c>
      <c r="F62" s="21">
        <v>168735</v>
      </c>
      <c r="G62" s="21" t="s">
        <v>677</v>
      </c>
      <c r="H62" s="38" t="s">
        <v>503</v>
      </c>
      <c r="I62" s="39">
        <f ca="1">IFERROR(__xludf.DUMMYFUNCTION("IF(SUM(COUNTIF(artists!A:A, SPLIT(D62, "",""))) &gt; 0, ""UA"", 0)"),0)</f>
        <v>0</v>
      </c>
      <c r="J62" s="40" t="str">
        <f ca="1">IFERROR(__xludf.DUMMYFUNCTION("IF(SUM(COUNTIF(artists!C:C, SPLIT(D62, "",""))) &gt; 0, ""RU"", 0)"),"RU")</f>
        <v>RU</v>
      </c>
      <c r="K62" s="39">
        <f ca="1">IFERROR(__xludf.DUMMYFUNCTION("IF(SUM(COUNTIF(artists!E:E, SPLIT(D62, "",""))) &gt; 0, ""OTHER"", 0)"),0)</f>
        <v>0</v>
      </c>
    </row>
    <row r="63" spans="1:11">
      <c r="A63" s="21">
        <v>62</v>
      </c>
      <c r="C63" s="21" t="s">
        <v>332</v>
      </c>
      <c r="D63" s="21" t="s">
        <v>333</v>
      </c>
      <c r="E63" s="21">
        <v>1</v>
      </c>
      <c r="F63" s="21">
        <v>163556</v>
      </c>
      <c r="H63" s="38" t="s">
        <v>335</v>
      </c>
      <c r="I63" s="39" t="str">
        <f ca="1">IFERROR(__xludf.DUMMYFUNCTION("IF(SUM(COUNTIF(artists!A:A, SPLIT(D63, "",""))) &gt; 0, ""UA"", 0)"),"UA")</f>
        <v>UA</v>
      </c>
      <c r="J63" s="40">
        <f ca="1">IFERROR(__xludf.DUMMYFUNCTION("IF(SUM(COUNTIF(artists!C:C, SPLIT(D63, "",""))) &gt; 0, ""RU"", 0)"),0)</f>
        <v>0</v>
      </c>
      <c r="K63" s="39">
        <f ca="1">IFERROR(__xludf.DUMMYFUNCTION("IF(SUM(COUNTIF(artists!E:E, SPLIT(D63, "",""))) &gt; 0, ""OTHER"", 0)"),0)</f>
        <v>0</v>
      </c>
    </row>
    <row r="64" spans="1:11">
      <c r="A64" s="21">
        <v>63</v>
      </c>
      <c r="B64" s="21">
        <v>68</v>
      </c>
      <c r="C64" s="21" t="s">
        <v>233</v>
      </c>
      <c r="D64" s="21" t="s">
        <v>234</v>
      </c>
      <c r="E64" s="21">
        <v>3</v>
      </c>
      <c r="F64" s="21">
        <v>161796</v>
      </c>
      <c r="G64" s="21" t="s">
        <v>572</v>
      </c>
      <c r="H64" s="38" t="s">
        <v>236</v>
      </c>
      <c r="I64" s="39">
        <f ca="1">IFERROR(__xludf.DUMMYFUNCTION("IF(SUM(COUNTIF(artists!A:A, SPLIT(D64, "",""))) &gt; 0, ""UA"", 0)"),0)</f>
        <v>0</v>
      </c>
      <c r="J64" s="40">
        <f ca="1">IFERROR(__xludf.DUMMYFUNCTION("IF(SUM(COUNTIF(artists!C:C, SPLIT(D64, "",""))) &gt; 0, ""RU"", 0)"),0)</f>
        <v>0</v>
      </c>
      <c r="K64" s="39" t="str">
        <f ca="1">IFERROR(__xludf.DUMMYFUNCTION("IF(SUM(COUNTIF(artists!E:E, SPLIT(D64, "",""))) &gt; 0, ""OTHER"", 0)"),"OTHER")</f>
        <v>OTHER</v>
      </c>
    </row>
    <row r="65" spans="1:11">
      <c r="A65" s="21">
        <v>64</v>
      </c>
      <c r="C65" s="21" t="s">
        <v>678</v>
      </c>
      <c r="D65" s="21" t="s">
        <v>89</v>
      </c>
      <c r="E65" s="21">
        <v>22</v>
      </c>
      <c r="F65" s="21">
        <v>159106</v>
      </c>
      <c r="H65" s="38" t="s">
        <v>679</v>
      </c>
      <c r="I65" s="39" t="str">
        <f ca="1">IFERROR(__xludf.DUMMYFUNCTION("IF(SUM(COUNTIF(artists!A:A, SPLIT(D65, "",""))) &gt; 0, ""UA"", 0)"),"UA")</f>
        <v>UA</v>
      </c>
      <c r="J65" s="40">
        <f ca="1">IFERROR(__xludf.DUMMYFUNCTION("IF(SUM(COUNTIF(artists!C:C, SPLIT(D65, "",""))) &gt; 0, ""RU"", 0)"),0)</f>
        <v>0</v>
      </c>
      <c r="K65" s="39">
        <f ca="1">IFERROR(__xludf.DUMMYFUNCTION("IF(SUM(COUNTIF(artists!E:E, SPLIT(D65, "",""))) &gt; 0, ""OTHER"", 0)"),0)</f>
        <v>0</v>
      </c>
    </row>
    <row r="66" spans="1:11">
      <c r="A66" s="21">
        <v>65</v>
      </c>
      <c r="B66" s="21">
        <v>60</v>
      </c>
      <c r="C66" s="21" t="s">
        <v>527</v>
      </c>
      <c r="D66" s="21" t="s">
        <v>528</v>
      </c>
      <c r="E66" s="21">
        <v>18</v>
      </c>
      <c r="F66" s="21">
        <v>158976</v>
      </c>
      <c r="G66" s="41">
        <v>-7.0000000000000007E-2</v>
      </c>
      <c r="H66" s="38" t="s">
        <v>529</v>
      </c>
      <c r="I66" s="39" t="str">
        <f ca="1">IFERROR(__xludf.DUMMYFUNCTION("IF(SUM(COUNTIF(artists!A:A, SPLIT(D66, "",""))) &gt; 0, ""UA"", 0)"),"UA")</f>
        <v>UA</v>
      </c>
      <c r="J66" s="40">
        <f ca="1">IFERROR(__xludf.DUMMYFUNCTION("IF(SUM(COUNTIF(artists!C:C, SPLIT(D66, "",""))) &gt; 0, ""RU"", 0)"),0)</f>
        <v>0</v>
      </c>
      <c r="K66" s="39">
        <f ca="1">IFERROR(__xludf.DUMMYFUNCTION("IF(SUM(COUNTIF(artists!E:E, SPLIT(D66, "",""))) &gt; 0, ""OTHER"", 0)"),0)</f>
        <v>0</v>
      </c>
    </row>
    <row r="67" spans="1:11">
      <c r="A67" s="21">
        <v>66</v>
      </c>
      <c r="B67" s="21">
        <v>65</v>
      </c>
      <c r="C67" s="21" t="s">
        <v>508</v>
      </c>
      <c r="D67" s="21" t="s">
        <v>509</v>
      </c>
      <c r="E67" s="21">
        <v>20</v>
      </c>
      <c r="F67" s="21">
        <v>157436</v>
      </c>
      <c r="G67" s="21" t="s">
        <v>680</v>
      </c>
      <c r="H67" s="38" t="s">
        <v>510</v>
      </c>
      <c r="I67" s="39">
        <f ca="1">IFERROR(__xludf.DUMMYFUNCTION("IF(SUM(COUNTIF(artists!A:A, SPLIT(D67, "",""))) &gt; 0, ""UA"", 0)"),0)</f>
        <v>0</v>
      </c>
      <c r="J67" s="40" t="str">
        <f ca="1">IFERROR(__xludf.DUMMYFUNCTION("IF(SUM(COUNTIF(artists!C:C, SPLIT(D67, "",""))) &gt; 0, ""RU"", 0)"),"RU")</f>
        <v>RU</v>
      </c>
      <c r="K67" s="39">
        <f ca="1">IFERROR(__xludf.DUMMYFUNCTION("IF(SUM(COUNTIF(artists!E:E, SPLIT(D67, "",""))) &gt; 0, ""OTHER"", 0)"),0)</f>
        <v>0</v>
      </c>
    </row>
    <row r="68" spans="1:11">
      <c r="A68" s="21">
        <v>67</v>
      </c>
      <c r="B68" s="21">
        <v>64</v>
      </c>
      <c r="C68" s="21" t="s">
        <v>602</v>
      </c>
      <c r="D68" s="21" t="s">
        <v>299</v>
      </c>
      <c r="E68" s="21">
        <v>20</v>
      </c>
      <c r="F68" s="21">
        <v>153890</v>
      </c>
      <c r="G68" s="21" t="s">
        <v>334</v>
      </c>
      <c r="H68" s="38" t="s">
        <v>604</v>
      </c>
      <c r="I68" s="39">
        <f ca="1">IFERROR(__xludf.DUMMYFUNCTION("IF(SUM(COUNTIF(artists!A:A, SPLIT(D68, "",""))) &gt; 0, ""UA"", 0)"),0)</f>
        <v>0</v>
      </c>
      <c r="J68" s="40">
        <f ca="1">IFERROR(__xludf.DUMMYFUNCTION("IF(SUM(COUNTIF(artists!C:C, SPLIT(D68, "",""))) &gt; 0, ""RU"", 0)"),0)</f>
        <v>0</v>
      </c>
      <c r="K68" s="39" t="str">
        <f ca="1">IFERROR(__xludf.DUMMYFUNCTION("IF(SUM(COUNTIF(artists!E:E, SPLIT(D68, "",""))) &gt; 0, ""OTHER"", 0)"),"OTHER")</f>
        <v>OTHER</v>
      </c>
    </row>
    <row r="69" spans="1:11">
      <c r="A69" s="21">
        <v>68</v>
      </c>
      <c r="B69" s="21">
        <v>76</v>
      </c>
      <c r="C69" s="21" t="s">
        <v>306</v>
      </c>
      <c r="D69" s="21" t="s">
        <v>307</v>
      </c>
      <c r="E69" s="21">
        <v>5</v>
      </c>
      <c r="F69" s="21">
        <v>152839</v>
      </c>
      <c r="G69" s="21" t="s">
        <v>610</v>
      </c>
      <c r="H69" s="38" t="s">
        <v>308</v>
      </c>
      <c r="I69" s="39">
        <f ca="1">IFERROR(__xludf.DUMMYFUNCTION("IF(SUM(COUNTIF(artists!A:A, SPLIT(D69, "",""))) &gt; 0, ""UA"", 0)"),0)</f>
        <v>0</v>
      </c>
      <c r="J69" s="40">
        <f ca="1">IFERROR(__xludf.DUMMYFUNCTION("IF(SUM(COUNTIF(artists!C:C, SPLIT(D69, "",""))) &gt; 0, ""RU"", 0)"),0)</f>
        <v>0</v>
      </c>
      <c r="K69" s="39" t="str">
        <f ca="1">IFERROR(__xludf.DUMMYFUNCTION("IF(SUM(COUNTIF(artists!E:E, SPLIT(D69, "",""))) &gt; 0, ""OTHER"", 0)"),"OTHER")</f>
        <v>OTHER</v>
      </c>
    </row>
    <row r="70" spans="1:11">
      <c r="A70" s="21">
        <v>69</v>
      </c>
      <c r="B70" s="21">
        <v>69</v>
      </c>
      <c r="C70" s="21" t="s">
        <v>605</v>
      </c>
      <c r="D70" s="21" t="s">
        <v>299</v>
      </c>
      <c r="E70" s="21">
        <v>19</v>
      </c>
      <c r="F70" s="21">
        <v>150935</v>
      </c>
      <c r="G70" s="21" t="s">
        <v>105</v>
      </c>
      <c r="H70" s="38" t="s">
        <v>607</v>
      </c>
      <c r="I70" s="39">
        <f ca="1">IFERROR(__xludf.DUMMYFUNCTION("IF(SUM(COUNTIF(artists!A:A, SPLIT(D70, "",""))) &gt; 0, ""UA"", 0)"),0)</f>
        <v>0</v>
      </c>
      <c r="J70" s="40">
        <f ca="1">IFERROR(__xludf.DUMMYFUNCTION("IF(SUM(COUNTIF(artists!C:C, SPLIT(D70, "",""))) &gt; 0, ""RU"", 0)"),0)</f>
        <v>0</v>
      </c>
      <c r="K70" s="39" t="str">
        <f ca="1">IFERROR(__xludf.DUMMYFUNCTION("IF(SUM(COUNTIF(artists!E:E, SPLIT(D70, "",""))) &gt; 0, ""OTHER"", 0)"),"OTHER")</f>
        <v>OTHER</v>
      </c>
    </row>
    <row r="71" spans="1:11">
      <c r="A71" s="21">
        <v>70</v>
      </c>
      <c r="B71" s="21">
        <v>75</v>
      </c>
      <c r="C71" s="21" t="s">
        <v>309</v>
      </c>
      <c r="D71" s="21" t="s">
        <v>310</v>
      </c>
      <c r="E71" s="21">
        <v>14</v>
      </c>
      <c r="F71" s="21">
        <v>150903</v>
      </c>
      <c r="G71" s="21" t="s">
        <v>211</v>
      </c>
      <c r="H71" s="38" t="s">
        <v>312</v>
      </c>
      <c r="I71" s="39">
        <f ca="1">IFERROR(__xludf.DUMMYFUNCTION("IF(SUM(COUNTIF(artists!A:A, SPLIT(D71, "",""))) &gt; 0, ""UA"", 0)"),0)</f>
        <v>0</v>
      </c>
      <c r="J71" s="40">
        <f ca="1">IFERROR(__xludf.DUMMYFUNCTION("IF(SUM(COUNTIF(artists!C:C, SPLIT(D71, "",""))) &gt; 0, ""RU"", 0)"),0)</f>
        <v>0</v>
      </c>
      <c r="K71" s="39" t="str">
        <f ca="1">IFERROR(__xludf.DUMMYFUNCTION("IF(SUM(COUNTIF(artists!E:E, SPLIT(D71, "",""))) &gt; 0, ""OTHER"", 0)"),"OTHER")</f>
        <v>OTHER</v>
      </c>
    </row>
    <row r="72" spans="1:11">
      <c r="A72" s="21">
        <v>71</v>
      </c>
      <c r="B72" s="21">
        <v>66</v>
      </c>
      <c r="C72" s="21" t="s">
        <v>402</v>
      </c>
      <c r="D72" s="21" t="s">
        <v>403</v>
      </c>
      <c r="E72" s="21">
        <v>11</v>
      </c>
      <c r="F72" s="21">
        <v>150572</v>
      </c>
      <c r="G72" s="21" t="s">
        <v>130</v>
      </c>
      <c r="H72" s="38" t="s">
        <v>404</v>
      </c>
      <c r="I72" s="39">
        <f ca="1">IFERROR(__xludf.DUMMYFUNCTION("IF(SUM(COUNTIF(artists!A:A, SPLIT(D72, "",""))) &gt; 0, ""UA"", 0)"),0)</f>
        <v>0</v>
      </c>
      <c r="J72" s="40">
        <f ca="1">IFERROR(__xludf.DUMMYFUNCTION("IF(SUM(COUNTIF(artists!C:C, SPLIT(D72, "",""))) &gt; 0, ""RU"", 0)"),0)</f>
        <v>0</v>
      </c>
      <c r="K72" s="39" t="str">
        <f ca="1">IFERROR(__xludf.DUMMYFUNCTION("IF(SUM(COUNTIF(artists!E:E, SPLIT(D72, "",""))) &gt; 0, ""OTHER"", 0)"),"OTHER")</f>
        <v>OTHER</v>
      </c>
    </row>
    <row r="73" spans="1:11">
      <c r="A73" s="21">
        <v>72</v>
      </c>
      <c r="B73" s="21">
        <v>71</v>
      </c>
      <c r="C73" s="21" t="s">
        <v>373</v>
      </c>
      <c r="D73" s="21" t="s">
        <v>172</v>
      </c>
      <c r="E73" s="21">
        <v>15</v>
      </c>
      <c r="F73" s="21">
        <v>147845</v>
      </c>
      <c r="G73" s="21" t="s">
        <v>101</v>
      </c>
      <c r="H73" s="38" t="s">
        <v>375</v>
      </c>
      <c r="I73" s="39">
        <f ca="1">IFERROR(__xludf.DUMMYFUNCTION("IF(SUM(COUNTIF(artists!A:A, SPLIT(D73, "",""))) &gt; 0, ""UA"", 0)"),0)</f>
        <v>0</v>
      </c>
      <c r="J73" s="40" t="str">
        <f ca="1">IFERROR(__xludf.DUMMYFUNCTION("IF(SUM(COUNTIF(artists!C:C, SPLIT(D73, "",""))) &gt; 0, ""RU"", 0)"),"RU")</f>
        <v>RU</v>
      </c>
      <c r="K73" s="39">
        <f ca="1">IFERROR(__xludf.DUMMYFUNCTION("IF(SUM(COUNTIF(artists!E:E, SPLIT(D73, "",""))) &gt; 0, ""OTHER"", 0)"),0)</f>
        <v>0</v>
      </c>
    </row>
    <row r="74" spans="1:11">
      <c r="A74" s="21">
        <v>73</v>
      </c>
      <c r="B74" s="21">
        <v>74</v>
      </c>
      <c r="C74" s="21" t="s">
        <v>411</v>
      </c>
      <c r="D74" s="21" t="s">
        <v>412</v>
      </c>
      <c r="E74" s="21">
        <v>3</v>
      </c>
      <c r="F74" s="21">
        <v>141434</v>
      </c>
      <c r="G74" s="21" t="s">
        <v>416</v>
      </c>
      <c r="H74" s="38" t="s">
        <v>413</v>
      </c>
      <c r="I74" s="39" t="str">
        <f ca="1">IFERROR(__xludf.DUMMYFUNCTION("IF(SUM(COUNTIF(artists!A:A, SPLIT(D74, "",""))) &gt; 0, ""UA"", 0)"),"UA")</f>
        <v>UA</v>
      </c>
      <c r="J74" s="40">
        <f ca="1">IFERROR(__xludf.DUMMYFUNCTION("IF(SUM(COUNTIF(artists!C:C, SPLIT(D74, "",""))) &gt; 0, ""RU"", 0)"),0)</f>
        <v>0</v>
      </c>
      <c r="K74" s="39">
        <f ca="1">IFERROR(__xludf.DUMMYFUNCTION("IF(SUM(COUNTIF(artists!E:E, SPLIT(D74, "",""))) &gt; 0, ""OTHER"", 0)"),0)</f>
        <v>0</v>
      </c>
    </row>
    <row r="75" spans="1:11">
      <c r="A75" s="21">
        <v>74</v>
      </c>
      <c r="B75" s="21">
        <v>79</v>
      </c>
      <c r="C75" s="21" t="s">
        <v>383</v>
      </c>
      <c r="D75" s="21" t="s">
        <v>384</v>
      </c>
      <c r="E75" s="21">
        <v>9</v>
      </c>
      <c r="F75" s="21">
        <v>140060</v>
      </c>
      <c r="G75" s="21" t="s">
        <v>396</v>
      </c>
      <c r="H75" s="38" t="s">
        <v>386</v>
      </c>
      <c r="I75" s="39">
        <f ca="1">IFERROR(__xludf.DUMMYFUNCTION("IF(SUM(COUNTIF(artists!A:A, SPLIT(D75, "",""))) &gt; 0, ""UA"", 0)"),0)</f>
        <v>0</v>
      </c>
      <c r="J75" s="40">
        <f ca="1">IFERROR(__xludf.DUMMYFUNCTION("IF(SUM(COUNTIF(artists!C:C, SPLIT(D75, "",""))) &gt; 0, ""RU"", 0)"),0)</f>
        <v>0</v>
      </c>
      <c r="K75" s="39" t="str">
        <f ca="1">IFERROR(__xludf.DUMMYFUNCTION("IF(SUM(COUNTIF(artists!E:E, SPLIT(D75, "",""))) &gt; 0, ""OTHER"", 0)"),"OTHER")</f>
        <v>OTHER</v>
      </c>
    </row>
    <row r="76" spans="1:11">
      <c r="A76" s="21">
        <v>75</v>
      </c>
      <c r="B76" s="21">
        <v>78</v>
      </c>
      <c r="C76" s="21" t="s">
        <v>418</v>
      </c>
      <c r="D76" s="21" t="s">
        <v>419</v>
      </c>
      <c r="E76" s="21">
        <v>12</v>
      </c>
      <c r="F76" s="21">
        <v>139950</v>
      </c>
      <c r="G76" s="21" t="s">
        <v>452</v>
      </c>
      <c r="H76" s="38" t="s">
        <v>420</v>
      </c>
      <c r="I76" s="39">
        <f ca="1">IFERROR(__xludf.DUMMYFUNCTION("IF(SUM(COUNTIF(artists!A:A, SPLIT(D76, "",""))) &gt; 0, ""UA"", 0)"),0)</f>
        <v>0</v>
      </c>
      <c r="J76" s="40">
        <f ca="1">IFERROR(__xludf.DUMMYFUNCTION("IF(SUM(COUNTIF(artists!C:C, SPLIT(D76, "",""))) &gt; 0, ""RU"", 0)"),0)</f>
        <v>0</v>
      </c>
      <c r="K76" s="39" t="str">
        <f ca="1">IFERROR(__xludf.DUMMYFUNCTION("IF(SUM(COUNTIF(artists!E:E, SPLIT(D76, "",""))) &gt; 0, ""OTHER"", 0)"),"OTHER")</f>
        <v>OTHER</v>
      </c>
    </row>
    <row r="77" spans="1:11">
      <c r="A77" s="21">
        <v>76</v>
      </c>
      <c r="B77" s="21">
        <v>81</v>
      </c>
      <c r="C77" s="21" t="s">
        <v>545</v>
      </c>
      <c r="D77" s="21" t="s">
        <v>546</v>
      </c>
      <c r="E77" s="21">
        <v>12</v>
      </c>
      <c r="F77" s="21">
        <v>139794</v>
      </c>
      <c r="G77" s="21" t="s">
        <v>681</v>
      </c>
      <c r="H77" s="38" t="s">
        <v>548</v>
      </c>
      <c r="I77" s="39">
        <f ca="1">IFERROR(__xludf.DUMMYFUNCTION("IF(SUM(COUNTIF(artists!A:A, SPLIT(D77, "",""))) &gt; 0, ""UA"", 0)"),0)</f>
        <v>0</v>
      </c>
      <c r="J77" s="40" t="str">
        <f ca="1">IFERROR(__xludf.DUMMYFUNCTION("IF(SUM(COUNTIF(artists!C:C, SPLIT(D77, "",""))) &gt; 0, ""RU"", 0)"),"RU")</f>
        <v>RU</v>
      </c>
      <c r="K77" s="39">
        <f ca="1">IFERROR(__xludf.DUMMYFUNCTION("IF(SUM(COUNTIF(artists!E:E, SPLIT(D77, "",""))) &gt; 0, ""OTHER"", 0)"),0)</f>
        <v>0</v>
      </c>
    </row>
    <row r="78" spans="1:11">
      <c r="A78" s="21">
        <v>77</v>
      </c>
      <c r="C78" s="21" t="s">
        <v>225</v>
      </c>
      <c r="D78" s="21" t="s">
        <v>226</v>
      </c>
      <c r="E78" s="21">
        <v>1</v>
      </c>
      <c r="F78" s="21">
        <v>137574</v>
      </c>
      <c r="H78" s="38" t="s">
        <v>228</v>
      </c>
      <c r="I78" s="39" t="str">
        <f ca="1">IFERROR(__xludf.DUMMYFUNCTION("IF(SUM(COUNTIF(artists!A:A, SPLIT(D78, "",""))) &gt; 0, ""UA"", 0)"),"UA")</f>
        <v>UA</v>
      </c>
      <c r="J78" s="40">
        <f ca="1">IFERROR(__xludf.DUMMYFUNCTION("IF(SUM(COUNTIF(artists!C:C, SPLIT(D78, "",""))) &gt; 0, ""RU"", 0)"),0)</f>
        <v>0</v>
      </c>
      <c r="K78" s="39">
        <f ca="1">IFERROR(__xludf.DUMMYFUNCTION("IF(SUM(COUNTIF(artists!E:E, SPLIT(D78, "",""))) &gt; 0, ""OTHER"", 0)"),0)</f>
        <v>0</v>
      </c>
    </row>
    <row r="79" spans="1:11">
      <c r="A79" s="21">
        <v>78</v>
      </c>
      <c r="B79" s="21">
        <v>73</v>
      </c>
      <c r="C79" s="21" t="s">
        <v>682</v>
      </c>
      <c r="D79" s="21" t="s">
        <v>125</v>
      </c>
      <c r="E79" s="21">
        <v>20</v>
      </c>
      <c r="F79" s="21">
        <v>137045</v>
      </c>
      <c r="G79" s="21" t="s">
        <v>683</v>
      </c>
      <c r="H79" s="38" t="s">
        <v>684</v>
      </c>
      <c r="I79" s="39">
        <f ca="1">IFERROR(__xludf.DUMMYFUNCTION("IF(SUM(COUNTIF(artists!A:A, SPLIT(D79, "",""))) &gt; 0, ""UA"", 0)"),0)</f>
        <v>0</v>
      </c>
      <c r="J79" s="40" t="str">
        <f ca="1">IFERROR(__xludf.DUMMYFUNCTION("IF(SUM(COUNTIF(artists!C:C, SPLIT(D79, "",""))) &gt; 0, ""RU"", 0)"),"RU")</f>
        <v>RU</v>
      </c>
      <c r="K79" s="39">
        <f ca="1">IFERROR(__xludf.DUMMYFUNCTION("IF(SUM(COUNTIF(artists!E:E, SPLIT(D79, "",""))) &gt; 0, ""OTHER"", 0)"),0)</f>
        <v>0</v>
      </c>
    </row>
    <row r="80" spans="1:11">
      <c r="A80" s="21">
        <v>79</v>
      </c>
      <c r="C80" s="21" t="s">
        <v>597</v>
      </c>
      <c r="D80" s="21" t="s">
        <v>598</v>
      </c>
      <c r="E80" s="21">
        <v>23</v>
      </c>
      <c r="F80" s="21">
        <v>136179</v>
      </c>
      <c r="H80" s="38" t="s">
        <v>600</v>
      </c>
      <c r="I80" s="39" t="str">
        <f ca="1">IFERROR(__xludf.DUMMYFUNCTION("IF(SUM(COUNTIF(artists!A:A, SPLIT(D80, "",""))) &gt; 0, ""UA"", 0)"),"UA")</f>
        <v>UA</v>
      </c>
      <c r="J80" s="40">
        <f ca="1">IFERROR(__xludf.DUMMYFUNCTION("IF(SUM(COUNTIF(artists!C:C, SPLIT(D80, "",""))) &gt; 0, ""RU"", 0)"),0)</f>
        <v>0</v>
      </c>
      <c r="K80" s="39">
        <f ca="1">IFERROR(__xludf.DUMMYFUNCTION("IF(SUM(COUNTIF(artists!E:E, SPLIT(D80, "",""))) &gt; 0, ""OTHER"", 0)"),0)</f>
        <v>0</v>
      </c>
    </row>
    <row r="81" spans="1:11">
      <c r="A81" s="21">
        <v>80</v>
      </c>
      <c r="B81" s="21">
        <v>90</v>
      </c>
      <c r="C81" s="21" t="s">
        <v>399</v>
      </c>
      <c r="D81" s="21" t="s">
        <v>400</v>
      </c>
      <c r="E81" s="21">
        <v>4</v>
      </c>
      <c r="F81" s="21">
        <v>135324</v>
      </c>
      <c r="G81" s="21" t="s">
        <v>552</v>
      </c>
      <c r="H81" s="38" t="s">
        <v>401</v>
      </c>
      <c r="I81" s="39" t="str">
        <f ca="1">IFERROR(__xludf.DUMMYFUNCTION("IF(SUM(COUNTIF(artists!A:A, SPLIT(D81, "",""))) &gt; 0, ""UA"", 0)"),"UA")</f>
        <v>UA</v>
      </c>
      <c r="J81" s="40">
        <f ca="1">IFERROR(__xludf.DUMMYFUNCTION("IF(SUM(COUNTIF(artists!C:C, SPLIT(D81, "",""))) &gt; 0, ""RU"", 0)"),0)</f>
        <v>0</v>
      </c>
      <c r="K81" s="39">
        <f ca="1">IFERROR(__xludf.DUMMYFUNCTION("IF(SUM(COUNTIF(artists!E:E, SPLIT(D81, "",""))) &gt; 0, ""OTHER"", 0)"),0)</f>
        <v>0</v>
      </c>
    </row>
    <row r="82" spans="1:11">
      <c r="A82" s="21">
        <v>81</v>
      </c>
      <c r="B82" s="21">
        <v>91</v>
      </c>
      <c r="C82" s="21" t="s">
        <v>358</v>
      </c>
      <c r="D82" s="21" t="s">
        <v>359</v>
      </c>
      <c r="E82" s="21">
        <v>15</v>
      </c>
      <c r="F82" s="21">
        <v>133341</v>
      </c>
      <c r="G82" s="21" t="s">
        <v>685</v>
      </c>
      <c r="H82" s="38" t="s">
        <v>361</v>
      </c>
      <c r="I82" s="39">
        <f ca="1">IFERROR(__xludf.DUMMYFUNCTION("IF(SUM(COUNTIF(artists!A:A, SPLIT(D82, "",""))) &gt; 0, ""UA"", 0)"),0)</f>
        <v>0</v>
      </c>
      <c r="J82" s="40">
        <f ca="1">IFERROR(__xludf.DUMMYFUNCTION("IF(SUM(COUNTIF(artists!C:C, SPLIT(D82, "",""))) &gt; 0, ""RU"", 0)"),0)</f>
        <v>0</v>
      </c>
      <c r="K82" s="39" t="str">
        <f ca="1">IFERROR(__xludf.DUMMYFUNCTION("IF(SUM(COUNTIF(artists!E:E, SPLIT(D82, "",""))) &gt; 0, ""OTHER"", 0)"),"OTHER")</f>
        <v>OTHER</v>
      </c>
    </row>
    <row r="83" spans="1:11">
      <c r="A83" s="21">
        <v>82</v>
      </c>
      <c r="B83" s="21">
        <v>83</v>
      </c>
      <c r="C83" s="21" t="s">
        <v>497</v>
      </c>
      <c r="D83" s="21" t="s">
        <v>498</v>
      </c>
      <c r="E83" s="21">
        <v>19</v>
      </c>
      <c r="F83" s="21">
        <v>133263</v>
      </c>
      <c r="G83" s="21" t="s">
        <v>173</v>
      </c>
      <c r="H83" s="38" t="s">
        <v>499</v>
      </c>
      <c r="I83" s="39" t="str">
        <f ca="1">IFERROR(__xludf.DUMMYFUNCTION("IF(SUM(COUNTIF(artists!A:A, SPLIT(D83, "",""))) &gt; 0, ""UA"", 0)"),"UA")</f>
        <v>UA</v>
      </c>
      <c r="J83" s="40">
        <f ca="1">IFERROR(__xludf.DUMMYFUNCTION("IF(SUM(COUNTIF(artists!C:C, SPLIT(D83, "",""))) &gt; 0, ""RU"", 0)"),0)</f>
        <v>0</v>
      </c>
      <c r="K83" s="39">
        <f ca="1">IFERROR(__xludf.DUMMYFUNCTION("IF(SUM(COUNTIF(artists!E:E, SPLIT(D83, "",""))) &gt; 0, ""OTHER"", 0)"),0)</f>
        <v>0</v>
      </c>
    </row>
    <row r="84" spans="1:11">
      <c r="A84" s="21">
        <v>83</v>
      </c>
      <c r="B84" s="21">
        <v>95</v>
      </c>
      <c r="C84" s="21" t="s">
        <v>686</v>
      </c>
      <c r="D84" s="21" t="s">
        <v>687</v>
      </c>
      <c r="E84" s="21">
        <v>10</v>
      </c>
      <c r="F84" s="21">
        <v>132847</v>
      </c>
      <c r="G84" s="21" t="s">
        <v>562</v>
      </c>
      <c r="H84" s="38" t="s">
        <v>688</v>
      </c>
      <c r="I84" s="39">
        <f ca="1">IFERROR(__xludf.DUMMYFUNCTION("IF(SUM(COUNTIF(artists!A:A, SPLIT(D84, "",""))) &gt; 0, ""UA"", 0)"),0)</f>
        <v>0</v>
      </c>
      <c r="J84" s="40" t="str">
        <f ca="1">IFERROR(__xludf.DUMMYFUNCTION("IF(SUM(COUNTIF(artists!C:C, SPLIT(D84, "",""))) &gt; 0, ""RU"", 0)"),"RU")</f>
        <v>RU</v>
      </c>
      <c r="K84" s="39">
        <f ca="1">IFERROR(__xludf.DUMMYFUNCTION("IF(SUM(COUNTIF(artists!E:E, SPLIT(D84, "",""))) &gt; 0, ""OTHER"", 0)"),0)</f>
        <v>0</v>
      </c>
    </row>
    <row r="85" spans="1:11">
      <c r="A85" s="21">
        <v>84</v>
      </c>
      <c r="B85" s="21">
        <v>77</v>
      </c>
      <c r="C85" s="21" t="s">
        <v>622</v>
      </c>
      <c r="D85" s="21" t="s">
        <v>108</v>
      </c>
      <c r="E85" s="21">
        <v>9</v>
      </c>
      <c r="F85" s="21">
        <v>130908</v>
      </c>
      <c r="G85" s="21" t="s">
        <v>689</v>
      </c>
      <c r="H85" s="38" t="s">
        <v>623</v>
      </c>
      <c r="I85" s="39" t="str">
        <f ca="1">IFERROR(__xludf.DUMMYFUNCTION("IF(SUM(COUNTIF(artists!A:A, SPLIT(D85, "",""))) &gt; 0, ""UA"", 0)"),"UA")</f>
        <v>UA</v>
      </c>
      <c r="J85" s="40">
        <f ca="1">IFERROR(__xludf.DUMMYFUNCTION("IF(SUM(COUNTIF(artists!C:C, SPLIT(D85, "",""))) &gt; 0, ""RU"", 0)"),0)</f>
        <v>0</v>
      </c>
      <c r="K85" s="39">
        <f ca="1">IFERROR(__xludf.DUMMYFUNCTION("IF(SUM(COUNTIF(artists!E:E, SPLIT(D85, "",""))) &gt; 0, ""OTHER"", 0)"),0)</f>
        <v>0</v>
      </c>
    </row>
    <row r="86" spans="1:11">
      <c r="A86" s="21">
        <v>85</v>
      </c>
      <c r="B86" s="21">
        <v>85</v>
      </c>
      <c r="C86" s="21" t="s">
        <v>370</v>
      </c>
      <c r="D86" s="21" t="s">
        <v>222</v>
      </c>
      <c r="E86" s="21">
        <v>7</v>
      </c>
      <c r="F86" s="21">
        <v>130515</v>
      </c>
      <c r="G86" s="21" t="s">
        <v>570</v>
      </c>
      <c r="H86" s="38" t="s">
        <v>372</v>
      </c>
      <c r="I86" s="39">
        <f ca="1">IFERROR(__xludf.DUMMYFUNCTION("IF(SUM(COUNTIF(artists!A:A, SPLIT(D86, "",""))) &gt; 0, ""UA"", 0)"),0)</f>
        <v>0</v>
      </c>
      <c r="J86" s="40">
        <f ca="1">IFERROR(__xludf.DUMMYFUNCTION("IF(SUM(COUNTIF(artists!C:C, SPLIT(D86, "",""))) &gt; 0, ""RU"", 0)"),0)</f>
        <v>0</v>
      </c>
      <c r="K86" s="39" t="str">
        <f ca="1">IFERROR(__xludf.DUMMYFUNCTION("IF(SUM(COUNTIF(artists!E:E, SPLIT(D86, "",""))) &gt; 0, ""OTHER"", 0)"),"OTHER")</f>
        <v>OTHER</v>
      </c>
    </row>
    <row r="87" spans="1:11">
      <c r="A87" s="21">
        <v>86</v>
      </c>
      <c r="B87" s="21">
        <v>82</v>
      </c>
      <c r="C87" s="21" t="s">
        <v>313</v>
      </c>
      <c r="D87" s="21" t="s">
        <v>310</v>
      </c>
      <c r="E87" s="21">
        <v>12</v>
      </c>
      <c r="F87" s="21">
        <v>129483</v>
      </c>
      <c r="G87" s="21" t="s">
        <v>641</v>
      </c>
      <c r="H87" s="38" t="s">
        <v>398</v>
      </c>
      <c r="I87" s="39">
        <f ca="1">IFERROR(__xludf.DUMMYFUNCTION("IF(SUM(COUNTIF(artists!A:A, SPLIT(D87, "",""))) &gt; 0, ""UA"", 0)"),0)</f>
        <v>0</v>
      </c>
      <c r="J87" s="40">
        <f ca="1">IFERROR(__xludf.DUMMYFUNCTION("IF(SUM(COUNTIF(artists!C:C, SPLIT(D87, "",""))) &gt; 0, ""RU"", 0)"),0)</f>
        <v>0</v>
      </c>
      <c r="K87" s="39" t="str">
        <f ca="1">IFERROR(__xludf.DUMMYFUNCTION("IF(SUM(COUNTIF(artists!E:E, SPLIT(D87, "",""))) &gt; 0, ""OTHER"", 0)"),"OTHER")</f>
        <v>OTHER</v>
      </c>
    </row>
    <row r="88" spans="1:11">
      <c r="A88" s="21">
        <v>87</v>
      </c>
      <c r="B88" s="21">
        <v>84</v>
      </c>
      <c r="C88" s="21" t="s">
        <v>690</v>
      </c>
      <c r="D88" s="21" t="s">
        <v>691</v>
      </c>
      <c r="E88" s="21">
        <v>12</v>
      </c>
      <c r="F88" s="21">
        <v>128911</v>
      </c>
      <c r="G88" s="21" t="s">
        <v>611</v>
      </c>
      <c r="H88" s="38" t="s">
        <v>692</v>
      </c>
      <c r="I88" s="39">
        <f ca="1">IFERROR(__xludf.DUMMYFUNCTION("IF(SUM(COUNTIF(artists!A:A, SPLIT(D88, "",""))) &gt; 0, ""UA"", 0)"),0)</f>
        <v>0</v>
      </c>
      <c r="J88" s="40" t="str">
        <f ca="1">IFERROR(__xludf.DUMMYFUNCTION("IF(SUM(COUNTIF(artists!C:C, SPLIT(D88, "",""))) &gt; 0, ""RU"", 0)"),"RU")</f>
        <v>RU</v>
      </c>
      <c r="K88" s="39">
        <f ca="1">IFERROR(__xludf.DUMMYFUNCTION("IF(SUM(COUNTIF(artists!E:E, SPLIT(D88, "",""))) &gt; 0, ""OTHER"", 0)"),0)</f>
        <v>0</v>
      </c>
    </row>
    <row r="89" spans="1:11">
      <c r="A89" s="21">
        <v>88</v>
      </c>
      <c r="B89" s="21">
        <v>80</v>
      </c>
      <c r="C89" s="21" t="s">
        <v>693</v>
      </c>
      <c r="D89" s="21" t="s">
        <v>694</v>
      </c>
      <c r="E89" s="21">
        <v>3</v>
      </c>
      <c r="F89" s="21">
        <v>128593</v>
      </c>
      <c r="G89" s="21" t="s">
        <v>695</v>
      </c>
      <c r="H89" s="38" t="s">
        <v>696</v>
      </c>
      <c r="I89" s="39">
        <f ca="1">IFERROR(__xludf.DUMMYFUNCTION("IF(SUM(COUNTIF(artists!A:A, SPLIT(D89, "",""))) &gt; 0, ""UA"", 0)"),0)</f>
        <v>0</v>
      </c>
      <c r="J89" s="40">
        <f ca="1">IFERROR(__xludf.DUMMYFUNCTION("IF(SUM(COUNTIF(artists!C:C, SPLIT(D89, "",""))) &gt; 0, ""RU"", 0)"),0)</f>
        <v>0</v>
      </c>
      <c r="K89" s="39" t="str">
        <f ca="1">IFERROR(__xludf.DUMMYFUNCTION("IF(SUM(COUNTIF(artists!E:E, SPLIT(D89, "",""))) &gt; 0, ""OTHER"", 0)"),"OTHER")</f>
        <v>OTHER</v>
      </c>
    </row>
    <row r="90" spans="1:11">
      <c r="A90" s="21">
        <v>89</v>
      </c>
      <c r="B90" s="21">
        <v>92</v>
      </c>
      <c r="C90" s="21" t="s">
        <v>697</v>
      </c>
      <c r="D90" s="21" t="s">
        <v>698</v>
      </c>
      <c r="E90" s="21">
        <v>19</v>
      </c>
      <c r="F90" s="21">
        <v>127577</v>
      </c>
      <c r="G90" s="21" t="s">
        <v>166</v>
      </c>
      <c r="H90" s="38" t="s">
        <v>699</v>
      </c>
      <c r="I90" s="39">
        <f ca="1">IFERROR(__xludf.DUMMYFUNCTION("IF(SUM(COUNTIF(artists!A:A, SPLIT(D90, "",""))) &gt; 0, ""UA"", 0)"),0)</f>
        <v>0</v>
      </c>
      <c r="J90" s="40" t="str">
        <f ca="1">IFERROR(__xludf.DUMMYFUNCTION("IF(SUM(COUNTIF(artists!C:C, SPLIT(D90, "",""))) &gt; 0, ""RU"", 0)"),"RU")</f>
        <v>RU</v>
      </c>
      <c r="K90" s="39">
        <f ca="1">IFERROR(__xludf.DUMMYFUNCTION("IF(SUM(COUNTIF(artists!E:E, SPLIT(D90, "",""))) &gt; 0, ""OTHER"", 0)"),0)</f>
        <v>0</v>
      </c>
    </row>
    <row r="91" spans="1:11">
      <c r="A91" s="21">
        <v>90</v>
      </c>
      <c r="B91" s="21">
        <v>88</v>
      </c>
      <c r="C91" s="21" t="s">
        <v>700</v>
      </c>
      <c r="D91" s="21" t="s">
        <v>701</v>
      </c>
      <c r="E91" s="21">
        <v>20</v>
      </c>
      <c r="F91" s="21">
        <v>126200</v>
      </c>
      <c r="G91" s="21" t="s">
        <v>640</v>
      </c>
      <c r="H91" s="38" t="s">
        <v>702</v>
      </c>
      <c r="I91" s="39">
        <f ca="1">IFERROR(__xludf.DUMMYFUNCTION("IF(SUM(COUNTIF(artists!A:A, SPLIT(D91, "",""))) &gt; 0, ""UA"", 0)"),0)</f>
        <v>0</v>
      </c>
      <c r="J91" s="40" t="str">
        <f ca="1">IFERROR(__xludf.DUMMYFUNCTION("IF(SUM(COUNTIF(artists!C:C, SPLIT(D91, "",""))) &gt; 0, ""RU"", 0)"),"RU")</f>
        <v>RU</v>
      </c>
      <c r="K91" s="39">
        <f ca="1">IFERROR(__xludf.DUMMYFUNCTION("IF(SUM(COUNTIF(artists!E:E, SPLIT(D91, "",""))) &gt; 0, ""OTHER"", 0)"),0)</f>
        <v>0</v>
      </c>
    </row>
    <row r="92" spans="1:11">
      <c r="A92" s="21">
        <v>91</v>
      </c>
      <c r="C92" s="21" t="s">
        <v>703</v>
      </c>
      <c r="D92" s="21" t="s">
        <v>704</v>
      </c>
      <c r="E92" s="21">
        <v>1</v>
      </c>
      <c r="F92" s="21">
        <v>126130</v>
      </c>
      <c r="H92" s="38" t="s">
        <v>705</v>
      </c>
      <c r="I92" s="39" t="str">
        <f ca="1">IFERROR(__xludf.DUMMYFUNCTION("IF(SUM(COUNTIF(artists!A:A, SPLIT(D92, "",""))) &gt; 0, ""UA"", 0)"),"UA")</f>
        <v>UA</v>
      </c>
      <c r="J92" s="40">
        <f ca="1">IFERROR(__xludf.DUMMYFUNCTION("IF(SUM(COUNTIF(artists!C:C, SPLIT(D92, "",""))) &gt; 0, ""RU"", 0)"),0)</f>
        <v>0</v>
      </c>
      <c r="K92" s="39">
        <f ca="1">IFERROR(__xludf.DUMMYFUNCTION("IF(SUM(COUNTIF(artists!E:E, SPLIT(D92, "",""))) &gt; 0, ""OTHER"", 0)"),0)</f>
        <v>0</v>
      </c>
    </row>
    <row r="93" spans="1:11">
      <c r="A93" s="21">
        <v>92</v>
      </c>
      <c r="C93" s="21" t="s">
        <v>706</v>
      </c>
      <c r="D93" s="21" t="s">
        <v>199</v>
      </c>
      <c r="E93" s="21">
        <v>21</v>
      </c>
      <c r="F93" s="21">
        <v>125419</v>
      </c>
      <c r="H93" s="38" t="s">
        <v>707</v>
      </c>
      <c r="I93" s="39" t="str">
        <f ca="1">IFERROR(__xludf.DUMMYFUNCTION("IF(SUM(COUNTIF(artists!A:A, SPLIT(D93, "",""))) &gt; 0, ""UA"", 0)"),"UA")</f>
        <v>UA</v>
      </c>
      <c r="J93" s="40">
        <f ca="1">IFERROR(__xludf.DUMMYFUNCTION("IF(SUM(COUNTIF(artists!C:C, SPLIT(D93, "",""))) &gt; 0, ""RU"", 0)"),0)</f>
        <v>0</v>
      </c>
      <c r="K93" s="39">
        <f ca="1">IFERROR(__xludf.DUMMYFUNCTION("IF(SUM(COUNTIF(artists!E:E, SPLIT(D93, "",""))) &gt; 0, ""OTHER"", 0)"),0)</f>
        <v>0</v>
      </c>
    </row>
    <row r="94" spans="1:11">
      <c r="A94" s="21">
        <v>93</v>
      </c>
      <c r="C94" s="21" t="s">
        <v>708</v>
      </c>
      <c r="D94" s="21" t="s">
        <v>709</v>
      </c>
      <c r="E94" s="21">
        <v>5</v>
      </c>
      <c r="F94" s="21">
        <v>123432</v>
      </c>
      <c r="H94" s="38" t="s">
        <v>710</v>
      </c>
      <c r="I94" s="39">
        <f ca="1">IFERROR(__xludf.DUMMYFUNCTION("IF(SUM(COUNTIF(artists!A:A, SPLIT(D94, "",""))) &gt; 0, ""UA"", 0)"),0)</f>
        <v>0</v>
      </c>
      <c r="J94" s="40" t="str">
        <f ca="1">IFERROR(__xludf.DUMMYFUNCTION("IF(SUM(COUNTIF(artists!C:C, SPLIT(D94, "",""))) &gt; 0, ""RU"", 0)"),"RU")</f>
        <v>RU</v>
      </c>
      <c r="K94" s="39">
        <f ca="1">IFERROR(__xludf.DUMMYFUNCTION("IF(SUM(COUNTIF(artists!E:E, SPLIT(D94, "",""))) &gt; 0, ""OTHER"", 0)"),0)</f>
        <v>0</v>
      </c>
    </row>
    <row r="95" spans="1:11">
      <c r="A95" s="21">
        <v>94</v>
      </c>
      <c r="C95" s="21" t="s">
        <v>624</v>
      </c>
      <c r="D95" s="21" t="s">
        <v>625</v>
      </c>
      <c r="E95" s="21">
        <v>1</v>
      </c>
      <c r="F95" s="21">
        <v>123371</v>
      </c>
      <c r="H95" s="38" t="s">
        <v>627</v>
      </c>
      <c r="I95" s="39" t="str">
        <f ca="1">IFERROR(__xludf.DUMMYFUNCTION("IF(SUM(COUNTIF(artists!A:A, SPLIT(D95, "",""))) &gt; 0, ""UA"", 0)"),"UA")</f>
        <v>UA</v>
      </c>
      <c r="J95" s="40">
        <f ca="1">IFERROR(__xludf.DUMMYFUNCTION("IF(SUM(COUNTIF(artists!C:C, SPLIT(D95, "",""))) &gt; 0, ""RU"", 0)"),0)</f>
        <v>0</v>
      </c>
      <c r="K95" s="39">
        <f ca="1">IFERROR(__xludf.DUMMYFUNCTION("IF(SUM(COUNTIF(artists!E:E, SPLIT(D95, "",""))) &gt; 0, ""OTHER"", 0)"),0)</f>
        <v>0</v>
      </c>
    </row>
    <row r="96" spans="1:11">
      <c r="A96" s="21">
        <v>95</v>
      </c>
      <c r="C96" s="21" t="s">
        <v>711</v>
      </c>
      <c r="D96" s="21" t="s">
        <v>712</v>
      </c>
      <c r="E96" s="21">
        <v>1</v>
      </c>
      <c r="F96" s="21">
        <v>123270</v>
      </c>
      <c r="H96" s="38" t="s">
        <v>713</v>
      </c>
      <c r="I96" s="39" t="str">
        <f ca="1">IFERROR(__xludf.DUMMYFUNCTION("IF(SUM(COUNTIF(artists!A:A, SPLIT(D96, "",""))) &gt; 0, ""UA"", 0)"),"UA")</f>
        <v>UA</v>
      </c>
      <c r="J96" s="40">
        <f ca="1">IFERROR(__xludf.DUMMYFUNCTION("IF(SUM(COUNTIF(artists!C:C, SPLIT(D96, "",""))) &gt; 0, ""RU"", 0)"),0)</f>
        <v>0</v>
      </c>
      <c r="K96" s="39">
        <f ca="1">IFERROR(__xludf.DUMMYFUNCTION("IF(SUM(COUNTIF(artists!E:E, SPLIT(D96, "",""))) &gt; 0, ""OTHER"", 0)"),0)</f>
        <v>0</v>
      </c>
    </row>
    <row r="97" spans="1:11">
      <c r="A97" s="21">
        <v>96</v>
      </c>
      <c r="B97" s="21">
        <v>97</v>
      </c>
      <c r="C97" s="21" t="s">
        <v>714</v>
      </c>
      <c r="D97" s="21" t="s">
        <v>715</v>
      </c>
      <c r="E97" s="21">
        <v>4</v>
      </c>
      <c r="F97" s="21">
        <v>122692</v>
      </c>
      <c r="G97" s="21" t="s">
        <v>433</v>
      </c>
      <c r="H97" s="38" t="s">
        <v>716</v>
      </c>
      <c r="I97" s="39" t="str">
        <f ca="1">IFERROR(__xludf.DUMMYFUNCTION("IF(SUM(COUNTIF(artists!A:A, SPLIT(D97, "",""))) &gt; 0, ""UA"", 0)"),"UA")</f>
        <v>UA</v>
      </c>
      <c r="J97" s="40">
        <f ca="1">IFERROR(__xludf.DUMMYFUNCTION("IF(SUM(COUNTIF(artists!C:C, SPLIT(D97, "",""))) &gt; 0, ""RU"", 0)"),0)</f>
        <v>0</v>
      </c>
      <c r="K97" s="39">
        <f ca="1">IFERROR(__xludf.DUMMYFUNCTION("IF(SUM(COUNTIF(artists!E:E, SPLIT(D97, "",""))) &gt; 0, ""OTHER"", 0)"),0)</f>
        <v>0</v>
      </c>
    </row>
    <row r="98" spans="1:11">
      <c r="A98" s="21">
        <v>97</v>
      </c>
      <c r="C98" s="21" t="s">
        <v>355</v>
      </c>
      <c r="D98" s="21" t="s">
        <v>356</v>
      </c>
      <c r="E98" s="21">
        <v>13</v>
      </c>
      <c r="F98" s="21">
        <v>121968</v>
      </c>
      <c r="H98" s="38" t="s">
        <v>357</v>
      </c>
      <c r="I98" s="39">
        <f ca="1">IFERROR(__xludf.DUMMYFUNCTION("IF(SUM(COUNTIF(artists!A:A, SPLIT(D98, "",""))) &gt; 0, ""UA"", 0)"),0)</f>
        <v>0</v>
      </c>
      <c r="J98" s="40">
        <f ca="1">IFERROR(__xludf.DUMMYFUNCTION("IF(SUM(COUNTIF(artists!C:C, SPLIT(D98, "",""))) &gt; 0, ""RU"", 0)"),0)</f>
        <v>0</v>
      </c>
      <c r="K98" s="39" t="str">
        <f ca="1">IFERROR(__xludf.DUMMYFUNCTION("IF(SUM(COUNTIF(artists!E:E, SPLIT(D98, "",""))) &gt; 0, ""OTHER"", 0)"),"OTHER")</f>
        <v>OTHER</v>
      </c>
    </row>
    <row r="99" spans="1:11">
      <c r="A99" s="21">
        <v>98</v>
      </c>
      <c r="B99" s="21">
        <v>94</v>
      </c>
      <c r="C99" s="21" t="s">
        <v>717</v>
      </c>
      <c r="D99" s="21" t="s">
        <v>718</v>
      </c>
      <c r="E99" s="21">
        <v>3</v>
      </c>
      <c r="F99" s="21">
        <v>121964</v>
      </c>
      <c r="G99" s="21" t="s">
        <v>184</v>
      </c>
      <c r="H99" s="38" t="s">
        <v>719</v>
      </c>
      <c r="I99" s="39">
        <f ca="1">IFERROR(__xludf.DUMMYFUNCTION("IF(SUM(COUNTIF(artists!A:A, SPLIT(D99, "",""))) &gt; 0, ""UA"", 0)"),0)</f>
        <v>0</v>
      </c>
      <c r="J99" s="40">
        <f ca="1">IFERROR(__xludf.DUMMYFUNCTION("IF(SUM(COUNTIF(artists!C:C, SPLIT(D99, "",""))) &gt; 0, ""RU"", 0)"),0)</f>
        <v>0</v>
      </c>
      <c r="K99" s="39" t="str">
        <f ca="1">IFERROR(__xludf.DUMMYFUNCTION("IF(SUM(COUNTIF(artists!E:E, SPLIT(D99, "",""))) &gt; 0, ""OTHER"", 0)"),"OTHER")</f>
        <v>OTHER</v>
      </c>
    </row>
    <row r="100" spans="1:11">
      <c r="A100" s="21">
        <v>99</v>
      </c>
      <c r="C100" s="21" t="s">
        <v>720</v>
      </c>
      <c r="D100" s="21" t="s">
        <v>721</v>
      </c>
      <c r="E100" s="21">
        <v>4</v>
      </c>
      <c r="F100" s="21">
        <v>121570</v>
      </c>
      <c r="H100" s="38" t="s">
        <v>722</v>
      </c>
      <c r="I100" s="39" t="str">
        <f ca="1">IFERROR(__xludf.DUMMYFUNCTION("IF(SUM(COUNTIF(artists!A:A, SPLIT(D100, "",""))) &gt; 0, ""UA"", 0)"),"UA")</f>
        <v>UA</v>
      </c>
      <c r="J100" s="40">
        <f ca="1">IFERROR(__xludf.DUMMYFUNCTION("IF(SUM(COUNTIF(artists!C:C, SPLIT(D100, "",""))) &gt; 0, ""RU"", 0)"),0)</f>
        <v>0</v>
      </c>
      <c r="K100" s="39">
        <f ca="1">IFERROR(__xludf.DUMMYFUNCTION("IF(SUM(COUNTIF(artists!E:E, SPLIT(D100, "",""))) &gt; 0, ""OTHER"", 0)"),0)</f>
        <v>0</v>
      </c>
    </row>
    <row r="101" spans="1:11">
      <c r="A101" s="21">
        <v>100</v>
      </c>
      <c r="B101" s="21">
        <v>98</v>
      </c>
      <c r="C101" s="21" t="s">
        <v>316</v>
      </c>
      <c r="D101" s="21" t="s">
        <v>317</v>
      </c>
      <c r="E101" s="21">
        <v>13</v>
      </c>
      <c r="F101" s="21">
        <v>121533</v>
      </c>
      <c r="G101" s="21" t="s">
        <v>433</v>
      </c>
      <c r="H101" s="38" t="s">
        <v>319</v>
      </c>
      <c r="I101" s="39" t="str">
        <f ca="1">IFERROR(__xludf.DUMMYFUNCTION("IF(SUM(COUNTIF(artists!A:A, SPLIT(D101, "",""))) &gt; 0, ""UA"", 0)"),"UA")</f>
        <v>UA</v>
      </c>
      <c r="J101" s="40">
        <f ca="1">IFERROR(__xludf.DUMMYFUNCTION("IF(SUM(COUNTIF(artists!C:C, SPLIT(D101, "",""))) &gt; 0, ""RU"", 0)"),0)</f>
        <v>0</v>
      </c>
      <c r="K101" s="39">
        <f ca="1">IFERROR(__xludf.DUMMYFUNCTION("IF(SUM(COUNTIF(artists!E:E, SPLIT(D101, "",""))) &gt; 0, ""OTHER"", 0)"),0)</f>
        <v>0</v>
      </c>
    </row>
  </sheetData>
  <conditionalFormatting sqref="I2:K101">
    <cfRule type="expression" dxfId="113" priority="1">
      <formula>AND($I2=0, $J2=0, $K2=0)</formula>
    </cfRule>
    <cfRule type="expression" dxfId="112" priority="2">
      <formula>OR(AND($I2&lt;&gt;0, $J2&lt;&gt;0), AND($I2&lt;&gt;0, $K2&lt;&gt;0), AND($J2&lt;&gt;0, $K2&lt;&gt;0))</formula>
    </cfRule>
  </conditionalFormatting>
  <hyperlinks>
    <hyperlink ref="H2" r:id="rId1" xr:uid="{00000000-0004-0000-0500-000000000000}"/>
    <hyperlink ref="H3" r:id="rId2" xr:uid="{00000000-0004-0000-0500-000001000000}"/>
    <hyperlink ref="H4" r:id="rId3" xr:uid="{00000000-0004-0000-0500-000002000000}"/>
    <hyperlink ref="H5" r:id="rId4" xr:uid="{00000000-0004-0000-0500-000003000000}"/>
    <hyperlink ref="H6" r:id="rId5" xr:uid="{00000000-0004-0000-0500-000004000000}"/>
    <hyperlink ref="H7" r:id="rId6" xr:uid="{00000000-0004-0000-0500-000005000000}"/>
    <hyperlink ref="H8" r:id="rId7" xr:uid="{00000000-0004-0000-0500-000006000000}"/>
    <hyperlink ref="H9" r:id="rId8" xr:uid="{00000000-0004-0000-0500-000007000000}"/>
    <hyperlink ref="H10" r:id="rId9" xr:uid="{00000000-0004-0000-0500-000008000000}"/>
    <hyperlink ref="H11" r:id="rId10" xr:uid="{00000000-0004-0000-0500-000009000000}"/>
    <hyperlink ref="H12" r:id="rId11" xr:uid="{00000000-0004-0000-0500-00000A000000}"/>
    <hyperlink ref="H13" r:id="rId12" xr:uid="{00000000-0004-0000-0500-00000B000000}"/>
    <hyperlink ref="H14" r:id="rId13" xr:uid="{00000000-0004-0000-0500-00000C000000}"/>
    <hyperlink ref="H15" r:id="rId14" xr:uid="{00000000-0004-0000-0500-00000D000000}"/>
    <hyperlink ref="H16" r:id="rId15" xr:uid="{00000000-0004-0000-0500-00000E000000}"/>
    <hyperlink ref="H17" r:id="rId16" xr:uid="{00000000-0004-0000-0500-00000F000000}"/>
    <hyperlink ref="H18" r:id="rId17" xr:uid="{00000000-0004-0000-0500-000010000000}"/>
    <hyperlink ref="H19" r:id="rId18" xr:uid="{00000000-0004-0000-0500-000011000000}"/>
    <hyperlink ref="H20" r:id="rId19" xr:uid="{00000000-0004-0000-0500-000012000000}"/>
    <hyperlink ref="H21" r:id="rId20" xr:uid="{00000000-0004-0000-0500-000013000000}"/>
    <hyperlink ref="H22" r:id="rId21" xr:uid="{00000000-0004-0000-0500-000014000000}"/>
    <hyperlink ref="H23" r:id="rId22" xr:uid="{00000000-0004-0000-0500-000015000000}"/>
    <hyperlink ref="H24" r:id="rId23" xr:uid="{00000000-0004-0000-0500-000016000000}"/>
    <hyperlink ref="H25" r:id="rId24" xr:uid="{00000000-0004-0000-0500-000017000000}"/>
    <hyperlink ref="H26" r:id="rId25" xr:uid="{00000000-0004-0000-0500-000018000000}"/>
    <hyperlink ref="H27" r:id="rId26" xr:uid="{00000000-0004-0000-0500-000019000000}"/>
    <hyperlink ref="H28" r:id="rId27" xr:uid="{00000000-0004-0000-0500-00001A000000}"/>
    <hyperlink ref="H29" r:id="rId28" xr:uid="{00000000-0004-0000-0500-00001B000000}"/>
    <hyperlink ref="H30" r:id="rId29" xr:uid="{00000000-0004-0000-0500-00001C000000}"/>
    <hyperlink ref="H31" r:id="rId30" xr:uid="{00000000-0004-0000-0500-00001D000000}"/>
    <hyperlink ref="H32" r:id="rId31" xr:uid="{00000000-0004-0000-0500-00001E000000}"/>
    <hyperlink ref="H33" r:id="rId32" xr:uid="{00000000-0004-0000-0500-00001F000000}"/>
    <hyperlink ref="H34" r:id="rId33" xr:uid="{00000000-0004-0000-0500-000020000000}"/>
    <hyperlink ref="H35" r:id="rId34" xr:uid="{00000000-0004-0000-0500-000021000000}"/>
    <hyperlink ref="H36" r:id="rId35" xr:uid="{00000000-0004-0000-0500-000022000000}"/>
    <hyperlink ref="H37" r:id="rId36" xr:uid="{00000000-0004-0000-0500-000023000000}"/>
    <hyperlink ref="H38" r:id="rId37" xr:uid="{00000000-0004-0000-0500-000024000000}"/>
    <hyperlink ref="H39" r:id="rId38" xr:uid="{00000000-0004-0000-0500-000025000000}"/>
    <hyperlink ref="H40" r:id="rId39" xr:uid="{00000000-0004-0000-0500-000026000000}"/>
    <hyperlink ref="H41" r:id="rId40" xr:uid="{00000000-0004-0000-0500-000027000000}"/>
    <hyperlink ref="H42" r:id="rId41" xr:uid="{00000000-0004-0000-0500-000028000000}"/>
    <hyperlink ref="H43" r:id="rId42" xr:uid="{00000000-0004-0000-0500-000029000000}"/>
    <hyperlink ref="H44" r:id="rId43" xr:uid="{00000000-0004-0000-0500-00002A000000}"/>
    <hyperlink ref="H45" r:id="rId44" xr:uid="{00000000-0004-0000-0500-00002B000000}"/>
    <hyperlink ref="H46" r:id="rId45" xr:uid="{00000000-0004-0000-0500-00002C000000}"/>
    <hyperlink ref="H47" r:id="rId46" xr:uid="{00000000-0004-0000-0500-00002D000000}"/>
    <hyperlink ref="H48" r:id="rId47" xr:uid="{00000000-0004-0000-0500-00002E000000}"/>
    <hyperlink ref="H49" r:id="rId48" xr:uid="{00000000-0004-0000-0500-00002F000000}"/>
    <hyperlink ref="H50" r:id="rId49" xr:uid="{00000000-0004-0000-0500-000030000000}"/>
    <hyperlink ref="H51" r:id="rId50" xr:uid="{00000000-0004-0000-0500-000031000000}"/>
    <hyperlink ref="H52" r:id="rId51" xr:uid="{00000000-0004-0000-0500-000032000000}"/>
    <hyperlink ref="H53" r:id="rId52" xr:uid="{00000000-0004-0000-0500-000033000000}"/>
    <hyperlink ref="H54" r:id="rId53" xr:uid="{00000000-0004-0000-0500-000034000000}"/>
    <hyperlink ref="H55" r:id="rId54" xr:uid="{00000000-0004-0000-0500-000035000000}"/>
    <hyperlink ref="H56" r:id="rId55" xr:uid="{00000000-0004-0000-0500-000036000000}"/>
    <hyperlink ref="H57" r:id="rId56" xr:uid="{00000000-0004-0000-0500-000037000000}"/>
    <hyperlink ref="H58" r:id="rId57" xr:uid="{00000000-0004-0000-0500-000038000000}"/>
    <hyperlink ref="H59" r:id="rId58" xr:uid="{00000000-0004-0000-0500-000039000000}"/>
    <hyperlink ref="H60" r:id="rId59" xr:uid="{00000000-0004-0000-0500-00003A000000}"/>
    <hyperlink ref="H61" r:id="rId60" xr:uid="{00000000-0004-0000-0500-00003B000000}"/>
    <hyperlink ref="H62" r:id="rId61" xr:uid="{00000000-0004-0000-0500-00003C000000}"/>
    <hyperlink ref="H63" r:id="rId62" xr:uid="{00000000-0004-0000-0500-00003D000000}"/>
    <hyperlink ref="H64" r:id="rId63" xr:uid="{00000000-0004-0000-0500-00003E000000}"/>
    <hyperlink ref="H65" r:id="rId64" xr:uid="{00000000-0004-0000-0500-00003F000000}"/>
    <hyperlink ref="H66" r:id="rId65" xr:uid="{00000000-0004-0000-0500-000040000000}"/>
    <hyperlink ref="H67" r:id="rId66" xr:uid="{00000000-0004-0000-0500-000041000000}"/>
    <hyperlink ref="H68" r:id="rId67" xr:uid="{00000000-0004-0000-0500-000042000000}"/>
    <hyperlink ref="H69" r:id="rId68" xr:uid="{00000000-0004-0000-0500-000043000000}"/>
    <hyperlink ref="H70" r:id="rId69" xr:uid="{00000000-0004-0000-0500-000044000000}"/>
    <hyperlink ref="H71" r:id="rId70" xr:uid="{00000000-0004-0000-0500-000045000000}"/>
    <hyperlink ref="H72" r:id="rId71" xr:uid="{00000000-0004-0000-0500-000046000000}"/>
    <hyperlink ref="H73" r:id="rId72" xr:uid="{00000000-0004-0000-0500-000047000000}"/>
    <hyperlink ref="H74" r:id="rId73" xr:uid="{00000000-0004-0000-0500-000048000000}"/>
    <hyperlink ref="H75" r:id="rId74" xr:uid="{00000000-0004-0000-0500-000049000000}"/>
    <hyperlink ref="H76" r:id="rId75" xr:uid="{00000000-0004-0000-0500-00004A000000}"/>
    <hyperlink ref="H77" r:id="rId76" xr:uid="{00000000-0004-0000-0500-00004B000000}"/>
    <hyperlink ref="H78" r:id="rId77" xr:uid="{00000000-0004-0000-0500-00004C000000}"/>
    <hyperlink ref="H79" r:id="rId78" xr:uid="{00000000-0004-0000-0500-00004D000000}"/>
    <hyperlink ref="H80" r:id="rId79" xr:uid="{00000000-0004-0000-0500-00004E000000}"/>
    <hyperlink ref="H81" r:id="rId80" xr:uid="{00000000-0004-0000-0500-00004F000000}"/>
    <hyperlink ref="H82" r:id="rId81" xr:uid="{00000000-0004-0000-0500-000050000000}"/>
    <hyperlink ref="H83" r:id="rId82" xr:uid="{00000000-0004-0000-0500-000051000000}"/>
    <hyperlink ref="H84" r:id="rId83" xr:uid="{00000000-0004-0000-0500-000052000000}"/>
    <hyperlink ref="H85" r:id="rId84" xr:uid="{00000000-0004-0000-0500-000053000000}"/>
    <hyperlink ref="H86" r:id="rId85" xr:uid="{00000000-0004-0000-0500-000054000000}"/>
    <hyperlink ref="H87" r:id="rId86" xr:uid="{00000000-0004-0000-0500-000055000000}"/>
    <hyperlink ref="H88" r:id="rId87" xr:uid="{00000000-0004-0000-0500-000056000000}"/>
    <hyperlink ref="H89" r:id="rId88" xr:uid="{00000000-0004-0000-0500-000057000000}"/>
    <hyperlink ref="H90" r:id="rId89" xr:uid="{00000000-0004-0000-0500-000058000000}"/>
    <hyperlink ref="H91" r:id="rId90" xr:uid="{00000000-0004-0000-0500-000059000000}"/>
    <hyperlink ref="H92" r:id="rId91" xr:uid="{00000000-0004-0000-0500-00005A000000}"/>
    <hyperlink ref="H93" r:id="rId92" xr:uid="{00000000-0004-0000-0500-00005B000000}"/>
    <hyperlink ref="H94" r:id="rId93" xr:uid="{00000000-0004-0000-0500-00005C000000}"/>
    <hyperlink ref="H95" r:id="rId94" xr:uid="{00000000-0004-0000-0500-00005D000000}"/>
    <hyperlink ref="H96" r:id="rId95" xr:uid="{00000000-0004-0000-0500-00005E000000}"/>
    <hyperlink ref="H97" r:id="rId96" xr:uid="{00000000-0004-0000-0500-00005F000000}"/>
    <hyperlink ref="H98" r:id="rId97" xr:uid="{00000000-0004-0000-0500-000060000000}"/>
    <hyperlink ref="H99" r:id="rId98" xr:uid="{00000000-0004-0000-0500-000061000000}"/>
    <hyperlink ref="H100" r:id="rId99" xr:uid="{00000000-0004-0000-0500-000062000000}"/>
    <hyperlink ref="H101" r:id="rId100" xr:uid="{00000000-0004-0000-0500-000063000000}"/>
  </hyperlinks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B00-000000000000}">
  <sheetPr codeName="Аркуш60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4" width="8.6640625" customWidth="1"/>
    <col min="5" max="5" width="8.6640625" hidden="1" customWidth="1"/>
    <col min="6" max="7" width="8.664062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C2" s="21" t="s">
        <v>1674</v>
      </c>
      <c r="D2" s="21" t="s">
        <v>172</v>
      </c>
      <c r="E2" s="21">
        <v>1</v>
      </c>
      <c r="F2" s="21">
        <v>1404031</v>
      </c>
      <c r="H2" s="21" t="s">
        <v>1675</v>
      </c>
      <c r="I2" s="39">
        <f ca="1">IFERROR(__xludf.DUMMYFUNCTION("IF(SUM(COUNTIF(artists!A:A, SPLIT(D2, "",""))) &gt; 0, ""UA"", 0)"),0)</f>
        <v>0</v>
      </c>
      <c r="J2" s="40" t="str">
        <f ca="1">IFERROR(__xludf.DUMMYFUNCTION("IF(SUM(COUNTIF(artists!C:C, SPLIT(D2, "",""))) &gt; 0, ""RU"", 0)"),"RU")</f>
        <v>RU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B3" s="21">
        <v>1</v>
      </c>
      <c r="C3" s="21" t="s">
        <v>935</v>
      </c>
      <c r="D3" s="21" t="s">
        <v>936</v>
      </c>
      <c r="E3" s="21">
        <v>12</v>
      </c>
      <c r="F3" s="21">
        <v>1373711</v>
      </c>
      <c r="G3" s="42">
        <v>-2E-3</v>
      </c>
      <c r="H3" s="21" t="s">
        <v>937</v>
      </c>
      <c r="I3" s="39">
        <f ca="1">IFERROR(__xludf.DUMMYFUNCTION("IF(SUM(COUNTIF(artists!A:A, SPLIT(D3, "",""))) &gt; 0, ""UA"", 0)"),0)</f>
        <v>0</v>
      </c>
      <c r="J3" s="40" t="str">
        <f ca="1">IFERROR(__xludf.DUMMYFUNCTION("IF(SUM(COUNTIF(artists!C:C, SPLIT(D3, "",""))) &gt; 0, ""RU"", 0)"),"RU")</f>
        <v>RU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C4" s="21" t="s">
        <v>1960</v>
      </c>
      <c r="D4" s="21" t="s">
        <v>1050</v>
      </c>
      <c r="E4" s="21">
        <v>1</v>
      </c>
      <c r="F4" s="21">
        <v>1312955</v>
      </c>
      <c r="H4" s="21" t="s">
        <v>1961</v>
      </c>
      <c r="I4" s="39">
        <f ca="1">IFERROR(__xludf.DUMMYFUNCTION("IF(SUM(COUNTIF(artists!A:A, SPLIT(D4, "",""))) &gt; 0, ""UA"", 0)"),0)</f>
        <v>0</v>
      </c>
      <c r="J4" s="40" t="str">
        <f ca="1">IFERROR(__xludf.DUMMYFUNCTION("IF(SUM(COUNTIF(artists!C:C, SPLIT(D4, "",""))) &gt; 0, ""RU"", 0)"),"RU")</f>
        <v>RU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B5" s="21">
        <v>2</v>
      </c>
      <c r="C5" s="21" t="s">
        <v>1116</v>
      </c>
      <c r="D5" s="21" t="s">
        <v>1117</v>
      </c>
      <c r="E5" s="21">
        <v>8</v>
      </c>
      <c r="F5" s="21">
        <v>952543</v>
      </c>
      <c r="G5" s="42">
        <v>-2.5000000000000001E-2</v>
      </c>
      <c r="H5" s="21" t="s">
        <v>1118</v>
      </c>
      <c r="I5" s="39">
        <f ca="1">IFERROR(__xludf.DUMMYFUNCTION("IF(SUM(COUNTIF(artists!A:A, SPLIT(D5, "",""))) &gt; 0, ""UA"", 0)"),0)</f>
        <v>0</v>
      </c>
      <c r="J5" s="40" t="str">
        <f ca="1">IFERROR(__xludf.DUMMYFUNCTION("IF(SUM(COUNTIF(artists!C:C, SPLIT(D5, "",""))) &gt; 0, ""RU"", 0)"),"RU")</f>
        <v>RU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C6" s="21" t="s">
        <v>1839</v>
      </c>
      <c r="D6" s="21" t="s">
        <v>1840</v>
      </c>
      <c r="E6" s="21">
        <v>1</v>
      </c>
      <c r="F6" s="21">
        <v>936268</v>
      </c>
      <c r="H6" s="21" t="s">
        <v>1841</v>
      </c>
      <c r="I6" s="39">
        <f ca="1">IFERROR(__xludf.DUMMYFUNCTION("IF(SUM(COUNTIF(artists!A:A, SPLIT(D6, "",""))) &gt; 0, ""UA"", 0)"),0)</f>
        <v>0</v>
      </c>
      <c r="J6" s="40" t="str">
        <f ca="1">IFERROR(__xludf.DUMMYFUNCTION("IF(SUM(COUNTIF(artists!C:C, SPLIT(D6, "",""))) &gt; 0, ""RU"", 0)"),"RU")</f>
        <v>RU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B7" s="21">
        <v>3</v>
      </c>
      <c r="C7" s="21" t="s">
        <v>1325</v>
      </c>
      <c r="D7" s="21" t="s">
        <v>1237</v>
      </c>
      <c r="E7" s="21">
        <v>35</v>
      </c>
      <c r="F7" s="21">
        <v>765967</v>
      </c>
      <c r="G7" s="42">
        <v>-0.13600000000000001</v>
      </c>
      <c r="H7" s="21" t="s">
        <v>1326</v>
      </c>
      <c r="I7" s="39">
        <f ca="1">IFERROR(__xludf.DUMMYFUNCTION("IF(SUM(COUNTIF(artists!A:A, SPLIT(D7, "",""))) &gt; 0, ""UA"", 0)"),0)</f>
        <v>0</v>
      </c>
      <c r="J7" s="40" t="str">
        <f ca="1">IFERROR(__xludf.DUMMYFUNCTION("IF(SUM(COUNTIF(artists!C:C, SPLIT(D7, "",""))) &gt; 0, ""RU"", 0)"),"RU")</f>
        <v>RU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B8" s="21">
        <v>6</v>
      </c>
      <c r="C8" s="21" t="s">
        <v>1956</v>
      </c>
      <c r="D8" s="21" t="s">
        <v>1957</v>
      </c>
      <c r="E8" s="21">
        <v>13</v>
      </c>
      <c r="F8" s="21">
        <v>731291</v>
      </c>
      <c r="G8" s="43">
        <v>-0.02</v>
      </c>
      <c r="H8" s="21" t="s">
        <v>1958</v>
      </c>
      <c r="I8" s="39">
        <f ca="1">IFERROR(__xludf.DUMMYFUNCTION("IF(SUM(COUNTIF(artists!A:A, SPLIT(D8, "",""))) &gt; 0, ""UA"", 0)"),0)</f>
        <v>0</v>
      </c>
      <c r="J8" s="40" t="str">
        <f ca="1">IFERROR(__xludf.DUMMYFUNCTION("IF(SUM(COUNTIF(artists!C:C, SPLIT(D8, "",""))) &gt; 0, ""RU"", 0)"),"RU")</f>
        <v>RU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B9" s="21">
        <v>10</v>
      </c>
      <c r="C9" s="21" t="s">
        <v>1263</v>
      </c>
      <c r="D9" s="21" t="s">
        <v>1264</v>
      </c>
      <c r="E9" s="21">
        <v>11</v>
      </c>
      <c r="F9" s="21">
        <v>729854</v>
      </c>
      <c r="G9" s="42">
        <v>0.114</v>
      </c>
      <c r="H9" s="21" t="s">
        <v>1265</v>
      </c>
      <c r="I9" s="39">
        <f ca="1">IFERROR(__xludf.DUMMYFUNCTION("IF(SUM(COUNTIF(artists!A:A, SPLIT(D9, "",""))) &gt; 0, ""UA"", 0)"),0)</f>
        <v>0</v>
      </c>
      <c r="J9" s="40" t="str">
        <f ca="1">IFERROR(__xludf.DUMMYFUNCTION("IF(SUM(COUNTIF(artists!C:C, SPLIT(D9, "",""))) &gt; 0, ""RU"", 0)"),"RU")</f>
        <v>RU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B10" s="21">
        <v>9</v>
      </c>
      <c r="C10" s="21" t="s">
        <v>1676</v>
      </c>
      <c r="D10" s="21" t="s">
        <v>743</v>
      </c>
      <c r="E10" s="21">
        <v>11</v>
      </c>
      <c r="F10" s="21">
        <v>673261</v>
      </c>
      <c r="G10" s="43">
        <v>0.02</v>
      </c>
      <c r="H10" s="21" t="s">
        <v>1677</v>
      </c>
      <c r="I10" s="39">
        <f ca="1">IFERROR(__xludf.DUMMYFUNCTION("IF(SUM(COUNTIF(artists!A:A, SPLIT(D10, "",""))) &gt; 0, ""UA"", 0)"),0)</f>
        <v>0</v>
      </c>
      <c r="J10" s="40" t="str">
        <f ca="1">IFERROR(__xludf.DUMMYFUNCTION("IF(SUM(COUNTIF(artists!C:C, SPLIT(D10, "",""))) &gt; 0, ""RU"", 0)"),"RU")</f>
        <v>RU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B11" s="21">
        <v>8</v>
      </c>
      <c r="C11" s="21" t="s">
        <v>1825</v>
      </c>
      <c r="D11" s="21" t="s">
        <v>1895</v>
      </c>
      <c r="E11" s="21">
        <v>39</v>
      </c>
      <c r="F11" s="21">
        <v>622755</v>
      </c>
      <c r="G11" s="42">
        <v>-7.2999999999999995E-2</v>
      </c>
      <c r="H11" s="21" t="s">
        <v>1827</v>
      </c>
      <c r="I11" s="39">
        <f ca="1">IFERROR(__xludf.DUMMYFUNCTION("IF(SUM(COUNTIF(artists!A:A, SPLIT(D11, "",""))) &gt; 0, ""UA"", 0)"),0)</f>
        <v>0</v>
      </c>
      <c r="J11" s="40">
        <f ca="1">IFERROR(__xludf.DUMMYFUNCTION("IF(SUM(COUNTIF(artists!C:C, SPLIT(D11, "",""))) &gt; 0, ""RU"", 0)"),0)</f>
        <v>0</v>
      </c>
      <c r="K11" s="39" t="str">
        <f ca="1">IFERROR(__xludf.DUMMYFUNCTION("IF(SUM(COUNTIF(artists!E:E, SPLIT(D11, "",""))) &gt; 0, ""OTHER"", 0)"),"OTHER")</f>
        <v>OTHER</v>
      </c>
    </row>
    <row r="12" spans="1:11" ht="14.25" customHeight="1">
      <c r="A12" s="21">
        <v>11</v>
      </c>
      <c r="B12" s="21">
        <v>7</v>
      </c>
      <c r="C12" s="21" t="s">
        <v>2041</v>
      </c>
      <c r="D12" s="21" t="s">
        <v>584</v>
      </c>
      <c r="E12" s="21">
        <v>6</v>
      </c>
      <c r="F12" s="21">
        <v>617920</v>
      </c>
      <c r="G12" s="42">
        <v>-8.7999999999999995E-2</v>
      </c>
      <c r="H12" s="21" t="s">
        <v>2042</v>
      </c>
      <c r="I12" s="39">
        <f ca="1">IFERROR(__xludf.DUMMYFUNCTION("IF(SUM(COUNTIF(artists!A:A, SPLIT(D12, "",""))) &gt; 0, ""UA"", 0)"),0)</f>
        <v>0</v>
      </c>
      <c r="J12" s="40" t="str">
        <f ca="1">IFERROR(__xludf.DUMMYFUNCTION("IF(SUM(COUNTIF(artists!C:C, SPLIT(D12, "",""))) &gt; 0, ""RU"", 0)"),"RU")</f>
        <v>RU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B13" s="21">
        <v>13</v>
      </c>
      <c r="C13" s="21" t="s">
        <v>1500</v>
      </c>
      <c r="D13" s="21" t="s">
        <v>907</v>
      </c>
      <c r="E13" s="21">
        <v>15</v>
      </c>
      <c r="F13" s="21">
        <v>612415</v>
      </c>
      <c r="G13" s="42">
        <v>2.7E-2</v>
      </c>
      <c r="H13" s="21" t="s">
        <v>1501</v>
      </c>
      <c r="I13" s="39">
        <f ca="1">IFERROR(__xludf.DUMMYFUNCTION("IF(SUM(COUNTIF(artists!A:A, SPLIT(D13, "",""))) &gt; 0, ""UA"", 0)"),0)</f>
        <v>0</v>
      </c>
      <c r="J13" s="40" t="str">
        <f ca="1">IFERROR(__xludf.DUMMYFUNCTION("IF(SUM(COUNTIF(artists!C:C, SPLIT(D13, "",""))) &gt; 0, ""RU"", 0)"),"RU")</f>
        <v>RU</v>
      </c>
      <c r="K13" s="39">
        <f ca="1">IFERROR(__xludf.DUMMYFUNCTION("IF(SUM(COUNTIF(artists!E:E, SPLIT(D13, "",""))) &gt; 0, ""OTHER"", 0)"),0)</f>
        <v>0</v>
      </c>
    </row>
    <row r="14" spans="1:11" ht="14.25" customHeight="1">
      <c r="A14" s="21">
        <v>13</v>
      </c>
      <c r="B14" s="21">
        <v>11</v>
      </c>
      <c r="C14" s="21" t="s">
        <v>918</v>
      </c>
      <c r="D14" s="21" t="s">
        <v>108</v>
      </c>
      <c r="E14" s="21">
        <v>30</v>
      </c>
      <c r="F14" s="21">
        <v>586346</v>
      </c>
      <c r="G14" s="42">
        <v>-5.2999999999999999E-2</v>
      </c>
      <c r="H14" s="21" t="s">
        <v>919</v>
      </c>
      <c r="I14" s="39" t="str">
        <f ca="1">IFERROR(__xludf.DUMMYFUNCTION("IF(SUM(COUNTIF(artists!A:A, SPLIT(D14, "",""))) &gt; 0, ""UA"", 0)"),"UA")</f>
        <v>UA</v>
      </c>
      <c r="J14" s="40">
        <f ca="1">IFERROR(__xludf.DUMMYFUNCTION("IF(SUM(COUNTIF(artists!C:C, SPLIT(D14, "",""))) &gt; 0, ""RU"", 0)"),0)</f>
        <v>0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B15" s="21">
        <v>5</v>
      </c>
      <c r="C15" s="21" t="s">
        <v>1887</v>
      </c>
      <c r="D15" s="21" t="s">
        <v>1099</v>
      </c>
      <c r="E15" s="21">
        <v>2</v>
      </c>
      <c r="F15" s="21">
        <v>559741</v>
      </c>
      <c r="G15" s="43">
        <v>-0.27</v>
      </c>
      <c r="H15" s="21" t="s">
        <v>1888</v>
      </c>
      <c r="I15" s="39">
        <f ca="1">IFERROR(__xludf.DUMMYFUNCTION("IF(SUM(COUNTIF(artists!A:A, SPLIT(D15, "",""))) &gt; 0, ""UA"", 0)"),0)</f>
        <v>0</v>
      </c>
      <c r="J15" s="40" t="str">
        <f ca="1">IFERROR(__xludf.DUMMYFUNCTION("IF(SUM(COUNTIF(artists!C:C, SPLIT(D15, "",""))) &gt; 0, ""RU"", 0)"),"RU")</f>
        <v>RU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B16" s="21">
        <v>14</v>
      </c>
      <c r="C16" s="21" t="s">
        <v>906</v>
      </c>
      <c r="D16" s="21" t="s">
        <v>907</v>
      </c>
      <c r="E16" s="21">
        <v>6</v>
      </c>
      <c r="F16" s="21">
        <v>544912</v>
      </c>
      <c r="G16" s="43">
        <v>-0.03</v>
      </c>
      <c r="H16" s="21" t="s">
        <v>908</v>
      </c>
      <c r="I16" s="39">
        <f ca="1">IFERROR(__xludf.DUMMYFUNCTION("IF(SUM(COUNTIF(artists!A:A, SPLIT(D16, "",""))) &gt; 0, ""UA"", 0)"),0)</f>
        <v>0</v>
      </c>
      <c r="J16" s="40" t="str">
        <f ca="1">IFERROR(__xludf.DUMMYFUNCTION("IF(SUM(COUNTIF(artists!C:C, SPLIT(D16, "",""))) &gt; 0, ""RU"", 0)"),"RU")</f>
        <v>RU</v>
      </c>
      <c r="K16" s="39">
        <f ca="1">IFERROR(__xludf.DUMMYFUNCTION("IF(SUM(COUNTIF(artists!E:E, SPLIT(D16, "",""))) &gt; 0, ""OTHER"", 0)"),0)</f>
        <v>0</v>
      </c>
    </row>
    <row r="17" spans="1:11" ht="14.25" customHeight="1">
      <c r="A17" s="21">
        <v>16</v>
      </c>
      <c r="B17" s="21">
        <v>15</v>
      </c>
      <c r="C17" s="21" t="s">
        <v>1729</v>
      </c>
      <c r="D17" s="21" t="s">
        <v>1730</v>
      </c>
      <c r="E17" s="21">
        <v>36</v>
      </c>
      <c r="F17" s="21">
        <v>536769</v>
      </c>
      <c r="G17" s="43">
        <v>-0.02</v>
      </c>
      <c r="H17" s="21" t="s">
        <v>1731</v>
      </c>
      <c r="I17" s="39">
        <f ca="1">IFERROR(__xludf.DUMMYFUNCTION("IF(SUM(COUNTIF(artists!A:A, SPLIT(D17, "",""))) &gt; 0, ""UA"", 0)"),0)</f>
        <v>0</v>
      </c>
      <c r="J17" s="40" t="str">
        <f ca="1">IFERROR(__xludf.DUMMYFUNCTION("IF(SUM(COUNTIF(artists!C:C, SPLIT(D17, "",""))) &gt; 0, ""RU"", 0)"),"RU")</f>
        <v>RU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B18" s="21">
        <v>17</v>
      </c>
      <c r="C18" s="21" t="s">
        <v>1261</v>
      </c>
      <c r="D18" s="21" t="s">
        <v>137</v>
      </c>
      <c r="E18" s="21">
        <v>10</v>
      </c>
      <c r="F18" s="21">
        <v>533614</v>
      </c>
      <c r="G18" s="42">
        <v>8.7999999999999995E-2</v>
      </c>
      <c r="H18" s="21" t="s">
        <v>1262</v>
      </c>
      <c r="I18" s="39" t="str">
        <f ca="1">IFERROR(__xludf.DUMMYFUNCTION("IF(SUM(COUNTIF(artists!A:A, SPLIT(D18, "",""))) &gt; 0, ""UA"", 0)"),"UA")</f>
        <v>UA</v>
      </c>
      <c r="J18" s="40">
        <f ca="1">IFERROR(__xludf.DUMMYFUNCTION("IF(SUM(COUNTIF(artists!C:C, SPLIT(D18, "",""))) &gt; 0, ""RU"", 0)"),0)</f>
        <v>0</v>
      </c>
      <c r="K18" s="39">
        <f ca="1">IFERROR(__xludf.DUMMYFUNCTION("IF(SUM(COUNTIF(artists!E:E, SPLIT(D18, "",""))) &gt; 0, ""OTHER"", 0)"),0)</f>
        <v>0</v>
      </c>
    </row>
    <row r="19" spans="1:11" ht="14.25" customHeight="1">
      <c r="A19" s="21">
        <v>18</v>
      </c>
      <c r="B19" s="21">
        <v>12</v>
      </c>
      <c r="C19" s="21" t="s">
        <v>2262</v>
      </c>
      <c r="D19" s="21" t="s">
        <v>2171</v>
      </c>
      <c r="E19" s="21">
        <v>52</v>
      </c>
      <c r="F19" s="21">
        <v>528581</v>
      </c>
      <c r="G19" s="42">
        <v>-0.13400000000000001</v>
      </c>
      <c r="H19" s="21" t="s">
        <v>2263</v>
      </c>
      <c r="I19" s="39">
        <f ca="1">IFERROR(__xludf.DUMMYFUNCTION("IF(SUM(COUNTIF(artists!A:A, SPLIT(D19, "",""))) &gt; 0, ""UA"", 0)"),0)</f>
        <v>0</v>
      </c>
      <c r="J19" s="40" t="str">
        <f ca="1">IFERROR(__xludf.DUMMYFUNCTION("IF(SUM(COUNTIF(artists!C:C, SPLIT(D19, "",""))) &gt; 0, ""RU"", 0)"),"RU")</f>
        <v>RU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B20" s="21">
        <v>4</v>
      </c>
      <c r="C20" s="21" t="s">
        <v>2107</v>
      </c>
      <c r="D20" s="21" t="s">
        <v>1783</v>
      </c>
      <c r="E20" s="21">
        <v>2</v>
      </c>
      <c r="F20" s="21">
        <v>510382</v>
      </c>
      <c r="G20" s="42">
        <v>-0.36099999999999999</v>
      </c>
      <c r="H20" s="21" t="s">
        <v>2108</v>
      </c>
      <c r="I20" s="39">
        <f ca="1">IFERROR(__xludf.DUMMYFUNCTION("IF(SUM(COUNTIF(artists!A:A, SPLIT(D20, "",""))) &gt; 0, ""UA"", 0)"),0)</f>
        <v>0</v>
      </c>
      <c r="J20" s="40" t="str">
        <f ca="1">IFERROR(__xludf.DUMMYFUNCTION("IF(SUM(COUNTIF(artists!C:C, SPLIT(D20, "",""))) &gt; 0, ""RU"", 0)"),"RU")</f>
        <v>RU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B21" s="21">
        <v>16</v>
      </c>
      <c r="C21" s="21" t="s">
        <v>1867</v>
      </c>
      <c r="D21" s="21" t="s">
        <v>1099</v>
      </c>
      <c r="E21" s="21">
        <v>9</v>
      </c>
      <c r="F21" s="21">
        <v>500212</v>
      </c>
      <c r="G21" s="42">
        <v>-6.4000000000000001E-2</v>
      </c>
      <c r="H21" s="21" t="s">
        <v>1868</v>
      </c>
      <c r="I21" s="39">
        <f ca="1">IFERROR(__xludf.DUMMYFUNCTION("IF(SUM(COUNTIF(artists!A:A, SPLIT(D21, "",""))) &gt; 0, ""UA"", 0)"),0)</f>
        <v>0</v>
      </c>
      <c r="J21" s="40" t="str">
        <f ca="1">IFERROR(__xludf.DUMMYFUNCTION("IF(SUM(COUNTIF(artists!C:C, SPLIT(D21, "",""))) &gt; 0, ""RU"", 0)"),"RU")</f>
        <v>RU</v>
      </c>
      <c r="K21" s="39">
        <f ca="1">IFERROR(__xludf.DUMMYFUNCTION("IF(SUM(COUNTIF(artists!E:E, SPLIT(D21, "",""))) &gt; 0, ""OTHER"", 0)"),0)</f>
        <v>0</v>
      </c>
    </row>
    <row r="22" spans="1:11" ht="14.25" customHeight="1">
      <c r="A22" s="21">
        <v>21</v>
      </c>
      <c r="B22" s="21">
        <v>18</v>
      </c>
      <c r="C22" s="21" t="s">
        <v>1616</v>
      </c>
      <c r="D22" s="21" t="s">
        <v>1617</v>
      </c>
      <c r="E22" s="21">
        <v>31</v>
      </c>
      <c r="F22" s="21">
        <v>494600</v>
      </c>
      <c r="G22" s="42">
        <v>1.4E-2</v>
      </c>
      <c r="H22" s="21" t="s">
        <v>1618</v>
      </c>
      <c r="I22" s="39">
        <f ca="1">IFERROR(__xludf.DUMMYFUNCTION("IF(SUM(COUNTIF(artists!A:A, SPLIT(D22, "",""))) &gt; 0, ""UA"", 0)"),0)</f>
        <v>0</v>
      </c>
      <c r="J22" s="40" t="str">
        <f ca="1">IFERROR(__xludf.DUMMYFUNCTION("IF(SUM(COUNTIF(artists!C:C, SPLIT(D22, "",""))) &gt; 0, ""RU"", 0)"),"RU")</f>
        <v>RU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B23" s="21">
        <v>19</v>
      </c>
      <c r="C23" s="21" t="s">
        <v>1964</v>
      </c>
      <c r="D23" s="21" t="s">
        <v>1965</v>
      </c>
      <c r="E23" s="21">
        <v>12</v>
      </c>
      <c r="F23" s="21">
        <v>489795</v>
      </c>
      <c r="G23" s="42">
        <v>2.9000000000000001E-2</v>
      </c>
      <c r="H23" s="21" t="s">
        <v>1966</v>
      </c>
      <c r="I23" s="39">
        <f ca="1">IFERROR(__xludf.DUMMYFUNCTION("IF(SUM(COUNTIF(artists!A:A, SPLIT(D23, "",""))) &gt; 0, ""UA"", 0)"),0)</f>
        <v>0</v>
      </c>
      <c r="J23" s="40" t="str">
        <f ca="1">IFERROR(__xludf.DUMMYFUNCTION("IF(SUM(COUNTIF(artists!C:C, SPLIT(D23, "",""))) &gt; 0, ""RU"", 0)"),"RU")</f>
        <v>RU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B24" s="21">
        <v>20</v>
      </c>
      <c r="C24" s="21" t="s">
        <v>2074</v>
      </c>
      <c r="D24" s="21" t="s">
        <v>584</v>
      </c>
      <c r="E24" s="21">
        <v>46</v>
      </c>
      <c r="F24" s="21">
        <v>467991</v>
      </c>
      <c r="G24" s="42">
        <v>-1.2E-2</v>
      </c>
      <c r="H24" s="21" t="s">
        <v>2075</v>
      </c>
      <c r="I24" s="39">
        <f ca="1">IFERROR(__xludf.DUMMYFUNCTION("IF(SUM(COUNTIF(artists!A:A, SPLIT(D24, "",""))) &gt; 0, ""UA"", 0)"),0)</f>
        <v>0</v>
      </c>
      <c r="J24" s="40" t="str">
        <f ca="1">IFERROR(__xludf.DUMMYFUNCTION("IF(SUM(COUNTIF(artists!C:C, SPLIT(D24, "",""))) &gt; 0, ""RU"", 0)"),"RU")</f>
        <v>RU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B25" s="21">
        <v>23</v>
      </c>
      <c r="C25" s="21" t="s">
        <v>2078</v>
      </c>
      <c r="D25" s="21" t="s">
        <v>584</v>
      </c>
      <c r="E25" s="21">
        <v>16</v>
      </c>
      <c r="F25" s="21">
        <v>451394</v>
      </c>
      <c r="G25" s="42">
        <v>5.3999999999999999E-2</v>
      </c>
      <c r="H25" s="21" t="s">
        <v>2079</v>
      </c>
      <c r="I25" s="39">
        <f ca="1">IFERROR(__xludf.DUMMYFUNCTION("IF(SUM(COUNTIF(artists!A:A, SPLIT(D25, "",""))) &gt; 0, ""UA"", 0)"),0)</f>
        <v>0</v>
      </c>
      <c r="J25" s="40" t="str">
        <f ca="1">IFERROR(__xludf.DUMMYFUNCTION("IF(SUM(COUNTIF(artists!C:C, SPLIT(D25, "",""))) &gt; 0, ""RU"", 0)"),"RU")</f>
        <v>RU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B26" s="21">
        <v>21</v>
      </c>
      <c r="C26" s="21" t="s">
        <v>2076</v>
      </c>
      <c r="D26" s="21" t="s">
        <v>1027</v>
      </c>
      <c r="E26" s="21">
        <v>35</v>
      </c>
      <c r="F26" s="21">
        <v>433577</v>
      </c>
      <c r="G26" s="42">
        <v>-7.2999999999999995E-2</v>
      </c>
      <c r="H26" s="21" t="s">
        <v>2077</v>
      </c>
      <c r="I26" s="39" t="str">
        <f ca="1">IFERROR(__xludf.DUMMYFUNCTION("IF(SUM(COUNTIF(artists!A:A, SPLIT(D26, "",""))) &gt; 0, ""UA"", 0)"),"UA")</f>
        <v>UA</v>
      </c>
      <c r="J26" s="40">
        <f ca="1">IFERROR(__xludf.DUMMYFUNCTION("IF(SUM(COUNTIF(artists!C:C, SPLIT(D26, "",""))) &gt; 0, ""RU"", 0)"),0)</f>
        <v>0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B27" s="21">
        <v>32</v>
      </c>
      <c r="C27" s="21" t="s">
        <v>1942</v>
      </c>
      <c r="D27" s="21" t="s">
        <v>1637</v>
      </c>
      <c r="E27" s="21">
        <v>26</v>
      </c>
      <c r="F27" s="21">
        <v>426232</v>
      </c>
      <c r="G27" s="43">
        <v>0.2</v>
      </c>
      <c r="H27" s="21" t="s">
        <v>1943</v>
      </c>
      <c r="I27" s="39">
        <f ca="1">IFERROR(__xludf.DUMMYFUNCTION("IF(SUM(COUNTIF(artists!A:A, SPLIT(D27, "",""))) &gt; 0, ""UA"", 0)"),0)</f>
        <v>0</v>
      </c>
      <c r="J27" s="40" t="str">
        <f ca="1">IFERROR(__xludf.DUMMYFUNCTION("IF(SUM(COUNTIF(artists!C:C, SPLIT(D27, "",""))) &gt; 0, ""RU"", 0)"),"RU")</f>
        <v>RU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B28" s="21">
        <v>22</v>
      </c>
      <c r="C28" s="21" t="s">
        <v>1282</v>
      </c>
      <c r="D28" s="21" t="s">
        <v>108</v>
      </c>
      <c r="E28" s="21">
        <v>13</v>
      </c>
      <c r="F28" s="21">
        <v>413918</v>
      </c>
      <c r="G28" s="42">
        <v>-3.9E-2</v>
      </c>
      <c r="H28" s="21" t="s">
        <v>1283</v>
      </c>
      <c r="I28" s="39" t="str">
        <f ca="1">IFERROR(__xludf.DUMMYFUNCTION("IF(SUM(COUNTIF(artists!A:A, SPLIT(D28, "",""))) &gt; 0, ""UA"", 0)"),"UA")</f>
        <v>UA</v>
      </c>
      <c r="J28" s="40">
        <f ca="1">IFERROR(__xludf.DUMMYFUNCTION("IF(SUM(COUNTIF(artists!C:C, SPLIT(D28, "",""))) &gt; 0, ""RU"", 0)"),0)</f>
        <v>0</v>
      </c>
      <c r="K28" s="39">
        <f ca="1">IFERROR(__xludf.DUMMYFUNCTION("IF(SUM(COUNTIF(artists!E:E, SPLIT(D28, "",""))) &gt; 0, ""OTHER"", 0)"),0)</f>
        <v>0</v>
      </c>
    </row>
    <row r="29" spans="1:11" ht="14.25" customHeight="1">
      <c r="A29" s="21">
        <v>28</v>
      </c>
      <c r="B29" s="21">
        <v>25</v>
      </c>
      <c r="C29" s="21" t="s">
        <v>1651</v>
      </c>
      <c r="D29" s="21" t="s">
        <v>1652</v>
      </c>
      <c r="E29" s="21">
        <v>13</v>
      </c>
      <c r="F29" s="21">
        <v>408833</v>
      </c>
      <c r="G29" s="42">
        <v>-1.0999999999999999E-2</v>
      </c>
      <c r="H29" s="21" t="s">
        <v>1959</v>
      </c>
      <c r="I29" s="39">
        <f ca="1">IFERROR(__xludf.DUMMYFUNCTION("IF(SUM(COUNTIF(artists!A:A, SPLIT(D29, "",""))) &gt; 0, ""UA"", 0)"),0)</f>
        <v>0</v>
      </c>
      <c r="J29" s="40" t="str">
        <f ca="1">IFERROR(__xludf.DUMMYFUNCTION("IF(SUM(COUNTIF(artists!C:C, SPLIT(D29, "",""))) &gt; 0, ""RU"", 0)"),"RU")</f>
        <v>RU</v>
      </c>
      <c r="K29" s="39">
        <f ca="1">IFERROR(__xludf.DUMMYFUNCTION("IF(SUM(COUNTIF(artists!E:E, SPLIT(D29, "",""))) &gt; 0, ""OTHER"", 0)"),0)</f>
        <v>0</v>
      </c>
    </row>
    <row r="30" spans="1:11" ht="14.25" customHeight="1">
      <c r="A30" s="21">
        <v>29</v>
      </c>
      <c r="B30" s="21">
        <v>27</v>
      </c>
      <c r="C30" s="21" t="s">
        <v>1496</v>
      </c>
      <c r="D30" s="21" t="s">
        <v>969</v>
      </c>
      <c r="E30" s="21">
        <v>35</v>
      </c>
      <c r="F30" s="21">
        <v>403993</v>
      </c>
      <c r="G30" s="42">
        <v>4.7E-2</v>
      </c>
      <c r="H30" s="21" t="s">
        <v>1497</v>
      </c>
      <c r="I30" s="39" t="str">
        <f ca="1">IFERROR(__xludf.DUMMYFUNCTION("IF(SUM(COUNTIF(artists!A:A, SPLIT(D30, "",""))) &gt; 0, ""UA"", 0)"),"UA")</f>
        <v>UA</v>
      </c>
      <c r="J30" s="40">
        <f ca="1">IFERROR(__xludf.DUMMYFUNCTION("IF(SUM(COUNTIF(artists!C:C, SPLIT(D30, "",""))) &gt; 0, ""RU"", 0)"),0)</f>
        <v>0</v>
      </c>
      <c r="K30" s="39">
        <f ca="1">IFERROR(__xludf.DUMMYFUNCTION("IF(SUM(COUNTIF(artists!E:E, SPLIT(D30, "",""))) &gt; 0, ""OTHER"", 0)"),0)</f>
        <v>0</v>
      </c>
    </row>
    <row r="31" spans="1:11" ht="14.25" customHeight="1">
      <c r="A31" s="21">
        <v>30</v>
      </c>
      <c r="B31" s="21">
        <v>24</v>
      </c>
      <c r="C31" s="21" t="s">
        <v>1995</v>
      </c>
      <c r="D31" s="21" t="s">
        <v>1996</v>
      </c>
      <c r="E31" s="21">
        <v>34</v>
      </c>
      <c r="F31" s="21">
        <v>401162</v>
      </c>
      <c r="G31" s="42">
        <v>-5.5E-2</v>
      </c>
      <c r="H31" s="21" t="s">
        <v>1997</v>
      </c>
      <c r="I31" s="39">
        <f ca="1">IFERROR(__xludf.DUMMYFUNCTION("IF(SUM(COUNTIF(artists!A:A, SPLIT(D31, "",""))) &gt; 0, ""UA"", 0)"),0)</f>
        <v>0</v>
      </c>
      <c r="J31" s="40" t="str">
        <f ca="1">IFERROR(__xludf.DUMMYFUNCTION("IF(SUM(COUNTIF(artists!C:C, SPLIT(D31, "",""))) &gt; 0, ""RU"", 0)"),"RU")</f>
        <v>RU</v>
      </c>
      <c r="K31" s="39">
        <f ca="1">IFERROR(__xludf.DUMMYFUNCTION("IF(SUM(COUNTIF(artists!E:E, SPLIT(D31, "",""))) &gt; 0, ""OTHER"", 0)"),0)</f>
        <v>0</v>
      </c>
    </row>
    <row r="32" spans="1:11" ht="14.25" customHeight="1">
      <c r="A32" s="21">
        <v>31</v>
      </c>
      <c r="B32" s="21">
        <v>26</v>
      </c>
      <c r="C32" s="21" t="s">
        <v>1939</v>
      </c>
      <c r="D32" s="21" t="s">
        <v>1940</v>
      </c>
      <c r="E32" s="21">
        <v>4</v>
      </c>
      <c r="F32" s="21">
        <v>376669</v>
      </c>
      <c r="G32" s="42">
        <v>-7.5999999999999998E-2</v>
      </c>
      <c r="H32" s="21" t="s">
        <v>1941</v>
      </c>
      <c r="I32" s="39">
        <f ca="1">IFERROR(__xludf.DUMMYFUNCTION("IF(SUM(COUNTIF(artists!A:A, SPLIT(D32, "",""))) &gt; 0, ""UA"", 0)"),0)</f>
        <v>0</v>
      </c>
      <c r="J32" s="40" t="str">
        <f ca="1">IFERROR(__xludf.DUMMYFUNCTION("IF(SUM(COUNTIF(artists!C:C, SPLIT(D32, "",""))) &gt; 0, ""RU"", 0)"),"RU")</f>
        <v>RU</v>
      </c>
      <c r="K32" s="39">
        <f ca="1">IFERROR(__xludf.DUMMYFUNCTION("IF(SUM(COUNTIF(artists!E:E, SPLIT(D32, "",""))) &gt; 0, ""OTHER"", 0)"),0)</f>
        <v>0</v>
      </c>
    </row>
    <row r="33" spans="1:11" ht="14.25" customHeight="1">
      <c r="A33" s="21">
        <v>32</v>
      </c>
      <c r="B33" s="21">
        <v>35</v>
      </c>
      <c r="C33" s="21" t="s">
        <v>2009</v>
      </c>
      <c r="D33" s="21" t="s">
        <v>2010</v>
      </c>
      <c r="E33" s="21">
        <v>4</v>
      </c>
      <c r="F33" s="21">
        <v>370855</v>
      </c>
      <c r="G33" s="43">
        <v>0.08</v>
      </c>
      <c r="H33" s="21" t="s">
        <v>2011</v>
      </c>
      <c r="I33" s="39">
        <f ca="1">IFERROR(__xludf.DUMMYFUNCTION("IF(SUM(COUNTIF(artists!A:A, SPLIT(D33, "",""))) &gt; 0, ""UA"", 0)"),0)</f>
        <v>0</v>
      </c>
      <c r="J33" s="40" t="str">
        <f ca="1">IFERROR(__xludf.DUMMYFUNCTION("IF(SUM(COUNTIF(artists!C:C, SPLIT(D33, "",""))) &gt; 0, ""RU"", 0)"),"RU")</f>
        <v>RU</v>
      </c>
      <c r="K33" s="39">
        <f ca="1">IFERROR(__xludf.DUMMYFUNCTION("IF(SUM(COUNTIF(artists!E:E, SPLIT(D33, "",""))) &gt; 0, ""OTHER"", 0)"),0)</f>
        <v>0</v>
      </c>
    </row>
    <row r="34" spans="1:11" ht="14.25" customHeight="1">
      <c r="A34" s="21">
        <v>33</v>
      </c>
      <c r="B34" s="21">
        <v>28</v>
      </c>
      <c r="C34" s="21" t="s">
        <v>1774</v>
      </c>
      <c r="D34" s="21" t="s">
        <v>1775</v>
      </c>
      <c r="E34" s="21">
        <v>12</v>
      </c>
      <c r="F34" s="21">
        <v>369603</v>
      </c>
      <c r="G34" s="42">
        <v>-6.0000000000000001E-3</v>
      </c>
      <c r="H34" s="21" t="s">
        <v>1776</v>
      </c>
      <c r="I34" s="39">
        <f ca="1">IFERROR(__xludf.DUMMYFUNCTION("IF(SUM(COUNTIF(artists!A:A, SPLIT(D34, "",""))) &gt; 0, ""UA"", 0)"),0)</f>
        <v>0</v>
      </c>
      <c r="J34" s="40" t="str">
        <f ca="1">IFERROR(__xludf.DUMMYFUNCTION("IF(SUM(COUNTIF(artists!C:C, SPLIT(D34, "",""))) &gt; 0, ""RU"", 0)"),"RU")</f>
        <v>RU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B35" s="21">
        <v>31</v>
      </c>
      <c r="C35" s="21" t="s">
        <v>2051</v>
      </c>
      <c r="D35" s="21" t="s">
        <v>2052</v>
      </c>
      <c r="E35" s="21">
        <v>4</v>
      </c>
      <c r="F35" s="21">
        <v>363419</v>
      </c>
      <c r="G35" s="42">
        <v>8.9999999999999993E-3</v>
      </c>
      <c r="H35" s="21" t="s">
        <v>2053</v>
      </c>
      <c r="I35" s="39">
        <f ca="1">IFERROR(__xludf.DUMMYFUNCTION("IF(SUM(COUNTIF(artists!A:A, SPLIT(D35, "",""))) &gt; 0, ""UA"", 0)"),0)</f>
        <v>0</v>
      </c>
      <c r="J35" s="40" t="str">
        <f ca="1">IFERROR(__xludf.DUMMYFUNCTION("IF(SUM(COUNTIF(artists!C:C, SPLIT(D35, "",""))) &gt; 0, ""RU"", 0)"),"RU")</f>
        <v>RU</v>
      </c>
      <c r="K35" s="39">
        <f ca="1">IFERROR(__xludf.DUMMYFUNCTION("IF(SUM(COUNTIF(artists!E:E, SPLIT(D35, "",""))) &gt; 0, ""OTHER"", 0)"),0)</f>
        <v>0</v>
      </c>
    </row>
    <row r="36" spans="1:11" ht="14.25" customHeight="1">
      <c r="A36" s="21">
        <v>35</v>
      </c>
      <c r="B36" s="21">
        <v>29</v>
      </c>
      <c r="C36" s="21" t="s">
        <v>1896</v>
      </c>
      <c r="D36" s="21" t="s">
        <v>1099</v>
      </c>
      <c r="E36" s="21">
        <v>42</v>
      </c>
      <c r="F36" s="21">
        <v>362811</v>
      </c>
      <c r="G36" s="42">
        <v>-8.9999999999999993E-3</v>
      </c>
      <c r="H36" s="21" t="s">
        <v>1897</v>
      </c>
      <c r="I36" s="39">
        <f ca="1">IFERROR(__xludf.DUMMYFUNCTION("IF(SUM(COUNTIF(artists!A:A, SPLIT(D36, "",""))) &gt; 0, ""UA"", 0)"),0)</f>
        <v>0</v>
      </c>
      <c r="J36" s="40" t="str">
        <f ca="1">IFERROR(__xludf.DUMMYFUNCTION("IF(SUM(COUNTIF(artists!C:C, SPLIT(D36, "",""))) &gt; 0, ""RU"", 0)"),"RU")</f>
        <v>RU</v>
      </c>
      <c r="K36" s="39">
        <f ca="1">IFERROR(__xludf.DUMMYFUNCTION("IF(SUM(COUNTIF(artists!E:E, SPLIT(D36, "",""))) &gt; 0, ""OTHER"", 0)"),0)</f>
        <v>0</v>
      </c>
    </row>
    <row r="37" spans="1:11" ht="14.25" customHeight="1">
      <c r="A37" s="21">
        <v>36</v>
      </c>
      <c r="B37" s="21">
        <v>34</v>
      </c>
      <c r="C37" s="21" t="s">
        <v>1944</v>
      </c>
      <c r="D37" s="21" t="s">
        <v>1945</v>
      </c>
      <c r="E37" s="21">
        <v>9</v>
      </c>
      <c r="F37" s="21">
        <v>362040</v>
      </c>
      <c r="G37" s="42">
        <v>2.7E-2</v>
      </c>
      <c r="H37" s="21" t="s">
        <v>1946</v>
      </c>
      <c r="I37" s="39">
        <f ca="1">IFERROR(__xludf.DUMMYFUNCTION("IF(SUM(COUNTIF(artists!A:A, SPLIT(D37, "",""))) &gt; 0, ""UA"", 0)"),0)</f>
        <v>0</v>
      </c>
      <c r="J37" s="40" t="str">
        <f ca="1">IFERROR(__xludf.DUMMYFUNCTION("IF(SUM(COUNTIF(artists!C:C, SPLIT(D37, "",""))) &gt; 0, ""RU"", 0)"),"RU")</f>
        <v>RU</v>
      </c>
      <c r="K37" s="39">
        <f ca="1">IFERROR(__xludf.DUMMYFUNCTION("IF(SUM(COUNTIF(artists!E:E, SPLIT(D37, "",""))) &gt; 0, ""OTHER"", 0)"),0)</f>
        <v>0</v>
      </c>
    </row>
    <row r="38" spans="1:11" ht="14.25" customHeight="1">
      <c r="A38" s="21">
        <v>37</v>
      </c>
      <c r="B38" s="21">
        <v>30</v>
      </c>
      <c r="C38" s="21" t="s">
        <v>1865</v>
      </c>
      <c r="D38" s="21" t="s">
        <v>1646</v>
      </c>
      <c r="E38" s="21">
        <v>6</v>
      </c>
      <c r="F38" s="21">
        <v>344178</v>
      </c>
      <c r="G38" s="42">
        <v>-4.7E-2</v>
      </c>
      <c r="H38" s="21" t="s">
        <v>1866</v>
      </c>
      <c r="I38" s="39">
        <f ca="1">IFERROR(__xludf.DUMMYFUNCTION("IF(SUM(COUNTIF(artists!A:A, SPLIT(D38, "",""))) &gt; 0, ""UA"", 0)"),0)</f>
        <v>0</v>
      </c>
      <c r="J38" s="40" t="str">
        <f ca="1">IFERROR(__xludf.DUMMYFUNCTION("IF(SUM(COUNTIF(artists!C:C, SPLIT(D38, "",""))) &gt; 0, ""RU"", 0)"),"RU")</f>
        <v>RU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B39" s="21">
        <v>33</v>
      </c>
      <c r="C39" s="21" t="s">
        <v>2017</v>
      </c>
      <c r="D39" s="21" t="s">
        <v>2018</v>
      </c>
      <c r="E39" s="21">
        <v>35</v>
      </c>
      <c r="F39" s="21">
        <v>335010</v>
      </c>
      <c r="G39" s="42">
        <v>-5.0999999999999997E-2</v>
      </c>
      <c r="H39" s="21" t="s">
        <v>2019</v>
      </c>
      <c r="I39" s="39">
        <f ca="1">IFERROR(__xludf.DUMMYFUNCTION("IF(SUM(COUNTIF(artists!A:A, SPLIT(D39, "",""))) &gt; 0, ""UA"", 0)"),0)</f>
        <v>0</v>
      </c>
      <c r="J39" s="40" t="str">
        <f ca="1">IFERROR(__xludf.DUMMYFUNCTION("IF(SUM(COUNTIF(artists!C:C, SPLIT(D39, "",""))) &gt; 0, ""RU"", 0)"),"RU")</f>
        <v>RU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B40" s="21">
        <v>39</v>
      </c>
      <c r="C40" s="21" t="s">
        <v>2071</v>
      </c>
      <c r="D40" s="21" t="s">
        <v>2072</v>
      </c>
      <c r="E40" s="21">
        <v>10</v>
      </c>
      <c r="F40" s="21">
        <v>333947</v>
      </c>
      <c r="G40" s="42">
        <v>2E-3</v>
      </c>
      <c r="H40" s="21" t="s">
        <v>2073</v>
      </c>
      <c r="I40" s="39">
        <f ca="1">IFERROR(__xludf.DUMMYFUNCTION("IF(SUM(COUNTIF(artists!A:A, SPLIT(D40, "",""))) &gt; 0, ""UA"", 0)"),0)</f>
        <v>0</v>
      </c>
      <c r="J40" s="40" t="str">
        <f ca="1">IFERROR(__xludf.DUMMYFUNCTION("IF(SUM(COUNTIF(artists!C:C, SPLIT(D40, "",""))) &gt; 0, ""RU"", 0)"),"RU")</f>
        <v>RU</v>
      </c>
      <c r="K40" s="39">
        <f ca="1">IFERROR(__xludf.DUMMYFUNCTION("IF(SUM(COUNTIF(artists!E:E, SPLIT(D40, "",""))) &gt; 0, ""OTHER"", 0)"),0)</f>
        <v>0</v>
      </c>
    </row>
    <row r="41" spans="1:11" ht="14.25" customHeight="1">
      <c r="A41" s="21">
        <v>40</v>
      </c>
      <c r="B41" s="21">
        <v>37</v>
      </c>
      <c r="C41" s="21" t="s">
        <v>2000</v>
      </c>
      <c r="D41" s="21" t="s">
        <v>137</v>
      </c>
      <c r="E41" s="21">
        <v>40</v>
      </c>
      <c r="F41" s="21">
        <v>316586</v>
      </c>
      <c r="G41" s="42">
        <v>-6.0999999999999999E-2</v>
      </c>
      <c r="H41" s="21" t="s">
        <v>2001</v>
      </c>
      <c r="I41" s="39" t="str">
        <f ca="1">IFERROR(__xludf.DUMMYFUNCTION("IF(SUM(COUNTIF(artists!A:A, SPLIT(D41, "",""))) &gt; 0, ""UA"", 0)"),"UA")</f>
        <v>UA</v>
      </c>
      <c r="J41" s="40">
        <f ca="1">IFERROR(__xludf.DUMMYFUNCTION("IF(SUM(COUNTIF(artists!C:C, SPLIT(D41, "",""))) &gt; 0, ""RU"", 0)"),0)</f>
        <v>0</v>
      </c>
      <c r="K41" s="39">
        <f ca="1">IFERROR(__xludf.DUMMYFUNCTION("IF(SUM(COUNTIF(artists!E:E, SPLIT(D41, "",""))) &gt; 0, ""OTHER"", 0)"),0)</f>
        <v>0</v>
      </c>
    </row>
    <row r="42" spans="1:11" ht="14.25" customHeight="1">
      <c r="A42" s="21">
        <v>41</v>
      </c>
      <c r="B42" s="21">
        <v>42</v>
      </c>
      <c r="C42" s="21" t="s">
        <v>2005</v>
      </c>
      <c r="D42" s="21" t="s">
        <v>1593</v>
      </c>
      <c r="E42" s="21">
        <v>13</v>
      </c>
      <c r="F42" s="21">
        <v>314395</v>
      </c>
      <c r="G42" s="42">
        <v>-3.4000000000000002E-2</v>
      </c>
      <c r="H42" s="21" t="s">
        <v>2006</v>
      </c>
      <c r="I42" s="39">
        <f ca="1">IFERROR(__xludf.DUMMYFUNCTION("IF(SUM(COUNTIF(artists!A:A, SPLIT(D42, "",""))) &gt; 0, ""UA"", 0)"),0)</f>
        <v>0</v>
      </c>
      <c r="J42" s="40" t="str">
        <f ca="1">IFERROR(__xludf.DUMMYFUNCTION("IF(SUM(COUNTIF(artists!C:C, SPLIT(D42, "",""))) &gt; 0, ""RU"", 0)"),"RU")</f>
        <v>RU</v>
      </c>
      <c r="K42" s="39">
        <f ca="1">IFERROR(__xludf.DUMMYFUNCTION("IF(SUM(COUNTIF(artists!E:E, SPLIT(D42, "",""))) &gt; 0, ""OTHER"", 0)"),0)</f>
        <v>0</v>
      </c>
    </row>
    <row r="43" spans="1:11" ht="14.25" customHeight="1">
      <c r="A43" s="21">
        <v>42</v>
      </c>
      <c r="B43" s="21">
        <v>46</v>
      </c>
      <c r="C43" s="21" t="s">
        <v>2063</v>
      </c>
      <c r="D43" s="21" t="s">
        <v>2064</v>
      </c>
      <c r="E43" s="21">
        <v>9</v>
      </c>
      <c r="F43" s="21">
        <v>298626</v>
      </c>
      <c r="G43" s="42">
        <v>3.5999999999999997E-2</v>
      </c>
      <c r="H43" s="21" t="s">
        <v>2065</v>
      </c>
      <c r="I43" s="39">
        <f ca="1">IFERROR(__xludf.DUMMYFUNCTION("IF(SUM(COUNTIF(artists!A:A, SPLIT(D43, "",""))) &gt; 0, ""UA"", 0)"),0)</f>
        <v>0</v>
      </c>
      <c r="J43" s="40" t="str">
        <f ca="1">IFERROR(__xludf.DUMMYFUNCTION("IF(SUM(COUNTIF(artists!C:C, SPLIT(D43, "",""))) &gt; 0, ""RU"", 0)"),"RU")</f>
        <v>RU</v>
      </c>
      <c r="K43" s="39">
        <f ca="1">IFERROR(__xludf.DUMMYFUNCTION("IF(SUM(COUNTIF(artists!E:E, SPLIT(D43, "",""))) &gt; 0, ""OTHER"", 0)"),0)</f>
        <v>0</v>
      </c>
    </row>
    <row r="44" spans="1:11" ht="14.25" customHeight="1">
      <c r="A44" s="21">
        <v>43</v>
      </c>
      <c r="B44" s="21">
        <v>45</v>
      </c>
      <c r="C44" s="21" t="s">
        <v>2002</v>
      </c>
      <c r="D44" s="21" t="s">
        <v>2003</v>
      </c>
      <c r="E44" s="21">
        <v>28</v>
      </c>
      <c r="F44" s="21">
        <v>295739</v>
      </c>
      <c r="G44" s="42">
        <v>1.7000000000000001E-2</v>
      </c>
      <c r="H44" s="21" t="s">
        <v>2004</v>
      </c>
      <c r="I44" s="39">
        <f ca="1">IFERROR(__xludf.DUMMYFUNCTION("IF(SUM(COUNTIF(artists!A:A, SPLIT(D44, "",""))) &gt; 0, ""UA"", 0)"),0)</f>
        <v>0</v>
      </c>
      <c r="J44" s="40" t="str">
        <f ca="1">IFERROR(__xludf.DUMMYFUNCTION("IF(SUM(COUNTIF(artists!C:C, SPLIT(D44, "",""))) &gt; 0, ""RU"", 0)"),"RU")</f>
        <v>RU</v>
      </c>
      <c r="K44" s="39">
        <f ca="1">IFERROR(__xludf.DUMMYFUNCTION("IF(SUM(COUNTIF(artists!E:E, SPLIT(D44, "",""))) &gt; 0, ""OTHER"", 0)"),0)</f>
        <v>0</v>
      </c>
    </row>
    <row r="45" spans="1:11" ht="14.25" customHeight="1">
      <c r="A45" s="21">
        <v>44</v>
      </c>
      <c r="B45" s="21">
        <v>49</v>
      </c>
      <c r="C45" s="21" t="s">
        <v>1327</v>
      </c>
      <c r="D45" s="21" t="s">
        <v>89</v>
      </c>
      <c r="E45" s="21">
        <v>19</v>
      </c>
      <c r="F45" s="21">
        <v>287474</v>
      </c>
      <c r="G45" s="42">
        <v>9.6000000000000002E-2</v>
      </c>
      <c r="H45" s="21" t="s">
        <v>1328</v>
      </c>
      <c r="I45" s="39" t="str">
        <f ca="1">IFERROR(__xludf.DUMMYFUNCTION("IF(SUM(COUNTIF(artists!A:A, SPLIT(D45, "",""))) &gt; 0, ""UA"", 0)"),"UA")</f>
        <v>UA</v>
      </c>
      <c r="J45" s="40">
        <f ca="1">IFERROR(__xludf.DUMMYFUNCTION("IF(SUM(COUNTIF(artists!C:C, SPLIT(D45, "",""))) &gt; 0, ""RU"", 0)"),0)</f>
        <v>0</v>
      </c>
      <c r="K45" s="39">
        <f ca="1">IFERROR(__xludf.DUMMYFUNCTION("IF(SUM(COUNTIF(artists!E:E, SPLIT(D45, "",""))) &gt; 0, ""OTHER"", 0)"),0)</f>
        <v>0</v>
      </c>
    </row>
    <row r="46" spans="1:11" ht="14.25" customHeight="1">
      <c r="A46" s="21">
        <v>45</v>
      </c>
      <c r="B46" s="21">
        <v>51</v>
      </c>
      <c r="C46" s="21" t="s">
        <v>1483</v>
      </c>
      <c r="D46" s="21" t="s">
        <v>972</v>
      </c>
      <c r="E46" s="21">
        <v>10</v>
      </c>
      <c r="F46" s="21">
        <v>277124</v>
      </c>
      <c r="G46" s="42">
        <v>8.1000000000000003E-2</v>
      </c>
      <c r="H46" s="21" t="s">
        <v>1484</v>
      </c>
      <c r="I46" s="39">
        <f ca="1">IFERROR(__xludf.DUMMYFUNCTION("IF(SUM(COUNTIF(artists!A:A, SPLIT(D46, "",""))) &gt; 0, ""UA"", 0)"),0)</f>
        <v>0</v>
      </c>
      <c r="J46" s="40">
        <f ca="1">IFERROR(__xludf.DUMMYFUNCTION("IF(SUM(COUNTIF(artists!C:C, SPLIT(D46, "",""))) &gt; 0, ""RU"", 0)"),0)</f>
        <v>0</v>
      </c>
      <c r="K46" s="39" t="str">
        <f ca="1">IFERROR(__xludf.DUMMYFUNCTION("IF(SUM(COUNTIF(artists!E:E, SPLIT(D46, "",""))) &gt; 0, ""OTHER"", 0)"),"OTHER")</f>
        <v>OTHER</v>
      </c>
    </row>
    <row r="47" spans="1:11" ht="14.25" customHeight="1">
      <c r="A47" s="21">
        <v>46</v>
      </c>
      <c r="B47" s="21">
        <v>47</v>
      </c>
      <c r="C47" s="21" t="s">
        <v>1678</v>
      </c>
      <c r="D47" s="21" t="s">
        <v>1679</v>
      </c>
      <c r="E47" s="21">
        <v>31</v>
      </c>
      <c r="F47" s="21">
        <v>275635</v>
      </c>
      <c r="G47" s="42">
        <v>6.0000000000000001E-3</v>
      </c>
      <c r="H47" s="21" t="s">
        <v>1680</v>
      </c>
      <c r="I47" s="39">
        <f ca="1">IFERROR(__xludf.DUMMYFUNCTION("IF(SUM(COUNTIF(artists!A:A, SPLIT(D47, "",""))) &gt; 0, ""UA"", 0)"),0)</f>
        <v>0</v>
      </c>
      <c r="J47" s="40" t="str">
        <f ca="1">IFERROR(__xludf.DUMMYFUNCTION("IF(SUM(COUNTIF(artists!C:C, SPLIT(D47, "",""))) &gt; 0, ""RU"", 0)"),"RU")</f>
        <v>RU</v>
      </c>
      <c r="K47" s="39">
        <f ca="1">IFERROR(__xludf.DUMMYFUNCTION("IF(SUM(COUNTIF(artists!E:E, SPLIT(D47, "",""))) &gt; 0, ""OTHER"", 0)"),0)</f>
        <v>0</v>
      </c>
    </row>
    <row r="48" spans="1:11" ht="14.25" customHeight="1">
      <c r="A48" s="21">
        <v>47</v>
      </c>
      <c r="B48" s="21">
        <v>40</v>
      </c>
      <c r="C48" s="21" t="s">
        <v>2134</v>
      </c>
      <c r="D48" s="21" t="s">
        <v>2135</v>
      </c>
      <c r="E48" s="21">
        <v>2</v>
      </c>
      <c r="F48" s="21">
        <v>275594</v>
      </c>
      <c r="G48" s="43">
        <v>-0.16</v>
      </c>
      <c r="H48" s="21" t="s">
        <v>2136</v>
      </c>
      <c r="I48" s="39" t="str">
        <f ca="1">IFERROR(__xludf.DUMMYFUNCTION("IF(SUM(COUNTIF(artists!A:A, SPLIT(D48, "",""))) &gt; 0, ""UA"", 0)"),"UA")</f>
        <v>UA</v>
      </c>
      <c r="J48" s="40">
        <f ca="1">IFERROR(__xludf.DUMMYFUNCTION("IF(SUM(COUNTIF(artists!C:C, SPLIT(D48, "",""))) &gt; 0, ""RU"", 0)"),0)</f>
        <v>0</v>
      </c>
      <c r="K48" s="39">
        <f ca="1">IFERROR(__xludf.DUMMYFUNCTION("IF(SUM(COUNTIF(artists!E:E, SPLIT(D48, "",""))) &gt; 0, ""OTHER"", 0)"),0)</f>
        <v>0</v>
      </c>
    </row>
    <row r="49" spans="1:11" ht="14.25" customHeight="1">
      <c r="A49" s="21">
        <v>48</v>
      </c>
      <c r="B49" s="21">
        <v>50</v>
      </c>
      <c r="C49" s="21" t="s">
        <v>2012</v>
      </c>
      <c r="D49" s="21" t="s">
        <v>125</v>
      </c>
      <c r="E49" s="21">
        <v>19</v>
      </c>
      <c r="F49" s="21">
        <v>269475</v>
      </c>
      <c r="G49" s="42">
        <v>4.2000000000000003E-2</v>
      </c>
      <c r="H49" s="21" t="s">
        <v>2013</v>
      </c>
      <c r="I49" s="39">
        <f ca="1">IFERROR(__xludf.DUMMYFUNCTION("IF(SUM(COUNTIF(artists!A:A, SPLIT(D49, "",""))) &gt; 0, ""UA"", 0)"),0)</f>
        <v>0</v>
      </c>
      <c r="J49" s="40" t="str">
        <f ca="1">IFERROR(__xludf.DUMMYFUNCTION("IF(SUM(COUNTIF(artists!C:C, SPLIT(D49, "",""))) &gt; 0, ""RU"", 0)"),"RU")</f>
        <v>RU</v>
      </c>
      <c r="K49" s="39">
        <f ca="1">IFERROR(__xludf.DUMMYFUNCTION("IF(SUM(COUNTIF(artists!E:E, SPLIT(D49, "",""))) &gt; 0, ""OTHER"", 0)"),0)</f>
        <v>0</v>
      </c>
    </row>
    <row r="50" spans="1:11" ht="14.25" customHeight="1">
      <c r="A50" s="21">
        <v>49</v>
      </c>
      <c r="B50" s="21">
        <v>36</v>
      </c>
      <c r="C50" s="21" t="s">
        <v>1654</v>
      </c>
      <c r="D50" s="21" t="s">
        <v>1655</v>
      </c>
      <c r="E50" s="21">
        <v>18</v>
      </c>
      <c r="F50" s="21">
        <v>265743</v>
      </c>
      <c r="G50" s="42">
        <v>-0.21199999999999999</v>
      </c>
      <c r="H50" s="21" t="s">
        <v>1656</v>
      </c>
      <c r="I50" s="39">
        <f ca="1">IFERROR(__xludf.DUMMYFUNCTION("IF(SUM(COUNTIF(artists!A:A, SPLIT(D50, "",""))) &gt; 0, ""UA"", 0)"),0)</f>
        <v>0</v>
      </c>
      <c r="J50" s="40" t="str">
        <f ca="1">IFERROR(__xludf.DUMMYFUNCTION("IF(SUM(COUNTIF(artists!C:C, SPLIT(D50, "",""))) &gt; 0, ""RU"", 0)"),"RU")</f>
        <v>RU</v>
      </c>
      <c r="K50" s="39">
        <f ca="1">IFERROR(__xludf.DUMMYFUNCTION("IF(SUM(COUNTIF(artists!E:E, SPLIT(D50, "",""))) &gt; 0, ""OTHER"", 0)"),0)</f>
        <v>0</v>
      </c>
    </row>
    <row r="51" spans="1:11" ht="14.25" customHeight="1">
      <c r="A51" s="21">
        <v>50</v>
      </c>
      <c r="B51" s="21">
        <v>48</v>
      </c>
      <c r="C51" s="21" t="s">
        <v>1337</v>
      </c>
      <c r="D51" s="21" t="s">
        <v>1338</v>
      </c>
      <c r="E51" s="21">
        <v>3</v>
      </c>
      <c r="F51" s="21">
        <v>263037</v>
      </c>
      <c r="G51" s="42">
        <v>-3.0000000000000001E-3</v>
      </c>
      <c r="H51" s="21" t="s">
        <v>1339</v>
      </c>
      <c r="I51" s="39">
        <f ca="1">IFERROR(__xludf.DUMMYFUNCTION("IF(SUM(COUNTIF(artists!A:A, SPLIT(D51, "",""))) &gt; 0, ""UA"", 0)"),0)</f>
        <v>0</v>
      </c>
      <c r="J51" s="40">
        <f ca="1">IFERROR(__xludf.DUMMYFUNCTION("IF(SUM(COUNTIF(artists!C:C, SPLIT(D51, "",""))) &gt; 0, ""RU"", 0)"),0)</f>
        <v>0</v>
      </c>
      <c r="K51" s="39" t="str">
        <f ca="1">IFERROR(__xludf.DUMMYFUNCTION("IF(SUM(COUNTIF(artists!E:E, SPLIT(D51, "",""))) &gt; 0, ""OTHER"", 0)"),"OTHER")</f>
        <v>OTHER</v>
      </c>
    </row>
    <row r="52" spans="1:11" ht="14.25" customHeight="1">
      <c r="A52" s="21">
        <v>51</v>
      </c>
      <c r="B52" s="21">
        <v>55</v>
      </c>
      <c r="C52" s="21" t="s">
        <v>2007</v>
      </c>
      <c r="D52" s="21" t="s">
        <v>1652</v>
      </c>
      <c r="E52" s="21">
        <v>13</v>
      </c>
      <c r="F52" s="21">
        <v>257240</v>
      </c>
      <c r="G52" s="42">
        <v>2.3E-2</v>
      </c>
      <c r="H52" s="21" t="s">
        <v>2008</v>
      </c>
      <c r="I52" s="39">
        <f ca="1">IFERROR(__xludf.DUMMYFUNCTION("IF(SUM(COUNTIF(artists!A:A, SPLIT(D52, "",""))) &gt; 0, ""UA"", 0)"),0)</f>
        <v>0</v>
      </c>
      <c r="J52" s="40" t="str">
        <f ca="1">IFERROR(__xludf.DUMMYFUNCTION("IF(SUM(COUNTIF(artists!C:C, SPLIT(D52, "",""))) &gt; 0, ""RU"", 0)"),"RU")</f>
        <v>RU</v>
      </c>
      <c r="K52" s="39">
        <f ca="1">IFERROR(__xludf.DUMMYFUNCTION("IF(SUM(COUNTIF(artists!E:E, SPLIT(D52, "",""))) &gt; 0, ""OTHER"", 0)"),0)</f>
        <v>0</v>
      </c>
    </row>
    <row r="53" spans="1:11" ht="14.25" customHeight="1">
      <c r="A53" s="21">
        <v>52</v>
      </c>
      <c r="C53" s="21" t="s">
        <v>2032</v>
      </c>
      <c r="D53" s="21" t="s">
        <v>2033</v>
      </c>
      <c r="E53" s="21">
        <v>1</v>
      </c>
      <c r="F53" s="21">
        <v>256245</v>
      </c>
      <c r="H53" s="21" t="s">
        <v>2034</v>
      </c>
      <c r="I53" s="39">
        <f ca="1">IFERROR(__xludf.DUMMYFUNCTION("IF(SUM(COUNTIF(artists!A:A, SPLIT(D53, "",""))) &gt; 0, ""UA"", 0)"),0)</f>
        <v>0</v>
      </c>
      <c r="J53" s="40" t="str">
        <f ca="1">IFERROR(__xludf.DUMMYFUNCTION("IF(SUM(COUNTIF(artists!C:C, SPLIT(D53, "",""))) &gt; 0, ""RU"", 0)"),"RU")</f>
        <v>RU</v>
      </c>
      <c r="K53" s="39">
        <f ca="1">IFERROR(__xludf.DUMMYFUNCTION("IF(SUM(COUNTIF(artists!E:E, SPLIT(D53, "",""))) &gt; 0, ""OTHER"", 0)"),0)</f>
        <v>0</v>
      </c>
    </row>
    <row r="54" spans="1:11" ht="14.25" customHeight="1">
      <c r="A54" s="21">
        <v>53</v>
      </c>
      <c r="C54" s="21" t="s">
        <v>1976</v>
      </c>
      <c r="D54" s="21" t="s">
        <v>1977</v>
      </c>
      <c r="E54" s="21">
        <v>28</v>
      </c>
      <c r="F54" s="21">
        <v>247959</v>
      </c>
      <c r="H54" s="21" t="s">
        <v>1978</v>
      </c>
      <c r="I54" s="39">
        <f ca="1">IFERROR(__xludf.DUMMYFUNCTION("IF(SUM(COUNTIF(artists!A:A, SPLIT(D54, "",""))) &gt; 0, ""UA"", 0)"),0)</f>
        <v>0</v>
      </c>
      <c r="J54" s="40" t="str">
        <f ca="1">IFERROR(__xludf.DUMMYFUNCTION("IF(SUM(COUNTIF(artists!C:C, SPLIT(D54, "",""))) &gt; 0, ""RU"", 0)"),"RU")</f>
        <v>RU</v>
      </c>
      <c r="K54" s="39">
        <f ca="1">IFERROR(__xludf.DUMMYFUNCTION("IF(SUM(COUNTIF(artists!E:E, SPLIT(D54, "",""))) &gt; 0, ""OTHER"", 0)"),0)</f>
        <v>0</v>
      </c>
    </row>
    <row r="55" spans="1:11" ht="14.25" customHeight="1">
      <c r="A55" s="21">
        <v>54</v>
      </c>
      <c r="B55" s="21">
        <v>54</v>
      </c>
      <c r="C55" s="21" t="s">
        <v>2209</v>
      </c>
      <c r="D55" s="21" t="s">
        <v>2132</v>
      </c>
      <c r="E55" s="21">
        <v>4</v>
      </c>
      <c r="F55" s="21">
        <v>246301</v>
      </c>
      <c r="G55" s="42">
        <v>-2.1999999999999999E-2</v>
      </c>
      <c r="H55" s="21" t="s">
        <v>2210</v>
      </c>
      <c r="I55" s="39">
        <f ca="1">IFERROR(__xludf.DUMMYFUNCTION("IF(SUM(COUNTIF(artists!A:A, SPLIT(D55, "",""))) &gt; 0, ""UA"", 0)"),0)</f>
        <v>0</v>
      </c>
      <c r="J55" s="40" t="str">
        <f ca="1">IFERROR(__xludf.DUMMYFUNCTION("IF(SUM(COUNTIF(artists!C:C, SPLIT(D55, "",""))) &gt; 0, ""RU"", 0)"),"RU")</f>
        <v>RU</v>
      </c>
      <c r="K55" s="39">
        <f ca="1">IFERROR(__xludf.DUMMYFUNCTION("IF(SUM(COUNTIF(artists!E:E, SPLIT(D55, "",""))) &gt; 0, ""OTHER"", 0)"),0)</f>
        <v>0</v>
      </c>
    </row>
    <row r="56" spans="1:11" ht="14.25" customHeight="1">
      <c r="A56" s="21">
        <v>55</v>
      </c>
      <c r="B56" s="21">
        <v>63</v>
      </c>
      <c r="C56" s="21" t="s">
        <v>613</v>
      </c>
      <c r="D56" s="21" t="s">
        <v>614</v>
      </c>
      <c r="E56" s="21">
        <v>5</v>
      </c>
      <c r="F56" s="21">
        <v>244414</v>
      </c>
      <c r="G56" s="42">
        <v>0.159</v>
      </c>
      <c r="H56" s="21" t="s">
        <v>615</v>
      </c>
      <c r="I56" s="39">
        <f ca="1">IFERROR(__xludf.DUMMYFUNCTION("IF(SUM(COUNTIF(artists!A:A, SPLIT(D56, "",""))) &gt; 0, ""UA"", 0)"),0)</f>
        <v>0</v>
      </c>
      <c r="J56" s="40" t="str">
        <f ca="1">IFERROR(__xludf.DUMMYFUNCTION("IF(SUM(COUNTIF(artists!C:C, SPLIT(D56, "",""))) &gt; 0, ""RU"", 0)"),"RU")</f>
        <v>RU</v>
      </c>
      <c r="K56" s="39">
        <f ca="1">IFERROR(__xludf.DUMMYFUNCTION("IF(SUM(COUNTIF(artists!E:E, SPLIT(D56, "",""))) &gt; 0, ""OTHER"", 0)"),0)</f>
        <v>0</v>
      </c>
    </row>
    <row r="57" spans="1:11" ht="14.25" customHeight="1">
      <c r="A57" s="21">
        <v>56</v>
      </c>
      <c r="B57" s="21">
        <v>60</v>
      </c>
      <c r="C57" s="21" t="s">
        <v>2101</v>
      </c>
      <c r="D57" s="21" t="s">
        <v>2102</v>
      </c>
      <c r="E57" s="21">
        <v>7</v>
      </c>
      <c r="F57" s="21">
        <v>242638</v>
      </c>
      <c r="G57" s="42">
        <v>0.109</v>
      </c>
      <c r="H57" s="21" t="s">
        <v>2103</v>
      </c>
      <c r="I57" s="39">
        <f ca="1">IFERROR(__xludf.DUMMYFUNCTION("IF(SUM(COUNTIF(artists!A:A, SPLIT(D57, "",""))) &gt; 0, ""UA"", 0)"),0)</f>
        <v>0</v>
      </c>
      <c r="J57" s="40" t="str">
        <f ca="1">IFERROR(__xludf.DUMMYFUNCTION("IF(SUM(COUNTIF(artists!C:C, SPLIT(D57, "",""))) &gt; 0, ""RU"", 0)"),"RU")</f>
        <v>RU</v>
      </c>
      <c r="K57" s="39">
        <f ca="1">IFERROR(__xludf.DUMMYFUNCTION("IF(SUM(COUNTIF(artists!E:E, SPLIT(D57, "",""))) &gt; 0, ""OTHER"", 0)"),0)</f>
        <v>0</v>
      </c>
    </row>
    <row r="58" spans="1:11" ht="14.25" customHeight="1">
      <c r="A58" s="21">
        <v>57</v>
      </c>
      <c r="B58" s="21">
        <v>62</v>
      </c>
      <c r="C58" s="21" t="s">
        <v>2094</v>
      </c>
      <c r="D58" s="21" t="s">
        <v>104</v>
      </c>
      <c r="E58" s="21">
        <v>8</v>
      </c>
      <c r="F58" s="21">
        <v>234576</v>
      </c>
      <c r="G58" s="42">
        <v>0.108</v>
      </c>
      <c r="H58" s="21" t="s">
        <v>2095</v>
      </c>
      <c r="I58" s="39" t="str">
        <f ca="1">IFERROR(__xludf.DUMMYFUNCTION("IF(SUM(COUNTIF(artists!A:A, SPLIT(D58, "",""))) &gt; 0, ""UA"", 0)"),"UA")</f>
        <v>UA</v>
      </c>
      <c r="J58" s="40">
        <f ca="1">IFERROR(__xludf.DUMMYFUNCTION("IF(SUM(COUNTIF(artists!C:C, SPLIT(D58, "",""))) &gt; 0, ""RU"", 0)"),0)</f>
        <v>0</v>
      </c>
      <c r="K58" s="39">
        <f ca="1">IFERROR(__xludf.DUMMYFUNCTION("IF(SUM(COUNTIF(artists!E:E, SPLIT(D58, "",""))) &gt; 0, ""OTHER"", 0)"),0)</f>
        <v>0</v>
      </c>
    </row>
    <row r="59" spans="1:11" ht="14.25" customHeight="1">
      <c r="A59" s="21">
        <v>58</v>
      </c>
      <c r="B59" s="21">
        <v>58</v>
      </c>
      <c r="C59" s="21" t="s">
        <v>2129</v>
      </c>
      <c r="D59" s="21" t="s">
        <v>1652</v>
      </c>
      <c r="E59" s="21">
        <v>13</v>
      </c>
      <c r="F59" s="21">
        <v>230183</v>
      </c>
      <c r="G59" s="42">
        <v>-1.7000000000000001E-2</v>
      </c>
      <c r="H59" s="21" t="s">
        <v>2130</v>
      </c>
      <c r="I59" s="39">
        <f ca="1">IFERROR(__xludf.DUMMYFUNCTION("IF(SUM(COUNTIF(artists!A:A, SPLIT(D59, "",""))) &gt; 0, ""UA"", 0)"),0)</f>
        <v>0</v>
      </c>
      <c r="J59" s="40" t="str">
        <f ca="1">IFERROR(__xludf.DUMMYFUNCTION("IF(SUM(COUNTIF(artists!C:C, SPLIT(D59, "",""))) &gt; 0, ""RU"", 0)"),"RU")</f>
        <v>RU</v>
      </c>
      <c r="K59" s="39">
        <f ca="1">IFERROR(__xludf.DUMMYFUNCTION("IF(SUM(COUNTIF(artists!E:E, SPLIT(D59, "",""))) &gt; 0, ""OTHER"", 0)"),0)</f>
        <v>0</v>
      </c>
    </row>
    <row r="60" spans="1:11" ht="14.25" customHeight="1">
      <c r="A60" s="21">
        <v>59</v>
      </c>
      <c r="C60" s="21" t="s">
        <v>2233</v>
      </c>
      <c r="D60" s="21" t="s">
        <v>2234</v>
      </c>
      <c r="E60" s="21">
        <v>1</v>
      </c>
      <c r="F60" s="21">
        <v>228892</v>
      </c>
      <c r="H60" s="21" t="s">
        <v>2235</v>
      </c>
      <c r="I60" s="39" t="str">
        <f ca="1">IFERROR(__xludf.DUMMYFUNCTION("IF(SUM(COUNTIF(artists!A:A, SPLIT(D60, "",""))) &gt; 0, ""UA"", 0)"),"UA")</f>
        <v>UA</v>
      </c>
      <c r="J60" s="40">
        <f ca="1">IFERROR(__xludf.DUMMYFUNCTION("IF(SUM(COUNTIF(artists!C:C, SPLIT(D60, "",""))) &gt; 0, ""RU"", 0)"),0)</f>
        <v>0</v>
      </c>
      <c r="K60" s="39">
        <f ca="1">IFERROR(__xludf.DUMMYFUNCTION("IF(SUM(COUNTIF(artists!E:E, SPLIT(D60, "",""))) &gt; 0, ""OTHER"", 0)"),0)</f>
        <v>0</v>
      </c>
    </row>
    <row r="61" spans="1:11" ht="14.25" customHeight="1">
      <c r="A61" s="21">
        <v>60</v>
      </c>
      <c r="B61" s="21">
        <v>68</v>
      </c>
      <c r="C61" s="21" t="s">
        <v>2244</v>
      </c>
      <c r="D61" s="21" t="s">
        <v>1050</v>
      </c>
      <c r="E61" s="21">
        <v>4</v>
      </c>
      <c r="F61" s="21">
        <v>224718</v>
      </c>
      <c r="G61" s="42">
        <v>0.192</v>
      </c>
      <c r="H61" s="21" t="s">
        <v>2245</v>
      </c>
      <c r="I61" s="39">
        <f ca="1">IFERROR(__xludf.DUMMYFUNCTION("IF(SUM(COUNTIF(artists!A:A, SPLIT(D61, "",""))) &gt; 0, ""UA"", 0)"),0)</f>
        <v>0</v>
      </c>
      <c r="J61" s="40" t="str">
        <f ca="1">IFERROR(__xludf.DUMMYFUNCTION("IF(SUM(COUNTIF(artists!C:C, SPLIT(D61, "",""))) &gt; 0, ""RU"", 0)"),"RU")</f>
        <v>RU</v>
      </c>
      <c r="K61" s="39">
        <f ca="1">IFERROR(__xludf.DUMMYFUNCTION("IF(SUM(COUNTIF(artists!E:E, SPLIT(D61, "",""))) &gt; 0, ""OTHER"", 0)"),0)</f>
        <v>0</v>
      </c>
    </row>
    <row r="62" spans="1:11" ht="14.25" customHeight="1">
      <c r="A62" s="21">
        <v>61</v>
      </c>
      <c r="B62" s="21">
        <v>43</v>
      </c>
      <c r="C62" s="21" t="s">
        <v>2248</v>
      </c>
      <c r="D62" s="21" t="s">
        <v>630</v>
      </c>
      <c r="E62" s="21">
        <v>3</v>
      </c>
      <c r="F62" s="21">
        <v>223926</v>
      </c>
      <c r="G62" s="42">
        <v>-0.26200000000000001</v>
      </c>
      <c r="H62" s="21" t="s">
        <v>2249</v>
      </c>
      <c r="I62" s="39" t="str">
        <f ca="1">IFERROR(__xludf.DUMMYFUNCTION("IF(SUM(COUNTIF(artists!A:A, SPLIT(D62, "",""))) &gt; 0, ""UA"", 0)"),"UA")</f>
        <v>UA</v>
      </c>
      <c r="J62" s="40">
        <f ca="1">IFERROR(__xludf.DUMMYFUNCTION("IF(SUM(COUNTIF(artists!C:C, SPLIT(D62, "",""))) &gt; 0, ""RU"", 0)"),0)</f>
        <v>0</v>
      </c>
      <c r="K62" s="39">
        <f ca="1">IFERROR(__xludf.DUMMYFUNCTION("IF(SUM(COUNTIF(artists!E:E, SPLIT(D62, "",""))) &gt; 0, ""OTHER"", 0)"),0)</f>
        <v>0</v>
      </c>
    </row>
    <row r="63" spans="1:11" ht="14.25" customHeight="1">
      <c r="A63" s="21">
        <v>62</v>
      </c>
      <c r="B63" s="21">
        <v>44</v>
      </c>
      <c r="C63" s="21" t="s">
        <v>2216</v>
      </c>
      <c r="D63" s="21" t="s">
        <v>2217</v>
      </c>
      <c r="E63" s="21">
        <v>2</v>
      </c>
      <c r="F63" s="21">
        <v>223210</v>
      </c>
      <c r="G63" s="42">
        <v>-0.24199999999999999</v>
      </c>
      <c r="H63" s="21" t="s">
        <v>2218</v>
      </c>
      <c r="I63" s="39">
        <f ca="1">IFERROR(__xludf.DUMMYFUNCTION("IF(SUM(COUNTIF(artists!A:A, SPLIT(D63, "",""))) &gt; 0, ""UA"", 0)"),0)</f>
        <v>0</v>
      </c>
      <c r="J63" s="40" t="str">
        <f ca="1">IFERROR(__xludf.DUMMYFUNCTION("IF(SUM(COUNTIF(artists!C:C, SPLIT(D63, "",""))) &gt; 0, ""RU"", 0)"),"RU")</f>
        <v>RU</v>
      </c>
      <c r="K63" s="39">
        <f ca="1">IFERROR(__xludf.DUMMYFUNCTION("IF(SUM(COUNTIF(artists!E:E, SPLIT(D63, "",""))) &gt; 0, ""OTHER"", 0)"),0)</f>
        <v>0</v>
      </c>
    </row>
    <row r="64" spans="1:11" ht="14.25" customHeight="1">
      <c r="A64" s="21">
        <v>63</v>
      </c>
      <c r="C64" s="21" t="s">
        <v>2264</v>
      </c>
      <c r="D64" s="21" t="s">
        <v>2265</v>
      </c>
      <c r="E64" s="21">
        <v>1</v>
      </c>
      <c r="F64" s="21">
        <v>222947</v>
      </c>
      <c r="H64" s="21" t="s">
        <v>2266</v>
      </c>
      <c r="I64" s="39">
        <f ca="1">IFERROR(__xludf.DUMMYFUNCTION("IF(SUM(COUNTIF(artists!A:A, SPLIT(D64, "",""))) &gt; 0, ""UA"", 0)"),0)</f>
        <v>0</v>
      </c>
      <c r="J64" s="40" t="str">
        <f ca="1">IFERROR(__xludf.DUMMYFUNCTION("IF(SUM(COUNTIF(artists!C:C, SPLIT(D64, "",""))) &gt; 0, ""RU"", 0)"),"RU")</f>
        <v>RU</v>
      </c>
      <c r="K64" s="39">
        <f ca="1">IFERROR(__xludf.DUMMYFUNCTION("IF(SUM(COUNTIF(artists!E:E, SPLIT(D64, "",""))) &gt; 0, ""OTHER"", 0)"),0)</f>
        <v>0</v>
      </c>
    </row>
    <row r="65" spans="1:11" ht="14.25" customHeight="1">
      <c r="A65" s="21">
        <v>64</v>
      </c>
      <c r="B65" s="21">
        <v>53</v>
      </c>
      <c r="C65" s="21" t="s">
        <v>2182</v>
      </c>
      <c r="D65" s="21" t="s">
        <v>2183</v>
      </c>
      <c r="E65" s="21">
        <v>8</v>
      </c>
      <c r="F65" s="21">
        <v>215100</v>
      </c>
      <c r="G65" s="42">
        <v>-0.154</v>
      </c>
      <c r="H65" s="21" t="s">
        <v>2184</v>
      </c>
      <c r="I65" s="39">
        <f ca="1">IFERROR(__xludf.DUMMYFUNCTION("IF(SUM(COUNTIF(artists!A:A, SPLIT(D65, "",""))) &gt; 0, ""UA"", 0)"),0)</f>
        <v>0</v>
      </c>
      <c r="J65" s="40" t="str">
        <f ca="1">IFERROR(__xludf.DUMMYFUNCTION("IF(SUM(COUNTIF(artists!C:C, SPLIT(D65, "",""))) &gt; 0, ""RU"", 0)"),"RU")</f>
        <v>RU</v>
      </c>
      <c r="K65" s="39">
        <f ca="1">IFERROR(__xludf.DUMMYFUNCTION("IF(SUM(COUNTIF(artists!E:E, SPLIT(D65, "",""))) &gt; 0, ""OTHER"", 0)"),0)</f>
        <v>0</v>
      </c>
    </row>
    <row r="66" spans="1:11" ht="14.25" customHeight="1">
      <c r="A66" s="21">
        <v>65</v>
      </c>
      <c r="C66" s="21" t="s">
        <v>2246</v>
      </c>
      <c r="D66" s="21" t="s">
        <v>1117</v>
      </c>
      <c r="E66" s="21">
        <v>1</v>
      </c>
      <c r="F66" s="21">
        <v>214362</v>
      </c>
      <c r="H66" s="21" t="s">
        <v>2247</v>
      </c>
      <c r="I66" s="39">
        <f ca="1">IFERROR(__xludf.DUMMYFUNCTION("IF(SUM(COUNTIF(artists!A:A, SPLIT(D66, "",""))) &gt; 0, ""UA"", 0)"),0)</f>
        <v>0</v>
      </c>
      <c r="J66" s="40" t="str">
        <f ca="1">IFERROR(__xludf.DUMMYFUNCTION("IF(SUM(COUNTIF(artists!C:C, SPLIT(D66, "",""))) &gt; 0, ""RU"", 0)"),"RU")</f>
        <v>RU</v>
      </c>
      <c r="K66" s="39">
        <f ca="1">IFERROR(__xludf.DUMMYFUNCTION("IF(SUM(COUNTIF(artists!E:E, SPLIT(D66, "",""))) &gt; 0, ""OTHER"", 0)"),0)</f>
        <v>0</v>
      </c>
    </row>
    <row r="67" spans="1:11" ht="14.25" customHeight="1">
      <c r="A67" s="21">
        <v>66</v>
      </c>
      <c r="B67" s="21">
        <v>67</v>
      </c>
      <c r="C67" s="21" t="s">
        <v>2104</v>
      </c>
      <c r="D67" s="21" t="s">
        <v>2105</v>
      </c>
      <c r="E67" s="21">
        <v>3</v>
      </c>
      <c r="F67" s="21">
        <v>214324</v>
      </c>
      <c r="G67" s="42">
        <v>0.11600000000000001</v>
      </c>
      <c r="H67" s="21" t="s">
        <v>2106</v>
      </c>
      <c r="I67" s="39">
        <f ca="1">IFERROR(__xludf.DUMMYFUNCTION("IF(SUM(COUNTIF(artists!A:A, SPLIT(D67, "",""))) &gt; 0, ""UA"", 0)"),0)</f>
        <v>0</v>
      </c>
      <c r="J67" s="40" t="str">
        <f ca="1">IFERROR(__xludf.DUMMYFUNCTION("IF(SUM(COUNTIF(artists!C:C, SPLIT(D67, "",""))) &gt; 0, ""RU"", 0)"),"RU")</f>
        <v>RU</v>
      </c>
      <c r="K67" s="39">
        <f ca="1">IFERROR(__xludf.DUMMYFUNCTION("IF(SUM(COUNTIF(artists!E:E, SPLIT(D67, "",""))) &gt; 0, ""OTHER"", 0)"),0)</f>
        <v>0</v>
      </c>
    </row>
    <row r="68" spans="1:11" ht="14.25" customHeight="1">
      <c r="A68" s="21">
        <v>67</v>
      </c>
      <c r="C68" s="21" t="s">
        <v>1863</v>
      </c>
      <c r="D68" s="21" t="s">
        <v>1660</v>
      </c>
      <c r="E68" s="21">
        <v>1</v>
      </c>
      <c r="F68" s="21">
        <v>209011</v>
      </c>
      <c r="H68" s="21" t="s">
        <v>1864</v>
      </c>
      <c r="I68" s="39">
        <f ca="1">IFERROR(__xludf.DUMMYFUNCTION("IF(SUM(COUNTIF(artists!A:A, SPLIT(D68, "",""))) &gt; 0, ""UA"", 0)"),0)</f>
        <v>0</v>
      </c>
      <c r="J68" s="40" t="str">
        <f ca="1">IFERROR(__xludf.DUMMYFUNCTION("IF(SUM(COUNTIF(artists!C:C, SPLIT(D68, "",""))) &gt; 0, ""RU"", 0)"),"RU")</f>
        <v>RU</v>
      </c>
      <c r="K68" s="39">
        <f ca="1">IFERROR(__xludf.DUMMYFUNCTION("IF(SUM(COUNTIF(artists!E:E, SPLIT(D68, "",""))) &gt; 0, ""OTHER"", 0)"),0)</f>
        <v>0</v>
      </c>
    </row>
    <row r="69" spans="1:11" ht="14.25" customHeight="1">
      <c r="A69" s="21">
        <v>68</v>
      </c>
      <c r="B69" s="21">
        <v>59</v>
      </c>
      <c r="C69" s="21" t="s">
        <v>2161</v>
      </c>
      <c r="D69" s="21" t="s">
        <v>698</v>
      </c>
      <c r="E69" s="21">
        <v>5</v>
      </c>
      <c r="F69" s="21">
        <v>208742</v>
      </c>
      <c r="G69" s="42">
        <v>-9.8000000000000004E-2</v>
      </c>
      <c r="H69" s="21" t="s">
        <v>2162</v>
      </c>
      <c r="I69" s="39">
        <f ca="1">IFERROR(__xludf.DUMMYFUNCTION("IF(SUM(COUNTIF(artists!A:A, SPLIT(D69, "",""))) &gt; 0, ""UA"", 0)"),0)</f>
        <v>0</v>
      </c>
      <c r="J69" s="40" t="str">
        <f ca="1">IFERROR(__xludf.DUMMYFUNCTION("IF(SUM(COUNTIF(artists!C:C, SPLIT(D69, "",""))) &gt; 0, ""RU"", 0)"),"RU")</f>
        <v>RU</v>
      </c>
      <c r="K69" s="39">
        <f ca="1">IFERROR(__xludf.DUMMYFUNCTION("IF(SUM(COUNTIF(artists!E:E, SPLIT(D69, "",""))) &gt; 0, ""OTHER"", 0)"),0)</f>
        <v>0</v>
      </c>
    </row>
    <row r="70" spans="1:11" ht="14.25" customHeight="1">
      <c r="A70" s="21">
        <v>69</v>
      </c>
      <c r="B70" s="21">
        <v>61</v>
      </c>
      <c r="C70" s="21" t="s">
        <v>2170</v>
      </c>
      <c r="D70" s="21" t="s">
        <v>2171</v>
      </c>
      <c r="E70" s="21">
        <v>10</v>
      </c>
      <c r="F70" s="21">
        <v>202697</v>
      </c>
      <c r="G70" s="42">
        <v>-4.5999999999999999E-2</v>
      </c>
      <c r="H70" s="21" t="s">
        <v>2172</v>
      </c>
      <c r="I70" s="39">
        <f ca="1">IFERROR(__xludf.DUMMYFUNCTION("IF(SUM(COUNTIF(artists!A:A, SPLIT(D70, "",""))) &gt; 0, ""UA"", 0)"),0)</f>
        <v>0</v>
      </c>
      <c r="J70" s="40" t="str">
        <f ca="1">IFERROR(__xludf.DUMMYFUNCTION("IF(SUM(COUNTIF(artists!C:C, SPLIT(D70, "",""))) &gt; 0, ""RU"", 0)"),"RU")</f>
        <v>RU</v>
      </c>
      <c r="K70" s="39">
        <f ca="1">IFERROR(__xludf.DUMMYFUNCTION("IF(SUM(COUNTIF(artists!E:E, SPLIT(D70, "",""))) &gt; 0, ""OTHER"", 0)"),0)</f>
        <v>0</v>
      </c>
    </row>
    <row r="71" spans="1:11" ht="14.25" customHeight="1">
      <c r="A71" s="21">
        <v>70</v>
      </c>
      <c r="C71" s="21" t="s">
        <v>2267</v>
      </c>
      <c r="D71" s="21" t="s">
        <v>1534</v>
      </c>
      <c r="E71" s="21">
        <v>1</v>
      </c>
      <c r="F71" s="21">
        <v>197373</v>
      </c>
      <c r="H71" s="21" t="s">
        <v>2268</v>
      </c>
      <c r="I71" s="39">
        <f ca="1">IFERROR(__xludf.DUMMYFUNCTION("IF(SUM(COUNTIF(artists!A:A, SPLIT(D71, "",""))) &gt; 0, ""UA"", 0)"),0)</f>
        <v>0</v>
      </c>
      <c r="J71" s="40" t="str">
        <f ca="1">IFERROR(__xludf.DUMMYFUNCTION("IF(SUM(COUNTIF(artists!C:C, SPLIT(D71, "",""))) &gt; 0, ""RU"", 0)"),"RU")</f>
        <v>RU</v>
      </c>
      <c r="K71" s="39">
        <f ca="1">IFERROR(__xludf.DUMMYFUNCTION("IF(SUM(COUNTIF(artists!E:E, SPLIT(D71, "",""))) &gt; 0, ""OTHER"", 0)"),0)</f>
        <v>0</v>
      </c>
    </row>
    <row r="72" spans="1:11" ht="14.25" customHeight="1">
      <c r="A72" s="21">
        <v>71</v>
      </c>
      <c r="B72" s="21">
        <v>66</v>
      </c>
      <c r="C72" s="21" t="s">
        <v>2112</v>
      </c>
      <c r="D72" s="21" t="s">
        <v>1996</v>
      </c>
      <c r="E72" s="21">
        <v>7</v>
      </c>
      <c r="F72" s="21">
        <v>195476</v>
      </c>
      <c r="G72" s="42">
        <v>-1.7999999999999999E-2</v>
      </c>
      <c r="H72" s="21" t="s">
        <v>2113</v>
      </c>
      <c r="I72" s="39">
        <f ca="1">IFERROR(__xludf.DUMMYFUNCTION("IF(SUM(COUNTIF(artists!A:A, SPLIT(D72, "",""))) &gt; 0, ""UA"", 0)"),0)</f>
        <v>0</v>
      </c>
      <c r="J72" s="40" t="str">
        <f ca="1">IFERROR(__xludf.DUMMYFUNCTION("IF(SUM(COUNTIF(artists!C:C, SPLIT(D72, "",""))) &gt; 0, ""RU"", 0)"),"RU")</f>
        <v>RU</v>
      </c>
      <c r="K72" s="39">
        <f ca="1">IFERROR(__xludf.DUMMYFUNCTION("IF(SUM(COUNTIF(artists!E:E, SPLIT(D72, "",""))) &gt; 0, ""OTHER"", 0)"),0)</f>
        <v>0</v>
      </c>
    </row>
    <row r="73" spans="1:11" ht="14.25" customHeight="1">
      <c r="A73" s="21">
        <v>72</v>
      </c>
      <c r="B73" s="21">
        <v>75</v>
      </c>
      <c r="C73" s="21" t="s">
        <v>2109</v>
      </c>
      <c r="D73" s="21" t="s">
        <v>2110</v>
      </c>
      <c r="E73" s="21">
        <v>3</v>
      </c>
      <c r="F73" s="21">
        <v>194589</v>
      </c>
      <c r="G73" s="42">
        <v>8.6999999999999994E-2</v>
      </c>
      <c r="H73" s="21" t="s">
        <v>2111</v>
      </c>
      <c r="I73" s="39">
        <f ca="1">IFERROR(__xludf.DUMMYFUNCTION("IF(SUM(COUNTIF(artists!A:A, SPLIT(D73, "",""))) &gt; 0, ""UA"", 0)"),0)</f>
        <v>0</v>
      </c>
      <c r="J73" s="40" t="str">
        <f ca="1">IFERROR(__xludf.DUMMYFUNCTION("IF(SUM(COUNTIF(artists!C:C, SPLIT(D73, "",""))) &gt; 0, ""RU"", 0)"),"RU")</f>
        <v>RU</v>
      </c>
      <c r="K73" s="39">
        <f ca="1">IFERROR(__xludf.DUMMYFUNCTION("IF(SUM(COUNTIF(artists!E:E, SPLIT(D73, "",""))) &gt; 0, ""OTHER"", 0)"),0)</f>
        <v>0</v>
      </c>
    </row>
    <row r="74" spans="1:11" ht="14.25" customHeight="1">
      <c r="A74" s="21">
        <v>73</v>
      </c>
      <c r="B74" s="21">
        <v>81</v>
      </c>
      <c r="C74" s="21" t="s">
        <v>968</v>
      </c>
      <c r="D74" s="21" t="s">
        <v>969</v>
      </c>
      <c r="E74" s="21">
        <v>5</v>
      </c>
      <c r="F74" s="21">
        <v>194419</v>
      </c>
      <c r="G74" s="42">
        <v>0.124</v>
      </c>
      <c r="H74" s="21" t="s">
        <v>970</v>
      </c>
      <c r="I74" s="39" t="str">
        <f ca="1">IFERROR(__xludf.DUMMYFUNCTION("IF(SUM(COUNTIF(artists!A:A, SPLIT(D74, "",""))) &gt; 0, ""UA"", 0)"),"UA")</f>
        <v>UA</v>
      </c>
      <c r="J74" s="40">
        <f ca="1">IFERROR(__xludf.DUMMYFUNCTION("IF(SUM(COUNTIF(artists!C:C, SPLIT(D74, "",""))) &gt; 0, ""RU"", 0)"),0)</f>
        <v>0</v>
      </c>
      <c r="K74" s="39">
        <f ca="1">IFERROR(__xludf.DUMMYFUNCTION("IF(SUM(COUNTIF(artists!E:E, SPLIT(D74, "",""))) &gt; 0, ""OTHER"", 0)"),0)</f>
        <v>0</v>
      </c>
    </row>
    <row r="75" spans="1:11" ht="14.25" customHeight="1">
      <c r="A75" s="21">
        <v>74</v>
      </c>
      <c r="B75" s="21">
        <v>65</v>
      </c>
      <c r="C75" s="21" t="s">
        <v>2154</v>
      </c>
      <c r="D75" s="21" t="s">
        <v>1646</v>
      </c>
      <c r="E75" s="21">
        <v>16</v>
      </c>
      <c r="F75" s="21">
        <v>192465</v>
      </c>
      <c r="G75" s="42">
        <v>-3.7999999999999999E-2</v>
      </c>
      <c r="H75" s="21" t="s">
        <v>2155</v>
      </c>
      <c r="I75" s="39">
        <f ca="1">IFERROR(__xludf.DUMMYFUNCTION("IF(SUM(COUNTIF(artists!A:A, SPLIT(D75, "",""))) &gt; 0, ""UA"", 0)"),0)</f>
        <v>0</v>
      </c>
      <c r="J75" s="40" t="str">
        <f ca="1">IFERROR(__xludf.DUMMYFUNCTION("IF(SUM(COUNTIF(artists!C:C, SPLIT(D75, "",""))) &gt; 0, ""RU"", 0)"),"RU")</f>
        <v>RU</v>
      </c>
      <c r="K75" s="39">
        <f ca="1">IFERROR(__xludf.DUMMYFUNCTION("IF(SUM(COUNTIF(artists!E:E, SPLIT(D75, "",""))) &gt; 0, ""OTHER"", 0)"),0)</f>
        <v>0</v>
      </c>
    </row>
    <row r="76" spans="1:11" ht="14.25" customHeight="1">
      <c r="A76" s="21">
        <v>75</v>
      </c>
      <c r="C76" s="21" t="s">
        <v>1219</v>
      </c>
      <c r="D76" s="21" t="s">
        <v>1220</v>
      </c>
      <c r="E76" s="21">
        <v>21</v>
      </c>
      <c r="F76" s="21">
        <v>189833</v>
      </c>
      <c r="H76" s="21" t="s">
        <v>1221</v>
      </c>
      <c r="I76" s="39">
        <f ca="1">IFERROR(__xludf.DUMMYFUNCTION("IF(SUM(COUNTIF(artists!A:A, SPLIT(D76, "",""))) &gt; 0, ""UA"", 0)"),0)</f>
        <v>0</v>
      </c>
      <c r="J76" s="40">
        <f ca="1">IFERROR(__xludf.DUMMYFUNCTION("IF(SUM(COUNTIF(artists!C:C, SPLIT(D76, "",""))) &gt; 0, ""RU"", 0)"),0)</f>
        <v>0</v>
      </c>
      <c r="K76" s="39" t="str">
        <f ca="1">IFERROR(__xludf.DUMMYFUNCTION("IF(SUM(COUNTIF(artists!E:E, SPLIT(D76, "",""))) &gt; 0, ""OTHER"", 0)"),"OTHER")</f>
        <v>OTHER</v>
      </c>
    </row>
    <row r="77" spans="1:11" ht="14.25" customHeight="1">
      <c r="A77" s="21">
        <v>76</v>
      </c>
      <c r="B77" s="21">
        <v>79</v>
      </c>
      <c r="C77" s="21" t="s">
        <v>2213</v>
      </c>
      <c r="D77" s="21" t="s">
        <v>2214</v>
      </c>
      <c r="E77" s="21">
        <v>18</v>
      </c>
      <c r="F77" s="21">
        <v>188090</v>
      </c>
      <c r="G77" s="42">
        <v>7.3999999999999996E-2</v>
      </c>
      <c r="H77" s="21" t="s">
        <v>2215</v>
      </c>
      <c r="I77" s="39">
        <f ca="1">IFERROR(__xludf.DUMMYFUNCTION("IF(SUM(COUNTIF(artists!A:A, SPLIT(D77, "",""))) &gt; 0, ""UA"", 0)"),0)</f>
        <v>0</v>
      </c>
      <c r="J77" s="40" t="str">
        <f ca="1">IFERROR(__xludf.DUMMYFUNCTION("IF(SUM(COUNTIF(artists!C:C, SPLIT(D77, "",""))) &gt; 0, ""RU"", 0)"),"RU")</f>
        <v>RU</v>
      </c>
      <c r="K77" s="39">
        <f ca="1">IFERROR(__xludf.DUMMYFUNCTION("IF(SUM(COUNTIF(artists!E:E, SPLIT(D77, "",""))) &gt; 0, ""OTHER"", 0)"),0)</f>
        <v>0</v>
      </c>
    </row>
    <row r="78" spans="1:11" ht="14.25" customHeight="1">
      <c r="A78" s="21">
        <v>77</v>
      </c>
      <c r="B78" s="21">
        <v>76</v>
      </c>
      <c r="C78" s="21" t="s">
        <v>2189</v>
      </c>
      <c r="D78" s="21" t="s">
        <v>125</v>
      </c>
      <c r="E78" s="21">
        <v>7</v>
      </c>
      <c r="F78" s="21">
        <v>187203</v>
      </c>
      <c r="G78" s="42">
        <v>4.8000000000000001E-2</v>
      </c>
      <c r="H78" s="21" t="s">
        <v>2190</v>
      </c>
      <c r="I78" s="39">
        <f ca="1">IFERROR(__xludf.DUMMYFUNCTION("IF(SUM(COUNTIF(artists!A:A, SPLIT(D78, "",""))) &gt; 0, ""UA"", 0)"),0)</f>
        <v>0</v>
      </c>
      <c r="J78" s="40" t="str">
        <f ca="1">IFERROR(__xludf.DUMMYFUNCTION("IF(SUM(COUNTIF(artists!C:C, SPLIT(D78, "",""))) &gt; 0, ""RU"", 0)"),"RU")</f>
        <v>RU</v>
      </c>
      <c r="K78" s="39">
        <f ca="1">IFERROR(__xludf.DUMMYFUNCTION("IF(SUM(COUNTIF(artists!E:E, SPLIT(D78, "",""))) &gt; 0, ""OTHER"", 0)"),0)</f>
        <v>0</v>
      </c>
    </row>
    <row r="79" spans="1:11" ht="14.25" customHeight="1">
      <c r="A79" s="21">
        <v>78</v>
      </c>
      <c r="B79" s="21">
        <v>83</v>
      </c>
      <c r="C79" s="21" t="s">
        <v>2057</v>
      </c>
      <c r="D79" s="21" t="s">
        <v>2058</v>
      </c>
      <c r="E79" s="21">
        <v>4</v>
      </c>
      <c r="F79" s="21">
        <v>182474</v>
      </c>
      <c r="G79" s="43">
        <v>7.0000000000000007E-2</v>
      </c>
      <c r="H79" s="21" t="s">
        <v>2059</v>
      </c>
      <c r="I79" s="39">
        <f ca="1">IFERROR(__xludf.DUMMYFUNCTION("IF(SUM(COUNTIF(artists!A:A, SPLIT(D79, "",""))) &gt; 0, ""UA"", 0)"),0)</f>
        <v>0</v>
      </c>
      <c r="J79" s="40" t="str">
        <f ca="1">IFERROR(__xludf.DUMMYFUNCTION("IF(SUM(COUNTIF(artists!C:C, SPLIT(D79, "",""))) &gt; 0, ""RU"", 0)"),"RU")</f>
        <v>RU</v>
      </c>
      <c r="K79" s="39">
        <f ca="1">IFERROR(__xludf.DUMMYFUNCTION("IF(SUM(COUNTIF(artists!E:E, SPLIT(D79, "",""))) &gt; 0, ""OTHER"", 0)"),0)</f>
        <v>0</v>
      </c>
    </row>
    <row r="80" spans="1:11" ht="14.25" customHeight="1">
      <c r="A80" s="21">
        <v>79</v>
      </c>
      <c r="B80" s="21">
        <v>52</v>
      </c>
      <c r="C80" s="21" t="s">
        <v>2269</v>
      </c>
      <c r="D80" s="21" t="s">
        <v>2270</v>
      </c>
      <c r="E80" s="21">
        <v>6</v>
      </c>
      <c r="F80" s="21">
        <v>180805</v>
      </c>
      <c r="G80" s="43">
        <v>-0.28999999999999998</v>
      </c>
      <c r="H80" s="21" t="s">
        <v>2271</v>
      </c>
      <c r="I80" s="39" t="str">
        <f ca="1">IFERROR(__xludf.DUMMYFUNCTION("IF(SUM(COUNTIF(artists!A:A, SPLIT(D80, "",""))) &gt; 0, ""UA"", 0)"),"UA")</f>
        <v>UA</v>
      </c>
      <c r="J80" s="40">
        <f ca="1">IFERROR(__xludf.DUMMYFUNCTION("IF(SUM(COUNTIF(artists!C:C, SPLIT(D80, "",""))) &gt; 0, ""RU"", 0)"),0)</f>
        <v>0</v>
      </c>
      <c r="K80" s="39">
        <f ca="1">IFERROR(__xludf.DUMMYFUNCTION("IF(SUM(COUNTIF(artists!E:E, SPLIT(D80, "",""))) &gt; 0, ""OTHER"", 0)"),0)</f>
        <v>0</v>
      </c>
    </row>
    <row r="81" spans="1:11" ht="14.25" customHeight="1">
      <c r="A81" s="21">
        <v>80</v>
      </c>
      <c r="B81" s="21">
        <v>69</v>
      </c>
      <c r="C81" s="21" t="s">
        <v>2211</v>
      </c>
      <c r="D81" s="21" t="s">
        <v>1951</v>
      </c>
      <c r="E81" s="21">
        <v>18</v>
      </c>
      <c r="F81" s="21">
        <v>179923</v>
      </c>
      <c r="G81" s="42">
        <v>-3.1E-2</v>
      </c>
      <c r="H81" s="21" t="s">
        <v>2212</v>
      </c>
      <c r="I81" s="39">
        <f ca="1">IFERROR(__xludf.DUMMYFUNCTION("IF(SUM(COUNTIF(artists!A:A, SPLIT(D81, "",""))) &gt; 0, ""UA"", 0)"),0)</f>
        <v>0</v>
      </c>
      <c r="J81" s="40" t="str">
        <f ca="1">IFERROR(__xludf.DUMMYFUNCTION("IF(SUM(COUNTIF(artists!C:C, SPLIT(D81, "",""))) &gt; 0, ""RU"", 0)"),"RU")</f>
        <v>RU</v>
      </c>
      <c r="K81" s="39">
        <f ca="1">IFERROR(__xludf.DUMMYFUNCTION("IF(SUM(COUNTIF(artists!E:E, SPLIT(D81, "",""))) &gt; 0, ""OTHER"", 0)"),0)</f>
        <v>0</v>
      </c>
    </row>
    <row r="82" spans="1:11" ht="14.25" customHeight="1">
      <c r="A82" s="21">
        <v>81</v>
      </c>
      <c r="C82" s="21" t="s">
        <v>2250</v>
      </c>
      <c r="D82" s="21" t="s">
        <v>1968</v>
      </c>
      <c r="E82" s="21">
        <v>1</v>
      </c>
      <c r="F82" s="21">
        <v>179430</v>
      </c>
      <c r="H82" s="21" t="s">
        <v>2251</v>
      </c>
      <c r="I82" s="39">
        <f ca="1">IFERROR(__xludf.DUMMYFUNCTION("IF(SUM(COUNTIF(artists!A:A, SPLIT(D82, "",""))) &gt; 0, ""UA"", 0)"),0)</f>
        <v>0</v>
      </c>
      <c r="J82" s="40" t="str">
        <f ca="1">IFERROR(__xludf.DUMMYFUNCTION("IF(SUM(COUNTIF(artists!C:C, SPLIT(D82, "",""))) &gt; 0, ""RU"", 0)"),"RU")</f>
        <v>RU</v>
      </c>
      <c r="K82" s="39">
        <f ca="1">IFERROR(__xludf.DUMMYFUNCTION("IF(SUM(COUNTIF(artists!E:E, SPLIT(D82, "",""))) &gt; 0, ""OTHER"", 0)"),0)</f>
        <v>0</v>
      </c>
    </row>
    <row r="83" spans="1:11" ht="14.25" customHeight="1">
      <c r="A83" s="21">
        <v>82</v>
      </c>
      <c r="B83" s="21">
        <v>74</v>
      </c>
      <c r="C83" s="21" t="s">
        <v>2173</v>
      </c>
      <c r="D83" s="21" t="s">
        <v>2174</v>
      </c>
      <c r="E83" s="21">
        <v>13</v>
      </c>
      <c r="F83" s="21">
        <v>176453</v>
      </c>
      <c r="G83" s="42">
        <v>-1.7000000000000001E-2</v>
      </c>
      <c r="H83" s="21" t="s">
        <v>2175</v>
      </c>
      <c r="I83" s="39">
        <f ca="1">IFERROR(__xludf.DUMMYFUNCTION("IF(SUM(COUNTIF(artists!A:A, SPLIT(D83, "",""))) &gt; 0, ""UA"", 0)"),0)</f>
        <v>0</v>
      </c>
      <c r="J83" s="40" t="str">
        <f ca="1">IFERROR(__xludf.DUMMYFUNCTION("IF(SUM(COUNTIF(artists!C:C, SPLIT(D83, "",""))) &gt; 0, ""RU"", 0)"),"RU")</f>
        <v>RU</v>
      </c>
      <c r="K83" s="39">
        <f ca="1">IFERROR(__xludf.DUMMYFUNCTION("IF(SUM(COUNTIF(artists!E:E, SPLIT(D83, "",""))) &gt; 0, ""OTHER"", 0)"),0)</f>
        <v>0</v>
      </c>
    </row>
    <row r="84" spans="1:11" ht="14.25" customHeight="1">
      <c r="A84" s="21">
        <v>83</v>
      </c>
      <c r="B84" s="21">
        <v>82</v>
      </c>
      <c r="C84" s="21" t="s">
        <v>2054</v>
      </c>
      <c r="D84" s="21" t="s">
        <v>2055</v>
      </c>
      <c r="E84" s="21">
        <v>5</v>
      </c>
      <c r="F84" s="21">
        <v>174543</v>
      </c>
      <c r="G84" s="42">
        <v>2.1999999999999999E-2</v>
      </c>
      <c r="H84" s="21" t="s">
        <v>2056</v>
      </c>
      <c r="I84" s="39">
        <f ca="1">IFERROR(__xludf.DUMMYFUNCTION("IF(SUM(COUNTIF(artists!A:A, SPLIT(D84, "",""))) &gt; 0, ""UA"", 0)"),0)</f>
        <v>0</v>
      </c>
      <c r="J84" s="40">
        <f ca="1">IFERROR(__xludf.DUMMYFUNCTION("IF(SUM(COUNTIF(artists!C:C, SPLIT(D84, "",""))) &gt; 0, ""RU"", 0)"),0)</f>
        <v>0</v>
      </c>
      <c r="K84" s="39" t="str">
        <f ca="1">IFERROR(__xludf.DUMMYFUNCTION("IF(SUM(COUNTIF(artists!E:E, SPLIT(D84, "",""))) &gt; 0, ""OTHER"", 0)"),"OTHER")</f>
        <v>OTHER</v>
      </c>
    </row>
    <row r="85" spans="1:11" ht="14.25" customHeight="1">
      <c r="A85" s="21">
        <v>84</v>
      </c>
      <c r="B85" s="21">
        <v>88</v>
      </c>
      <c r="C85" s="21" t="s">
        <v>1354</v>
      </c>
      <c r="D85" s="21" t="s">
        <v>1355</v>
      </c>
      <c r="E85" s="21">
        <v>20</v>
      </c>
      <c r="F85" s="21">
        <v>172897</v>
      </c>
      <c r="G85" s="42">
        <v>5.6000000000000001E-2</v>
      </c>
      <c r="H85" s="21" t="s">
        <v>1356</v>
      </c>
      <c r="I85" s="39" t="str">
        <f ca="1">IFERROR(__xludf.DUMMYFUNCTION("IF(SUM(COUNTIF(artists!A:A, SPLIT(D85, "",""))) &gt; 0, ""UA"", 0)"),"UA")</f>
        <v>UA</v>
      </c>
      <c r="J85" s="40">
        <f ca="1">IFERROR(__xludf.DUMMYFUNCTION("IF(SUM(COUNTIF(artists!C:C, SPLIT(D85, "",""))) &gt; 0, ""RU"", 0)"),0)</f>
        <v>0</v>
      </c>
      <c r="K85" s="39">
        <f ca="1">IFERROR(__xludf.DUMMYFUNCTION("IF(SUM(COUNTIF(artists!E:E, SPLIT(D85, "",""))) &gt; 0, ""OTHER"", 0)"),0)</f>
        <v>0</v>
      </c>
    </row>
    <row r="86" spans="1:11" ht="14.25" customHeight="1">
      <c r="A86" s="21">
        <v>85</v>
      </c>
      <c r="C86" s="21" t="s">
        <v>2272</v>
      </c>
      <c r="D86" s="21" t="s">
        <v>2273</v>
      </c>
      <c r="E86" s="21">
        <v>17</v>
      </c>
      <c r="F86" s="21">
        <v>170740</v>
      </c>
      <c r="H86" s="21" t="s">
        <v>2274</v>
      </c>
      <c r="I86" s="39">
        <f ca="1">IFERROR(__xludf.DUMMYFUNCTION("IF(SUM(COUNTIF(artists!A:A, SPLIT(D86, "",""))) &gt; 0, ""UA"", 0)"),0)</f>
        <v>0</v>
      </c>
      <c r="J86" s="40">
        <f ca="1">IFERROR(__xludf.DUMMYFUNCTION("IF(SUM(COUNTIF(artists!C:C, SPLIT(D86, "",""))) &gt; 0, ""RU"", 0)"),0)</f>
        <v>0</v>
      </c>
      <c r="K86" s="39" t="str">
        <f ca="1">IFERROR(__xludf.DUMMYFUNCTION("IF(SUM(COUNTIF(artists!E:E, SPLIT(D86, "",""))) &gt; 0, ""OTHER"", 0)"),"OTHER")</f>
        <v>OTHER</v>
      </c>
    </row>
    <row r="87" spans="1:11" ht="14.25" customHeight="1">
      <c r="A87" s="21">
        <v>86</v>
      </c>
      <c r="B87" s="21">
        <v>93</v>
      </c>
      <c r="C87" s="21" t="s">
        <v>2275</v>
      </c>
      <c r="D87" s="21" t="s">
        <v>2276</v>
      </c>
      <c r="E87" s="21">
        <v>20</v>
      </c>
      <c r="F87" s="21">
        <v>168478</v>
      </c>
      <c r="G87" s="42">
        <v>4.1000000000000002E-2</v>
      </c>
      <c r="H87" s="21" t="s">
        <v>2277</v>
      </c>
      <c r="I87" s="39">
        <f ca="1">IFERROR(__xludf.DUMMYFUNCTION("IF(SUM(COUNTIF(artists!A:A, SPLIT(D87, "",""))) &gt; 0, ""UA"", 0)"),0)</f>
        <v>0</v>
      </c>
      <c r="J87" s="40" t="str">
        <f ca="1">IFERROR(__xludf.DUMMYFUNCTION("IF(SUM(COUNTIF(artists!C:C, SPLIT(D87, "",""))) &gt; 0, ""RU"", 0)"),"RU")</f>
        <v>RU</v>
      </c>
      <c r="K87" s="39">
        <f ca="1">IFERROR(__xludf.DUMMYFUNCTION("IF(SUM(COUNTIF(artists!E:E, SPLIT(D87, "",""))) &gt; 0, ""OTHER"", 0)"),0)</f>
        <v>0</v>
      </c>
    </row>
    <row r="88" spans="1:11" ht="14.25" customHeight="1">
      <c r="A88" s="21">
        <v>87</v>
      </c>
      <c r="B88" s="21">
        <v>96</v>
      </c>
      <c r="C88" s="21" t="s">
        <v>2227</v>
      </c>
      <c r="D88" s="21" t="s">
        <v>2228</v>
      </c>
      <c r="E88" s="21">
        <v>17</v>
      </c>
      <c r="F88" s="21">
        <v>168294</v>
      </c>
      <c r="G88" s="42">
        <v>6.3E-2</v>
      </c>
      <c r="H88" s="21" t="s">
        <v>2229</v>
      </c>
      <c r="I88" s="39">
        <f ca="1">IFERROR(__xludf.DUMMYFUNCTION("IF(SUM(COUNTIF(artists!A:A, SPLIT(D88, "",""))) &gt; 0, ""UA"", 0)"),0)</f>
        <v>0</v>
      </c>
      <c r="J88" s="40" t="str">
        <f ca="1">IFERROR(__xludf.DUMMYFUNCTION("IF(SUM(COUNTIF(artists!C:C, SPLIT(D88, "",""))) &gt; 0, ""RU"", 0)"),"RU")</f>
        <v>RU</v>
      </c>
      <c r="K88" s="39">
        <f ca="1">IFERROR(__xludf.DUMMYFUNCTION("IF(SUM(COUNTIF(artists!E:E, SPLIT(D88, "",""))) &gt; 0, ""OTHER"", 0)"),0)</f>
        <v>0</v>
      </c>
    </row>
    <row r="89" spans="1:11" ht="14.25" customHeight="1">
      <c r="A89" s="21">
        <v>88</v>
      </c>
      <c r="B89" s="21">
        <v>77</v>
      </c>
      <c r="C89" s="21" t="s">
        <v>2278</v>
      </c>
      <c r="D89" s="21" t="s">
        <v>2279</v>
      </c>
      <c r="E89" s="21">
        <v>4</v>
      </c>
      <c r="F89" s="21">
        <v>167327</v>
      </c>
      <c r="G89" s="43">
        <v>-0.06</v>
      </c>
      <c r="H89" s="21" t="s">
        <v>2280</v>
      </c>
      <c r="I89" s="39">
        <f ca="1">IFERROR(__xludf.DUMMYFUNCTION("IF(SUM(COUNTIF(artists!A:A, SPLIT(D89, "",""))) &gt; 0, ""UA"", 0)"),0)</f>
        <v>0</v>
      </c>
      <c r="J89" s="40" t="str">
        <f ca="1">IFERROR(__xludf.DUMMYFUNCTION("IF(SUM(COUNTIF(artists!C:C, SPLIT(D89, "",""))) &gt; 0, ""RU"", 0)"),"RU")</f>
        <v>RU</v>
      </c>
      <c r="K89" s="39">
        <f ca="1">IFERROR(__xludf.DUMMYFUNCTION("IF(SUM(COUNTIF(artists!E:E, SPLIT(D89, "",""))) &gt; 0, ""OTHER"", 0)"),0)</f>
        <v>0</v>
      </c>
    </row>
    <row r="90" spans="1:11" ht="14.25" customHeight="1">
      <c r="A90" s="21">
        <v>89</v>
      </c>
      <c r="B90" s="21">
        <v>90</v>
      </c>
      <c r="C90" s="21" t="s">
        <v>2120</v>
      </c>
      <c r="D90" s="21" t="s">
        <v>2121</v>
      </c>
      <c r="E90" s="21">
        <v>5</v>
      </c>
      <c r="F90" s="21">
        <v>167226</v>
      </c>
      <c r="G90" s="42">
        <v>2.5999999999999999E-2</v>
      </c>
      <c r="H90" s="21" t="s">
        <v>2122</v>
      </c>
      <c r="I90" s="39">
        <f ca="1">IFERROR(__xludf.DUMMYFUNCTION("IF(SUM(COUNTIF(artists!A:A, SPLIT(D90, "",""))) &gt; 0, ""UA"", 0)"),0)</f>
        <v>0</v>
      </c>
      <c r="J90" s="40">
        <f ca="1">IFERROR(__xludf.DUMMYFUNCTION("IF(SUM(COUNTIF(artists!C:C, SPLIT(D90, "",""))) &gt; 0, ""RU"", 0)"),0)</f>
        <v>0</v>
      </c>
      <c r="K90" s="39" t="str">
        <f ca="1">IFERROR(__xludf.DUMMYFUNCTION("IF(SUM(COUNTIF(artists!E:E, SPLIT(D90, "",""))) &gt; 0, ""OTHER"", 0)"),"OTHER")</f>
        <v>OTHER</v>
      </c>
    </row>
    <row r="91" spans="1:11" ht="14.25" customHeight="1">
      <c r="A91" s="21">
        <v>90</v>
      </c>
      <c r="B91" s="21">
        <v>89</v>
      </c>
      <c r="C91" s="21" t="s">
        <v>2141</v>
      </c>
      <c r="D91" s="21" t="s">
        <v>2018</v>
      </c>
      <c r="E91" s="21">
        <v>11</v>
      </c>
      <c r="F91" s="21">
        <v>163974</v>
      </c>
      <c r="G91" s="42">
        <v>3.0000000000000001E-3</v>
      </c>
      <c r="H91" s="21" t="s">
        <v>2142</v>
      </c>
      <c r="I91" s="39">
        <f ca="1">IFERROR(__xludf.DUMMYFUNCTION("IF(SUM(COUNTIF(artists!A:A, SPLIT(D91, "",""))) &gt; 0, ""UA"", 0)"),0)</f>
        <v>0</v>
      </c>
      <c r="J91" s="40" t="str">
        <f ca="1">IFERROR(__xludf.DUMMYFUNCTION("IF(SUM(COUNTIF(artists!C:C, SPLIT(D91, "",""))) &gt; 0, ""RU"", 0)"),"RU")</f>
        <v>RU</v>
      </c>
      <c r="K91" s="39">
        <f ca="1">IFERROR(__xludf.DUMMYFUNCTION("IF(SUM(COUNTIF(artists!E:E, SPLIT(D91, "",""))) &gt; 0, ""OTHER"", 0)"),0)</f>
        <v>0</v>
      </c>
    </row>
    <row r="92" spans="1:11" ht="14.25" customHeight="1">
      <c r="A92" s="21">
        <v>91</v>
      </c>
      <c r="B92" s="21">
        <v>84</v>
      </c>
      <c r="C92" s="21" t="s">
        <v>2096</v>
      </c>
      <c r="D92" s="21" t="s">
        <v>2097</v>
      </c>
      <c r="E92" s="21">
        <v>2</v>
      </c>
      <c r="F92" s="21">
        <v>163452</v>
      </c>
      <c r="G92" s="43">
        <v>-0.04</v>
      </c>
      <c r="H92" s="21" t="s">
        <v>2098</v>
      </c>
      <c r="I92" s="39">
        <f ca="1">IFERROR(__xludf.DUMMYFUNCTION("IF(SUM(COUNTIF(artists!A:A, SPLIT(D92, "",""))) &gt; 0, ""UA"", 0)"),0)</f>
        <v>0</v>
      </c>
      <c r="J92" s="40" t="str">
        <f ca="1">IFERROR(__xludf.DUMMYFUNCTION("IF(SUM(COUNTIF(artists!C:C, SPLIT(D92, "",""))) &gt; 0, ""RU"", 0)"),"RU")</f>
        <v>RU</v>
      </c>
      <c r="K92" s="39">
        <f ca="1">IFERROR(__xludf.DUMMYFUNCTION("IF(SUM(COUNTIF(artists!E:E, SPLIT(D92, "",""))) &gt; 0, ""OTHER"", 0)"),0)</f>
        <v>0</v>
      </c>
    </row>
    <row r="93" spans="1:11" ht="14.25" customHeight="1">
      <c r="A93" s="21">
        <v>92</v>
      </c>
      <c r="B93" s="21">
        <v>95</v>
      </c>
      <c r="C93" s="21" t="s">
        <v>2259</v>
      </c>
      <c r="D93" s="21" t="s">
        <v>2260</v>
      </c>
      <c r="E93" s="21">
        <v>7</v>
      </c>
      <c r="F93" s="21">
        <v>161663</v>
      </c>
      <c r="G93" s="42">
        <v>1.9E-2</v>
      </c>
      <c r="H93" s="21" t="s">
        <v>2261</v>
      </c>
      <c r="I93" s="39">
        <f ca="1">IFERROR(__xludf.DUMMYFUNCTION("IF(SUM(COUNTIF(artists!A:A, SPLIT(D93, "",""))) &gt; 0, ""UA"", 0)"),0)</f>
        <v>0</v>
      </c>
      <c r="J93" s="40" t="str">
        <f ca="1">IFERROR(__xludf.DUMMYFUNCTION("IF(SUM(COUNTIF(artists!C:C, SPLIT(D93, "",""))) &gt; 0, ""RU"", 0)"),"RU")</f>
        <v>RU</v>
      </c>
      <c r="K93" s="39">
        <f ca="1">IFERROR(__xludf.DUMMYFUNCTION("IF(SUM(COUNTIF(artists!E:E, SPLIT(D93, "",""))) &gt; 0, ""OTHER"", 0)"),0)</f>
        <v>0</v>
      </c>
    </row>
    <row r="94" spans="1:11" ht="14.25" customHeight="1">
      <c r="A94" s="21">
        <v>93</v>
      </c>
      <c r="B94" s="21">
        <v>97</v>
      </c>
      <c r="C94" s="21" t="s">
        <v>1222</v>
      </c>
      <c r="D94" s="21" t="s">
        <v>1223</v>
      </c>
      <c r="E94" s="21">
        <v>14</v>
      </c>
      <c r="F94" s="21">
        <v>158642</v>
      </c>
      <c r="G94" s="42">
        <v>1.4999999999999999E-2</v>
      </c>
      <c r="H94" s="21" t="s">
        <v>1224</v>
      </c>
      <c r="I94" s="39">
        <f ca="1">IFERROR(__xludf.DUMMYFUNCTION("IF(SUM(COUNTIF(artists!A:A, SPLIT(D94, "",""))) &gt; 0, ""UA"", 0)"),0)</f>
        <v>0</v>
      </c>
      <c r="J94" s="40" t="str">
        <f ca="1">IFERROR(__xludf.DUMMYFUNCTION("IF(SUM(COUNTIF(artists!C:C, SPLIT(D94, "",""))) &gt; 0, ""RU"", 0)"),"RU")</f>
        <v>RU</v>
      </c>
      <c r="K94" s="39">
        <f ca="1">IFERROR(__xludf.DUMMYFUNCTION("IF(SUM(COUNTIF(artists!E:E, SPLIT(D94, "",""))) &gt; 0, ""OTHER"", 0)"),0)</f>
        <v>0</v>
      </c>
    </row>
    <row r="95" spans="1:11" ht="14.25" customHeight="1">
      <c r="A95" s="21">
        <v>94</v>
      </c>
      <c r="B95" s="21">
        <v>71</v>
      </c>
      <c r="C95" s="21" t="s">
        <v>2281</v>
      </c>
      <c r="D95" s="21" t="s">
        <v>2282</v>
      </c>
      <c r="E95" s="21">
        <v>9</v>
      </c>
      <c r="F95" s="21">
        <v>157526</v>
      </c>
      <c r="G95" s="42">
        <v>-0.14099999999999999</v>
      </c>
      <c r="H95" s="21" t="s">
        <v>2283</v>
      </c>
      <c r="I95" s="39">
        <f ca="1">IFERROR(__xludf.DUMMYFUNCTION("IF(SUM(COUNTIF(artists!A:A, SPLIT(D95, "",""))) &gt; 0, ""UA"", 0)"),0)</f>
        <v>0</v>
      </c>
      <c r="J95" s="40" t="str">
        <f ca="1">IFERROR(__xludf.DUMMYFUNCTION("IF(SUM(COUNTIF(artists!C:C, SPLIT(D95, "",""))) &gt; 0, ""RU"", 0)"),"RU")</f>
        <v>RU</v>
      </c>
      <c r="K95" s="39">
        <f ca="1">IFERROR(__xludf.DUMMYFUNCTION("IF(SUM(COUNTIF(artists!E:E, SPLIT(D95, "",""))) &gt; 0, ""OTHER"", 0)"),0)</f>
        <v>0</v>
      </c>
    </row>
    <row r="96" spans="1:11" ht="14.25" customHeight="1">
      <c r="A96" s="21">
        <v>95</v>
      </c>
      <c r="B96" s="21">
        <v>78</v>
      </c>
      <c r="C96" s="21" t="s">
        <v>530</v>
      </c>
      <c r="D96" s="21" t="s">
        <v>531</v>
      </c>
      <c r="E96" s="21">
        <v>17</v>
      </c>
      <c r="F96" s="21">
        <v>157269</v>
      </c>
      <c r="G96" s="42">
        <v>-0.112</v>
      </c>
      <c r="H96" s="21" t="s">
        <v>532</v>
      </c>
      <c r="I96" s="39">
        <f ca="1">IFERROR(__xludf.DUMMYFUNCTION("IF(SUM(COUNTIF(artists!A:A, SPLIT(D96, "",""))) &gt; 0, ""UA"", 0)"),0)</f>
        <v>0</v>
      </c>
      <c r="J96" s="40" t="str">
        <f ca="1">IFERROR(__xludf.DUMMYFUNCTION("IF(SUM(COUNTIF(artists!C:C, SPLIT(D96, "",""))) &gt; 0, ""RU"", 0)"),"RU")</f>
        <v>RU</v>
      </c>
      <c r="K96" s="39">
        <f ca="1">IFERROR(__xludf.DUMMYFUNCTION("IF(SUM(COUNTIF(artists!E:E, SPLIT(D96, "",""))) &gt; 0, ""OTHER"", 0)"),0)</f>
        <v>0</v>
      </c>
    </row>
    <row r="97" spans="1:11" ht="14.25" customHeight="1">
      <c r="A97" s="21">
        <v>96</v>
      </c>
      <c r="B97" s="21">
        <v>92</v>
      </c>
      <c r="C97" s="21" t="s">
        <v>2114</v>
      </c>
      <c r="D97" s="21" t="s">
        <v>2115</v>
      </c>
      <c r="E97" s="21">
        <v>7</v>
      </c>
      <c r="F97" s="21">
        <v>157046</v>
      </c>
      <c r="G97" s="42">
        <v>-3.2000000000000001E-2</v>
      </c>
      <c r="H97" s="21" t="s">
        <v>2116</v>
      </c>
      <c r="I97" s="39">
        <f ca="1">IFERROR(__xludf.DUMMYFUNCTION("IF(SUM(COUNTIF(artists!A:A, SPLIT(D97, "",""))) &gt; 0, ""UA"", 0)"),0)</f>
        <v>0</v>
      </c>
      <c r="J97" s="40" t="str">
        <f ca="1">IFERROR(__xludf.DUMMYFUNCTION("IF(SUM(COUNTIF(artists!C:C, SPLIT(D97, "",""))) &gt; 0, ""RU"", 0)"),"RU")</f>
        <v>RU</v>
      </c>
      <c r="K97" s="39">
        <f ca="1">IFERROR(__xludf.DUMMYFUNCTION("IF(SUM(COUNTIF(artists!E:E, SPLIT(D97, "",""))) &gt; 0, ""OTHER"", 0)"),0)</f>
        <v>0</v>
      </c>
    </row>
    <row r="98" spans="1:11" ht="14.25" customHeight="1">
      <c r="A98" s="21">
        <v>97</v>
      </c>
      <c r="C98" s="21" t="s">
        <v>1622</v>
      </c>
      <c r="D98" s="21" t="s">
        <v>137</v>
      </c>
      <c r="E98" s="21">
        <v>6</v>
      </c>
      <c r="F98" s="21">
        <v>156902</v>
      </c>
      <c r="H98" s="21" t="s">
        <v>1623</v>
      </c>
      <c r="I98" s="39" t="str">
        <f ca="1">IFERROR(__xludf.DUMMYFUNCTION("IF(SUM(COUNTIF(artists!A:A, SPLIT(D98, "",""))) &gt; 0, ""UA"", 0)"),"UA")</f>
        <v>UA</v>
      </c>
      <c r="J98" s="40">
        <f ca="1">IFERROR(__xludf.DUMMYFUNCTION("IF(SUM(COUNTIF(artists!C:C, SPLIT(D98, "",""))) &gt; 0, ""RU"", 0)"),0)</f>
        <v>0</v>
      </c>
      <c r="K98" s="39">
        <f ca="1">IFERROR(__xludf.DUMMYFUNCTION("IF(SUM(COUNTIF(artists!E:E, SPLIT(D98, "",""))) &gt; 0, ""OTHER"", 0)"),0)</f>
        <v>0</v>
      </c>
    </row>
    <row r="99" spans="1:11" ht="14.25" customHeight="1">
      <c r="A99" s="21">
        <v>98</v>
      </c>
      <c r="C99" s="21" t="s">
        <v>2284</v>
      </c>
      <c r="D99" s="21" t="s">
        <v>1099</v>
      </c>
      <c r="E99" s="21">
        <v>23</v>
      </c>
      <c r="F99" s="21">
        <v>156444</v>
      </c>
      <c r="H99" s="21" t="s">
        <v>2285</v>
      </c>
      <c r="I99" s="39">
        <f ca="1">IFERROR(__xludf.DUMMYFUNCTION("IF(SUM(COUNTIF(artists!A:A, SPLIT(D99, "",""))) &gt; 0, ""UA"", 0)"),0)</f>
        <v>0</v>
      </c>
      <c r="J99" s="40" t="str">
        <f ca="1">IFERROR(__xludf.DUMMYFUNCTION("IF(SUM(COUNTIF(artists!C:C, SPLIT(D99, "",""))) &gt; 0, ""RU"", 0)"),"RU")</f>
        <v>RU</v>
      </c>
      <c r="K99" s="39">
        <f ca="1">IFERROR(__xludf.DUMMYFUNCTION("IF(SUM(COUNTIF(artists!E:E, SPLIT(D99, "",""))) &gt; 0, ""OTHER"", 0)"),0)</f>
        <v>0</v>
      </c>
    </row>
    <row r="100" spans="1:11" ht="14.25" customHeight="1">
      <c r="A100" s="21">
        <v>99</v>
      </c>
      <c r="C100" s="21" t="s">
        <v>2117</v>
      </c>
      <c r="D100" s="21" t="s">
        <v>2118</v>
      </c>
      <c r="E100" s="21">
        <v>4</v>
      </c>
      <c r="F100" s="21">
        <v>152674</v>
      </c>
      <c r="H100" s="21" t="s">
        <v>2119</v>
      </c>
      <c r="I100" s="39">
        <f ca="1">IFERROR(__xludf.DUMMYFUNCTION("IF(SUM(COUNTIF(artists!A:A, SPLIT(D100, "",""))) &gt; 0, ""UA"", 0)"),0)</f>
        <v>0</v>
      </c>
      <c r="J100" s="40">
        <f ca="1">IFERROR(__xludf.DUMMYFUNCTION("IF(SUM(COUNTIF(artists!C:C, SPLIT(D100, "",""))) &gt; 0, ""RU"", 0)"),0)</f>
        <v>0</v>
      </c>
      <c r="K100" s="39" t="str">
        <f ca="1">IFERROR(__xludf.DUMMYFUNCTION("IF(SUM(COUNTIF(artists!E:E, SPLIT(D100, "",""))) &gt; 0, ""OTHER"", 0)"),"OTHER")</f>
        <v>OTHER</v>
      </c>
    </row>
    <row r="101" spans="1:11" ht="14.25" customHeight="1">
      <c r="A101" s="21">
        <v>100</v>
      </c>
      <c r="C101" s="21" t="s">
        <v>2286</v>
      </c>
      <c r="D101" s="21" t="s">
        <v>2086</v>
      </c>
      <c r="E101" s="21">
        <v>14</v>
      </c>
      <c r="F101" s="21">
        <v>151839</v>
      </c>
      <c r="H101" s="21" t="s">
        <v>2287</v>
      </c>
      <c r="I101" s="39">
        <f ca="1">IFERROR(__xludf.DUMMYFUNCTION("IF(SUM(COUNTIF(artists!A:A, SPLIT(D101, "",""))) &gt; 0, ""UA"", 0)"),0)</f>
        <v>0</v>
      </c>
      <c r="J101" s="40" t="str">
        <f ca="1">IFERROR(__xludf.DUMMYFUNCTION("IF(SUM(COUNTIF(artists!C:C, SPLIT(D101, "",""))) &gt; 0, ""RU"", 0)"),"RU")</f>
        <v>RU</v>
      </c>
      <c r="K101" s="39">
        <f ca="1">IFERROR(__xludf.DUMMYFUNCTION("IF(SUM(COUNTIF(artists!E:E, SPLIT(D101, "",""))) &gt; 0, ""OTHER"", 0)"),0)</f>
        <v>0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5" priority="1">
      <formula>AND($I2=0, $J2=0, $K2=0)</formula>
    </cfRule>
    <cfRule type="expression" dxfId="4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C00-000000000000}">
  <sheetPr codeName="Аркуш61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4" width="8.6640625" customWidth="1"/>
    <col min="5" max="5" width="8.6640625" hidden="1" customWidth="1"/>
    <col min="6" max="7" width="8.664062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B2" s="21">
        <v>1</v>
      </c>
      <c r="C2" s="21" t="s">
        <v>935</v>
      </c>
      <c r="D2" s="21" t="s">
        <v>936</v>
      </c>
      <c r="E2" s="21">
        <v>11</v>
      </c>
      <c r="F2" s="21">
        <v>1376900</v>
      </c>
      <c r="G2" s="42">
        <v>-0.23200000000000001</v>
      </c>
      <c r="H2" s="21" t="s">
        <v>937</v>
      </c>
      <c r="I2" s="39">
        <f ca="1">IFERROR(__xludf.DUMMYFUNCTION("IF(SUM(COUNTIF(artists!A:A, SPLIT(D2, "",""))) &gt; 0, ""UA"", 0)"),0)</f>
        <v>0</v>
      </c>
      <c r="J2" s="40" t="str">
        <f ca="1">IFERROR(__xludf.DUMMYFUNCTION("IF(SUM(COUNTIF(artists!C:C, SPLIT(D2, "",""))) &gt; 0, ""RU"", 0)"),"RU")</f>
        <v>RU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B3" s="21">
        <v>3</v>
      </c>
      <c r="C3" s="21" t="s">
        <v>1116</v>
      </c>
      <c r="D3" s="21" t="s">
        <v>1117</v>
      </c>
      <c r="E3" s="21">
        <v>7</v>
      </c>
      <c r="F3" s="21">
        <v>976732</v>
      </c>
      <c r="G3" s="42">
        <v>-0.17599999999999999</v>
      </c>
      <c r="H3" s="21" t="s">
        <v>1118</v>
      </c>
      <c r="I3" s="39">
        <f ca="1">IFERROR(__xludf.DUMMYFUNCTION("IF(SUM(COUNTIF(artists!A:A, SPLIT(D3, "",""))) &gt; 0, ""UA"", 0)"),0)</f>
        <v>0</v>
      </c>
      <c r="J3" s="40" t="str">
        <f ca="1">IFERROR(__xludf.DUMMYFUNCTION("IF(SUM(COUNTIF(artists!C:C, SPLIT(D3, "",""))) &gt; 0, ""RU"", 0)"),"RU")</f>
        <v>RU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B4" s="21">
        <v>2</v>
      </c>
      <c r="C4" s="21" t="s">
        <v>1325</v>
      </c>
      <c r="D4" s="21" t="s">
        <v>1237</v>
      </c>
      <c r="E4" s="21">
        <v>34</v>
      </c>
      <c r="F4" s="21">
        <v>886218</v>
      </c>
      <c r="G4" s="42">
        <v>-0.27500000000000002</v>
      </c>
      <c r="H4" s="21" t="s">
        <v>1326</v>
      </c>
      <c r="I4" s="39">
        <f ca="1">IFERROR(__xludf.DUMMYFUNCTION("IF(SUM(COUNTIF(artists!A:A, SPLIT(D4, "",""))) &gt; 0, ""UA"", 0)"),0)</f>
        <v>0</v>
      </c>
      <c r="J4" s="40" t="str">
        <f ca="1">IFERROR(__xludf.DUMMYFUNCTION("IF(SUM(COUNTIF(artists!C:C, SPLIT(D4, "",""))) &gt; 0, ""RU"", 0)"),"RU")</f>
        <v>RU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C5" s="21" t="s">
        <v>2107</v>
      </c>
      <c r="D5" s="21" t="s">
        <v>1783</v>
      </c>
      <c r="E5" s="21">
        <v>1</v>
      </c>
      <c r="F5" s="21">
        <v>798947</v>
      </c>
      <c r="H5" s="21" t="s">
        <v>2108</v>
      </c>
      <c r="I5" s="39">
        <f ca="1">IFERROR(__xludf.DUMMYFUNCTION("IF(SUM(COUNTIF(artists!A:A, SPLIT(D5, "",""))) &gt; 0, ""UA"", 0)"),0)</f>
        <v>0</v>
      </c>
      <c r="J5" s="40" t="str">
        <f ca="1">IFERROR(__xludf.DUMMYFUNCTION("IF(SUM(COUNTIF(artists!C:C, SPLIT(D5, "",""))) &gt; 0, ""RU"", 0)"),"RU")</f>
        <v>RU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C6" s="21" t="s">
        <v>1887</v>
      </c>
      <c r="D6" s="21" t="s">
        <v>1099</v>
      </c>
      <c r="E6" s="21">
        <v>1</v>
      </c>
      <c r="F6" s="21">
        <v>766261</v>
      </c>
      <c r="H6" s="21" t="s">
        <v>1888</v>
      </c>
      <c r="I6" s="39">
        <f ca="1">IFERROR(__xludf.DUMMYFUNCTION("IF(SUM(COUNTIF(artists!A:A, SPLIT(D6, "",""))) &gt; 0, ""UA"", 0)"),0)</f>
        <v>0</v>
      </c>
      <c r="J6" s="40" t="str">
        <f ca="1">IFERROR(__xludf.DUMMYFUNCTION("IF(SUM(COUNTIF(artists!C:C, SPLIT(D6, "",""))) &gt; 0, ""RU"", 0)"),"RU")</f>
        <v>RU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B7" s="21">
        <v>4</v>
      </c>
      <c r="C7" s="21" t="s">
        <v>1956</v>
      </c>
      <c r="D7" s="21" t="s">
        <v>1957</v>
      </c>
      <c r="E7" s="21">
        <v>12</v>
      </c>
      <c r="F7" s="21">
        <v>746510</v>
      </c>
      <c r="G7" s="43">
        <v>-0.26</v>
      </c>
      <c r="H7" s="21" t="s">
        <v>1958</v>
      </c>
      <c r="I7" s="39">
        <f ca="1">IFERROR(__xludf.DUMMYFUNCTION("IF(SUM(COUNTIF(artists!A:A, SPLIT(D7, "",""))) &gt; 0, ""UA"", 0)"),0)</f>
        <v>0</v>
      </c>
      <c r="J7" s="40" t="str">
        <f ca="1">IFERROR(__xludf.DUMMYFUNCTION("IF(SUM(COUNTIF(artists!C:C, SPLIT(D7, "",""))) &gt; 0, ""RU"", 0)"),"RU")</f>
        <v>RU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B8" s="21">
        <v>5</v>
      </c>
      <c r="C8" s="21" t="s">
        <v>2041</v>
      </c>
      <c r="D8" s="21" t="s">
        <v>584</v>
      </c>
      <c r="E8" s="21">
        <v>5</v>
      </c>
      <c r="F8" s="21">
        <v>677596</v>
      </c>
      <c r="G8" s="42">
        <v>-0.20699999999999999</v>
      </c>
      <c r="H8" s="21" t="s">
        <v>2042</v>
      </c>
      <c r="I8" s="39">
        <f ca="1">IFERROR(__xludf.DUMMYFUNCTION("IF(SUM(COUNTIF(artists!A:A, SPLIT(D8, "",""))) &gt; 0, ""UA"", 0)"),0)</f>
        <v>0</v>
      </c>
      <c r="J8" s="40" t="str">
        <f ca="1">IFERROR(__xludf.DUMMYFUNCTION("IF(SUM(COUNTIF(artists!C:C, SPLIT(D8, "",""))) &gt; 0, ""RU"", 0)"),"RU")</f>
        <v>RU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B9" s="21">
        <v>7</v>
      </c>
      <c r="C9" s="21" t="s">
        <v>1825</v>
      </c>
      <c r="D9" s="21" t="s">
        <v>1895</v>
      </c>
      <c r="E9" s="21">
        <v>38</v>
      </c>
      <c r="F9" s="21">
        <v>672122</v>
      </c>
      <c r="G9" s="42">
        <v>-0.16200000000000001</v>
      </c>
      <c r="H9" s="21" t="s">
        <v>1827</v>
      </c>
      <c r="I9" s="39">
        <f ca="1">IFERROR(__xludf.DUMMYFUNCTION("IF(SUM(COUNTIF(artists!A:A, SPLIT(D9, "",""))) &gt; 0, ""UA"", 0)"),0)</f>
        <v>0</v>
      </c>
      <c r="J9" s="40">
        <f ca="1">IFERROR(__xludf.DUMMYFUNCTION("IF(SUM(COUNTIF(artists!C:C, SPLIT(D9, "",""))) &gt; 0, ""RU"", 0)"),0)</f>
        <v>0</v>
      </c>
      <c r="K9" s="39" t="str">
        <f ca="1">IFERROR(__xludf.DUMMYFUNCTION("IF(SUM(COUNTIF(artists!E:E, SPLIT(D9, "",""))) &gt; 0, ""OTHER"", 0)"),"OTHER")</f>
        <v>OTHER</v>
      </c>
    </row>
    <row r="10" spans="1:11" ht="14.25" customHeight="1">
      <c r="A10" s="21">
        <v>9</v>
      </c>
      <c r="B10" s="21">
        <v>9</v>
      </c>
      <c r="C10" s="21" t="s">
        <v>1676</v>
      </c>
      <c r="D10" s="21" t="s">
        <v>743</v>
      </c>
      <c r="E10" s="21">
        <v>10</v>
      </c>
      <c r="F10" s="21">
        <v>660379</v>
      </c>
      <c r="G10" s="42">
        <v>-0.13100000000000001</v>
      </c>
      <c r="H10" s="21" t="s">
        <v>1677</v>
      </c>
      <c r="I10" s="39">
        <f ca="1">IFERROR(__xludf.DUMMYFUNCTION("IF(SUM(COUNTIF(artists!A:A, SPLIT(D10, "",""))) &gt; 0, ""UA"", 0)"),0)</f>
        <v>0</v>
      </c>
      <c r="J10" s="40" t="str">
        <f ca="1">IFERROR(__xludf.DUMMYFUNCTION("IF(SUM(COUNTIF(artists!C:C, SPLIT(D10, "",""))) &gt; 0, ""RU"", 0)"),"RU")</f>
        <v>RU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B11" s="21">
        <v>11</v>
      </c>
      <c r="C11" s="21" t="s">
        <v>1263</v>
      </c>
      <c r="D11" s="21" t="s">
        <v>1264</v>
      </c>
      <c r="E11" s="21">
        <v>10</v>
      </c>
      <c r="F11" s="21">
        <v>655069</v>
      </c>
      <c r="G11" s="42">
        <v>-0.111</v>
      </c>
      <c r="H11" s="21" t="s">
        <v>1265</v>
      </c>
      <c r="I11" s="39">
        <f ca="1">IFERROR(__xludf.DUMMYFUNCTION("IF(SUM(COUNTIF(artists!A:A, SPLIT(D11, "",""))) &gt; 0, ""UA"", 0)"),0)</f>
        <v>0</v>
      </c>
      <c r="J11" s="40" t="str">
        <f ca="1">IFERROR(__xludf.DUMMYFUNCTION("IF(SUM(COUNTIF(artists!C:C, SPLIT(D11, "",""))) &gt; 0, ""RU"", 0)"),"RU")</f>
        <v>RU</v>
      </c>
      <c r="K11" s="39">
        <f ca="1">IFERROR(__xludf.DUMMYFUNCTION("IF(SUM(COUNTIF(artists!E:E, SPLIT(D11, "",""))) &gt; 0, ""OTHER"", 0)"),0)</f>
        <v>0</v>
      </c>
    </row>
    <row r="12" spans="1:11" ht="14.25" customHeight="1">
      <c r="A12" s="21">
        <v>11</v>
      </c>
      <c r="B12" s="21">
        <v>6</v>
      </c>
      <c r="C12" s="21" t="s">
        <v>918</v>
      </c>
      <c r="D12" s="21" t="s">
        <v>108</v>
      </c>
      <c r="E12" s="21">
        <v>29</v>
      </c>
      <c r="F12" s="21">
        <v>619193</v>
      </c>
      <c r="G12" s="42">
        <v>-0.24299999999999999</v>
      </c>
      <c r="H12" s="21" t="s">
        <v>919</v>
      </c>
      <c r="I12" s="39" t="str">
        <f ca="1">IFERROR(__xludf.DUMMYFUNCTION("IF(SUM(COUNTIF(artists!A:A, SPLIT(D12, "",""))) &gt; 0, ""UA"", 0)"),"UA")</f>
        <v>UA</v>
      </c>
      <c r="J12" s="40">
        <f ca="1">IFERROR(__xludf.DUMMYFUNCTION("IF(SUM(COUNTIF(artists!C:C, SPLIT(D12, "",""))) &gt; 0, ""RU"", 0)"),0)</f>
        <v>0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B13" s="21">
        <v>10</v>
      </c>
      <c r="C13" s="21" t="s">
        <v>2262</v>
      </c>
      <c r="D13" s="21" t="s">
        <v>2171</v>
      </c>
      <c r="E13" s="21">
        <v>51</v>
      </c>
      <c r="F13" s="21">
        <v>610205</v>
      </c>
      <c r="G13" s="42">
        <v>-0.17899999999999999</v>
      </c>
      <c r="H13" s="21" t="s">
        <v>2263</v>
      </c>
      <c r="I13" s="39">
        <f ca="1">IFERROR(__xludf.DUMMYFUNCTION("IF(SUM(COUNTIF(artists!A:A, SPLIT(D13, "",""))) &gt; 0, ""UA"", 0)"),0)</f>
        <v>0</v>
      </c>
      <c r="J13" s="40" t="str">
        <f ca="1">IFERROR(__xludf.DUMMYFUNCTION("IF(SUM(COUNTIF(artists!C:C, SPLIT(D13, "",""))) &gt; 0, ""RU"", 0)"),"RU")</f>
        <v>RU</v>
      </c>
      <c r="K13" s="39">
        <f ca="1">IFERROR(__xludf.DUMMYFUNCTION("IF(SUM(COUNTIF(artists!E:E, SPLIT(D13, "",""))) &gt; 0, ""OTHER"", 0)"),0)</f>
        <v>0</v>
      </c>
    </row>
    <row r="14" spans="1:11" ht="14.25" customHeight="1">
      <c r="A14" s="21">
        <v>13</v>
      </c>
      <c r="B14" s="21">
        <v>8</v>
      </c>
      <c r="C14" s="21" t="s">
        <v>1500</v>
      </c>
      <c r="D14" s="21" t="s">
        <v>907</v>
      </c>
      <c r="E14" s="21">
        <v>14</v>
      </c>
      <c r="F14" s="21">
        <v>596141</v>
      </c>
      <c r="G14" s="42">
        <v>-0.24099999999999999</v>
      </c>
      <c r="H14" s="21" t="s">
        <v>1501</v>
      </c>
      <c r="I14" s="39">
        <f ca="1">IFERROR(__xludf.DUMMYFUNCTION("IF(SUM(COUNTIF(artists!A:A, SPLIT(D14, "",""))) &gt; 0, ""UA"", 0)"),0)</f>
        <v>0</v>
      </c>
      <c r="J14" s="40" t="str">
        <f ca="1">IFERROR(__xludf.DUMMYFUNCTION("IF(SUM(COUNTIF(artists!C:C, SPLIT(D14, "",""))) &gt; 0, ""RU"", 0)"),"RU")</f>
        <v>RU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B15" s="21">
        <v>12</v>
      </c>
      <c r="C15" s="21" t="s">
        <v>906</v>
      </c>
      <c r="D15" s="21" t="s">
        <v>907</v>
      </c>
      <c r="E15" s="21">
        <v>5</v>
      </c>
      <c r="F15" s="21">
        <v>561755</v>
      </c>
      <c r="G15" s="42">
        <v>-0.19600000000000001</v>
      </c>
      <c r="H15" s="21" t="s">
        <v>908</v>
      </c>
      <c r="I15" s="39">
        <f ca="1">IFERROR(__xludf.DUMMYFUNCTION("IF(SUM(COUNTIF(artists!A:A, SPLIT(D15, "",""))) &gt; 0, ""UA"", 0)"),0)</f>
        <v>0</v>
      </c>
      <c r="J15" s="40" t="str">
        <f ca="1">IFERROR(__xludf.DUMMYFUNCTION("IF(SUM(COUNTIF(artists!C:C, SPLIT(D15, "",""))) &gt; 0, ""RU"", 0)"),"RU")</f>
        <v>RU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B16" s="21">
        <v>16</v>
      </c>
      <c r="C16" s="21" t="s">
        <v>1729</v>
      </c>
      <c r="D16" s="21" t="s">
        <v>1730</v>
      </c>
      <c r="E16" s="21">
        <v>35</v>
      </c>
      <c r="F16" s="21">
        <v>547505</v>
      </c>
      <c r="G16" s="42">
        <v>-8.8999999999999996E-2</v>
      </c>
      <c r="H16" s="21" t="s">
        <v>1731</v>
      </c>
      <c r="I16" s="39">
        <f ca="1">IFERROR(__xludf.DUMMYFUNCTION("IF(SUM(COUNTIF(artists!A:A, SPLIT(D16, "",""))) &gt; 0, ""UA"", 0)"),0)</f>
        <v>0</v>
      </c>
      <c r="J16" s="40" t="str">
        <f ca="1">IFERROR(__xludf.DUMMYFUNCTION("IF(SUM(COUNTIF(artists!C:C, SPLIT(D16, "",""))) &gt; 0, ""RU"", 0)"),"RU")</f>
        <v>RU</v>
      </c>
      <c r="K16" s="39">
        <f ca="1">IFERROR(__xludf.DUMMYFUNCTION("IF(SUM(COUNTIF(artists!E:E, SPLIT(D16, "",""))) &gt; 0, ""OTHER"", 0)"),0)</f>
        <v>0</v>
      </c>
    </row>
    <row r="17" spans="1:11" ht="14.25" customHeight="1">
      <c r="A17" s="21">
        <v>16</v>
      </c>
      <c r="B17" s="21">
        <v>15</v>
      </c>
      <c r="C17" s="21" t="s">
        <v>1867</v>
      </c>
      <c r="D17" s="21" t="s">
        <v>1099</v>
      </c>
      <c r="E17" s="21">
        <v>8</v>
      </c>
      <c r="F17" s="21">
        <v>534205</v>
      </c>
      <c r="G17" s="42">
        <v>-0.13600000000000001</v>
      </c>
      <c r="H17" s="21" t="s">
        <v>1868</v>
      </c>
      <c r="I17" s="39">
        <f ca="1">IFERROR(__xludf.DUMMYFUNCTION("IF(SUM(COUNTIF(artists!A:A, SPLIT(D17, "",""))) &gt; 0, ""UA"", 0)"),0)</f>
        <v>0</v>
      </c>
      <c r="J17" s="40" t="str">
        <f ca="1">IFERROR(__xludf.DUMMYFUNCTION("IF(SUM(COUNTIF(artists!C:C, SPLIT(D17, "",""))) &gt; 0, ""RU"", 0)"),"RU")</f>
        <v>RU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B18" s="21">
        <v>23</v>
      </c>
      <c r="C18" s="21" t="s">
        <v>1261</v>
      </c>
      <c r="D18" s="21" t="s">
        <v>137</v>
      </c>
      <c r="E18" s="21">
        <v>9</v>
      </c>
      <c r="F18" s="21">
        <v>490237</v>
      </c>
      <c r="G18" s="42">
        <v>-6.5000000000000002E-2</v>
      </c>
      <c r="H18" s="21" t="s">
        <v>1262</v>
      </c>
      <c r="I18" s="39" t="str">
        <f ca="1">IFERROR(__xludf.DUMMYFUNCTION("IF(SUM(COUNTIF(artists!A:A, SPLIT(D18, "",""))) &gt; 0, ""UA"", 0)"),"UA")</f>
        <v>UA</v>
      </c>
      <c r="J18" s="40">
        <f ca="1">IFERROR(__xludf.DUMMYFUNCTION("IF(SUM(COUNTIF(artists!C:C, SPLIT(D18, "",""))) &gt; 0, ""RU"", 0)"),0)</f>
        <v>0</v>
      </c>
      <c r="K18" s="39">
        <f ca="1">IFERROR(__xludf.DUMMYFUNCTION("IF(SUM(COUNTIF(artists!E:E, SPLIT(D18, "",""))) &gt; 0, ""OTHER"", 0)"),0)</f>
        <v>0</v>
      </c>
    </row>
    <row r="19" spans="1:11" ht="14.25" customHeight="1">
      <c r="A19" s="21">
        <v>18</v>
      </c>
      <c r="B19" s="21">
        <v>17</v>
      </c>
      <c r="C19" s="21" t="s">
        <v>1616</v>
      </c>
      <c r="D19" s="21" t="s">
        <v>1617</v>
      </c>
      <c r="E19" s="21">
        <v>30</v>
      </c>
      <c r="F19" s="21">
        <v>487983</v>
      </c>
      <c r="G19" s="42">
        <v>-0.17499999999999999</v>
      </c>
      <c r="H19" s="21" t="s">
        <v>1618</v>
      </c>
      <c r="I19" s="39">
        <f ca="1">IFERROR(__xludf.DUMMYFUNCTION("IF(SUM(COUNTIF(artists!A:A, SPLIT(D19, "",""))) &gt; 0, ""UA"", 0)"),0)</f>
        <v>0</v>
      </c>
      <c r="J19" s="40" t="str">
        <f ca="1">IFERROR(__xludf.DUMMYFUNCTION("IF(SUM(COUNTIF(artists!C:C, SPLIT(D19, "",""))) &gt; 0, ""RU"", 0)"),"RU")</f>
        <v>RU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B20" s="21">
        <v>14</v>
      </c>
      <c r="C20" s="21" t="s">
        <v>1964</v>
      </c>
      <c r="D20" s="21" t="s">
        <v>1965</v>
      </c>
      <c r="E20" s="21">
        <v>11</v>
      </c>
      <c r="F20" s="21">
        <v>476157</v>
      </c>
      <c r="G20" s="42">
        <v>-0.26700000000000002</v>
      </c>
      <c r="H20" s="21" t="s">
        <v>1966</v>
      </c>
      <c r="I20" s="39">
        <f ca="1">IFERROR(__xludf.DUMMYFUNCTION("IF(SUM(COUNTIF(artists!A:A, SPLIT(D20, "",""))) &gt; 0, ""UA"", 0)"),0)</f>
        <v>0</v>
      </c>
      <c r="J20" s="40" t="str">
        <f ca="1">IFERROR(__xludf.DUMMYFUNCTION("IF(SUM(COUNTIF(artists!C:C, SPLIT(D20, "",""))) &gt; 0, ""RU"", 0)"),"RU")</f>
        <v>RU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B21" s="21">
        <v>20</v>
      </c>
      <c r="C21" s="21" t="s">
        <v>2074</v>
      </c>
      <c r="D21" s="21" t="s">
        <v>584</v>
      </c>
      <c r="E21" s="21">
        <v>45</v>
      </c>
      <c r="F21" s="21">
        <v>473893</v>
      </c>
      <c r="G21" s="43">
        <v>-0.16</v>
      </c>
      <c r="H21" s="21" t="s">
        <v>2075</v>
      </c>
      <c r="I21" s="39">
        <f ca="1">IFERROR(__xludf.DUMMYFUNCTION("IF(SUM(COUNTIF(artists!A:A, SPLIT(D21, "",""))) &gt; 0, ""UA"", 0)"),0)</f>
        <v>0</v>
      </c>
      <c r="J21" s="40" t="str">
        <f ca="1">IFERROR(__xludf.DUMMYFUNCTION("IF(SUM(COUNTIF(artists!C:C, SPLIT(D21, "",""))) &gt; 0, ""RU"", 0)"),"RU")</f>
        <v>RU</v>
      </c>
      <c r="K21" s="39">
        <f ca="1">IFERROR(__xludf.DUMMYFUNCTION("IF(SUM(COUNTIF(artists!E:E, SPLIT(D21, "",""))) &gt; 0, ""OTHER"", 0)"),0)</f>
        <v>0</v>
      </c>
    </row>
    <row r="22" spans="1:11" ht="14.25" customHeight="1">
      <c r="A22" s="21">
        <v>21</v>
      </c>
      <c r="B22" s="21">
        <v>18</v>
      </c>
      <c r="C22" s="21" t="s">
        <v>2076</v>
      </c>
      <c r="D22" s="21" t="s">
        <v>1027</v>
      </c>
      <c r="E22" s="21">
        <v>34</v>
      </c>
      <c r="F22" s="21">
        <v>467684</v>
      </c>
      <c r="G22" s="42">
        <v>-0.20799999999999999</v>
      </c>
      <c r="H22" s="21" t="s">
        <v>2077</v>
      </c>
      <c r="I22" s="39" t="str">
        <f ca="1">IFERROR(__xludf.DUMMYFUNCTION("IF(SUM(COUNTIF(artists!A:A, SPLIT(D22, "",""))) &gt; 0, ""UA"", 0)"),"UA")</f>
        <v>UA</v>
      </c>
      <c r="J22" s="40">
        <f ca="1">IFERROR(__xludf.DUMMYFUNCTION("IF(SUM(COUNTIF(artists!C:C, SPLIT(D22, "",""))) &gt; 0, ""RU"", 0)"),0)</f>
        <v>0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B23" s="21">
        <v>19</v>
      </c>
      <c r="C23" s="21" t="s">
        <v>1282</v>
      </c>
      <c r="D23" s="21" t="s">
        <v>108</v>
      </c>
      <c r="E23" s="21">
        <v>12</v>
      </c>
      <c r="F23" s="21">
        <v>430936</v>
      </c>
      <c r="G23" s="42">
        <v>-0.23799999999999999</v>
      </c>
      <c r="H23" s="21" t="s">
        <v>1283</v>
      </c>
      <c r="I23" s="39" t="str">
        <f ca="1">IFERROR(__xludf.DUMMYFUNCTION("IF(SUM(COUNTIF(artists!A:A, SPLIT(D23, "",""))) &gt; 0, ""UA"", 0)"),"UA")</f>
        <v>UA</v>
      </c>
      <c r="J23" s="40">
        <f ca="1">IFERROR(__xludf.DUMMYFUNCTION("IF(SUM(COUNTIF(artists!C:C, SPLIT(D23, "",""))) &gt; 0, ""RU"", 0)"),0)</f>
        <v>0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B24" s="21">
        <v>26</v>
      </c>
      <c r="C24" s="21" t="s">
        <v>2078</v>
      </c>
      <c r="D24" s="21" t="s">
        <v>584</v>
      </c>
      <c r="E24" s="21">
        <v>15</v>
      </c>
      <c r="F24" s="21">
        <v>428301</v>
      </c>
      <c r="G24" s="42">
        <v>-0.16500000000000001</v>
      </c>
      <c r="H24" s="21" t="s">
        <v>2079</v>
      </c>
      <c r="I24" s="39">
        <f ca="1">IFERROR(__xludf.DUMMYFUNCTION("IF(SUM(COUNTIF(artists!A:A, SPLIT(D24, "",""))) &gt; 0, ""UA"", 0)"),0)</f>
        <v>0</v>
      </c>
      <c r="J24" s="40" t="str">
        <f ca="1">IFERROR(__xludf.DUMMYFUNCTION("IF(SUM(COUNTIF(artists!C:C, SPLIT(D24, "",""))) &gt; 0, ""RU"", 0)"),"RU")</f>
        <v>RU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B25" s="21">
        <v>22</v>
      </c>
      <c r="C25" s="21" t="s">
        <v>1995</v>
      </c>
      <c r="D25" s="21" t="s">
        <v>1996</v>
      </c>
      <c r="E25" s="21">
        <v>33</v>
      </c>
      <c r="F25" s="21">
        <v>424409</v>
      </c>
      <c r="G25" s="42">
        <v>-0.20899999999999999</v>
      </c>
      <c r="H25" s="21" t="s">
        <v>1997</v>
      </c>
      <c r="I25" s="39">
        <f ca="1">IFERROR(__xludf.DUMMYFUNCTION("IF(SUM(COUNTIF(artists!A:A, SPLIT(D25, "",""))) &gt; 0, ""UA"", 0)"),0)</f>
        <v>0</v>
      </c>
      <c r="J25" s="40" t="str">
        <f ca="1">IFERROR(__xludf.DUMMYFUNCTION("IF(SUM(COUNTIF(artists!C:C, SPLIT(D25, "",""))) &gt; 0, ""RU"", 0)"),"RU")</f>
        <v>RU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B26" s="21">
        <v>21</v>
      </c>
      <c r="C26" s="21" t="s">
        <v>1651</v>
      </c>
      <c r="D26" s="21" t="s">
        <v>1652</v>
      </c>
      <c r="E26" s="21">
        <v>12</v>
      </c>
      <c r="F26" s="21">
        <v>413438</v>
      </c>
      <c r="G26" s="42">
        <v>-0.26200000000000001</v>
      </c>
      <c r="H26" s="21" t="s">
        <v>1959</v>
      </c>
      <c r="I26" s="39">
        <f ca="1">IFERROR(__xludf.DUMMYFUNCTION("IF(SUM(COUNTIF(artists!A:A, SPLIT(D26, "",""))) &gt; 0, ""UA"", 0)"),0)</f>
        <v>0</v>
      </c>
      <c r="J26" s="40" t="str">
        <f ca="1">IFERROR(__xludf.DUMMYFUNCTION("IF(SUM(COUNTIF(artists!C:C, SPLIT(D26, "",""))) &gt; 0, ""RU"", 0)"),"RU")</f>
        <v>RU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B27" s="21">
        <v>24</v>
      </c>
      <c r="C27" s="21" t="s">
        <v>1939</v>
      </c>
      <c r="D27" s="21" t="s">
        <v>1940</v>
      </c>
      <c r="E27" s="21">
        <v>3</v>
      </c>
      <c r="F27" s="21">
        <v>407761</v>
      </c>
      <c r="G27" s="43">
        <v>-0.22</v>
      </c>
      <c r="H27" s="21" t="s">
        <v>1941</v>
      </c>
      <c r="I27" s="39">
        <f ca="1">IFERROR(__xludf.DUMMYFUNCTION("IF(SUM(COUNTIF(artists!A:A, SPLIT(D27, "",""))) &gt; 0, ""UA"", 0)"),0)</f>
        <v>0</v>
      </c>
      <c r="J27" s="40" t="str">
        <f ca="1">IFERROR(__xludf.DUMMYFUNCTION("IF(SUM(COUNTIF(artists!C:C, SPLIT(D27, "",""))) &gt; 0, ""RU"", 0)"),"RU")</f>
        <v>RU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B28" s="21">
        <v>29</v>
      </c>
      <c r="C28" s="21" t="s">
        <v>1496</v>
      </c>
      <c r="D28" s="21" t="s">
        <v>969</v>
      </c>
      <c r="E28" s="21">
        <v>34</v>
      </c>
      <c r="F28" s="21">
        <v>385746</v>
      </c>
      <c r="G28" s="42">
        <v>-0.187</v>
      </c>
      <c r="H28" s="21" t="s">
        <v>1497</v>
      </c>
      <c r="I28" s="39" t="str">
        <f ca="1">IFERROR(__xludf.DUMMYFUNCTION("IF(SUM(COUNTIF(artists!A:A, SPLIT(D28, "",""))) &gt; 0, ""UA"", 0)"),"UA")</f>
        <v>UA</v>
      </c>
      <c r="J28" s="40">
        <f ca="1">IFERROR(__xludf.DUMMYFUNCTION("IF(SUM(COUNTIF(artists!C:C, SPLIT(D28, "",""))) &gt; 0, ""RU"", 0)"),0)</f>
        <v>0</v>
      </c>
      <c r="K28" s="39">
        <f ca="1">IFERROR(__xludf.DUMMYFUNCTION("IF(SUM(COUNTIF(artists!E:E, SPLIT(D28, "",""))) &gt; 0, ""OTHER"", 0)"),0)</f>
        <v>0</v>
      </c>
    </row>
    <row r="29" spans="1:11" ht="14.25" customHeight="1">
      <c r="A29" s="21">
        <v>28</v>
      </c>
      <c r="B29" s="21">
        <v>31</v>
      </c>
      <c r="C29" s="21" t="s">
        <v>1774</v>
      </c>
      <c r="D29" s="21" t="s">
        <v>1775</v>
      </c>
      <c r="E29" s="21">
        <v>11</v>
      </c>
      <c r="F29" s="21">
        <v>371664</v>
      </c>
      <c r="G29" s="42">
        <v>-0.122</v>
      </c>
      <c r="H29" s="21" t="s">
        <v>1776</v>
      </c>
      <c r="I29" s="39">
        <f ca="1">IFERROR(__xludf.DUMMYFUNCTION("IF(SUM(COUNTIF(artists!A:A, SPLIT(D29, "",""))) &gt; 0, ""UA"", 0)"),0)</f>
        <v>0</v>
      </c>
      <c r="J29" s="40" t="str">
        <f ca="1">IFERROR(__xludf.DUMMYFUNCTION("IF(SUM(COUNTIF(artists!C:C, SPLIT(D29, "",""))) &gt; 0, ""RU"", 0)"),"RU")</f>
        <v>RU</v>
      </c>
      <c r="K29" s="39">
        <f ca="1">IFERROR(__xludf.DUMMYFUNCTION("IF(SUM(COUNTIF(artists!E:E, SPLIT(D29, "",""))) &gt; 0, ""OTHER"", 0)"),0)</f>
        <v>0</v>
      </c>
    </row>
    <row r="30" spans="1:11" ht="14.25" customHeight="1">
      <c r="A30" s="21">
        <v>29</v>
      </c>
      <c r="B30" s="21">
        <v>37</v>
      </c>
      <c r="C30" s="21" t="s">
        <v>1896</v>
      </c>
      <c r="D30" s="21" t="s">
        <v>1099</v>
      </c>
      <c r="E30" s="21">
        <v>41</v>
      </c>
      <c r="F30" s="21">
        <v>366014</v>
      </c>
      <c r="G30" s="42">
        <v>-0.10100000000000001</v>
      </c>
      <c r="H30" s="21" t="s">
        <v>1897</v>
      </c>
      <c r="I30" s="39">
        <f ca="1">IFERROR(__xludf.DUMMYFUNCTION("IF(SUM(COUNTIF(artists!A:A, SPLIT(D30, "",""))) &gt; 0, ""UA"", 0)"),0)</f>
        <v>0</v>
      </c>
      <c r="J30" s="40" t="str">
        <f ca="1">IFERROR(__xludf.DUMMYFUNCTION("IF(SUM(COUNTIF(artists!C:C, SPLIT(D30, "",""))) &gt; 0, ""RU"", 0)"),"RU")</f>
        <v>RU</v>
      </c>
      <c r="K30" s="39">
        <f ca="1">IFERROR(__xludf.DUMMYFUNCTION("IF(SUM(COUNTIF(artists!E:E, SPLIT(D30, "",""))) &gt; 0, ""OTHER"", 0)"),0)</f>
        <v>0</v>
      </c>
    </row>
    <row r="31" spans="1:11" ht="14.25" customHeight="1">
      <c r="A31" s="21">
        <v>30</v>
      </c>
      <c r="B31" s="21">
        <v>40</v>
      </c>
      <c r="C31" s="21" t="s">
        <v>1865</v>
      </c>
      <c r="D31" s="21" t="s">
        <v>1646</v>
      </c>
      <c r="E31" s="21">
        <v>5</v>
      </c>
      <c r="F31" s="21">
        <v>361184</v>
      </c>
      <c r="G31" s="42">
        <v>1E-3</v>
      </c>
      <c r="H31" s="21" t="s">
        <v>1866</v>
      </c>
      <c r="I31" s="39">
        <f ca="1">IFERROR(__xludf.DUMMYFUNCTION("IF(SUM(COUNTIF(artists!A:A, SPLIT(D31, "",""))) &gt; 0, ""UA"", 0)"),0)</f>
        <v>0</v>
      </c>
      <c r="J31" s="40" t="str">
        <f ca="1">IFERROR(__xludf.DUMMYFUNCTION("IF(SUM(COUNTIF(artists!C:C, SPLIT(D31, "",""))) &gt; 0, ""RU"", 0)"),"RU")</f>
        <v>RU</v>
      </c>
      <c r="K31" s="39">
        <f ca="1">IFERROR(__xludf.DUMMYFUNCTION("IF(SUM(COUNTIF(artists!E:E, SPLIT(D31, "",""))) &gt; 0, ""OTHER"", 0)"),0)</f>
        <v>0</v>
      </c>
    </row>
    <row r="32" spans="1:11" ht="14.25" customHeight="1">
      <c r="A32" s="21">
        <v>31</v>
      </c>
      <c r="B32" s="21">
        <v>33</v>
      </c>
      <c r="C32" s="21" t="s">
        <v>2051</v>
      </c>
      <c r="D32" s="21" t="s">
        <v>2052</v>
      </c>
      <c r="E32" s="21">
        <v>3</v>
      </c>
      <c r="F32" s="21">
        <v>360085</v>
      </c>
      <c r="G32" s="42">
        <v>-0.14799999999999999</v>
      </c>
      <c r="H32" s="21" t="s">
        <v>2053</v>
      </c>
      <c r="I32" s="39">
        <f ca="1">IFERROR(__xludf.DUMMYFUNCTION("IF(SUM(COUNTIF(artists!A:A, SPLIT(D32, "",""))) &gt; 0, ""UA"", 0)"),0)</f>
        <v>0</v>
      </c>
      <c r="J32" s="40" t="str">
        <f ca="1">IFERROR(__xludf.DUMMYFUNCTION("IF(SUM(COUNTIF(artists!C:C, SPLIT(D32, "",""))) &gt; 0, ""RU"", 0)"),"RU")</f>
        <v>RU</v>
      </c>
      <c r="K32" s="39">
        <f ca="1">IFERROR(__xludf.DUMMYFUNCTION("IF(SUM(COUNTIF(artists!E:E, SPLIT(D32, "",""))) &gt; 0, ""OTHER"", 0)"),0)</f>
        <v>0</v>
      </c>
    </row>
    <row r="33" spans="1:11" ht="14.25" customHeight="1">
      <c r="A33" s="21">
        <v>32</v>
      </c>
      <c r="B33" s="21">
        <v>30</v>
      </c>
      <c r="C33" s="21" t="s">
        <v>1942</v>
      </c>
      <c r="D33" s="21" t="s">
        <v>1637</v>
      </c>
      <c r="E33" s="21">
        <v>25</v>
      </c>
      <c r="F33" s="21">
        <v>355046</v>
      </c>
      <c r="G33" s="42">
        <v>-0.189</v>
      </c>
      <c r="H33" s="21" t="s">
        <v>1943</v>
      </c>
      <c r="I33" s="39">
        <f ca="1">IFERROR(__xludf.DUMMYFUNCTION("IF(SUM(COUNTIF(artists!A:A, SPLIT(D33, "",""))) &gt; 0, ""UA"", 0)"),0)</f>
        <v>0</v>
      </c>
      <c r="J33" s="40" t="str">
        <f ca="1">IFERROR(__xludf.DUMMYFUNCTION("IF(SUM(COUNTIF(artists!C:C, SPLIT(D33, "",""))) &gt; 0, ""RU"", 0)"),"RU")</f>
        <v>RU</v>
      </c>
      <c r="K33" s="39">
        <f ca="1">IFERROR(__xludf.DUMMYFUNCTION("IF(SUM(COUNTIF(artists!E:E, SPLIT(D33, "",""))) &gt; 0, ""OTHER"", 0)"),0)</f>
        <v>0</v>
      </c>
    </row>
    <row r="34" spans="1:11" ht="14.25" customHeight="1">
      <c r="A34" s="21">
        <v>33</v>
      </c>
      <c r="B34" s="21">
        <v>32</v>
      </c>
      <c r="C34" s="21" t="s">
        <v>2017</v>
      </c>
      <c r="D34" s="21" t="s">
        <v>2018</v>
      </c>
      <c r="E34" s="21">
        <v>34</v>
      </c>
      <c r="F34" s="21">
        <v>352998</v>
      </c>
      <c r="G34" s="42">
        <v>-0.16500000000000001</v>
      </c>
      <c r="H34" s="21" t="s">
        <v>2019</v>
      </c>
      <c r="I34" s="39">
        <f ca="1">IFERROR(__xludf.DUMMYFUNCTION("IF(SUM(COUNTIF(artists!A:A, SPLIT(D34, "",""))) &gt; 0, ""UA"", 0)"),0)</f>
        <v>0</v>
      </c>
      <c r="J34" s="40" t="str">
        <f ca="1">IFERROR(__xludf.DUMMYFUNCTION("IF(SUM(COUNTIF(artists!C:C, SPLIT(D34, "",""))) &gt; 0, ""RU"", 0)"),"RU")</f>
        <v>RU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B35" s="21">
        <v>34</v>
      </c>
      <c r="C35" s="21" t="s">
        <v>1944</v>
      </c>
      <c r="D35" s="21" t="s">
        <v>1945</v>
      </c>
      <c r="E35" s="21">
        <v>8</v>
      </c>
      <c r="F35" s="21">
        <v>352396</v>
      </c>
      <c r="G35" s="42">
        <v>-0.16600000000000001</v>
      </c>
      <c r="H35" s="21" t="s">
        <v>1946</v>
      </c>
      <c r="I35" s="39">
        <f ca="1">IFERROR(__xludf.DUMMYFUNCTION("IF(SUM(COUNTIF(artists!A:A, SPLIT(D35, "",""))) &gt; 0, ""UA"", 0)"),0)</f>
        <v>0</v>
      </c>
      <c r="J35" s="40" t="str">
        <f ca="1">IFERROR(__xludf.DUMMYFUNCTION("IF(SUM(COUNTIF(artists!C:C, SPLIT(D35, "",""))) &gt; 0, ""RU"", 0)"),"RU")</f>
        <v>RU</v>
      </c>
      <c r="K35" s="39">
        <f ca="1">IFERROR(__xludf.DUMMYFUNCTION("IF(SUM(COUNTIF(artists!E:E, SPLIT(D35, "",""))) &gt; 0, ""OTHER"", 0)"),0)</f>
        <v>0</v>
      </c>
    </row>
    <row r="36" spans="1:11" ht="14.25" customHeight="1">
      <c r="A36" s="21">
        <v>35</v>
      </c>
      <c r="B36" s="21">
        <v>43</v>
      </c>
      <c r="C36" s="21" t="s">
        <v>2009</v>
      </c>
      <c r="D36" s="21" t="s">
        <v>2010</v>
      </c>
      <c r="E36" s="21">
        <v>3</v>
      </c>
      <c r="F36" s="21">
        <v>343443</v>
      </c>
      <c r="G36" s="42">
        <v>-1.2999999999999999E-2</v>
      </c>
      <c r="H36" s="21" t="s">
        <v>2011</v>
      </c>
      <c r="I36" s="39">
        <f ca="1">IFERROR(__xludf.DUMMYFUNCTION("IF(SUM(COUNTIF(artists!A:A, SPLIT(D36, "",""))) &gt; 0, ""UA"", 0)"),0)</f>
        <v>0</v>
      </c>
      <c r="J36" s="40" t="str">
        <f ca="1">IFERROR(__xludf.DUMMYFUNCTION("IF(SUM(COUNTIF(artists!C:C, SPLIT(D36, "",""))) &gt; 0, ""RU"", 0)"),"RU")</f>
        <v>RU</v>
      </c>
      <c r="K36" s="39">
        <f ca="1">IFERROR(__xludf.DUMMYFUNCTION("IF(SUM(COUNTIF(artists!E:E, SPLIT(D36, "",""))) &gt; 0, ""OTHER"", 0)"),0)</f>
        <v>0</v>
      </c>
    </row>
    <row r="37" spans="1:11" ht="14.25" customHeight="1">
      <c r="A37" s="21">
        <v>36</v>
      </c>
      <c r="B37" s="21">
        <v>35</v>
      </c>
      <c r="C37" s="21" t="s">
        <v>1654</v>
      </c>
      <c r="D37" s="21" t="s">
        <v>1655</v>
      </c>
      <c r="E37" s="21">
        <v>17</v>
      </c>
      <c r="F37" s="21">
        <v>337218</v>
      </c>
      <c r="G37" s="42">
        <v>-0.19600000000000001</v>
      </c>
      <c r="H37" s="21" t="s">
        <v>1656</v>
      </c>
      <c r="I37" s="39">
        <f ca="1">IFERROR(__xludf.DUMMYFUNCTION("IF(SUM(COUNTIF(artists!A:A, SPLIT(D37, "",""))) &gt; 0, ""UA"", 0)"),0)</f>
        <v>0</v>
      </c>
      <c r="J37" s="40" t="str">
        <f ca="1">IFERROR(__xludf.DUMMYFUNCTION("IF(SUM(COUNTIF(artists!C:C, SPLIT(D37, "",""))) &gt; 0, ""RU"", 0)"),"RU")</f>
        <v>RU</v>
      </c>
      <c r="K37" s="39">
        <f ca="1">IFERROR(__xludf.DUMMYFUNCTION("IF(SUM(COUNTIF(artists!E:E, SPLIT(D37, "",""))) &gt; 0, ""OTHER"", 0)"),0)</f>
        <v>0</v>
      </c>
    </row>
    <row r="38" spans="1:11" ht="14.25" customHeight="1">
      <c r="A38" s="21">
        <v>37</v>
      </c>
      <c r="B38" s="21">
        <v>38</v>
      </c>
      <c r="C38" s="21" t="s">
        <v>2000</v>
      </c>
      <c r="D38" s="21" t="s">
        <v>137</v>
      </c>
      <c r="E38" s="21">
        <v>39</v>
      </c>
      <c r="F38" s="21">
        <v>337119</v>
      </c>
      <c r="G38" s="42">
        <v>-0.111</v>
      </c>
      <c r="H38" s="21" t="s">
        <v>2001</v>
      </c>
      <c r="I38" s="39" t="str">
        <f ca="1">IFERROR(__xludf.DUMMYFUNCTION("IF(SUM(COUNTIF(artists!A:A, SPLIT(D38, "",""))) &gt; 0, ""UA"", 0)"),"UA")</f>
        <v>UA</v>
      </c>
      <c r="J38" s="40">
        <f ca="1">IFERROR(__xludf.DUMMYFUNCTION("IF(SUM(COUNTIF(artists!C:C, SPLIT(D38, "",""))) &gt; 0, ""RU"", 0)"),0)</f>
        <v>0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B39" s="21">
        <v>91</v>
      </c>
      <c r="C39" s="21" t="s">
        <v>2288</v>
      </c>
      <c r="D39" s="21" t="s">
        <v>2289</v>
      </c>
      <c r="E39" s="21">
        <v>54</v>
      </c>
      <c r="F39" s="21">
        <v>333383</v>
      </c>
      <c r="G39" s="42">
        <v>0.63700000000000001</v>
      </c>
      <c r="H39" s="21" t="s">
        <v>2290</v>
      </c>
      <c r="I39" s="39">
        <f ca="1">IFERROR(__xludf.DUMMYFUNCTION("IF(SUM(COUNTIF(artists!A:A, SPLIT(D39, "",""))) &gt; 0, ""UA"", 0)"),0)</f>
        <v>0</v>
      </c>
      <c r="J39" s="40" t="str">
        <f ca="1">IFERROR(__xludf.DUMMYFUNCTION("IF(SUM(COUNTIF(artists!C:C, SPLIT(D39, "",""))) &gt; 0, ""RU"", 0)"),"RU")</f>
        <v>RU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B40" s="21">
        <v>41</v>
      </c>
      <c r="C40" s="21" t="s">
        <v>2071</v>
      </c>
      <c r="D40" s="21" t="s">
        <v>2072</v>
      </c>
      <c r="E40" s="21">
        <v>9</v>
      </c>
      <c r="F40" s="21">
        <v>333280</v>
      </c>
      <c r="G40" s="42">
        <v>-6.6000000000000003E-2</v>
      </c>
      <c r="H40" s="21" t="s">
        <v>2073</v>
      </c>
      <c r="I40" s="39">
        <f ca="1">IFERROR(__xludf.DUMMYFUNCTION("IF(SUM(COUNTIF(artists!A:A, SPLIT(D40, "",""))) &gt; 0, ""UA"", 0)"),0)</f>
        <v>0</v>
      </c>
      <c r="J40" s="40" t="str">
        <f ca="1">IFERROR(__xludf.DUMMYFUNCTION("IF(SUM(COUNTIF(artists!C:C, SPLIT(D40, "",""))) &gt; 0, ""RU"", 0)"),"RU")</f>
        <v>RU</v>
      </c>
      <c r="K40" s="39">
        <f ca="1">IFERROR(__xludf.DUMMYFUNCTION("IF(SUM(COUNTIF(artists!E:E, SPLIT(D40, "",""))) &gt; 0, ""OTHER"", 0)"),0)</f>
        <v>0</v>
      </c>
    </row>
    <row r="41" spans="1:11" ht="14.25" customHeight="1">
      <c r="A41" s="21">
        <v>40</v>
      </c>
      <c r="C41" s="21" t="s">
        <v>2134</v>
      </c>
      <c r="D41" s="21" t="s">
        <v>2135</v>
      </c>
      <c r="E41" s="21">
        <v>1</v>
      </c>
      <c r="F41" s="21">
        <v>328229</v>
      </c>
      <c r="H41" s="21" t="s">
        <v>2136</v>
      </c>
      <c r="I41" s="39" t="str">
        <f ca="1">IFERROR(__xludf.DUMMYFUNCTION("IF(SUM(COUNTIF(artists!A:A, SPLIT(D41, "",""))) &gt; 0, ""UA"", 0)"),"UA")</f>
        <v>UA</v>
      </c>
      <c r="J41" s="40">
        <f ca="1">IFERROR(__xludf.DUMMYFUNCTION("IF(SUM(COUNTIF(artists!C:C, SPLIT(D41, "",""))) &gt; 0, ""RU"", 0)"),0)</f>
        <v>0</v>
      </c>
      <c r="K41" s="39">
        <f ca="1">IFERROR(__xludf.DUMMYFUNCTION("IF(SUM(COUNTIF(artists!E:E, SPLIT(D41, "",""))) &gt; 0, ""OTHER"", 0)"),0)</f>
        <v>0</v>
      </c>
    </row>
    <row r="42" spans="1:11" ht="14.25" customHeight="1">
      <c r="A42" s="21">
        <v>41</v>
      </c>
      <c r="B42" s="21">
        <v>59</v>
      </c>
      <c r="C42" s="21" t="s">
        <v>839</v>
      </c>
      <c r="D42" s="21" t="s">
        <v>837</v>
      </c>
      <c r="E42" s="21">
        <v>15</v>
      </c>
      <c r="F42" s="21">
        <v>326447</v>
      </c>
      <c r="G42" s="42">
        <v>0.251</v>
      </c>
      <c r="H42" s="21" t="s">
        <v>840</v>
      </c>
      <c r="I42" s="39" t="str">
        <f ca="1">IFERROR(__xludf.DUMMYFUNCTION("IF(SUM(COUNTIF(artists!A:A, SPLIT(D42, "",""))) &gt; 0, ""UA"", 0)"),"UA")</f>
        <v>UA</v>
      </c>
      <c r="J42" s="40">
        <f ca="1">IFERROR(__xludf.DUMMYFUNCTION("IF(SUM(COUNTIF(artists!C:C, SPLIT(D42, "",""))) &gt; 0, ""RU"", 0)"),0)</f>
        <v>0</v>
      </c>
      <c r="K42" s="39">
        <f ca="1">IFERROR(__xludf.DUMMYFUNCTION("IF(SUM(COUNTIF(artists!E:E, SPLIT(D42, "",""))) &gt; 0, ""OTHER"", 0)"),0)</f>
        <v>0</v>
      </c>
    </row>
    <row r="43" spans="1:11" ht="14.25" customHeight="1">
      <c r="A43" s="21">
        <v>42</v>
      </c>
      <c r="B43" s="21">
        <v>36</v>
      </c>
      <c r="C43" s="21" t="s">
        <v>2005</v>
      </c>
      <c r="D43" s="21" t="s">
        <v>1593</v>
      </c>
      <c r="E43" s="21">
        <v>12</v>
      </c>
      <c r="F43" s="21">
        <v>325345</v>
      </c>
      <c r="G43" s="42">
        <v>-0.20100000000000001</v>
      </c>
      <c r="H43" s="21" t="s">
        <v>2006</v>
      </c>
      <c r="I43" s="39">
        <f ca="1">IFERROR(__xludf.DUMMYFUNCTION("IF(SUM(COUNTIF(artists!A:A, SPLIT(D43, "",""))) &gt; 0, ""UA"", 0)"),0)</f>
        <v>0</v>
      </c>
      <c r="J43" s="40" t="str">
        <f ca="1">IFERROR(__xludf.DUMMYFUNCTION("IF(SUM(COUNTIF(artists!C:C, SPLIT(D43, "",""))) &gt; 0, ""RU"", 0)"),"RU")</f>
        <v>RU</v>
      </c>
      <c r="K43" s="39">
        <f ca="1">IFERROR(__xludf.DUMMYFUNCTION("IF(SUM(COUNTIF(artists!E:E, SPLIT(D43, "",""))) &gt; 0, ""OTHER"", 0)"),0)</f>
        <v>0</v>
      </c>
    </row>
    <row r="44" spans="1:11" ht="14.25" customHeight="1">
      <c r="A44" s="21">
        <v>43</v>
      </c>
      <c r="B44" s="21">
        <v>73</v>
      </c>
      <c r="C44" s="21" t="s">
        <v>2248</v>
      </c>
      <c r="D44" s="21" t="s">
        <v>630</v>
      </c>
      <c r="E44" s="21">
        <v>2</v>
      </c>
      <c r="F44" s="21">
        <v>303589</v>
      </c>
      <c r="G44" s="42">
        <v>0.308</v>
      </c>
      <c r="H44" s="21" t="s">
        <v>2249</v>
      </c>
      <c r="I44" s="39" t="str">
        <f ca="1">IFERROR(__xludf.DUMMYFUNCTION("IF(SUM(COUNTIF(artists!A:A, SPLIT(D44, "",""))) &gt; 0, ""UA"", 0)"),"UA")</f>
        <v>UA</v>
      </c>
      <c r="J44" s="40">
        <f ca="1">IFERROR(__xludf.DUMMYFUNCTION("IF(SUM(COUNTIF(artists!C:C, SPLIT(D44, "",""))) &gt; 0, ""RU"", 0)"),0)</f>
        <v>0</v>
      </c>
      <c r="K44" s="39">
        <f ca="1">IFERROR(__xludf.DUMMYFUNCTION("IF(SUM(COUNTIF(artists!E:E, SPLIT(D44, "",""))) &gt; 0, ""OTHER"", 0)"),0)</f>
        <v>0</v>
      </c>
    </row>
    <row r="45" spans="1:11" ht="14.25" customHeight="1">
      <c r="A45" s="21">
        <v>44</v>
      </c>
      <c r="C45" s="21" t="s">
        <v>2216</v>
      </c>
      <c r="D45" s="21" t="s">
        <v>2217</v>
      </c>
      <c r="E45" s="21">
        <v>1</v>
      </c>
      <c r="F45" s="21">
        <v>294656</v>
      </c>
      <c r="H45" s="21" t="s">
        <v>2218</v>
      </c>
      <c r="I45" s="39">
        <f ca="1">IFERROR(__xludf.DUMMYFUNCTION("IF(SUM(COUNTIF(artists!A:A, SPLIT(D45, "",""))) &gt; 0, ""UA"", 0)"),0)</f>
        <v>0</v>
      </c>
      <c r="J45" s="40" t="str">
        <f ca="1">IFERROR(__xludf.DUMMYFUNCTION("IF(SUM(COUNTIF(artists!C:C, SPLIT(D45, "",""))) &gt; 0, ""RU"", 0)"),"RU")</f>
        <v>RU</v>
      </c>
      <c r="K45" s="39">
        <f ca="1">IFERROR(__xludf.DUMMYFUNCTION("IF(SUM(COUNTIF(artists!E:E, SPLIT(D45, "",""))) &gt; 0, ""OTHER"", 0)"),0)</f>
        <v>0</v>
      </c>
    </row>
    <row r="46" spans="1:11" ht="14.25" customHeight="1">
      <c r="A46" s="21">
        <v>45</v>
      </c>
      <c r="B46" s="21">
        <v>49</v>
      </c>
      <c r="C46" s="21" t="s">
        <v>2002</v>
      </c>
      <c r="D46" s="21" t="s">
        <v>2003</v>
      </c>
      <c r="E46" s="21">
        <v>27</v>
      </c>
      <c r="F46" s="21">
        <v>290863</v>
      </c>
      <c r="G46" s="42">
        <v>-0.114</v>
      </c>
      <c r="H46" s="21" t="s">
        <v>2004</v>
      </c>
      <c r="I46" s="39">
        <f ca="1">IFERROR(__xludf.DUMMYFUNCTION("IF(SUM(COUNTIF(artists!A:A, SPLIT(D46, "",""))) &gt; 0, ""UA"", 0)"),0)</f>
        <v>0</v>
      </c>
      <c r="J46" s="40" t="str">
        <f ca="1">IFERROR(__xludf.DUMMYFUNCTION("IF(SUM(COUNTIF(artists!C:C, SPLIT(D46, "",""))) &gt; 0, ""RU"", 0)"),"RU")</f>
        <v>RU</v>
      </c>
      <c r="K46" s="39">
        <f ca="1">IFERROR(__xludf.DUMMYFUNCTION("IF(SUM(COUNTIF(artists!E:E, SPLIT(D46, "",""))) &gt; 0, ""OTHER"", 0)"),0)</f>
        <v>0</v>
      </c>
    </row>
    <row r="47" spans="1:11" ht="14.25" customHeight="1">
      <c r="A47" s="21">
        <v>46</v>
      </c>
      <c r="B47" s="21">
        <v>57</v>
      </c>
      <c r="C47" s="21" t="s">
        <v>2063</v>
      </c>
      <c r="D47" s="21" t="s">
        <v>2064</v>
      </c>
      <c r="E47" s="21">
        <v>8</v>
      </c>
      <c r="F47" s="21">
        <v>288245</v>
      </c>
      <c r="G47" s="43">
        <v>0.06</v>
      </c>
      <c r="H47" s="21" t="s">
        <v>2065</v>
      </c>
      <c r="I47" s="39">
        <f ca="1">IFERROR(__xludf.DUMMYFUNCTION("IF(SUM(COUNTIF(artists!A:A, SPLIT(D47, "",""))) &gt; 0, ""UA"", 0)"),0)</f>
        <v>0</v>
      </c>
      <c r="J47" s="40" t="str">
        <f ca="1">IFERROR(__xludf.DUMMYFUNCTION("IF(SUM(COUNTIF(artists!C:C, SPLIT(D47, "",""))) &gt; 0, ""RU"", 0)"),"RU")</f>
        <v>RU</v>
      </c>
      <c r="K47" s="39">
        <f ca="1">IFERROR(__xludf.DUMMYFUNCTION("IF(SUM(COUNTIF(artists!E:E, SPLIT(D47, "",""))) &gt; 0, ""OTHER"", 0)"),0)</f>
        <v>0</v>
      </c>
    </row>
    <row r="48" spans="1:11" ht="14.25" customHeight="1">
      <c r="A48" s="21">
        <v>47</v>
      </c>
      <c r="B48" s="21">
        <v>44</v>
      </c>
      <c r="C48" s="21" t="s">
        <v>1678</v>
      </c>
      <c r="D48" s="21" t="s">
        <v>1679</v>
      </c>
      <c r="E48" s="21">
        <v>30</v>
      </c>
      <c r="F48" s="21">
        <v>274125</v>
      </c>
      <c r="G48" s="42">
        <v>-0.21099999999999999</v>
      </c>
      <c r="H48" s="21" t="s">
        <v>1680</v>
      </c>
      <c r="I48" s="39">
        <f ca="1">IFERROR(__xludf.DUMMYFUNCTION("IF(SUM(COUNTIF(artists!A:A, SPLIT(D48, "",""))) &gt; 0, ""UA"", 0)"),0)</f>
        <v>0</v>
      </c>
      <c r="J48" s="40" t="str">
        <f ca="1">IFERROR(__xludf.DUMMYFUNCTION("IF(SUM(COUNTIF(artists!C:C, SPLIT(D48, "",""))) &gt; 0, ""RU"", 0)"),"RU")</f>
        <v>RU</v>
      </c>
      <c r="K48" s="39">
        <f ca="1">IFERROR(__xludf.DUMMYFUNCTION("IF(SUM(COUNTIF(artists!E:E, SPLIT(D48, "",""))) &gt; 0, ""OTHER"", 0)"),0)</f>
        <v>0</v>
      </c>
    </row>
    <row r="49" spans="1:11" ht="14.25" customHeight="1">
      <c r="A49" s="21">
        <v>48</v>
      </c>
      <c r="B49" s="21">
        <v>52</v>
      </c>
      <c r="C49" s="21" t="s">
        <v>1337</v>
      </c>
      <c r="D49" s="21" t="s">
        <v>1338</v>
      </c>
      <c r="E49" s="21">
        <v>2</v>
      </c>
      <c r="F49" s="21">
        <v>263913</v>
      </c>
      <c r="G49" s="42">
        <v>-7.9000000000000001E-2</v>
      </c>
      <c r="H49" s="21" t="s">
        <v>1339</v>
      </c>
      <c r="I49" s="39">
        <f ca="1">IFERROR(__xludf.DUMMYFUNCTION("IF(SUM(COUNTIF(artists!A:A, SPLIT(D49, "",""))) &gt; 0, ""UA"", 0)"),0)</f>
        <v>0</v>
      </c>
      <c r="J49" s="40">
        <f ca="1">IFERROR(__xludf.DUMMYFUNCTION("IF(SUM(COUNTIF(artists!C:C, SPLIT(D49, "",""))) &gt; 0, ""RU"", 0)"),0)</f>
        <v>0</v>
      </c>
      <c r="K49" s="39" t="str">
        <f ca="1">IFERROR(__xludf.DUMMYFUNCTION("IF(SUM(COUNTIF(artists!E:E, SPLIT(D49, "",""))) &gt; 0, ""OTHER"", 0)"),"OTHER")</f>
        <v>OTHER</v>
      </c>
    </row>
    <row r="50" spans="1:11" ht="14.25" customHeight="1">
      <c r="A50" s="21">
        <v>49</v>
      </c>
      <c r="B50" s="21">
        <v>48</v>
      </c>
      <c r="C50" s="21" t="s">
        <v>1327</v>
      </c>
      <c r="D50" s="21" t="s">
        <v>89</v>
      </c>
      <c r="E50" s="21">
        <v>18</v>
      </c>
      <c r="F50" s="21">
        <v>262334</v>
      </c>
      <c r="G50" s="42">
        <v>-0.223</v>
      </c>
      <c r="H50" s="21" t="s">
        <v>1328</v>
      </c>
      <c r="I50" s="39" t="str">
        <f ca="1">IFERROR(__xludf.DUMMYFUNCTION("IF(SUM(COUNTIF(artists!A:A, SPLIT(D50, "",""))) &gt; 0, ""UA"", 0)"),"UA")</f>
        <v>UA</v>
      </c>
      <c r="J50" s="40">
        <f ca="1">IFERROR(__xludf.DUMMYFUNCTION("IF(SUM(COUNTIF(artists!C:C, SPLIT(D50, "",""))) &gt; 0, ""RU"", 0)"),0)</f>
        <v>0</v>
      </c>
      <c r="K50" s="39">
        <f ca="1">IFERROR(__xludf.DUMMYFUNCTION("IF(SUM(COUNTIF(artists!E:E, SPLIT(D50, "",""))) &gt; 0, ""OTHER"", 0)"),0)</f>
        <v>0</v>
      </c>
    </row>
    <row r="51" spans="1:11" ht="14.25" customHeight="1">
      <c r="A51" s="21">
        <v>50</v>
      </c>
      <c r="B51" s="21">
        <v>46</v>
      </c>
      <c r="C51" s="21" t="s">
        <v>2012</v>
      </c>
      <c r="D51" s="21" t="s">
        <v>125</v>
      </c>
      <c r="E51" s="21">
        <v>18</v>
      </c>
      <c r="F51" s="21">
        <v>258581</v>
      </c>
      <c r="G51" s="42">
        <v>-0.247</v>
      </c>
      <c r="H51" s="21" t="s">
        <v>2013</v>
      </c>
      <c r="I51" s="39">
        <f ca="1">IFERROR(__xludf.DUMMYFUNCTION("IF(SUM(COUNTIF(artists!A:A, SPLIT(D51, "",""))) &gt; 0, ""UA"", 0)"),0)</f>
        <v>0</v>
      </c>
      <c r="J51" s="40" t="str">
        <f ca="1">IFERROR(__xludf.DUMMYFUNCTION("IF(SUM(COUNTIF(artists!C:C, SPLIT(D51, "",""))) &gt; 0, ""RU"", 0)"),"RU")</f>
        <v>RU</v>
      </c>
      <c r="K51" s="39">
        <f ca="1">IFERROR(__xludf.DUMMYFUNCTION("IF(SUM(COUNTIF(artists!E:E, SPLIT(D51, "",""))) &gt; 0, ""OTHER"", 0)"),0)</f>
        <v>0</v>
      </c>
    </row>
    <row r="52" spans="1:11" ht="14.25" customHeight="1">
      <c r="A52" s="21">
        <v>51</v>
      </c>
      <c r="B52" s="21">
        <v>60</v>
      </c>
      <c r="C52" s="21" t="s">
        <v>1483</v>
      </c>
      <c r="D52" s="21" t="s">
        <v>972</v>
      </c>
      <c r="E52" s="21">
        <v>9</v>
      </c>
      <c r="F52" s="21">
        <v>256431</v>
      </c>
      <c r="G52" s="42">
        <v>-6.0000000000000001E-3</v>
      </c>
      <c r="H52" s="21" t="s">
        <v>1484</v>
      </c>
      <c r="I52" s="39">
        <f ca="1">IFERROR(__xludf.DUMMYFUNCTION("IF(SUM(COUNTIF(artists!A:A, SPLIT(D52, "",""))) &gt; 0, ""UA"", 0)"),0)</f>
        <v>0</v>
      </c>
      <c r="J52" s="40">
        <f ca="1">IFERROR(__xludf.DUMMYFUNCTION("IF(SUM(COUNTIF(artists!C:C, SPLIT(D52, "",""))) &gt; 0, ""RU"", 0)"),0)</f>
        <v>0</v>
      </c>
      <c r="K52" s="39" t="str">
        <f ca="1">IFERROR(__xludf.DUMMYFUNCTION("IF(SUM(COUNTIF(artists!E:E, SPLIT(D52, "",""))) &gt; 0, ""OTHER"", 0)"),"OTHER")</f>
        <v>OTHER</v>
      </c>
    </row>
    <row r="53" spans="1:11" ht="14.25" customHeight="1">
      <c r="A53" s="21">
        <v>52</v>
      </c>
      <c r="B53" s="21">
        <v>27</v>
      </c>
      <c r="C53" s="21" t="s">
        <v>2269</v>
      </c>
      <c r="D53" s="21" t="s">
        <v>2270</v>
      </c>
      <c r="E53" s="21">
        <v>5</v>
      </c>
      <c r="F53" s="21">
        <v>254753</v>
      </c>
      <c r="G53" s="42">
        <v>-0.48599999999999999</v>
      </c>
      <c r="H53" s="21" t="s">
        <v>2271</v>
      </c>
      <c r="I53" s="39" t="str">
        <f ca="1">IFERROR(__xludf.DUMMYFUNCTION("IF(SUM(COUNTIF(artists!A:A, SPLIT(D53, "",""))) &gt; 0, ""UA"", 0)"),"UA")</f>
        <v>UA</v>
      </c>
      <c r="J53" s="40">
        <f ca="1">IFERROR(__xludf.DUMMYFUNCTION("IF(SUM(COUNTIF(artists!C:C, SPLIT(D53, "",""))) &gt; 0, ""RU"", 0)"),0)</f>
        <v>0</v>
      </c>
      <c r="K53" s="39">
        <f ca="1">IFERROR(__xludf.DUMMYFUNCTION("IF(SUM(COUNTIF(artists!E:E, SPLIT(D53, "",""))) &gt; 0, ""OTHER"", 0)"),0)</f>
        <v>0</v>
      </c>
    </row>
    <row r="54" spans="1:11" ht="14.25" customHeight="1">
      <c r="A54" s="21">
        <v>53</v>
      </c>
      <c r="B54" s="21">
        <v>42</v>
      </c>
      <c r="C54" s="21" t="s">
        <v>2182</v>
      </c>
      <c r="D54" s="21" t="s">
        <v>2183</v>
      </c>
      <c r="E54" s="21">
        <v>7</v>
      </c>
      <c r="F54" s="21">
        <v>254280</v>
      </c>
      <c r="G54" s="43">
        <v>-0.27</v>
      </c>
      <c r="H54" s="21" t="s">
        <v>2184</v>
      </c>
      <c r="I54" s="39">
        <f ca="1">IFERROR(__xludf.DUMMYFUNCTION("IF(SUM(COUNTIF(artists!A:A, SPLIT(D54, "",""))) &gt; 0, ""UA"", 0)"),0)</f>
        <v>0</v>
      </c>
      <c r="J54" s="40" t="str">
        <f ca="1">IFERROR(__xludf.DUMMYFUNCTION("IF(SUM(COUNTIF(artists!C:C, SPLIT(D54, "",""))) &gt; 0, ""RU"", 0)"),"RU")</f>
        <v>RU</v>
      </c>
      <c r="K54" s="39">
        <f ca="1">IFERROR(__xludf.DUMMYFUNCTION("IF(SUM(COUNTIF(artists!E:E, SPLIT(D54, "",""))) &gt; 0, ""OTHER"", 0)"),0)</f>
        <v>0</v>
      </c>
    </row>
    <row r="55" spans="1:11" ht="14.25" customHeight="1">
      <c r="A55" s="21">
        <v>54</v>
      </c>
      <c r="B55" s="21">
        <v>53</v>
      </c>
      <c r="C55" s="21" t="s">
        <v>2209</v>
      </c>
      <c r="D55" s="21" t="s">
        <v>2132</v>
      </c>
      <c r="E55" s="21">
        <v>3</v>
      </c>
      <c r="F55" s="21">
        <v>251740</v>
      </c>
      <c r="G55" s="43">
        <v>-0.11</v>
      </c>
      <c r="H55" s="21" t="s">
        <v>2210</v>
      </c>
      <c r="I55" s="39">
        <f ca="1">IFERROR(__xludf.DUMMYFUNCTION("IF(SUM(COUNTIF(artists!A:A, SPLIT(D55, "",""))) &gt; 0, ""UA"", 0)"),0)</f>
        <v>0</v>
      </c>
      <c r="J55" s="40" t="str">
        <f ca="1">IFERROR(__xludf.DUMMYFUNCTION("IF(SUM(COUNTIF(artists!C:C, SPLIT(D55, "",""))) &gt; 0, ""RU"", 0)"),"RU")</f>
        <v>RU</v>
      </c>
      <c r="K55" s="39">
        <f ca="1">IFERROR(__xludf.DUMMYFUNCTION("IF(SUM(COUNTIF(artists!E:E, SPLIT(D55, "",""))) &gt; 0, ""OTHER"", 0)"),0)</f>
        <v>0</v>
      </c>
    </row>
    <row r="56" spans="1:11" ht="14.25" customHeight="1">
      <c r="A56" s="21">
        <v>55</v>
      </c>
      <c r="B56" s="21">
        <v>45</v>
      </c>
      <c r="C56" s="21" t="s">
        <v>2007</v>
      </c>
      <c r="D56" s="21" t="s">
        <v>1652</v>
      </c>
      <c r="E56" s="21">
        <v>12</v>
      </c>
      <c r="F56" s="21">
        <v>251521</v>
      </c>
      <c r="G56" s="42">
        <v>-0.26800000000000002</v>
      </c>
      <c r="H56" s="21" t="s">
        <v>2008</v>
      </c>
      <c r="I56" s="39">
        <f ca="1">IFERROR(__xludf.DUMMYFUNCTION("IF(SUM(COUNTIF(artists!A:A, SPLIT(D56, "",""))) &gt; 0, ""UA"", 0)"),0)</f>
        <v>0</v>
      </c>
      <c r="J56" s="40" t="str">
        <f ca="1">IFERROR(__xludf.DUMMYFUNCTION("IF(SUM(COUNTIF(artists!C:C, SPLIT(D56, "",""))) &gt; 0, ""RU"", 0)"),"RU")</f>
        <v>RU</v>
      </c>
      <c r="K56" s="39">
        <f ca="1">IFERROR(__xludf.DUMMYFUNCTION("IF(SUM(COUNTIF(artists!E:E, SPLIT(D56, "",""))) &gt; 0, ""OTHER"", 0)"),0)</f>
        <v>0</v>
      </c>
    </row>
    <row r="57" spans="1:11" ht="14.25" customHeight="1">
      <c r="A57" s="21">
        <v>56</v>
      </c>
      <c r="B57" s="21">
        <v>86</v>
      </c>
      <c r="C57" s="21" t="s">
        <v>836</v>
      </c>
      <c r="D57" s="21" t="s">
        <v>837</v>
      </c>
      <c r="E57" s="21">
        <v>2</v>
      </c>
      <c r="F57" s="21">
        <v>249151</v>
      </c>
      <c r="G57" s="42">
        <v>0.157</v>
      </c>
      <c r="H57" s="21" t="s">
        <v>838</v>
      </c>
      <c r="I57" s="39" t="str">
        <f ca="1">IFERROR(__xludf.DUMMYFUNCTION("IF(SUM(COUNTIF(artists!A:A, SPLIT(D57, "",""))) &gt; 0, ""UA"", 0)"),"UA")</f>
        <v>UA</v>
      </c>
      <c r="J57" s="40">
        <f ca="1">IFERROR(__xludf.DUMMYFUNCTION("IF(SUM(COUNTIF(artists!C:C, SPLIT(D57, "",""))) &gt; 0, ""RU"", 0)"),0)</f>
        <v>0</v>
      </c>
      <c r="K57" s="39">
        <f ca="1">IFERROR(__xludf.DUMMYFUNCTION("IF(SUM(COUNTIF(artists!E:E, SPLIT(D57, "",""))) &gt; 0, ""OTHER"", 0)"),0)</f>
        <v>0</v>
      </c>
    </row>
    <row r="58" spans="1:11" ht="14.25" customHeight="1">
      <c r="A58" s="21">
        <v>57</v>
      </c>
      <c r="C58" s="21" t="s">
        <v>852</v>
      </c>
      <c r="D58" s="21" t="s">
        <v>858</v>
      </c>
      <c r="E58" s="21">
        <v>5</v>
      </c>
      <c r="F58" s="21">
        <v>234829</v>
      </c>
      <c r="H58" s="21" t="s">
        <v>859</v>
      </c>
      <c r="I58" s="39" t="str">
        <f ca="1">IFERROR(__xludf.DUMMYFUNCTION("IF(SUM(COUNTIF(artists!A:A, SPLIT(D58, "",""))) &gt; 0, ""UA"", 0)"),"UA")</f>
        <v>UA</v>
      </c>
      <c r="J58" s="40">
        <f ca="1">IFERROR(__xludf.DUMMYFUNCTION("IF(SUM(COUNTIF(artists!C:C, SPLIT(D58, "",""))) &gt; 0, ""RU"", 0)"),0)</f>
        <v>0</v>
      </c>
      <c r="K58" s="39">
        <f ca="1">IFERROR(__xludf.DUMMYFUNCTION("IF(SUM(COUNTIF(artists!E:E, SPLIT(D58, "",""))) &gt; 0, ""OTHER"", 0)"),0)</f>
        <v>0</v>
      </c>
    </row>
    <row r="59" spans="1:11" ht="14.25" customHeight="1">
      <c r="A59" s="21">
        <v>58</v>
      </c>
      <c r="B59" s="21">
        <v>50</v>
      </c>
      <c r="C59" s="21" t="s">
        <v>2129</v>
      </c>
      <c r="D59" s="21" t="s">
        <v>1652</v>
      </c>
      <c r="E59" s="21">
        <v>12</v>
      </c>
      <c r="F59" s="21">
        <v>234120</v>
      </c>
      <c r="G59" s="42">
        <v>-0.26900000000000002</v>
      </c>
      <c r="H59" s="21" t="s">
        <v>2130</v>
      </c>
      <c r="I59" s="39">
        <f ca="1">IFERROR(__xludf.DUMMYFUNCTION("IF(SUM(COUNTIF(artists!A:A, SPLIT(D59, "",""))) &gt; 0, ""UA"", 0)"),0)</f>
        <v>0</v>
      </c>
      <c r="J59" s="40" t="str">
        <f ca="1">IFERROR(__xludf.DUMMYFUNCTION("IF(SUM(COUNTIF(artists!C:C, SPLIT(D59, "",""))) &gt; 0, ""RU"", 0)"),"RU")</f>
        <v>RU</v>
      </c>
      <c r="K59" s="39">
        <f ca="1">IFERROR(__xludf.DUMMYFUNCTION("IF(SUM(COUNTIF(artists!E:E, SPLIT(D59, "",""))) &gt; 0, ""OTHER"", 0)"),0)</f>
        <v>0</v>
      </c>
    </row>
    <row r="60" spans="1:11" ht="14.25" customHeight="1">
      <c r="A60" s="21">
        <v>59</v>
      </c>
      <c r="B60" s="21">
        <v>58</v>
      </c>
      <c r="C60" s="21" t="s">
        <v>2161</v>
      </c>
      <c r="D60" s="21" t="s">
        <v>698</v>
      </c>
      <c r="E60" s="21">
        <v>4</v>
      </c>
      <c r="F60" s="21">
        <v>231425</v>
      </c>
      <c r="G60" s="42">
        <v>-0.13600000000000001</v>
      </c>
      <c r="H60" s="21" t="s">
        <v>2162</v>
      </c>
      <c r="I60" s="39">
        <f ca="1">IFERROR(__xludf.DUMMYFUNCTION("IF(SUM(COUNTIF(artists!A:A, SPLIT(D60, "",""))) &gt; 0, ""UA"", 0)"),0)</f>
        <v>0</v>
      </c>
      <c r="J60" s="40" t="str">
        <f ca="1">IFERROR(__xludf.DUMMYFUNCTION("IF(SUM(COUNTIF(artists!C:C, SPLIT(D60, "",""))) &gt; 0, ""RU"", 0)"),"RU")</f>
        <v>RU</v>
      </c>
      <c r="K60" s="39">
        <f ca="1">IFERROR(__xludf.DUMMYFUNCTION("IF(SUM(COUNTIF(artists!E:E, SPLIT(D60, "",""))) &gt; 0, ""OTHER"", 0)"),0)</f>
        <v>0</v>
      </c>
    </row>
    <row r="61" spans="1:11" ht="14.25" customHeight="1">
      <c r="A61" s="21">
        <v>60</v>
      </c>
      <c r="C61" s="21" t="s">
        <v>2101</v>
      </c>
      <c r="D61" s="21" t="s">
        <v>2102</v>
      </c>
      <c r="E61" s="21">
        <v>6</v>
      </c>
      <c r="F61" s="21">
        <v>218737</v>
      </c>
      <c r="H61" s="21" t="s">
        <v>2103</v>
      </c>
      <c r="I61" s="39">
        <f ca="1">IFERROR(__xludf.DUMMYFUNCTION("IF(SUM(COUNTIF(artists!A:A, SPLIT(D61, "",""))) &gt; 0, ""UA"", 0)"),0)</f>
        <v>0</v>
      </c>
      <c r="J61" s="40" t="str">
        <f ca="1">IFERROR(__xludf.DUMMYFUNCTION("IF(SUM(COUNTIF(artists!C:C, SPLIT(D61, "",""))) &gt; 0, ""RU"", 0)"),"RU")</f>
        <v>RU</v>
      </c>
      <c r="K61" s="39">
        <f ca="1">IFERROR(__xludf.DUMMYFUNCTION("IF(SUM(COUNTIF(artists!E:E, SPLIT(D61, "",""))) &gt; 0, ""OTHER"", 0)"),0)</f>
        <v>0</v>
      </c>
    </row>
    <row r="62" spans="1:11" ht="14.25" customHeight="1">
      <c r="A62" s="21">
        <v>61</v>
      </c>
      <c r="B62" s="21">
        <v>76</v>
      </c>
      <c r="C62" s="21" t="s">
        <v>2170</v>
      </c>
      <c r="D62" s="21" t="s">
        <v>2171</v>
      </c>
      <c r="E62" s="21">
        <v>9</v>
      </c>
      <c r="F62" s="21">
        <v>212543</v>
      </c>
      <c r="G62" s="42">
        <v>-6.4000000000000001E-2</v>
      </c>
      <c r="H62" s="21" t="s">
        <v>2172</v>
      </c>
      <c r="I62" s="39">
        <f ca="1">IFERROR(__xludf.DUMMYFUNCTION("IF(SUM(COUNTIF(artists!A:A, SPLIT(D62, "",""))) &gt; 0, ""UA"", 0)"),0)</f>
        <v>0</v>
      </c>
      <c r="J62" s="40" t="str">
        <f ca="1">IFERROR(__xludf.DUMMYFUNCTION("IF(SUM(COUNTIF(artists!C:C, SPLIT(D62, "",""))) &gt; 0, ""RU"", 0)"),"RU")</f>
        <v>RU</v>
      </c>
      <c r="K62" s="39">
        <f ca="1">IFERROR(__xludf.DUMMYFUNCTION("IF(SUM(COUNTIF(artists!E:E, SPLIT(D62, "",""))) &gt; 0, ""OTHER"", 0)"),0)</f>
        <v>0</v>
      </c>
    </row>
    <row r="63" spans="1:11" ht="14.25" customHeight="1">
      <c r="A63" s="21">
        <v>62</v>
      </c>
      <c r="B63" s="21">
        <v>64</v>
      </c>
      <c r="C63" s="21" t="s">
        <v>2094</v>
      </c>
      <c r="D63" s="21" t="s">
        <v>104</v>
      </c>
      <c r="E63" s="21">
        <v>7</v>
      </c>
      <c r="F63" s="21">
        <v>211759</v>
      </c>
      <c r="G63" s="42">
        <v>-0.14199999999999999</v>
      </c>
      <c r="H63" s="21" t="s">
        <v>2095</v>
      </c>
      <c r="I63" s="39" t="str">
        <f ca="1">IFERROR(__xludf.DUMMYFUNCTION("IF(SUM(COUNTIF(artists!A:A, SPLIT(D63, "",""))) &gt; 0, ""UA"", 0)"),"UA")</f>
        <v>UA</v>
      </c>
      <c r="J63" s="40">
        <f ca="1">IFERROR(__xludf.DUMMYFUNCTION("IF(SUM(COUNTIF(artists!C:C, SPLIT(D63, "",""))) &gt; 0, ""RU"", 0)"),0)</f>
        <v>0</v>
      </c>
      <c r="K63" s="39">
        <f ca="1">IFERROR(__xludf.DUMMYFUNCTION("IF(SUM(COUNTIF(artists!E:E, SPLIT(D63, "",""))) &gt; 0, ""OTHER"", 0)"),0)</f>
        <v>0</v>
      </c>
    </row>
    <row r="64" spans="1:11" ht="14.25" customHeight="1">
      <c r="A64" s="21">
        <v>63</v>
      </c>
      <c r="B64" s="21">
        <v>67</v>
      </c>
      <c r="C64" s="21" t="s">
        <v>613</v>
      </c>
      <c r="D64" s="21" t="s">
        <v>614</v>
      </c>
      <c r="E64" s="21">
        <v>4</v>
      </c>
      <c r="F64" s="21">
        <v>210823</v>
      </c>
      <c r="G64" s="43">
        <v>-0.12</v>
      </c>
      <c r="H64" s="21" t="s">
        <v>615</v>
      </c>
      <c r="I64" s="39">
        <f ca="1">IFERROR(__xludf.DUMMYFUNCTION("IF(SUM(COUNTIF(artists!A:A, SPLIT(D64, "",""))) &gt; 0, ""UA"", 0)"),0)</f>
        <v>0</v>
      </c>
      <c r="J64" s="40" t="str">
        <f ca="1">IFERROR(__xludf.DUMMYFUNCTION("IF(SUM(COUNTIF(artists!C:C, SPLIT(D64, "",""))) &gt; 0, ""RU"", 0)"),"RU")</f>
        <v>RU</v>
      </c>
      <c r="K64" s="39">
        <f ca="1">IFERROR(__xludf.DUMMYFUNCTION("IF(SUM(COUNTIF(artists!E:E, SPLIT(D64, "",""))) &gt; 0, ""OTHER"", 0)"),0)</f>
        <v>0</v>
      </c>
    </row>
    <row r="65" spans="1:11" ht="14.25" customHeight="1">
      <c r="A65" s="21">
        <v>64</v>
      </c>
      <c r="C65" s="21" t="s">
        <v>826</v>
      </c>
      <c r="D65" s="21" t="s">
        <v>827</v>
      </c>
      <c r="E65" s="21">
        <v>1</v>
      </c>
      <c r="F65" s="21">
        <v>209659</v>
      </c>
      <c r="H65" s="21" t="s">
        <v>829</v>
      </c>
      <c r="I65" s="39" t="str">
        <f ca="1">IFERROR(__xludf.DUMMYFUNCTION("IF(SUM(COUNTIF(artists!A:A, SPLIT(D65, "",""))) &gt; 0, ""UA"", 0)"),"UA")</f>
        <v>UA</v>
      </c>
      <c r="J65" s="40">
        <f ca="1">IFERROR(__xludf.DUMMYFUNCTION("IF(SUM(COUNTIF(artists!C:C, SPLIT(D65, "",""))) &gt; 0, ""RU"", 0)"),0)</f>
        <v>0</v>
      </c>
      <c r="K65" s="39">
        <f ca="1">IFERROR(__xludf.DUMMYFUNCTION("IF(SUM(COUNTIF(artists!E:E, SPLIT(D65, "",""))) &gt; 0, ""OTHER"", 0)"),0)</f>
        <v>0</v>
      </c>
    </row>
    <row r="66" spans="1:11" ht="14.25" customHeight="1">
      <c r="A66" s="21">
        <v>65</v>
      </c>
      <c r="B66" s="21">
        <v>81</v>
      </c>
      <c r="C66" s="21" t="s">
        <v>2154</v>
      </c>
      <c r="D66" s="21" t="s">
        <v>1646</v>
      </c>
      <c r="E66" s="21">
        <v>15</v>
      </c>
      <c r="F66" s="21">
        <v>200025</v>
      </c>
      <c r="G66" s="42">
        <v>-9.8000000000000004E-2</v>
      </c>
      <c r="H66" s="21" t="s">
        <v>2155</v>
      </c>
      <c r="I66" s="39">
        <f ca="1">IFERROR(__xludf.DUMMYFUNCTION("IF(SUM(COUNTIF(artists!A:A, SPLIT(D66, "",""))) &gt; 0, ""UA"", 0)"),0)</f>
        <v>0</v>
      </c>
      <c r="J66" s="40" t="str">
        <f ca="1">IFERROR(__xludf.DUMMYFUNCTION("IF(SUM(COUNTIF(artists!C:C, SPLIT(D66, "",""))) &gt; 0, ""RU"", 0)"),"RU")</f>
        <v>RU</v>
      </c>
      <c r="K66" s="39">
        <f ca="1">IFERROR(__xludf.DUMMYFUNCTION("IF(SUM(COUNTIF(artists!E:E, SPLIT(D66, "",""))) &gt; 0, ""OTHER"", 0)"),0)</f>
        <v>0</v>
      </c>
    </row>
    <row r="67" spans="1:11" ht="14.25" customHeight="1">
      <c r="A67" s="21">
        <v>66</v>
      </c>
      <c r="B67" s="21">
        <v>95</v>
      </c>
      <c r="C67" s="21" t="s">
        <v>2112</v>
      </c>
      <c r="D67" s="21" t="s">
        <v>1996</v>
      </c>
      <c r="E67" s="21">
        <v>6</v>
      </c>
      <c r="F67" s="21">
        <v>199137</v>
      </c>
      <c r="G67" s="42">
        <v>7.0000000000000001E-3</v>
      </c>
      <c r="H67" s="21" t="s">
        <v>2113</v>
      </c>
      <c r="I67" s="39">
        <f ca="1">IFERROR(__xludf.DUMMYFUNCTION("IF(SUM(COUNTIF(artists!A:A, SPLIT(D67, "",""))) &gt; 0, ""UA"", 0)"),0)</f>
        <v>0</v>
      </c>
      <c r="J67" s="40" t="str">
        <f ca="1">IFERROR(__xludf.DUMMYFUNCTION("IF(SUM(COUNTIF(artists!C:C, SPLIT(D67, "",""))) &gt; 0, ""RU"", 0)"),"RU")</f>
        <v>RU</v>
      </c>
      <c r="K67" s="39">
        <f ca="1">IFERROR(__xludf.DUMMYFUNCTION("IF(SUM(COUNTIF(artists!E:E, SPLIT(D67, "",""))) &gt; 0, ""OTHER"", 0)"),0)</f>
        <v>0</v>
      </c>
    </row>
    <row r="68" spans="1:11" ht="14.25" customHeight="1">
      <c r="A68" s="21">
        <v>67</v>
      </c>
      <c r="B68" s="21">
        <v>96</v>
      </c>
      <c r="C68" s="21" t="s">
        <v>2104</v>
      </c>
      <c r="D68" s="21" t="s">
        <v>2105</v>
      </c>
      <c r="E68" s="21">
        <v>2</v>
      </c>
      <c r="F68" s="21">
        <v>192084</v>
      </c>
      <c r="G68" s="42">
        <v>-2.9000000000000001E-2</v>
      </c>
      <c r="H68" s="21" t="s">
        <v>2106</v>
      </c>
      <c r="I68" s="39">
        <f ca="1">IFERROR(__xludf.DUMMYFUNCTION("IF(SUM(COUNTIF(artists!A:A, SPLIT(D68, "",""))) &gt; 0, ""UA"", 0)"),0)</f>
        <v>0</v>
      </c>
      <c r="J68" s="40" t="str">
        <f ca="1">IFERROR(__xludf.DUMMYFUNCTION("IF(SUM(COUNTIF(artists!C:C, SPLIT(D68, "",""))) &gt; 0, ""RU"", 0)"),"RU")</f>
        <v>RU</v>
      </c>
      <c r="K68" s="39">
        <f ca="1">IFERROR(__xludf.DUMMYFUNCTION("IF(SUM(COUNTIF(artists!E:E, SPLIT(D68, "",""))) &gt; 0, ""OTHER"", 0)"),0)</f>
        <v>0</v>
      </c>
    </row>
    <row r="69" spans="1:11" ht="14.25" customHeight="1">
      <c r="A69" s="21">
        <v>68</v>
      </c>
      <c r="B69" s="21">
        <v>61</v>
      </c>
      <c r="C69" s="21" t="s">
        <v>2244</v>
      </c>
      <c r="D69" s="21" t="s">
        <v>1050</v>
      </c>
      <c r="E69" s="21">
        <v>3</v>
      </c>
      <c r="F69" s="21">
        <v>188453</v>
      </c>
      <c r="G69" s="42">
        <v>-0.251</v>
      </c>
      <c r="H69" s="21" t="s">
        <v>2245</v>
      </c>
      <c r="I69" s="39">
        <f ca="1">IFERROR(__xludf.DUMMYFUNCTION("IF(SUM(COUNTIF(artists!A:A, SPLIT(D69, "",""))) &gt; 0, ""UA"", 0)"),0)</f>
        <v>0</v>
      </c>
      <c r="J69" s="40" t="str">
        <f ca="1">IFERROR(__xludf.DUMMYFUNCTION("IF(SUM(COUNTIF(artists!C:C, SPLIT(D69, "",""))) &gt; 0, ""RU"", 0)"),"RU")</f>
        <v>RU</v>
      </c>
      <c r="K69" s="39">
        <f ca="1">IFERROR(__xludf.DUMMYFUNCTION("IF(SUM(COUNTIF(artists!E:E, SPLIT(D69, "",""))) &gt; 0, ""OTHER"", 0)"),0)</f>
        <v>0</v>
      </c>
    </row>
    <row r="70" spans="1:11" ht="14.25" customHeight="1">
      <c r="A70" s="21">
        <v>69</v>
      </c>
      <c r="B70" s="21">
        <v>89</v>
      </c>
      <c r="C70" s="21" t="s">
        <v>2211</v>
      </c>
      <c r="D70" s="21" t="s">
        <v>1951</v>
      </c>
      <c r="E70" s="21">
        <v>17</v>
      </c>
      <c r="F70" s="21">
        <v>185747</v>
      </c>
      <c r="G70" s="42">
        <v>-0.11799999999999999</v>
      </c>
      <c r="H70" s="21" t="s">
        <v>2212</v>
      </c>
      <c r="I70" s="39">
        <f ca="1">IFERROR(__xludf.DUMMYFUNCTION("IF(SUM(COUNTIF(artists!A:A, SPLIT(D70, "",""))) &gt; 0, ""UA"", 0)"),0)</f>
        <v>0</v>
      </c>
      <c r="J70" s="40" t="str">
        <f ca="1">IFERROR(__xludf.DUMMYFUNCTION("IF(SUM(COUNTIF(artists!C:C, SPLIT(D70, "",""))) &gt; 0, ""RU"", 0)"),"RU")</f>
        <v>RU</v>
      </c>
      <c r="K70" s="39">
        <f ca="1">IFERROR(__xludf.DUMMYFUNCTION("IF(SUM(COUNTIF(artists!E:E, SPLIT(D70, "",""))) &gt; 0, ""OTHER"", 0)"),0)</f>
        <v>0</v>
      </c>
    </row>
    <row r="71" spans="1:11" ht="14.25" customHeight="1">
      <c r="A71" s="21">
        <v>70</v>
      </c>
      <c r="C71" s="21" t="s">
        <v>2291</v>
      </c>
      <c r="D71" s="21" t="s">
        <v>2292</v>
      </c>
      <c r="E71" s="21">
        <v>2</v>
      </c>
      <c r="F71" s="21">
        <v>185210</v>
      </c>
      <c r="H71" s="21" t="s">
        <v>2293</v>
      </c>
      <c r="I71" s="39">
        <f ca="1">IFERROR(__xludf.DUMMYFUNCTION("IF(SUM(COUNTIF(artists!A:A, SPLIT(D71, "",""))) &gt; 0, ""UA"", 0)"),0)</f>
        <v>0</v>
      </c>
      <c r="J71" s="40">
        <f ca="1">IFERROR(__xludf.DUMMYFUNCTION("IF(SUM(COUNTIF(artists!C:C, SPLIT(D71, "",""))) &gt; 0, ""RU"", 0)"),0)</f>
        <v>0</v>
      </c>
      <c r="K71" s="39" t="str">
        <f ca="1">IFERROR(__xludf.DUMMYFUNCTION("IF(SUM(COUNTIF(artists!E:E, SPLIT(D71, "",""))) &gt; 0, ""OTHER"", 0)"),"OTHER")</f>
        <v>OTHER</v>
      </c>
    </row>
    <row r="72" spans="1:11" ht="14.25" customHeight="1">
      <c r="A72" s="21">
        <v>71</v>
      </c>
      <c r="B72" s="21">
        <v>70</v>
      </c>
      <c r="C72" s="21" t="s">
        <v>2281</v>
      </c>
      <c r="D72" s="21" t="s">
        <v>2282</v>
      </c>
      <c r="E72" s="21">
        <v>8</v>
      </c>
      <c r="F72" s="21">
        <v>183343</v>
      </c>
      <c r="G72" s="42">
        <v>-0.23200000000000001</v>
      </c>
      <c r="H72" s="21" t="s">
        <v>2283</v>
      </c>
      <c r="I72" s="39">
        <f ca="1">IFERROR(__xludf.DUMMYFUNCTION("IF(SUM(COUNTIF(artists!A:A, SPLIT(D72, "",""))) &gt; 0, ""UA"", 0)"),0)</f>
        <v>0</v>
      </c>
      <c r="J72" s="40" t="str">
        <f ca="1">IFERROR(__xludf.DUMMYFUNCTION("IF(SUM(COUNTIF(artists!C:C, SPLIT(D72, "",""))) &gt; 0, ""RU"", 0)"),"RU")</f>
        <v>RU</v>
      </c>
      <c r="K72" s="39">
        <f ca="1">IFERROR(__xludf.DUMMYFUNCTION("IF(SUM(COUNTIF(artists!E:E, SPLIT(D72, "",""))) &gt; 0, ""OTHER"", 0)"),0)</f>
        <v>0</v>
      </c>
    </row>
    <row r="73" spans="1:11" ht="14.25" customHeight="1">
      <c r="A73" s="21">
        <v>72</v>
      </c>
      <c r="C73" s="21" t="s">
        <v>845</v>
      </c>
      <c r="D73" s="21" t="s">
        <v>2294</v>
      </c>
      <c r="E73" s="21">
        <v>3</v>
      </c>
      <c r="F73" s="21">
        <v>183191</v>
      </c>
      <c r="H73" s="21" t="s">
        <v>847</v>
      </c>
      <c r="I73" s="39" t="str">
        <f ca="1">IFERROR(__xludf.DUMMYFUNCTION("IF(SUM(COUNTIF(artists!A:A, SPLIT(D73, "",""))) &gt; 0, ""UA"", 0)"),"UA")</f>
        <v>UA</v>
      </c>
      <c r="J73" s="40">
        <f ca="1">IFERROR(__xludf.DUMMYFUNCTION("IF(SUM(COUNTIF(artists!C:C, SPLIT(D73, "",""))) &gt; 0, ""RU"", 0)"),0)</f>
        <v>0</v>
      </c>
      <c r="K73" s="39">
        <f ca="1">IFERROR(__xludf.DUMMYFUNCTION("IF(SUM(COUNTIF(artists!E:E, SPLIT(D73, "",""))) &gt; 0, ""OTHER"", 0)"),0)</f>
        <v>0</v>
      </c>
    </row>
    <row r="74" spans="1:11" ht="14.25" customHeight="1">
      <c r="A74" s="21">
        <v>73</v>
      </c>
      <c r="C74" s="21" t="s">
        <v>852</v>
      </c>
      <c r="D74" s="21" t="s">
        <v>853</v>
      </c>
      <c r="E74" s="21">
        <v>1</v>
      </c>
      <c r="F74" s="21">
        <v>180726</v>
      </c>
      <c r="H74" s="21" t="s">
        <v>854</v>
      </c>
      <c r="I74" s="39" t="str">
        <f ca="1">IFERROR(__xludf.DUMMYFUNCTION("IF(SUM(COUNTIF(artists!A:A, SPLIT(D74, "",""))) &gt; 0, ""UA"", 0)"),"UA")</f>
        <v>UA</v>
      </c>
      <c r="J74" s="40">
        <f ca="1">IFERROR(__xludf.DUMMYFUNCTION("IF(SUM(COUNTIF(artists!C:C, SPLIT(D74, "",""))) &gt; 0, ""RU"", 0)"),0)</f>
        <v>0</v>
      </c>
      <c r="K74" s="39">
        <f ca="1">IFERROR(__xludf.DUMMYFUNCTION("IF(SUM(COUNTIF(artists!E:E, SPLIT(D74, "",""))) &gt; 0, ""OTHER"", 0)"),0)</f>
        <v>0</v>
      </c>
    </row>
    <row r="75" spans="1:11" ht="14.25" customHeight="1">
      <c r="A75" s="21">
        <v>74</v>
      </c>
      <c r="B75" s="21">
        <v>83</v>
      </c>
      <c r="C75" s="21" t="s">
        <v>2173</v>
      </c>
      <c r="D75" s="21" t="s">
        <v>2174</v>
      </c>
      <c r="E75" s="21">
        <v>12</v>
      </c>
      <c r="F75" s="21">
        <v>179489</v>
      </c>
      <c r="G75" s="42">
        <v>-0.17599999999999999</v>
      </c>
      <c r="H75" s="21" t="s">
        <v>2175</v>
      </c>
      <c r="I75" s="39">
        <f ca="1">IFERROR(__xludf.DUMMYFUNCTION("IF(SUM(COUNTIF(artists!A:A, SPLIT(D75, "",""))) &gt; 0, ""UA"", 0)"),0)</f>
        <v>0</v>
      </c>
      <c r="J75" s="40" t="str">
        <f ca="1">IFERROR(__xludf.DUMMYFUNCTION("IF(SUM(COUNTIF(artists!C:C, SPLIT(D75, "",""))) &gt; 0, ""RU"", 0)"),"RU")</f>
        <v>RU</v>
      </c>
      <c r="K75" s="39">
        <f ca="1">IFERROR(__xludf.DUMMYFUNCTION("IF(SUM(COUNTIF(artists!E:E, SPLIT(D75, "",""))) &gt; 0, ""OTHER"", 0)"),0)</f>
        <v>0</v>
      </c>
    </row>
    <row r="76" spans="1:11" ht="14.25" customHeight="1">
      <c r="A76" s="21">
        <v>75</v>
      </c>
      <c r="C76" s="21" t="s">
        <v>2109</v>
      </c>
      <c r="D76" s="21" t="s">
        <v>2110</v>
      </c>
      <c r="E76" s="21">
        <v>2</v>
      </c>
      <c r="F76" s="21">
        <v>179037</v>
      </c>
      <c r="H76" s="21" t="s">
        <v>2111</v>
      </c>
      <c r="I76" s="39">
        <f ca="1">IFERROR(__xludf.DUMMYFUNCTION("IF(SUM(COUNTIF(artists!A:A, SPLIT(D76, "",""))) &gt; 0, ""UA"", 0)"),0)</f>
        <v>0</v>
      </c>
      <c r="J76" s="40" t="str">
        <f ca="1">IFERROR(__xludf.DUMMYFUNCTION("IF(SUM(COUNTIF(artists!C:C, SPLIT(D76, "",""))) &gt; 0, ""RU"", 0)"),"RU")</f>
        <v>RU</v>
      </c>
      <c r="K76" s="39">
        <f ca="1">IFERROR(__xludf.DUMMYFUNCTION("IF(SUM(COUNTIF(artists!E:E, SPLIT(D76, "",""))) &gt; 0, ""OTHER"", 0)"),0)</f>
        <v>0</v>
      </c>
    </row>
    <row r="77" spans="1:11" ht="14.25" customHeight="1">
      <c r="A77" s="21">
        <v>76</v>
      </c>
      <c r="B77" s="21">
        <v>75</v>
      </c>
      <c r="C77" s="21" t="s">
        <v>2189</v>
      </c>
      <c r="D77" s="21" t="s">
        <v>125</v>
      </c>
      <c r="E77" s="21">
        <v>6</v>
      </c>
      <c r="F77" s="21">
        <v>178545</v>
      </c>
      <c r="G77" s="42">
        <v>-0.214</v>
      </c>
      <c r="H77" s="21" t="s">
        <v>2190</v>
      </c>
      <c r="I77" s="39">
        <f ca="1">IFERROR(__xludf.DUMMYFUNCTION("IF(SUM(COUNTIF(artists!A:A, SPLIT(D77, "",""))) &gt; 0, ""UA"", 0)"),0)</f>
        <v>0</v>
      </c>
      <c r="J77" s="40" t="str">
        <f ca="1">IFERROR(__xludf.DUMMYFUNCTION("IF(SUM(COUNTIF(artists!C:C, SPLIT(D77, "",""))) &gt; 0, ""RU"", 0)"),"RU")</f>
        <v>RU</v>
      </c>
      <c r="K77" s="39">
        <f ca="1">IFERROR(__xludf.DUMMYFUNCTION("IF(SUM(COUNTIF(artists!E:E, SPLIT(D77, "",""))) &gt; 0, ""OTHER"", 0)"),0)</f>
        <v>0</v>
      </c>
    </row>
    <row r="78" spans="1:11" ht="14.25" customHeight="1">
      <c r="A78" s="21">
        <v>77</v>
      </c>
      <c r="B78" s="21">
        <v>82</v>
      </c>
      <c r="C78" s="21" t="s">
        <v>2278</v>
      </c>
      <c r="D78" s="21" t="s">
        <v>2279</v>
      </c>
      <c r="E78" s="21">
        <v>3</v>
      </c>
      <c r="F78" s="21">
        <v>178088</v>
      </c>
      <c r="G78" s="42">
        <v>-0.193</v>
      </c>
      <c r="H78" s="21" t="s">
        <v>2280</v>
      </c>
      <c r="I78" s="39">
        <f ca="1">IFERROR(__xludf.DUMMYFUNCTION("IF(SUM(COUNTIF(artists!A:A, SPLIT(D78, "",""))) &gt; 0, ""UA"", 0)"),0)</f>
        <v>0</v>
      </c>
      <c r="J78" s="40" t="str">
        <f ca="1">IFERROR(__xludf.DUMMYFUNCTION("IF(SUM(COUNTIF(artists!C:C, SPLIT(D78, "",""))) &gt; 0, ""RU"", 0)"),"RU")</f>
        <v>RU</v>
      </c>
      <c r="K78" s="39">
        <f ca="1">IFERROR(__xludf.DUMMYFUNCTION("IF(SUM(COUNTIF(artists!E:E, SPLIT(D78, "",""))) &gt; 0, ""OTHER"", 0)"),0)</f>
        <v>0</v>
      </c>
    </row>
    <row r="79" spans="1:11" ht="14.25" customHeight="1">
      <c r="A79" s="21">
        <v>78</v>
      </c>
      <c r="B79" s="21">
        <v>51</v>
      </c>
      <c r="C79" s="21" t="s">
        <v>530</v>
      </c>
      <c r="D79" s="21" t="s">
        <v>531</v>
      </c>
      <c r="E79" s="21">
        <v>16</v>
      </c>
      <c r="F79" s="21">
        <v>177144</v>
      </c>
      <c r="G79" s="42">
        <v>-0.39900000000000002</v>
      </c>
      <c r="H79" s="21" t="s">
        <v>532</v>
      </c>
      <c r="I79" s="39">
        <f ca="1">IFERROR(__xludf.DUMMYFUNCTION("IF(SUM(COUNTIF(artists!A:A, SPLIT(D79, "",""))) &gt; 0, ""UA"", 0)"),0)</f>
        <v>0</v>
      </c>
      <c r="J79" s="40" t="str">
        <f ca="1">IFERROR(__xludf.DUMMYFUNCTION("IF(SUM(COUNTIF(artists!C:C, SPLIT(D79, "",""))) &gt; 0, ""RU"", 0)"),"RU")</f>
        <v>RU</v>
      </c>
      <c r="K79" s="39">
        <f ca="1">IFERROR(__xludf.DUMMYFUNCTION("IF(SUM(COUNTIF(artists!E:E, SPLIT(D79, "",""))) &gt; 0, ""OTHER"", 0)"),0)</f>
        <v>0</v>
      </c>
    </row>
    <row r="80" spans="1:11" ht="14.25" customHeight="1">
      <c r="A80" s="21">
        <v>79</v>
      </c>
      <c r="B80" s="21">
        <v>90</v>
      </c>
      <c r="C80" s="21" t="s">
        <v>2213</v>
      </c>
      <c r="D80" s="21" t="s">
        <v>2214</v>
      </c>
      <c r="E80" s="21">
        <v>17</v>
      </c>
      <c r="F80" s="21">
        <v>175052</v>
      </c>
      <c r="G80" s="42">
        <v>-0.14699999999999999</v>
      </c>
      <c r="H80" s="21" t="s">
        <v>2215</v>
      </c>
      <c r="I80" s="39">
        <f ca="1">IFERROR(__xludf.DUMMYFUNCTION("IF(SUM(COUNTIF(artists!A:A, SPLIT(D80, "",""))) &gt; 0, ""UA"", 0)"),0)</f>
        <v>0</v>
      </c>
      <c r="J80" s="40" t="str">
        <f ca="1">IFERROR(__xludf.DUMMYFUNCTION("IF(SUM(COUNTIF(artists!C:C, SPLIT(D80, "",""))) &gt; 0, ""RU"", 0)"),"RU")</f>
        <v>RU</v>
      </c>
      <c r="K80" s="39">
        <f ca="1">IFERROR(__xludf.DUMMYFUNCTION("IF(SUM(COUNTIF(artists!E:E, SPLIT(D80, "",""))) &gt; 0, ""OTHER"", 0)"),0)</f>
        <v>0</v>
      </c>
    </row>
    <row r="81" spans="1:11" ht="14.25" customHeight="1">
      <c r="A81" s="21">
        <v>80</v>
      </c>
      <c r="B81" s="21">
        <v>25</v>
      </c>
      <c r="C81" s="21" t="s">
        <v>863</v>
      </c>
      <c r="D81" s="21" t="s">
        <v>864</v>
      </c>
      <c r="E81" s="21">
        <v>5</v>
      </c>
      <c r="F81" s="21">
        <v>174493</v>
      </c>
      <c r="G81" s="42">
        <v>-0.66300000000000003</v>
      </c>
      <c r="H81" s="21" t="s">
        <v>865</v>
      </c>
      <c r="I81" s="39" t="str">
        <f ca="1">IFERROR(__xludf.DUMMYFUNCTION("IF(SUM(COUNTIF(artists!A:A, SPLIT(D81, "",""))) &gt; 0, ""UA"", 0)"),"UA")</f>
        <v>UA</v>
      </c>
      <c r="J81" s="40">
        <f ca="1">IFERROR(__xludf.DUMMYFUNCTION("IF(SUM(COUNTIF(artists!C:C, SPLIT(D81, "",""))) &gt; 0, ""RU"", 0)"),0)</f>
        <v>0</v>
      </c>
      <c r="K81" s="39">
        <f ca="1">IFERROR(__xludf.DUMMYFUNCTION("IF(SUM(COUNTIF(artists!E:E, SPLIT(D81, "",""))) &gt; 0, ""OTHER"", 0)"),0)</f>
        <v>0</v>
      </c>
    </row>
    <row r="82" spans="1:11" ht="14.25" customHeight="1">
      <c r="A82" s="21">
        <v>81</v>
      </c>
      <c r="B82" s="21">
        <v>78</v>
      </c>
      <c r="C82" s="21" t="s">
        <v>968</v>
      </c>
      <c r="D82" s="21" t="s">
        <v>969</v>
      </c>
      <c r="E82" s="21">
        <v>4</v>
      </c>
      <c r="F82" s="21">
        <v>173020</v>
      </c>
      <c r="G82" s="42">
        <v>-0.23400000000000001</v>
      </c>
      <c r="H82" s="21" t="s">
        <v>970</v>
      </c>
      <c r="I82" s="39" t="str">
        <f ca="1">IFERROR(__xludf.DUMMYFUNCTION("IF(SUM(COUNTIF(artists!A:A, SPLIT(D82, "",""))) &gt; 0, ""UA"", 0)"),"UA")</f>
        <v>UA</v>
      </c>
      <c r="J82" s="40">
        <f ca="1">IFERROR(__xludf.DUMMYFUNCTION("IF(SUM(COUNTIF(artists!C:C, SPLIT(D82, "",""))) &gt; 0, ""RU"", 0)"),0)</f>
        <v>0</v>
      </c>
      <c r="K82" s="39">
        <f ca="1">IFERROR(__xludf.DUMMYFUNCTION("IF(SUM(COUNTIF(artists!E:E, SPLIT(D82, "",""))) &gt; 0, ""OTHER"", 0)"),0)</f>
        <v>0</v>
      </c>
    </row>
    <row r="83" spans="1:11" ht="14.25" customHeight="1">
      <c r="A83" s="21">
        <v>82</v>
      </c>
      <c r="B83" s="21">
        <v>98</v>
      </c>
      <c r="C83" s="21" t="s">
        <v>2054</v>
      </c>
      <c r="D83" s="21" t="s">
        <v>2055</v>
      </c>
      <c r="E83" s="21">
        <v>4</v>
      </c>
      <c r="F83" s="21">
        <v>170727</v>
      </c>
      <c r="G83" s="42">
        <v>-0.122</v>
      </c>
      <c r="H83" s="21" t="s">
        <v>2056</v>
      </c>
      <c r="I83" s="39">
        <f ca="1">IFERROR(__xludf.DUMMYFUNCTION("IF(SUM(COUNTIF(artists!A:A, SPLIT(D83, "",""))) &gt; 0, ""UA"", 0)"),0)</f>
        <v>0</v>
      </c>
      <c r="J83" s="40">
        <f ca="1">IFERROR(__xludf.DUMMYFUNCTION("IF(SUM(COUNTIF(artists!C:C, SPLIT(D83, "",""))) &gt; 0, ""RU"", 0)"),0)</f>
        <v>0</v>
      </c>
      <c r="K83" s="39" t="str">
        <f ca="1">IFERROR(__xludf.DUMMYFUNCTION("IF(SUM(COUNTIF(artists!E:E, SPLIT(D83, "",""))) &gt; 0, ""OTHER"", 0)"),"OTHER")</f>
        <v>OTHER</v>
      </c>
    </row>
    <row r="84" spans="1:11" ht="14.25" customHeight="1">
      <c r="A84" s="21">
        <v>83</v>
      </c>
      <c r="C84" s="21" t="s">
        <v>2057</v>
      </c>
      <c r="D84" s="21" t="s">
        <v>2058</v>
      </c>
      <c r="E84" s="21">
        <v>3</v>
      </c>
      <c r="F84" s="21">
        <v>170571</v>
      </c>
      <c r="H84" s="21" t="s">
        <v>2059</v>
      </c>
      <c r="I84" s="39">
        <f ca="1">IFERROR(__xludf.DUMMYFUNCTION("IF(SUM(COUNTIF(artists!A:A, SPLIT(D84, "",""))) &gt; 0, ""UA"", 0)"),0)</f>
        <v>0</v>
      </c>
      <c r="J84" s="40" t="str">
        <f ca="1">IFERROR(__xludf.DUMMYFUNCTION("IF(SUM(COUNTIF(artists!C:C, SPLIT(D84, "",""))) &gt; 0, ""RU"", 0)"),"RU")</f>
        <v>RU</v>
      </c>
      <c r="K84" s="39">
        <f ca="1">IFERROR(__xludf.DUMMYFUNCTION("IF(SUM(COUNTIF(artists!E:E, SPLIT(D84, "",""))) &gt; 0, ""OTHER"", 0)"),0)</f>
        <v>0</v>
      </c>
    </row>
    <row r="85" spans="1:11" ht="14.25" customHeight="1">
      <c r="A85" s="21">
        <v>84</v>
      </c>
      <c r="C85" s="21" t="s">
        <v>2096</v>
      </c>
      <c r="D85" s="21" t="s">
        <v>2097</v>
      </c>
      <c r="E85" s="21">
        <v>1</v>
      </c>
      <c r="F85" s="21">
        <v>170345</v>
      </c>
      <c r="H85" s="21" t="s">
        <v>2098</v>
      </c>
      <c r="I85" s="39">
        <f ca="1">IFERROR(__xludf.DUMMYFUNCTION("IF(SUM(COUNTIF(artists!A:A, SPLIT(D85, "",""))) &gt; 0, ""UA"", 0)"),0)</f>
        <v>0</v>
      </c>
      <c r="J85" s="40" t="str">
        <f ca="1">IFERROR(__xludf.DUMMYFUNCTION("IF(SUM(COUNTIF(artists!C:C, SPLIT(D85, "",""))) &gt; 0, ""RU"", 0)"),"RU")</f>
        <v>RU</v>
      </c>
      <c r="K85" s="39">
        <f ca="1">IFERROR(__xludf.DUMMYFUNCTION("IF(SUM(COUNTIF(artists!E:E, SPLIT(D85, "",""))) &gt; 0, ""OTHER"", 0)"),0)</f>
        <v>0</v>
      </c>
    </row>
    <row r="86" spans="1:11" ht="14.25" customHeight="1">
      <c r="A86" s="21">
        <v>85</v>
      </c>
      <c r="B86" s="21">
        <v>28</v>
      </c>
      <c r="C86" s="21" t="s">
        <v>2295</v>
      </c>
      <c r="D86" s="21" t="s">
        <v>584</v>
      </c>
      <c r="E86" s="21">
        <v>3</v>
      </c>
      <c r="F86" s="21">
        <v>167914</v>
      </c>
      <c r="G86" s="42">
        <v>-0.65100000000000002</v>
      </c>
      <c r="H86" s="21" t="s">
        <v>2296</v>
      </c>
      <c r="I86" s="39">
        <f ca="1">IFERROR(__xludf.DUMMYFUNCTION("IF(SUM(COUNTIF(artists!A:A, SPLIT(D86, "",""))) &gt; 0, ""UA"", 0)"),0)</f>
        <v>0</v>
      </c>
      <c r="J86" s="40" t="str">
        <f ca="1">IFERROR(__xludf.DUMMYFUNCTION("IF(SUM(COUNTIF(artists!C:C, SPLIT(D86, "",""))) &gt; 0, ""RU"", 0)"),"RU")</f>
        <v>RU</v>
      </c>
      <c r="K86" s="39">
        <f ca="1">IFERROR(__xludf.DUMMYFUNCTION("IF(SUM(COUNTIF(artists!E:E, SPLIT(D86, "",""))) &gt; 0, ""OTHER"", 0)"),0)</f>
        <v>0</v>
      </c>
    </row>
    <row r="87" spans="1:11" ht="14.25" customHeight="1">
      <c r="A87" s="21">
        <v>86</v>
      </c>
      <c r="B87" s="21">
        <v>69</v>
      </c>
      <c r="C87" s="21" t="s">
        <v>2151</v>
      </c>
      <c r="D87" s="21" t="s">
        <v>2152</v>
      </c>
      <c r="E87" s="21">
        <v>19</v>
      </c>
      <c r="F87" s="21">
        <v>164728</v>
      </c>
      <c r="G87" s="43">
        <v>-0.31</v>
      </c>
      <c r="H87" s="21" t="s">
        <v>2153</v>
      </c>
      <c r="I87" s="39">
        <f ca="1">IFERROR(__xludf.DUMMYFUNCTION("IF(SUM(COUNTIF(artists!A:A, SPLIT(D87, "",""))) &gt; 0, ""UA"", 0)"),0)</f>
        <v>0</v>
      </c>
      <c r="J87" s="40" t="str">
        <f ca="1">IFERROR(__xludf.DUMMYFUNCTION("IF(SUM(COUNTIF(artists!C:C, SPLIT(D87, "",""))) &gt; 0, ""RU"", 0)"),"RU")</f>
        <v>RU</v>
      </c>
      <c r="K87" s="39">
        <f ca="1">IFERROR(__xludf.DUMMYFUNCTION("IF(SUM(COUNTIF(artists!E:E, SPLIT(D87, "",""))) &gt; 0, ""OTHER"", 0)"),0)</f>
        <v>0</v>
      </c>
    </row>
    <row r="88" spans="1:11" ht="14.25" customHeight="1">
      <c r="A88" s="21">
        <v>87</v>
      </c>
      <c r="C88" s="21" t="s">
        <v>2297</v>
      </c>
      <c r="D88" s="21" t="s">
        <v>776</v>
      </c>
      <c r="E88" s="21">
        <v>1</v>
      </c>
      <c r="F88" s="21">
        <v>164049</v>
      </c>
      <c r="H88" s="21" t="s">
        <v>2298</v>
      </c>
      <c r="I88" s="39" t="str">
        <f ca="1">IFERROR(__xludf.DUMMYFUNCTION("IF(SUM(COUNTIF(artists!A:A, SPLIT(D88, "",""))) &gt; 0, ""UA"", 0)"),"UA")</f>
        <v>UA</v>
      </c>
      <c r="J88" s="40">
        <f ca="1">IFERROR(__xludf.DUMMYFUNCTION("IF(SUM(COUNTIF(artists!C:C, SPLIT(D88, "",""))) &gt; 0, ""RU"", 0)"),0)</f>
        <v>0</v>
      </c>
      <c r="K88" s="39">
        <f ca="1">IFERROR(__xludf.DUMMYFUNCTION("IF(SUM(COUNTIF(artists!E:E, SPLIT(D88, "",""))) &gt; 0, ""OTHER"", 0)"),0)</f>
        <v>0</v>
      </c>
    </row>
    <row r="89" spans="1:11" ht="14.25" customHeight="1">
      <c r="A89" s="21">
        <v>88</v>
      </c>
      <c r="B89" s="21">
        <v>99</v>
      </c>
      <c r="C89" s="21" t="s">
        <v>1354</v>
      </c>
      <c r="D89" s="21" t="s">
        <v>1355</v>
      </c>
      <c r="E89" s="21">
        <v>19</v>
      </c>
      <c r="F89" s="21">
        <v>163734</v>
      </c>
      <c r="G89" s="42">
        <v>-0.157</v>
      </c>
      <c r="H89" s="21" t="s">
        <v>1356</v>
      </c>
      <c r="I89" s="39" t="str">
        <f ca="1">IFERROR(__xludf.DUMMYFUNCTION("IF(SUM(COUNTIF(artists!A:A, SPLIT(D89, "",""))) &gt; 0, ""UA"", 0)"),"UA")</f>
        <v>UA</v>
      </c>
      <c r="J89" s="40">
        <f ca="1">IFERROR(__xludf.DUMMYFUNCTION("IF(SUM(COUNTIF(artists!C:C, SPLIT(D89, "",""))) &gt; 0, ""RU"", 0)"),0)</f>
        <v>0</v>
      </c>
      <c r="K89" s="39">
        <f ca="1">IFERROR(__xludf.DUMMYFUNCTION("IF(SUM(COUNTIF(artists!E:E, SPLIT(D89, "",""))) &gt; 0, ""OTHER"", 0)"),0)</f>
        <v>0</v>
      </c>
    </row>
    <row r="90" spans="1:11" ht="14.25" customHeight="1">
      <c r="A90" s="21">
        <v>89</v>
      </c>
      <c r="C90" s="21" t="s">
        <v>2141</v>
      </c>
      <c r="D90" s="21" t="s">
        <v>2018</v>
      </c>
      <c r="E90" s="21">
        <v>10</v>
      </c>
      <c r="F90" s="21">
        <v>163507</v>
      </c>
      <c r="H90" s="21" t="s">
        <v>2142</v>
      </c>
      <c r="I90" s="39">
        <f ca="1">IFERROR(__xludf.DUMMYFUNCTION("IF(SUM(COUNTIF(artists!A:A, SPLIT(D90, "",""))) &gt; 0, ""UA"", 0)"),0)</f>
        <v>0</v>
      </c>
      <c r="J90" s="40" t="str">
        <f ca="1">IFERROR(__xludf.DUMMYFUNCTION("IF(SUM(COUNTIF(artists!C:C, SPLIT(D90, "",""))) &gt; 0, ""RU"", 0)"),"RU")</f>
        <v>RU</v>
      </c>
      <c r="K90" s="39">
        <f ca="1">IFERROR(__xludf.DUMMYFUNCTION("IF(SUM(COUNTIF(artists!E:E, SPLIT(D90, "",""))) &gt; 0, ""OTHER"", 0)"),0)</f>
        <v>0</v>
      </c>
    </row>
    <row r="91" spans="1:11" ht="14.25" customHeight="1">
      <c r="A91" s="21">
        <v>90</v>
      </c>
      <c r="B91" s="21">
        <v>94</v>
      </c>
      <c r="C91" s="21" t="s">
        <v>2120</v>
      </c>
      <c r="D91" s="21" t="s">
        <v>2121</v>
      </c>
      <c r="E91" s="21">
        <v>4</v>
      </c>
      <c r="F91" s="21">
        <v>163051</v>
      </c>
      <c r="G91" s="42">
        <v>-0.17699999999999999</v>
      </c>
      <c r="H91" s="21" t="s">
        <v>2122</v>
      </c>
      <c r="I91" s="39">
        <f ca="1">IFERROR(__xludf.DUMMYFUNCTION("IF(SUM(COUNTIF(artists!A:A, SPLIT(D91, "",""))) &gt; 0, ""UA"", 0)"),0)</f>
        <v>0</v>
      </c>
      <c r="J91" s="40">
        <f ca="1">IFERROR(__xludf.DUMMYFUNCTION("IF(SUM(COUNTIF(artists!C:C, SPLIT(D91, "",""))) &gt; 0, ""RU"", 0)"),0)</f>
        <v>0</v>
      </c>
      <c r="K91" s="39" t="str">
        <f ca="1">IFERROR(__xludf.DUMMYFUNCTION("IF(SUM(COUNTIF(artists!E:E, SPLIT(D91, "",""))) &gt; 0, ""OTHER"", 0)"),"OTHER")</f>
        <v>OTHER</v>
      </c>
    </row>
    <row r="92" spans="1:11" ht="14.25" customHeight="1">
      <c r="A92" s="21">
        <v>91</v>
      </c>
      <c r="B92" s="21">
        <v>87</v>
      </c>
      <c r="C92" s="21" t="s">
        <v>2299</v>
      </c>
      <c r="D92" s="21" t="s">
        <v>2300</v>
      </c>
      <c r="E92" s="21">
        <v>2</v>
      </c>
      <c r="F92" s="21">
        <v>162467</v>
      </c>
      <c r="G92" s="42">
        <v>-0.23899999999999999</v>
      </c>
      <c r="H92" s="21" t="s">
        <v>2301</v>
      </c>
      <c r="I92" s="39">
        <f ca="1">IFERROR(__xludf.DUMMYFUNCTION("IF(SUM(COUNTIF(artists!A:A, SPLIT(D92, "",""))) &gt; 0, ""UA"", 0)"),0)</f>
        <v>0</v>
      </c>
      <c r="J92" s="40" t="str">
        <f ca="1">IFERROR(__xludf.DUMMYFUNCTION("IF(SUM(COUNTIF(artists!C:C, SPLIT(D92, "",""))) &gt; 0, ""RU"", 0)"),"RU")</f>
        <v>RU</v>
      </c>
      <c r="K92" s="39">
        <f ca="1">IFERROR(__xludf.DUMMYFUNCTION("IF(SUM(COUNTIF(artists!E:E, SPLIT(D92, "",""))) &gt; 0, ""OTHER"", 0)"),0)</f>
        <v>0</v>
      </c>
    </row>
    <row r="93" spans="1:11" ht="14.25" customHeight="1">
      <c r="A93" s="21">
        <v>92</v>
      </c>
      <c r="B93" s="21">
        <v>77</v>
      </c>
      <c r="C93" s="21" t="s">
        <v>2114</v>
      </c>
      <c r="D93" s="21" t="s">
        <v>2115</v>
      </c>
      <c r="E93" s="21">
        <v>6</v>
      </c>
      <c r="F93" s="21">
        <v>162226</v>
      </c>
      <c r="G93" s="42">
        <v>-0.28399999999999997</v>
      </c>
      <c r="H93" s="21" t="s">
        <v>2116</v>
      </c>
      <c r="I93" s="39">
        <f ca="1">IFERROR(__xludf.DUMMYFUNCTION("IF(SUM(COUNTIF(artists!A:A, SPLIT(D93, "",""))) &gt; 0, ""UA"", 0)"),0)</f>
        <v>0</v>
      </c>
      <c r="J93" s="40" t="str">
        <f ca="1">IFERROR(__xludf.DUMMYFUNCTION("IF(SUM(COUNTIF(artists!C:C, SPLIT(D93, "",""))) &gt; 0, ""RU"", 0)"),"RU")</f>
        <v>RU</v>
      </c>
      <c r="K93" s="39">
        <f ca="1">IFERROR(__xludf.DUMMYFUNCTION("IF(SUM(COUNTIF(artists!E:E, SPLIT(D93, "",""))) &gt; 0, ""OTHER"", 0)"),0)</f>
        <v>0</v>
      </c>
    </row>
    <row r="94" spans="1:11" ht="14.25" customHeight="1">
      <c r="A94" s="21">
        <v>93</v>
      </c>
      <c r="B94" s="21">
        <v>97</v>
      </c>
      <c r="C94" s="21" t="s">
        <v>2275</v>
      </c>
      <c r="D94" s="21" t="s">
        <v>2276</v>
      </c>
      <c r="E94" s="21">
        <v>19</v>
      </c>
      <c r="F94" s="21">
        <v>161857</v>
      </c>
      <c r="G94" s="42">
        <v>-0.17399999999999999</v>
      </c>
      <c r="H94" s="21" t="s">
        <v>2277</v>
      </c>
      <c r="I94" s="39">
        <f ca="1">IFERROR(__xludf.DUMMYFUNCTION("IF(SUM(COUNTIF(artists!A:A, SPLIT(D94, "",""))) &gt; 0, ""UA"", 0)"),0)</f>
        <v>0</v>
      </c>
      <c r="J94" s="40" t="str">
        <f ca="1">IFERROR(__xludf.DUMMYFUNCTION("IF(SUM(COUNTIF(artists!C:C, SPLIT(D94, "",""))) &gt; 0, ""RU"", 0)"),"RU")</f>
        <v>RU</v>
      </c>
      <c r="K94" s="39">
        <f ca="1">IFERROR(__xludf.DUMMYFUNCTION("IF(SUM(COUNTIF(artists!E:E, SPLIT(D94, "",""))) &gt; 0, ""OTHER"", 0)"),0)</f>
        <v>0</v>
      </c>
    </row>
    <row r="95" spans="1:11" ht="14.25" customHeight="1">
      <c r="A95" s="21">
        <v>94</v>
      </c>
      <c r="C95" s="21" t="s">
        <v>2302</v>
      </c>
      <c r="D95" s="21" t="s">
        <v>487</v>
      </c>
      <c r="E95" s="21">
        <v>1</v>
      </c>
      <c r="F95" s="21">
        <v>158973</v>
      </c>
      <c r="H95" s="21" t="s">
        <v>2303</v>
      </c>
      <c r="I95" s="39">
        <f ca="1">IFERROR(__xludf.DUMMYFUNCTION("IF(SUM(COUNTIF(artists!A:A, SPLIT(D95, "",""))) &gt; 0, ""UA"", 0)"),0)</f>
        <v>0</v>
      </c>
      <c r="J95" s="40">
        <f ca="1">IFERROR(__xludf.DUMMYFUNCTION("IF(SUM(COUNTIF(artists!C:C, SPLIT(D95, "",""))) &gt; 0, ""RU"", 0)"),0)</f>
        <v>0</v>
      </c>
      <c r="K95" s="39" t="str">
        <f ca="1">IFERROR(__xludf.DUMMYFUNCTION("IF(SUM(COUNTIF(artists!E:E, SPLIT(D95, "",""))) &gt; 0, ""OTHER"", 0)"),"OTHER")</f>
        <v>OTHER</v>
      </c>
    </row>
    <row r="96" spans="1:11" ht="14.25" customHeight="1">
      <c r="A96" s="21">
        <v>95</v>
      </c>
      <c r="C96" s="21" t="s">
        <v>2259</v>
      </c>
      <c r="D96" s="21" t="s">
        <v>2260</v>
      </c>
      <c r="E96" s="21">
        <v>6</v>
      </c>
      <c r="F96" s="21">
        <v>158593</v>
      </c>
      <c r="H96" s="21" t="s">
        <v>2261</v>
      </c>
      <c r="I96" s="39">
        <f ca="1">IFERROR(__xludf.DUMMYFUNCTION("IF(SUM(COUNTIF(artists!A:A, SPLIT(D96, "",""))) &gt; 0, ""UA"", 0)"),0)</f>
        <v>0</v>
      </c>
      <c r="J96" s="40" t="str">
        <f ca="1">IFERROR(__xludf.DUMMYFUNCTION("IF(SUM(COUNTIF(artists!C:C, SPLIT(D96, "",""))) &gt; 0, ""RU"", 0)"),"RU")</f>
        <v>RU</v>
      </c>
      <c r="K96" s="39">
        <f ca="1">IFERROR(__xludf.DUMMYFUNCTION("IF(SUM(COUNTIF(artists!E:E, SPLIT(D96, "",""))) &gt; 0, ""OTHER"", 0)"),0)</f>
        <v>0</v>
      </c>
    </row>
    <row r="97" spans="1:11" ht="14.25" customHeight="1">
      <c r="A97" s="21">
        <v>96</v>
      </c>
      <c r="C97" s="21" t="s">
        <v>2227</v>
      </c>
      <c r="D97" s="21" t="s">
        <v>2228</v>
      </c>
      <c r="E97" s="21">
        <v>16</v>
      </c>
      <c r="F97" s="21">
        <v>158306</v>
      </c>
      <c r="H97" s="21" t="s">
        <v>2229</v>
      </c>
      <c r="I97" s="39">
        <f ca="1">IFERROR(__xludf.DUMMYFUNCTION("IF(SUM(COUNTIF(artists!A:A, SPLIT(D97, "",""))) &gt; 0, ""UA"", 0)"),0)</f>
        <v>0</v>
      </c>
      <c r="J97" s="40" t="str">
        <f ca="1">IFERROR(__xludf.DUMMYFUNCTION("IF(SUM(COUNTIF(artists!C:C, SPLIT(D97, "",""))) &gt; 0, ""RU"", 0)"),"RU")</f>
        <v>RU</v>
      </c>
      <c r="K97" s="39">
        <f ca="1">IFERROR(__xludf.DUMMYFUNCTION("IF(SUM(COUNTIF(artists!E:E, SPLIT(D97, "",""))) &gt; 0, ""OTHER"", 0)"),0)</f>
        <v>0</v>
      </c>
    </row>
    <row r="98" spans="1:11" ht="14.25" customHeight="1">
      <c r="A98" s="21">
        <v>97</v>
      </c>
      <c r="C98" s="21" t="s">
        <v>1222</v>
      </c>
      <c r="D98" s="21" t="s">
        <v>1223</v>
      </c>
      <c r="E98" s="21">
        <v>13</v>
      </c>
      <c r="F98" s="21">
        <v>156263</v>
      </c>
      <c r="H98" s="21" t="s">
        <v>1224</v>
      </c>
      <c r="I98" s="39">
        <f ca="1">IFERROR(__xludf.DUMMYFUNCTION("IF(SUM(COUNTIF(artists!A:A, SPLIT(D98, "",""))) &gt; 0, ""UA"", 0)"),0)</f>
        <v>0</v>
      </c>
      <c r="J98" s="40" t="str">
        <f ca="1">IFERROR(__xludf.DUMMYFUNCTION("IF(SUM(COUNTIF(artists!C:C, SPLIT(D98, "",""))) &gt; 0, ""RU"", 0)"),"RU")</f>
        <v>RU</v>
      </c>
      <c r="K98" s="39">
        <f ca="1">IFERROR(__xludf.DUMMYFUNCTION("IF(SUM(COUNTIF(artists!E:E, SPLIT(D98, "",""))) &gt; 0, ""OTHER"", 0)"),0)</f>
        <v>0</v>
      </c>
    </row>
    <row r="99" spans="1:11" ht="14.25" customHeight="1">
      <c r="A99" s="21">
        <v>98</v>
      </c>
      <c r="C99" s="21" t="s">
        <v>2191</v>
      </c>
      <c r="D99" s="21" t="s">
        <v>2192</v>
      </c>
      <c r="E99" s="21">
        <v>2</v>
      </c>
      <c r="F99" s="21">
        <v>156053</v>
      </c>
      <c r="H99" s="21" t="s">
        <v>2193</v>
      </c>
      <c r="I99" s="39">
        <f ca="1">IFERROR(__xludf.DUMMYFUNCTION("IF(SUM(COUNTIF(artists!A:A, SPLIT(D99, "",""))) &gt; 0, ""UA"", 0)"),0)</f>
        <v>0</v>
      </c>
      <c r="J99" s="40" t="str">
        <f ca="1">IFERROR(__xludf.DUMMYFUNCTION("IF(SUM(COUNTIF(artists!C:C, SPLIT(D99, "",""))) &gt; 0, ""RU"", 0)"),"RU")</f>
        <v>RU</v>
      </c>
      <c r="K99" s="39">
        <f ca="1">IFERROR(__xludf.DUMMYFUNCTION("IF(SUM(COUNTIF(artists!E:E, SPLIT(D99, "",""))) &gt; 0, ""OTHER"", 0)"),0)</f>
        <v>0</v>
      </c>
    </row>
    <row r="100" spans="1:11" ht="14.25" customHeight="1">
      <c r="A100" s="21">
        <v>99</v>
      </c>
      <c r="C100" s="21" t="s">
        <v>848</v>
      </c>
      <c r="D100" s="21" t="s">
        <v>183</v>
      </c>
      <c r="E100" s="21">
        <v>1</v>
      </c>
      <c r="F100" s="21">
        <v>149970</v>
      </c>
      <c r="H100" s="21" t="s">
        <v>849</v>
      </c>
      <c r="I100" s="39" t="str">
        <f ca="1">IFERROR(__xludf.DUMMYFUNCTION("IF(SUM(COUNTIF(artists!A:A, SPLIT(D100, "",""))) &gt; 0, ""UA"", 0)"),"UA")</f>
        <v>UA</v>
      </c>
      <c r="J100" s="40">
        <f ca="1">IFERROR(__xludf.DUMMYFUNCTION("IF(SUM(COUNTIF(artists!C:C, SPLIT(D100, "",""))) &gt; 0, ""RU"", 0)"),0)</f>
        <v>0</v>
      </c>
      <c r="K100" s="39">
        <f ca="1">IFERROR(__xludf.DUMMYFUNCTION("IF(SUM(COUNTIF(artists!E:E, SPLIT(D100, "",""))) &gt; 0, ""OTHER"", 0)"),0)</f>
        <v>0</v>
      </c>
    </row>
    <row r="101" spans="1:11" ht="14.25" customHeight="1">
      <c r="A101" s="21">
        <v>100</v>
      </c>
      <c r="B101" s="21">
        <v>74</v>
      </c>
      <c r="C101" s="21" t="s">
        <v>2304</v>
      </c>
      <c r="D101" s="21" t="s">
        <v>2305</v>
      </c>
      <c r="E101" s="21">
        <v>2</v>
      </c>
      <c r="F101" s="21">
        <v>149521</v>
      </c>
      <c r="G101" s="42">
        <v>-0.34899999999999998</v>
      </c>
      <c r="H101" s="21" t="s">
        <v>2306</v>
      </c>
      <c r="I101" s="39">
        <f ca="1">IFERROR(__xludf.DUMMYFUNCTION("IF(SUM(COUNTIF(artists!A:A, SPLIT(D101, "",""))) &gt; 0, ""UA"", 0)"),0)</f>
        <v>0</v>
      </c>
      <c r="J101" s="40" t="str">
        <f ca="1">IFERROR(__xludf.DUMMYFUNCTION("IF(SUM(COUNTIF(artists!C:C, SPLIT(D101, "",""))) &gt; 0, ""RU"", 0)"),"RU")</f>
        <v>RU</v>
      </c>
      <c r="K101" s="39">
        <f ca="1">IFERROR(__xludf.DUMMYFUNCTION("IF(SUM(COUNTIF(artists!E:E, SPLIT(D101, "",""))) &gt; 0, ""OTHER"", 0)"),0)</f>
        <v>0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3" priority="1">
      <formula>AND($I2=0, $J2=0, $K2=0)</formula>
    </cfRule>
    <cfRule type="expression" dxfId="2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D00-000000000000}">
  <sheetPr codeName="Аркуш62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4" width="8.6640625" customWidth="1"/>
    <col min="5" max="5" width="8.6640625" hidden="1" customWidth="1"/>
    <col min="6" max="6" width="8.6640625" customWidth="1"/>
    <col min="7" max="7" width="13.109375" customWidth="1"/>
    <col min="8" max="8" width="8.6640625" hidden="1" customWidth="1"/>
    <col min="9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B2" s="21">
        <v>1</v>
      </c>
      <c r="C2" s="21" t="s">
        <v>935</v>
      </c>
      <c r="D2" s="21" t="s">
        <v>936</v>
      </c>
      <c r="E2" s="21">
        <v>10</v>
      </c>
      <c r="F2" s="21">
        <v>1792242</v>
      </c>
      <c r="G2" s="42">
        <v>8.1000000000000003E-2</v>
      </c>
      <c r="H2" s="21" t="s">
        <v>937</v>
      </c>
      <c r="I2" s="39">
        <f ca="1">IFERROR(__xludf.DUMMYFUNCTION("IF(SUM(COUNTIF(artists!A:A, SPLIT(D2, "",""))) &gt; 0, ""UA"", 0)"),0)</f>
        <v>0</v>
      </c>
      <c r="J2" s="40" t="str">
        <f ca="1">IFERROR(__xludf.DUMMYFUNCTION("IF(SUM(COUNTIF(artists!C:C, SPLIT(D2, "",""))) &gt; 0, ""RU"", 0)"),"RU")</f>
        <v>RU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B3" s="21">
        <v>2</v>
      </c>
      <c r="C3" s="21" t="s">
        <v>1325</v>
      </c>
      <c r="D3" s="21" t="s">
        <v>1237</v>
      </c>
      <c r="E3" s="21">
        <v>33</v>
      </c>
      <c r="F3" s="21">
        <v>1222772</v>
      </c>
      <c r="G3" s="42">
        <v>0.182</v>
      </c>
      <c r="H3" s="21" t="s">
        <v>1326</v>
      </c>
      <c r="I3" s="39">
        <f ca="1">IFERROR(__xludf.DUMMYFUNCTION("IF(SUM(COUNTIF(artists!A:A, SPLIT(D3, "",""))) &gt; 0, ""UA"", 0)"),0)</f>
        <v>0</v>
      </c>
      <c r="J3" s="40" t="str">
        <f ca="1">IFERROR(__xludf.DUMMYFUNCTION("IF(SUM(COUNTIF(artists!C:C, SPLIT(D3, "",""))) &gt; 0, ""RU"", 0)"),"RU")</f>
        <v>RU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B4" s="21">
        <v>4</v>
      </c>
      <c r="C4" s="21" t="s">
        <v>1116</v>
      </c>
      <c r="D4" s="21" t="s">
        <v>1117</v>
      </c>
      <c r="E4" s="21">
        <v>6</v>
      </c>
      <c r="F4" s="21">
        <v>1185682</v>
      </c>
      <c r="G4" s="42">
        <v>0.16300000000000001</v>
      </c>
      <c r="H4" s="21" t="s">
        <v>1118</v>
      </c>
      <c r="I4" s="39">
        <f ca="1">IFERROR(__xludf.DUMMYFUNCTION("IF(SUM(COUNTIF(artists!A:A, SPLIT(D4, "",""))) &gt; 0, ""UA"", 0)"),0)</f>
        <v>0</v>
      </c>
      <c r="J4" s="40" t="str">
        <f ca="1">IFERROR(__xludf.DUMMYFUNCTION("IF(SUM(COUNTIF(artists!C:C, SPLIT(D4, "",""))) &gt; 0, ""RU"", 0)"),"RU")</f>
        <v>RU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B5" s="21">
        <v>5</v>
      </c>
      <c r="C5" s="21" t="s">
        <v>1956</v>
      </c>
      <c r="D5" s="21" t="s">
        <v>1957</v>
      </c>
      <c r="E5" s="21">
        <v>11</v>
      </c>
      <c r="F5" s="21">
        <v>1008821</v>
      </c>
      <c r="G5" s="42">
        <v>0.112</v>
      </c>
      <c r="H5" s="21" t="s">
        <v>1958</v>
      </c>
      <c r="I5" s="39">
        <f ca="1">IFERROR(__xludf.DUMMYFUNCTION("IF(SUM(COUNTIF(artists!A:A, SPLIT(D5, "",""))) &gt; 0, ""UA"", 0)"),0)</f>
        <v>0</v>
      </c>
      <c r="J5" s="40" t="str">
        <f ca="1">IFERROR(__xludf.DUMMYFUNCTION("IF(SUM(COUNTIF(artists!C:C, SPLIT(D5, "",""))) &gt; 0, ""RU"", 0)"),"RU")</f>
        <v>RU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B6" s="21">
        <v>3</v>
      </c>
      <c r="C6" s="21" t="s">
        <v>2041</v>
      </c>
      <c r="D6" s="21" t="s">
        <v>584</v>
      </c>
      <c r="E6" s="21">
        <v>4</v>
      </c>
      <c r="F6" s="21">
        <v>854689</v>
      </c>
      <c r="G6" s="42">
        <v>-0.16300000000000001</v>
      </c>
      <c r="H6" s="21" t="s">
        <v>2042</v>
      </c>
      <c r="I6" s="39">
        <f ca="1">IFERROR(__xludf.DUMMYFUNCTION("IF(SUM(COUNTIF(artists!A:A, SPLIT(D6, "",""))) &gt; 0, ""UA"", 0)"),0)</f>
        <v>0</v>
      </c>
      <c r="J6" s="40" t="str">
        <f ca="1">IFERROR(__xludf.DUMMYFUNCTION("IF(SUM(COUNTIF(artists!C:C, SPLIT(D6, "",""))) &gt; 0, ""RU"", 0)"),"RU")</f>
        <v>RU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B7" s="21">
        <v>10</v>
      </c>
      <c r="C7" s="21" t="s">
        <v>918</v>
      </c>
      <c r="D7" s="21" t="s">
        <v>108</v>
      </c>
      <c r="E7" s="21">
        <v>28</v>
      </c>
      <c r="F7" s="21">
        <v>818175</v>
      </c>
      <c r="G7" s="42">
        <v>0.154</v>
      </c>
      <c r="H7" s="21" t="s">
        <v>919</v>
      </c>
      <c r="I7" s="39" t="str">
        <f ca="1">IFERROR(__xludf.DUMMYFUNCTION("IF(SUM(COUNTIF(artists!A:A, SPLIT(D7, "",""))) &gt; 0, ""UA"", 0)"),"UA")</f>
        <v>UA</v>
      </c>
      <c r="J7" s="40">
        <f ca="1">IFERROR(__xludf.DUMMYFUNCTION("IF(SUM(COUNTIF(artists!C:C, SPLIT(D7, "",""))) &gt; 0, ""RU"", 0)"),0)</f>
        <v>0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B8" s="21">
        <v>8</v>
      </c>
      <c r="C8" s="21" t="s">
        <v>1825</v>
      </c>
      <c r="D8" s="21" t="s">
        <v>1895</v>
      </c>
      <c r="E8" s="21">
        <v>37</v>
      </c>
      <c r="F8" s="21">
        <v>801990</v>
      </c>
      <c r="G8" s="42">
        <v>0.112</v>
      </c>
      <c r="H8" s="21" t="s">
        <v>1827</v>
      </c>
      <c r="I8" s="39">
        <f ca="1">IFERROR(__xludf.DUMMYFUNCTION("IF(SUM(COUNTIF(artists!A:A, SPLIT(D8, "",""))) &gt; 0, ""UA"", 0)"),0)</f>
        <v>0</v>
      </c>
      <c r="J8" s="40">
        <f ca="1">IFERROR(__xludf.DUMMYFUNCTION("IF(SUM(COUNTIF(artists!C:C, SPLIT(D8, "",""))) &gt; 0, ""RU"", 0)"),0)</f>
        <v>0</v>
      </c>
      <c r="K8" s="39" t="str">
        <f ca="1">IFERROR(__xludf.DUMMYFUNCTION("IF(SUM(COUNTIF(artists!E:E, SPLIT(D8, "",""))) &gt; 0, ""OTHER"", 0)"),"OTHER")</f>
        <v>OTHER</v>
      </c>
    </row>
    <row r="9" spans="1:11" ht="14.25" customHeight="1">
      <c r="A9" s="21">
        <v>8</v>
      </c>
      <c r="B9" s="21">
        <v>9</v>
      </c>
      <c r="C9" s="21" t="s">
        <v>1500</v>
      </c>
      <c r="D9" s="21" t="s">
        <v>907</v>
      </c>
      <c r="E9" s="21">
        <v>13</v>
      </c>
      <c r="F9" s="21">
        <v>785792</v>
      </c>
      <c r="G9" s="42">
        <v>0.10199999999999999</v>
      </c>
      <c r="H9" s="21" t="s">
        <v>1501</v>
      </c>
      <c r="I9" s="39">
        <f ca="1">IFERROR(__xludf.DUMMYFUNCTION("IF(SUM(COUNTIF(artists!A:A, SPLIT(D9, "",""))) &gt; 0, ""UA"", 0)"),0)</f>
        <v>0</v>
      </c>
      <c r="J9" s="40" t="str">
        <f ca="1">IFERROR(__xludf.DUMMYFUNCTION("IF(SUM(COUNTIF(artists!C:C, SPLIT(D9, "",""))) &gt; 0, ""RU"", 0)"),"RU")</f>
        <v>RU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B10" s="21">
        <v>6</v>
      </c>
      <c r="C10" s="21" t="s">
        <v>1676</v>
      </c>
      <c r="D10" s="21" t="s">
        <v>743</v>
      </c>
      <c r="E10" s="21">
        <v>9</v>
      </c>
      <c r="F10" s="21">
        <v>759781</v>
      </c>
      <c r="G10" s="42">
        <v>-0.10299999999999999</v>
      </c>
      <c r="H10" s="21" t="s">
        <v>1677</v>
      </c>
      <c r="I10" s="39">
        <f ca="1">IFERROR(__xludf.DUMMYFUNCTION("IF(SUM(COUNTIF(artists!A:A, SPLIT(D10, "",""))) &gt; 0, ""UA"", 0)"),0)</f>
        <v>0</v>
      </c>
      <c r="J10" s="40" t="str">
        <f ca="1">IFERROR(__xludf.DUMMYFUNCTION("IF(SUM(COUNTIF(artists!C:C, SPLIT(D10, "",""))) &gt; 0, ""RU"", 0)"),"RU")</f>
        <v>RU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B11" s="21">
        <v>17</v>
      </c>
      <c r="C11" s="21" t="s">
        <v>2262</v>
      </c>
      <c r="D11" s="21" t="s">
        <v>2171</v>
      </c>
      <c r="E11" s="21">
        <v>50</v>
      </c>
      <c r="F11" s="21">
        <v>743073</v>
      </c>
      <c r="G11" s="42">
        <v>0.26400000000000001</v>
      </c>
      <c r="H11" s="21" t="s">
        <v>2263</v>
      </c>
      <c r="I11" s="39">
        <f ca="1">IFERROR(__xludf.DUMMYFUNCTION("IF(SUM(COUNTIF(artists!A:A, SPLIT(D11, "",""))) &gt; 0, ""UA"", 0)"),0)</f>
        <v>0</v>
      </c>
      <c r="J11" s="40" t="str">
        <f ca="1">IFERROR(__xludf.DUMMYFUNCTION("IF(SUM(COUNTIF(artists!C:C, SPLIT(D11, "",""))) &gt; 0, ""RU"", 0)"),"RU")</f>
        <v>RU</v>
      </c>
      <c r="K11" s="39">
        <f ca="1">IFERROR(__xludf.DUMMYFUNCTION("IF(SUM(COUNTIF(artists!E:E, SPLIT(D11, "",""))) &gt; 0, ""OTHER"", 0)"),0)</f>
        <v>0</v>
      </c>
    </row>
    <row r="12" spans="1:11" ht="14.25" customHeight="1">
      <c r="A12" s="21">
        <v>11</v>
      </c>
      <c r="B12" s="21">
        <v>19</v>
      </c>
      <c r="C12" s="21" t="s">
        <v>1263</v>
      </c>
      <c r="D12" s="21" t="s">
        <v>1264</v>
      </c>
      <c r="E12" s="21">
        <v>9</v>
      </c>
      <c r="F12" s="21">
        <v>737057</v>
      </c>
      <c r="G12" s="42">
        <v>0.27200000000000002</v>
      </c>
      <c r="H12" s="21" t="s">
        <v>1265</v>
      </c>
      <c r="I12" s="39">
        <f ca="1">IFERROR(__xludf.DUMMYFUNCTION("IF(SUM(COUNTIF(artists!A:A, SPLIT(D12, "",""))) &gt; 0, ""UA"", 0)"),0)</f>
        <v>0</v>
      </c>
      <c r="J12" s="40" t="str">
        <f ca="1">IFERROR(__xludf.DUMMYFUNCTION("IF(SUM(COUNTIF(artists!C:C, SPLIT(D12, "",""))) &gt; 0, ""RU"", 0)"),"RU")</f>
        <v>RU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B13" s="21">
        <v>15</v>
      </c>
      <c r="C13" s="21" t="s">
        <v>906</v>
      </c>
      <c r="D13" s="21" t="s">
        <v>907</v>
      </c>
      <c r="E13" s="21">
        <v>4</v>
      </c>
      <c r="F13" s="21">
        <v>698556</v>
      </c>
      <c r="G13" s="42">
        <v>0.152</v>
      </c>
      <c r="H13" s="21" t="s">
        <v>908</v>
      </c>
      <c r="I13" s="39">
        <f ca="1">IFERROR(__xludf.DUMMYFUNCTION("IF(SUM(COUNTIF(artists!A:A, SPLIT(D13, "",""))) &gt; 0, ""UA"", 0)"),0)</f>
        <v>0</v>
      </c>
      <c r="J13" s="40" t="str">
        <f ca="1">IFERROR(__xludf.DUMMYFUNCTION("IF(SUM(COUNTIF(artists!C:C, SPLIT(D13, "",""))) &gt; 0, ""RU"", 0)"),"RU")</f>
        <v>RU</v>
      </c>
      <c r="K13" s="39">
        <f ca="1">IFERROR(__xludf.DUMMYFUNCTION("IF(SUM(COUNTIF(artists!E:E, SPLIT(D13, "",""))) &gt; 0, ""OTHER"", 0)"),0)</f>
        <v>0</v>
      </c>
    </row>
    <row r="14" spans="1:11" ht="14.25" customHeight="1">
      <c r="A14" s="21">
        <v>13</v>
      </c>
      <c r="B14" s="21">
        <v>36</v>
      </c>
      <c r="C14" s="21" t="s">
        <v>879</v>
      </c>
      <c r="D14" s="21" t="s">
        <v>880</v>
      </c>
      <c r="E14" s="21">
        <v>7</v>
      </c>
      <c r="F14" s="21">
        <v>653423</v>
      </c>
      <c r="G14" s="42">
        <v>0.70899999999999996</v>
      </c>
      <c r="H14" s="21" t="s">
        <v>881</v>
      </c>
      <c r="I14" s="39">
        <f ca="1">IFERROR(__xludf.DUMMYFUNCTION("IF(SUM(COUNTIF(artists!A:A, SPLIT(D14, "",""))) &gt; 0, ""UA"", 0)"),0)</f>
        <v>0</v>
      </c>
      <c r="J14" s="40" t="str">
        <f ca="1">IFERROR(__xludf.DUMMYFUNCTION("IF(SUM(COUNTIF(artists!C:C, SPLIT(D14, "",""))) &gt; 0, ""RU"", 0)"),"RU")</f>
        <v>RU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B15" s="21">
        <v>13</v>
      </c>
      <c r="C15" s="21" t="s">
        <v>1964</v>
      </c>
      <c r="D15" s="21" t="s">
        <v>1965</v>
      </c>
      <c r="E15" s="21">
        <v>10</v>
      </c>
      <c r="F15" s="21">
        <v>649478</v>
      </c>
      <c r="G15" s="42">
        <v>4.9000000000000002E-2</v>
      </c>
      <c r="H15" s="21" t="s">
        <v>1966</v>
      </c>
      <c r="I15" s="39">
        <f ca="1">IFERROR(__xludf.DUMMYFUNCTION("IF(SUM(COUNTIF(artists!A:A, SPLIT(D15, "",""))) &gt; 0, ""UA"", 0)"),0)</f>
        <v>0</v>
      </c>
      <c r="J15" s="40" t="str">
        <f ca="1">IFERROR(__xludf.DUMMYFUNCTION("IF(SUM(COUNTIF(artists!C:C, SPLIT(D15, "",""))) &gt; 0, ""RU"", 0)"),"RU")</f>
        <v>RU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B16" s="21">
        <v>12</v>
      </c>
      <c r="C16" s="21" t="s">
        <v>1867</v>
      </c>
      <c r="D16" s="21" t="s">
        <v>1099</v>
      </c>
      <c r="E16" s="21">
        <v>7</v>
      </c>
      <c r="F16" s="21">
        <v>618611</v>
      </c>
      <c r="G16" s="42">
        <v>-4.4999999999999998E-2</v>
      </c>
      <c r="H16" s="21" t="s">
        <v>1868</v>
      </c>
      <c r="I16" s="39">
        <f ca="1">IFERROR(__xludf.DUMMYFUNCTION("IF(SUM(COUNTIF(artists!A:A, SPLIT(D16, "",""))) &gt; 0, ""UA"", 0)"),0)</f>
        <v>0</v>
      </c>
      <c r="J16" s="40" t="str">
        <f ca="1">IFERROR(__xludf.DUMMYFUNCTION("IF(SUM(COUNTIF(artists!C:C, SPLIT(D16, "",""))) &gt; 0, ""RU"", 0)"),"RU")</f>
        <v>RU</v>
      </c>
      <c r="K16" s="39">
        <f ca="1">IFERROR(__xludf.DUMMYFUNCTION("IF(SUM(COUNTIF(artists!E:E, SPLIT(D16, "",""))) &gt; 0, ""OTHER"", 0)"),0)</f>
        <v>0</v>
      </c>
    </row>
    <row r="17" spans="1:11" ht="14.25" customHeight="1">
      <c r="A17" s="21">
        <v>16</v>
      </c>
      <c r="B17" s="21">
        <v>11</v>
      </c>
      <c r="C17" s="21" t="s">
        <v>1729</v>
      </c>
      <c r="D17" s="21" t="s">
        <v>1730</v>
      </c>
      <c r="E17" s="21">
        <v>34</v>
      </c>
      <c r="F17" s="21">
        <v>600825</v>
      </c>
      <c r="G17" s="42">
        <v>-9.6000000000000002E-2</v>
      </c>
      <c r="H17" s="21" t="s">
        <v>1731</v>
      </c>
      <c r="I17" s="39">
        <f ca="1">IFERROR(__xludf.DUMMYFUNCTION("IF(SUM(COUNTIF(artists!A:A, SPLIT(D17, "",""))) &gt; 0, ""UA"", 0)"),0)</f>
        <v>0</v>
      </c>
      <c r="J17" s="40" t="str">
        <f ca="1">IFERROR(__xludf.DUMMYFUNCTION("IF(SUM(COUNTIF(artists!C:C, SPLIT(D17, "",""))) &gt; 0, ""RU"", 0)"),"RU")</f>
        <v>RU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B18" s="21">
        <v>20</v>
      </c>
      <c r="C18" s="21" t="s">
        <v>1616</v>
      </c>
      <c r="D18" s="21" t="s">
        <v>1617</v>
      </c>
      <c r="E18" s="21">
        <v>29</v>
      </c>
      <c r="F18" s="21">
        <v>591484</v>
      </c>
      <c r="G18" s="42">
        <v>5.0999999999999997E-2</v>
      </c>
      <c r="H18" s="21" t="s">
        <v>1618</v>
      </c>
      <c r="I18" s="39">
        <f ca="1">IFERROR(__xludf.DUMMYFUNCTION("IF(SUM(COUNTIF(artists!A:A, SPLIT(D18, "",""))) &gt; 0, ""UA"", 0)"),0)</f>
        <v>0</v>
      </c>
      <c r="J18" s="40" t="str">
        <f ca="1">IFERROR(__xludf.DUMMYFUNCTION("IF(SUM(COUNTIF(artists!C:C, SPLIT(D18, "",""))) &gt; 0, ""RU"", 0)"),"RU")</f>
        <v>RU</v>
      </c>
      <c r="K18" s="39">
        <f ca="1">IFERROR(__xludf.DUMMYFUNCTION("IF(SUM(COUNTIF(artists!E:E, SPLIT(D18, "",""))) &gt; 0, ""OTHER"", 0)"),0)</f>
        <v>0</v>
      </c>
    </row>
    <row r="19" spans="1:11" ht="14.25" customHeight="1">
      <c r="A19" s="21">
        <v>18</v>
      </c>
      <c r="B19" s="21">
        <v>26</v>
      </c>
      <c r="C19" s="21" t="s">
        <v>2076</v>
      </c>
      <c r="D19" s="21" t="s">
        <v>1027</v>
      </c>
      <c r="E19" s="21">
        <v>33</v>
      </c>
      <c r="F19" s="21">
        <v>590826</v>
      </c>
      <c r="G19" s="42">
        <v>0.214</v>
      </c>
      <c r="H19" s="21" t="s">
        <v>2077</v>
      </c>
      <c r="I19" s="39" t="str">
        <f ca="1">IFERROR(__xludf.DUMMYFUNCTION("IF(SUM(COUNTIF(artists!A:A, SPLIT(D19, "",""))) &gt; 0, ""UA"", 0)"),"UA")</f>
        <v>UA</v>
      </c>
      <c r="J19" s="40">
        <f ca="1">IFERROR(__xludf.DUMMYFUNCTION("IF(SUM(COUNTIF(artists!C:C, SPLIT(D19, "",""))) &gt; 0, ""RU"", 0)"),0)</f>
        <v>0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B20" s="21">
        <v>24</v>
      </c>
      <c r="C20" s="21" t="s">
        <v>1282</v>
      </c>
      <c r="D20" s="21" t="s">
        <v>108</v>
      </c>
      <c r="E20" s="21">
        <v>11</v>
      </c>
      <c r="F20" s="21">
        <v>565474</v>
      </c>
      <c r="G20" s="42">
        <v>0.111</v>
      </c>
      <c r="H20" s="21" t="s">
        <v>1283</v>
      </c>
      <c r="I20" s="39" t="str">
        <f ca="1">IFERROR(__xludf.DUMMYFUNCTION("IF(SUM(COUNTIF(artists!A:A, SPLIT(D20, "",""))) &gt; 0, ""UA"", 0)"),"UA")</f>
        <v>UA</v>
      </c>
      <c r="J20" s="40">
        <f ca="1">IFERROR(__xludf.DUMMYFUNCTION("IF(SUM(COUNTIF(artists!C:C, SPLIT(D20, "",""))) &gt; 0, ""RU"", 0)"),0)</f>
        <v>0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B21" s="21">
        <v>16</v>
      </c>
      <c r="C21" s="21" t="s">
        <v>2074</v>
      </c>
      <c r="D21" s="21" t="s">
        <v>584</v>
      </c>
      <c r="E21" s="21">
        <v>44</v>
      </c>
      <c r="F21" s="21">
        <v>564273</v>
      </c>
      <c r="G21" s="42">
        <v>-4.3999999999999997E-2</v>
      </c>
      <c r="H21" s="21" t="s">
        <v>2075</v>
      </c>
      <c r="I21" s="39">
        <f ca="1">IFERROR(__xludf.DUMMYFUNCTION("IF(SUM(COUNTIF(artists!A:A, SPLIT(D21, "",""))) &gt; 0, ""UA"", 0)"),0)</f>
        <v>0</v>
      </c>
      <c r="J21" s="40" t="str">
        <f ca="1">IFERROR(__xludf.DUMMYFUNCTION("IF(SUM(COUNTIF(artists!C:C, SPLIT(D21, "",""))) &gt; 0, ""RU"", 0)"),"RU")</f>
        <v>RU</v>
      </c>
      <c r="K21" s="39">
        <f ca="1">IFERROR(__xludf.DUMMYFUNCTION("IF(SUM(COUNTIF(artists!E:E, SPLIT(D21, "",""))) &gt; 0, ""OTHER"", 0)"),0)</f>
        <v>0</v>
      </c>
    </row>
    <row r="22" spans="1:11" ht="14.25" customHeight="1">
      <c r="A22" s="21">
        <v>21</v>
      </c>
      <c r="B22" s="21">
        <v>18</v>
      </c>
      <c r="C22" s="21" t="s">
        <v>1651</v>
      </c>
      <c r="D22" s="21" t="s">
        <v>1652</v>
      </c>
      <c r="E22" s="21">
        <v>11</v>
      </c>
      <c r="F22" s="21">
        <v>560549</v>
      </c>
      <c r="G22" s="42">
        <v>-3.6999999999999998E-2</v>
      </c>
      <c r="H22" s="21" t="s">
        <v>1959</v>
      </c>
      <c r="I22" s="39">
        <f ca="1">IFERROR(__xludf.DUMMYFUNCTION("IF(SUM(COUNTIF(artists!A:A, SPLIT(D22, "",""))) &gt; 0, ""UA"", 0)"),0)</f>
        <v>0</v>
      </c>
      <c r="J22" s="40" t="str">
        <f ca="1">IFERROR(__xludf.DUMMYFUNCTION("IF(SUM(COUNTIF(artists!C:C, SPLIT(D22, "",""))) &gt; 0, ""RU"", 0)"),"RU")</f>
        <v>RU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B23" s="21">
        <v>22</v>
      </c>
      <c r="C23" s="21" t="s">
        <v>1995</v>
      </c>
      <c r="D23" s="21" t="s">
        <v>1996</v>
      </c>
      <c r="E23" s="21">
        <v>32</v>
      </c>
      <c r="F23" s="21">
        <v>536712</v>
      </c>
      <c r="G23" s="42">
        <v>1.2E-2</v>
      </c>
      <c r="H23" s="21" t="s">
        <v>1997</v>
      </c>
      <c r="I23" s="39">
        <f ca="1">IFERROR(__xludf.DUMMYFUNCTION("IF(SUM(COUNTIF(artists!A:A, SPLIT(D23, "",""))) &gt; 0, ""UA"", 0)"),0)</f>
        <v>0</v>
      </c>
      <c r="J23" s="40" t="str">
        <f ca="1">IFERROR(__xludf.DUMMYFUNCTION("IF(SUM(COUNTIF(artists!C:C, SPLIT(D23, "",""))) &gt; 0, ""RU"", 0)"),"RU")</f>
        <v>RU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B24" s="21">
        <v>25</v>
      </c>
      <c r="C24" s="21" t="s">
        <v>1261</v>
      </c>
      <c r="D24" s="21" t="s">
        <v>137</v>
      </c>
      <c r="E24" s="21">
        <v>8</v>
      </c>
      <c r="F24" s="21">
        <v>524360</v>
      </c>
      <c r="G24" s="42">
        <v>5.8000000000000003E-2</v>
      </c>
      <c r="H24" s="21" t="s">
        <v>1262</v>
      </c>
      <c r="I24" s="39" t="str">
        <f ca="1">IFERROR(__xludf.DUMMYFUNCTION("IF(SUM(COUNTIF(artists!A:A, SPLIT(D24, "",""))) &gt; 0, ""UA"", 0)"),"UA")</f>
        <v>UA</v>
      </c>
      <c r="J24" s="40">
        <f ca="1">IFERROR(__xludf.DUMMYFUNCTION("IF(SUM(COUNTIF(artists!C:C, SPLIT(D24, "",""))) &gt; 0, ""RU"", 0)"),0)</f>
        <v>0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B25" s="21">
        <v>7</v>
      </c>
      <c r="C25" s="21" t="s">
        <v>1939</v>
      </c>
      <c r="D25" s="21" t="s">
        <v>1940</v>
      </c>
      <c r="E25" s="21">
        <v>2</v>
      </c>
      <c r="F25" s="21">
        <v>523068</v>
      </c>
      <c r="G25" s="43">
        <v>-0.35</v>
      </c>
      <c r="H25" s="21" t="s">
        <v>1941</v>
      </c>
      <c r="I25" s="39">
        <f ca="1">IFERROR(__xludf.DUMMYFUNCTION("IF(SUM(COUNTIF(artists!A:A, SPLIT(D25, "",""))) &gt; 0, ""UA"", 0)"),0)</f>
        <v>0</v>
      </c>
      <c r="J25" s="40" t="str">
        <f ca="1">IFERROR(__xludf.DUMMYFUNCTION("IF(SUM(COUNTIF(artists!C:C, SPLIT(D25, "",""))) &gt; 0, ""RU"", 0)"),"RU")</f>
        <v>RU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B26" s="21">
        <v>56</v>
      </c>
      <c r="C26" s="21" t="s">
        <v>863</v>
      </c>
      <c r="D26" s="21" t="s">
        <v>864</v>
      </c>
      <c r="E26" s="21">
        <v>4</v>
      </c>
      <c r="F26" s="21">
        <v>517512</v>
      </c>
      <c r="G26" s="42">
        <v>0.97699999999999998</v>
      </c>
      <c r="H26" s="21" t="s">
        <v>865</v>
      </c>
      <c r="I26" s="39" t="str">
        <f ca="1">IFERROR(__xludf.DUMMYFUNCTION("IF(SUM(COUNTIF(artists!A:A, SPLIT(D26, "",""))) &gt; 0, ""UA"", 0)"),"UA")</f>
        <v>UA</v>
      </c>
      <c r="J26" s="40">
        <f ca="1">IFERROR(__xludf.DUMMYFUNCTION("IF(SUM(COUNTIF(artists!C:C, SPLIT(D26, "",""))) &gt; 0, ""RU"", 0)"),0)</f>
        <v>0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B27" s="21">
        <v>14</v>
      </c>
      <c r="C27" s="21" t="s">
        <v>2078</v>
      </c>
      <c r="D27" s="21" t="s">
        <v>584</v>
      </c>
      <c r="E27" s="21">
        <v>14</v>
      </c>
      <c r="F27" s="21">
        <v>513179</v>
      </c>
      <c r="G27" s="42">
        <v>-0.16200000000000001</v>
      </c>
      <c r="H27" s="21" t="s">
        <v>2079</v>
      </c>
      <c r="I27" s="39">
        <f ca="1">IFERROR(__xludf.DUMMYFUNCTION("IF(SUM(COUNTIF(artists!A:A, SPLIT(D27, "",""))) &gt; 0, ""UA"", 0)"),0)</f>
        <v>0</v>
      </c>
      <c r="J27" s="40" t="str">
        <f ca="1">IFERROR(__xludf.DUMMYFUNCTION("IF(SUM(COUNTIF(artists!C:C, SPLIT(D27, "",""))) &gt; 0, ""RU"", 0)"),"RU")</f>
        <v>RU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B28" s="21">
        <v>44</v>
      </c>
      <c r="C28" s="21" t="s">
        <v>2269</v>
      </c>
      <c r="D28" s="21" t="s">
        <v>2270</v>
      </c>
      <c r="E28" s="21">
        <v>4</v>
      </c>
      <c r="F28" s="21">
        <v>495840</v>
      </c>
      <c r="G28" s="43">
        <v>0.41</v>
      </c>
      <c r="H28" s="21" t="s">
        <v>2271</v>
      </c>
      <c r="I28" s="39" t="str">
        <f ca="1">IFERROR(__xludf.DUMMYFUNCTION("IF(SUM(COUNTIF(artists!A:A, SPLIT(D28, "",""))) &gt; 0, ""UA"", 0)"),"UA")</f>
        <v>UA</v>
      </c>
      <c r="J28" s="40">
        <f ca="1">IFERROR(__xludf.DUMMYFUNCTION("IF(SUM(COUNTIF(artists!C:C, SPLIT(D28, "",""))) &gt; 0, ""RU"", 0)"),0)</f>
        <v>0</v>
      </c>
      <c r="K28" s="39">
        <f ca="1">IFERROR(__xludf.DUMMYFUNCTION("IF(SUM(COUNTIF(artists!E:E, SPLIT(D28, "",""))) &gt; 0, ""OTHER"", 0)"),0)</f>
        <v>0</v>
      </c>
    </row>
    <row r="29" spans="1:11" ht="14.25" customHeight="1">
      <c r="A29" s="21">
        <v>28</v>
      </c>
      <c r="B29" s="21">
        <v>53</v>
      </c>
      <c r="C29" s="21" t="s">
        <v>2295</v>
      </c>
      <c r="D29" s="21" t="s">
        <v>584</v>
      </c>
      <c r="E29" s="21">
        <v>2</v>
      </c>
      <c r="F29" s="21">
        <v>481325</v>
      </c>
      <c r="G29" s="42">
        <v>0.80600000000000005</v>
      </c>
      <c r="H29" s="21" t="s">
        <v>2296</v>
      </c>
      <c r="I29" s="39">
        <f ca="1">IFERROR(__xludf.DUMMYFUNCTION("IF(SUM(COUNTIF(artists!A:A, SPLIT(D29, "",""))) &gt; 0, ""UA"", 0)"),0)</f>
        <v>0</v>
      </c>
      <c r="J29" s="40" t="str">
        <f ca="1">IFERROR(__xludf.DUMMYFUNCTION("IF(SUM(COUNTIF(artists!C:C, SPLIT(D29, "",""))) &gt; 0, ""RU"", 0)"),"RU")</f>
        <v>RU</v>
      </c>
      <c r="K29" s="39">
        <f ca="1">IFERROR(__xludf.DUMMYFUNCTION("IF(SUM(COUNTIF(artists!E:E, SPLIT(D29, "",""))) &gt; 0, ""OTHER"", 0)"),0)</f>
        <v>0</v>
      </c>
    </row>
    <row r="30" spans="1:11" ht="14.25" customHeight="1">
      <c r="A30" s="21">
        <v>29</v>
      </c>
      <c r="B30" s="21">
        <v>27</v>
      </c>
      <c r="C30" s="21" t="s">
        <v>1496</v>
      </c>
      <c r="D30" s="21" t="s">
        <v>969</v>
      </c>
      <c r="E30" s="21">
        <v>33</v>
      </c>
      <c r="F30" s="21">
        <v>474192</v>
      </c>
      <c r="G30" s="42">
        <v>-1.2E-2</v>
      </c>
      <c r="H30" s="21" t="s">
        <v>1497</v>
      </c>
      <c r="I30" s="39" t="str">
        <f ca="1">IFERROR(__xludf.DUMMYFUNCTION("IF(SUM(COUNTIF(artists!A:A, SPLIT(D30, "",""))) &gt; 0, ""UA"", 0)"),"UA")</f>
        <v>UA</v>
      </c>
      <c r="J30" s="40">
        <f ca="1">IFERROR(__xludf.DUMMYFUNCTION("IF(SUM(COUNTIF(artists!C:C, SPLIT(D30, "",""))) &gt; 0, ""RU"", 0)"),0)</f>
        <v>0</v>
      </c>
      <c r="K30" s="39">
        <f ca="1">IFERROR(__xludf.DUMMYFUNCTION("IF(SUM(COUNTIF(artists!E:E, SPLIT(D30, "",""))) &gt; 0, ""OTHER"", 0)"),0)</f>
        <v>0</v>
      </c>
    </row>
    <row r="31" spans="1:11" ht="14.25" customHeight="1">
      <c r="A31" s="21">
        <v>30</v>
      </c>
      <c r="B31" s="21">
        <v>28</v>
      </c>
      <c r="C31" s="21" t="s">
        <v>1942</v>
      </c>
      <c r="D31" s="21" t="s">
        <v>1637</v>
      </c>
      <c r="E31" s="21">
        <v>24</v>
      </c>
      <c r="F31" s="21">
        <v>437754</v>
      </c>
      <c r="G31" s="42">
        <v>-7.5999999999999998E-2</v>
      </c>
      <c r="H31" s="21" t="s">
        <v>1943</v>
      </c>
      <c r="I31" s="39">
        <f ca="1">IFERROR(__xludf.DUMMYFUNCTION("IF(SUM(COUNTIF(artists!A:A, SPLIT(D31, "",""))) &gt; 0, ""UA"", 0)"),0)</f>
        <v>0</v>
      </c>
      <c r="J31" s="40" t="str">
        <f ca="1">IFERROR(__xludf.DUMMYFUNCTION("IF(SUM(COUNTIF(artists!C:C, SPLIT(D31, "",""))) &gt; 0, ""RU"", 0)"),"RU")</f>
        <v>RU</v>
      </c>
      <c r="K31" s="39">
        <f ca="1">IFERROR(__xludf.DUMMYFUNCTION("IF(SUM(COUNTIF(artists!E:E, SPLIT(D31, "",""))) &gt; 0, ""OTHER"", 0)"),0)</f>
        <v>0</v>
      </c>
    </row>
    <row r="32" spans="1:11" ht="14.25" customHeight="1">
      <c r="A32" s="21">
        <v>31</v>
      </c>
      <c r="B32" s="21">
        <v>23</v>
      </c>
      <c r="C32" s="21" t="s">
        <v>1774</v>
      </c>
      <c r="D32" s="21" t="s">
        <v>1775</v>
      </c>
      <c r="E32" s="21">
        <v>10</v>
      </c>
      <c r="F32" s="21">
        <v>423197</v>
      </c>
      <c r="G32" s="42">
        <v>-0.20200000000000001</v>
      </c>
      <c r="H32" s="21" t="s">
        <v>1776</v>
      </c>
      <c r="I32" s="39">
        <f ca="1">IFERROR(__xludf.DUMMYFUNCTION("IF(SUM(COUNTIF(artists!A:A, SPLIT(D32, "",""))) &gt; 0, ""UA"", 0)"),0)</f>
        <v>0</v>
      </c>
      <c r="J32" s="40" t="str">
        <f ca="1">IFERROR(__xludf.DUMMYFUNCTION("IF(SUM(COUNTIF(artists!C:C, SPLIT(D32, "",""))) &gt; 0, ""RU"", 0)"),"RU")</f>
        <v>RU</v>
      </c>
      <c r="K32" s="39">
        <f ca="1">IFERROR(__xludf.DUMMYFUNCTION("IF(SUM(COUNTIF(artists!E:E, SPLIT(D32, "",""))) &gt; 0, ""OTHER"", 0)"),0)</f>
        <v>0</v>
      </c>
    </row>
    <row r="33" spans="1:11" ht="14.25" customHeight="1">
      <c r="A33" s="21">
        <v>32</v>
      </c>
      <c r="B33" s="21">
        <v>38</v>
      </c>
      <c r="C33" s="21" t="s">
        <v>2017</v>
      </c>
      <c r="D33" s="21" t="s">
        <v>2018</v>
      </c>
      <c r="E33" s="21">
        <v>33</v>
      </c>
      <c r="F33" s="21">
        <v>422948</v>
      </c>
      <c r="G33" s="42">
        <v>0.127</v>
      </c>
      <c r="H33" s="21" t="s">
        <v>2019</v>
      </c>
      <c r="I33" s="39">
        <f ca="1">IFERROR(__xludf.DUMMYFUNCTION("IF(SUM(COUNTIF(artists!A:A, SPLIT(D33, "",""))) &gt; 0, ""UA"", 0)"),0)</f>
        <v>0</v>
      </c>
      <c r="J33" s="40" t="str">
        <f ca="1">IFERROR(__xludf.DUMMYFUNCTION("IF(SUM(COUNTIF(artists!C:C, SPLIT(D33, "",""))) &gt; 0, ""RU"", 0)"),"RU")</f>
        <v>RU</v>
      </c>
      <c r="K33" s="39">
        <f ca="1">IFERROR(__xludf.DUMMYFUNCTION("IF(SUM(COUNTIF(artists!E:E, SPLIT(D33, "",""))) &gt; 0, ""OTHER"", 0)"),0)</f>
        <v>0</v>
      </c>
    </row>
    <row r="34" spans="1:11" ht="14.25" customHeight="1">
      <c r="A34" s="21">
        <v>33</v>
      </c>
      <c r="B34" s="21">
        <v>21</v>
      </c>
      <c r="C34" s="21" t="s">
        <v>2051</v>
      </c>
      <c r="D34" s="21" t="s">
        <v>2052</v>
      </c>
      <c r="E34" s="21">
        <v>2</v>
      </c>
      <c r="F34" s="21">
        <v>422586</v>
      </c>
      <c r="G34" s="42">
        <v>-0.20599999999999999</v>
      </c>
      <c r="H34" s="21" t="s">
        <v>2053</v>
      </c>
      <c r="I34" s="39">
        <f ca="1">IFERROR(__xludf.DUMMYFUNCTION("IF(SUM(COUNTIF(artists!A:A, SPLIT(D34, "",""))) &gt; 0, ""UA"", 0)"),0)</f>
        <v>0</v>
      </c>
      <c r="J34" s="40" t="str">
        <f ca="1">IFERROR(__xludf.DUMMYFUNCTION("IF(SUM(COUNTIF(artists!C:C, SPLIT(D34, "",""))) &gt; 0, ""RU"", 0)"),"RU")</f>
        <v>RU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B35" s="21">
        <v>31</v>
      </c>
      <c r="C35" s="21" t="s">
        <v>1944</v>
      </c>
      <c r="D35" s="21" t="s">
        <v>1945</v>
      </c>
      <c r="E35" s="21">
        <v>7</v>
      </c>
      <c r="F35" s="21">
        <v>422489</v>
      </c>
      <c r="G35" s="43">
        <v>0.01</v>
      </c>
      <c r="H35" s="21" t="s">
        <v>1946</v>
      </c>
      <c r="I35" s="39">
        <f ca="1">IFERROR(__xludf.DUMMYFUNCTION("IF(SUM(COUNTIF(artists!A:A, SPLIT(D35, "",""))) &gt; 0, ""UA"", 0)"),0)</f>
        <v>0</v>
      </c>
      <c r="J35" s="40" t="str">
        <f ca="1">IFERROR(__xludf.DUMMYFUNCTION("IF(SUM(COUNTIF(artists!C:C, SPLIT(D35, "",""))) &gt; 0, ""RU"", 0)"),"RU")</f>
        <v>RU</v>
      </c>
      <c r="K35" s="39">
        <f ca="1">IFERROR(__xludf.DUMMYFUNCTION("IF(SUM(COUNTIF(artists!E:E, SPLIT(D35, "",""))) &gt; 0, ""OTHER"", 0)"),0)</f>
        <v>0</v>
      </c>
    </row>
    <row r="36" spans="1:11" ht="14.25" customHeight="1">
      <c r="A36" s="21">
        <v>35</v>
      </c>
      <c r="B36" s="21">
        <v>32</v>
      </c>
      <c r="C36" s="21" t="s">
        <v>1654</v>
      </c>
      <c r="D36" s="21" t="s">
        <v>1655</v>
      </c>
      <c r="E36" s="21">
        <v>16</v>
      </c>
      <c r="F36" s="21">
        <v>419436</v>
      </c>
      <c r="G36" s="42">
        <v>4.7E-2</v>
      </c>
      <c r="H36" s="21" t="s">
        <v>1656</v>
      </c>
      <c r="I36" s="39">
        <f ca="1">IFERROR(__xludf.DUMMYFUNCTION("IF(SUM(COUNTIF(artists!A:A, SPLIT(D36, "",""))) &gt; 0, ""UA"", 0)"),0)</f>
        <v>0</v>
      </c>
      <c r="J36" s="40" t="str">
        <f ca="1">IFERROR(__xludf.DUMMYFUNCTION("IF(SUM(COUNTIF(artists!C:C, SPLIT(D36, "",""))) &gt; 0, ""RU"", 0)"),"RU")</f>
        <v>RU</v>
      </c>
      <c r="K36" s="39">
        <f ca="1">IFERROR(__xludf.DUMMYFUNCTION("IF(SUM(COUNTIF(artists!E:E, SPLIT(D36, "",""))) &gt; 0, ""OTHER"", 0)"),0)</f>
        <v>0</v>
      </c>
    </row>
    <row r="37" spans="1:11" ht="14.25" customHeight="1">
      <c r="A37" s="21">
        <v>36</v>
      </c>
      <c r="B37" s="21">
        <v>34</v>
      </c>
      <c r="C37" s="21" t="s">
        <v>2005</v>
      </c>
      <c r="D37" s="21" t="s">
        <v>1593</v>
      </c>
      <c r="E37" s="21">
        <v>11</v>
      </c>
      <c r="F37" s="21">
        <v>407245</v>
      </c>
      <c r="G37" s="42">
        <v>3.1E-2</v>
      </c>
      <c r="H37" s="21" t="s">
        <v>2006</v>
      </c>
      <c r="I37" s="39">
        <f ca="1">IFERROR(__xludf.DUMMYFUNCTION("IF(SUM(COUNTIF(artists!A:A, SPLIT(D37, "",""))) &gt; 0, ""UA"", 0)"),0)</f>
        <v>0</v>
      </c>
      <c r="J37" s="40" t="str">
        <f ca="1">IFERROR(__xludf.DUMMYFUNCTION("IF(SUM(COUNTIF(artists!C:C, SPLIT(D37, "",""))) &gt; 0, ""RU"", 0)"),"RU")</f>
        <v>RU</v>
      </c>
      <c r="K37" s="39">
        <f ca="1">IFERROR(__xludf.DUMMYFUNCTION("IF(SUM(COUNTIF(artists!E:E, SPLIT(D37, "",""))) &gt; 0, ""OTHER"", 0)"),0)</f>
        <v>0</v>
      </c>
    </row>
    <row r="38" spans="1:11" ht="14.25" customHeight="1">
      <c r="A38" s="21">
        <v>37</v>
      </c>
      <c r="B38" s="21">
        <v>30</v>
      </c>
      <c r="C38" s="21" t="s">
        <v>1896</v>
      </c>
      <c r="D38" s="21" t="s">
        <v>1099</v>
      </c>
      <c r="E38" s="21">
        <v>40</v>
      </c>
      <c r="F38" s="21">
        <v>407012</v>
      </c>
      <c r="G38" s="42">
        <v>-6.8000000000000005E-2</v>
      </c>
      <c r="H38" s="21" t="s">
        <v>1897</v>
      </c>
      <c r="I38" s="39">
        <f ca="1">IFERROR(__xludf.DUMMYFUNCTION("IF(SUM(COUNTIF(artists!A:A, SPLIT(D38, "",""))) &gt; 0, ""UA"", 0)"),0)</f>
        <v>0</v>
      </c>
      <c r="J38" s="40" t="str">
        <f ca="1">IFERROR(__xludf.DUMMYFUNCTION("IF(SUM(COUNTIF(artists!C:C, SPLIT(D38, "",""))) &gt; 0, ""RU"", 0)"),"RU")</f>
        <v>RU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B39" s="21">
        <v>39</v>
      </c>
      <c r="C39" s="21" t="s">
        <v>2000</v>
      </c>
      <c r="D39" s="21" t="s">
        <v>137</v>
      </c>
      <c r="E39" s="21">
        <v>38</v>
      </c>
      <c r="F39" s="21">
        <v>379045</v>
      </c>
      <c r="G39" s="42">
        <v>1.2E-2</v>
      </c>
      <c r="H39" s="21" t="s">
        <v>2001</v>
      </c>
      <c r="I39" s="39" t="str">
        <f ca="1">IFERROR(__xludf.DUMMYFUNCTION("IF(SUM(COUNTIF(artists!A:A, SPLIT(D39, "",""))) &gt; 0, ""UA"", 0)"),"UA")</f>
        <v>UA</v>
      </c>
      <c r="J39" s="40">
        <f ca="1">IFERROR(__xludf.DUMMYFUNCTION("IF(SUM(COUNTIF(artists!C:C, SPLIT(D39, "",""))) &gt; 0, ""RU"", 0)"),0)</f>
        <v>0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B40" s="21">
        <v>76</v>
      </c>
      <c r="C40" s="21" t="s">
        <v>912</v>
      </c>
      <c r="D40" s="21" t="s">
        <v>913</v>
      </c>
      <c r="E40" s="21">
        <v>7</v>
      </c>
      <c r="F40" s="21">
        <v>367895</v>
      </c>
      <c r="G40" s="42">
        <v>0.79100000000000004</v>
      </c>
      <c r="H40" s="21" t="s">
        <v>914</v>
      </c>
      <c r="I40" s="39">
        <f ca="1">IFERROR(__xludf.DUMMYFUNCTION("IF(SUM(COUNTIF(artists!A:A, SPLIT(D40, "",""))) &gt; 0, ""UA"", 0)"),0)</f>
        <v>0</v>
      </c>
      <c r="J40" s="40">
        <f ca="1">IFERROR(__xludf.DUMMYFUNCTION("IF(SUM(COUNTIF(artists!C:C, SPLIT(D40, "",""))) &gt; 0, ""RU"", 0)"),0)</f>
        <v>0</v>
      </c>
      <c r="K40" s="39" t="str">
        <f ca="1">IFERROR(__xludf.DUMMYFUNCTION("IF(SUM(COUNTIF(artists!E:E, SPLIT(D40, "",""))) &gt; 0, ""OTHER"", 0)"),"OTHER")</f>
        <v>OTHER</v>
      </c>
    </row>
    <row r="41" spans="1:11" ht="14.25" customHeight="1">
      <c r="A41" s="21">
        <v>40</v>
      </c>
      <c r="B41" s="21">
        <v>43</v>
      </c>
      <c r="C41" s="21" t="s">
        <v>1865</v>
      </c>
      <c r="D41" s="21" t="s">
        <v>1646</v>
      </c>
      <c r="E41" s="21">
        <v>4</v>
      </c>
      <c r="F41" s="21">
        <v>360650</v>
      </c>
      <c r="G41" s="42">
        <v>2.5000000000000001E-2</v>
      </c>
      <c r="H41" s="21" t="s">
        <v>1866</v>
      </c>
      <c r="I41" s="39">
        <f ca="1">IFERROR(__xludf.DUMMYFUNCTION("IF(SUM(COUNTIF(artists!A:A, SPLIT(D41, "",""))) &gt; 0, ""UA"", 0)"),0)</f>
        <v>0</v>
      </c>
      <c r="J41" s="40" t="str">
        <f ca="1">IFERROR(__xludf.DUMMYFUNCTION("IF(SUM(COUNTIF(artists!C:C, SPLIT(D41, "",""))) &gt; 0, ""RU"", 0)"),"RU")</f>
        <v>RU</v>
      </c>
      <c r="K41" s="39">
        <f ca="1">IFERROR(__xludf.DUMMYFUNCTION("IF(SUM(COUNTIF(artists!E:E, SPLIT(D41, "",""))) &gt; 0, ""OTHER"", 0)"),0)</f>
        <v>0</v>
      </c>
    </row>
    <row r="42" spans="1:11" ht="14.25" customHeight="1">
      <c r="A42" s="21">
        <v>41</v>
      </c>
      <c r="B42" s="21">
        <v>29</v>
      </c>
      <c r="C42" s="21" t="s">
        <v>2071</v>
      </c>
      <c r="D42" s="21" t="s">
        <v>2072</v>
      </c>
      <c r="E42" s="21">
        <v>8</v>
      </c>
      <c r="F42" s="21">
        <v>356698</v>
      </c>
      <c r="G42" s="42">
        <v>-0.19700000000000001</v>
      </c>
      <c r="H42" s="21" t="s">
        <v>2073</v>
      </c>
      <c r="I42" s="39">
        <f ca="1">IFERROR(__xludf.DUMMYFUNCTION("IF(SUM(COUNTIF(artists!A:A, SPLIT(D42, "",""))) &gt; 0, ""UA"", 0)"),0)</f>
        <v>0</v>
      </c>
      <c r="J42" s="40" t="str">
        <f ca="1">IFERROR(__xludf.DUMMYFUNCTION("IF(SUM(COUNTIF(artists!C:C, SPLIT(D42, "",""))) &gt; 0, ""RU"", 0)"),"RU")</f>
        <v>RU</v>
      </c>
      <c r="K42" s="39">
        <f ca="1">IFERROR(__xludf.DUMMYFUNCTION("IF(SUM(COUNTIF(artists!E:E, SPLIT(D42, "",""))) &gt; 0, ""OTHER"", 0)"),0)</f>
        <v>0</v>
      </c>
    </row>
    <row r="43" spans="1:11" ht="14.25" customHeight="1">
      <c r="A43" s="21">
        <v>42</v>
      </c>
      <c r="B43" s="21">
        <v>35</v>
      </c>
      <c r="C43" s="21" t="s">
        <v>2182</v>
      </c>
      <c r="D43" s="21" t="s">
        <v>2183</v>
      </c>
      <c r="E43" s="21">
        <v>6</v>
      </c>
      <c r="F43" s="21">
        <v>348140</v>
      </c>
      <c r="G43" s="42">
        <v>-9.9000000000000005E-2</v>
      </c>
      <c r="H43" s="21" t="s">
        <v>2184</v>
      </c>
      <c r="I43" s="39">
        <f ca="1">IFERROR(__xludf.DUMMYFUNCTION("IF(SUM(COUNTIF(artists!A:A, SPLIT(D43, "",""))) &gt; 0, ""UA"", 0)"),0)</f>
        <v>0</v>
      </c>
      <c r="J43" s="40" t="str">
        <f ca="1">IFERROR(__xludf.DUMMYFUNCTION("IF(SUM(COUNTIF(artists!C:C, SPLIT(D43, "",""))) &gt; 0, ""RU"", 0)"),"RU")</f>
        <v>RU</v>
      </c>
      <c r="K43" s="39">
        <f ca="1">IFERROR(__xludf.DUMMYFUNCTION("IF(SUM(COUNTIF(artists!E:E, SPLIT(D43, "",""))) &gt; 0, ""OTHER"", 0)"),0)</f>
        <v>0</v>
      </c>
    </row>
    <row r="44" spans="1:11" ht="14.25" customHeight="1">
      <c r="A44" s="21">
        <v>43</v>
      </c>
      <c r="B44" s="21">
        <v>74</v>
      </c>
      <c r="C44" s="21" t="s">
        <v>2009</v>
      </c>
      <c r="D44" s="21" t="s">
        <v>2010</v>
      </c>
      <c r="E44" s="21">
        <v>2</v>
      </c>
      <c r="F44" s="21">
        <v>347980</v>
      </c>
      <c r="G44" s="42">
        <v>0.68899999999999995</v>
      </c>
      <c r="H44" s="21" t="s">
        <v>2011</v>
      </c>
      <c r="I44" s="39">
        <f ca="1">IFERROR(__xludf.DUMMYFUNCTION("IF(SUM(COUNTIF(artists!A:A, SPLIT(D44, "",""))) &gt; 0, ""UA"", 0)"),0)</f>
        <v>0</v>
      </c>
      <c r="J44" s="40" t="str">
        <f ca="1">IFERROR(__xludf.DUMMYFUNCTION("IF(SUM(COUNTIF(artists!C:C, SPLIT(D44, "",""))) &gt; 0, ""RU"", 0)"),"RU")</f>
        <v>RU</v>
      </c>
      <c r="K44" s="39">
        <f ca="1">IFERROR(__xludf.DUMMYFUNCTION("IF(SUM(COUNTIF(artists!E:E, SPLIT(D44, "",""))) &gt; 0, ""OTHER"", 0)"),0)</f>
        <v>0</v>
      </c>
    </row>
    <row r="45" spans="1:11" ht="14.25" customHeight="1">
      <c r="A45" s="21">
        <v>44</v>
      </c>
      <c r="B45" s="21">
        <v>47</v>
      </c>
      <c r="C45" s="21" t="s">
        <v>1678</v>
      </c>
      <c r="D45" s="21" t="s">
        <v>1679</v>
      </c>
      <c r="E45" s="21">
        <v>29</v>
      </c>
      <c r="F45" s="21">
        <v>347585</v>
      </c>
      <c r="G45" s="42">
        <v>7.0999999999999994E-2</v>
      </c>
      <c r="H45" s="21" t="s">
        <v>1680</v>
      </c>
      <c r="I45" s="39">
        <f ca="1">IFERROR(__xludf.DUMMYFUNCTION("IF(SUM(COUNTIF(artists!A:A, SPLIT(D45, "",""))) &gt; 0, ""UA"", 0)"),0)</f>
        <v>0</v>
      </c>
      <c r="J45" s="40" t="str">
        <f ca="1">IFERROR(__xludf.DUMMYFUNCTION("IF(SUM(COUNTIF(artists!C:C, SPLIT(D45, "",""))) &gt; 0, ""RU"", 0)"),"RU")</f>
        <v>RU</v>
      </c>
      <c r="K45" s="39">
        <f ca="1">IFERROR(__xludf.DUMMYFUNCTION("IF(SUM(COUNTIF(artists!E:E, SPLIT(D45, "",""))) &gt; 0, ""OTHER"", 0)"),0)</f>
        <v>0</v>
      </c>
    </row>
    <row r="46" spans="1:11" ht="14.25" customHeight="1">
      <c r="A46" s="21">
        <v>45</v>
      </c>
      <c r="B46" s="21">
        <v>42</v>
      </c>
      <c r="C46" s="21" t="s">
        <v>2007</v>
      </c>
      <c r="D46" s="21" t="s">
        <v>1652</v>
      </c>
      <c r="E46" s="21">
        <v>11</v>
      </c>
      <c r="F46" s="21">
        <v>343795</v>
      </c>
      <c r="G46" s="42">
        <v>-2.7E-2</v>
      </c>
      <c r="H46" s="21" t="s">
        <v>2008</v>
      </c>
      <c r="I46" s="39">
        <f ca="1">IFERROR(__xludf.DUMMYFUNCTION("IF(SUM(COUNTIF(artists!A:A, SPLIT(D46, "",""))) &gt; 0, ""UA"", 0)"),0)</f>
        <v>0</v>
      </c>
      <c r="J46" s="40" t="str">
        <f ca="1">IFERROR(__xludf.DUMMYFUNCTION("IF(SUM(COUNTIF(artists!C:C, SPLIT(D46, "",""))) &gt; 0, ""RU"", 0)"),"RU")</f>
        <v>RU</v>
      </c>
      <c r="K46" s="39">
        <f ca="1">IFERROR(__xludf.DUMMYFUNCTION("IF(SUM(COUNTIF(artists!E:E, SPLIT(D46, "",""))) &gt; 0, ""OTHER"", 0)"),0)</f>
        <v>0</v>
      </c>
    </row>
    <row r="47" spans="1:11" ht="14.25" customHeight="1">
      <c r="A47" s="21">
        <v>46</v>
      </c>
      <c r="B47" s="21">
        <v>45</v>
      </c>
      <c r="C47" s="21" t="s">
        <v>2012</v>
      </c>
      <c r="D47" s="21" t="s">
        <v>125</v>
      </c>
      <c r="E47" s="21">
        <v>17</v>
      </c>
      <c r="F47" s="21">
        <v>343232</v>
      </c>
      <c r="G47" s="42">
        <v>-8.0000000000000002E-3</v>
      </c>
      <c r="H47" s="21" t="s">
        <v>2013</v>
      </c>
      <c r="I47" s="39">
        <f ca="1">IFERROR(__xludf.DUMMYFUNCTION("IF(SUM(COUNTIF(artists!A:A, SPLIT(D47, "",""))) &gt; 0, ""UA"", 0)"),0)</f>
        <v>0</v>
      </c>
      <c r="J47" s="40" t="str">
        <f ca="1">IFERROR(__xludf.DUMMYFUNCTION("IF(SUM(COUNTIF(artists!C:C, SPLIT(D47, "",""))) &gt; 0, ""RU"", 0)"),"RU")</f>
        <v>RU</v>
      </c>
      <c r="K47" s="39">
        <f ca="1">IFERROR(__xludf.DUMMYFUNCTION("IF(SUM(COUNTIF(artists!E:E, SPLIT(D47, "",""))) &gt; 0, ""OTHER"", 0)"),0)</f>
        <v>0</v>
      </c>
    </row>
    <row r="48" spans="1:11" ht="14.25" customHeight="1">
      <c r="A48" s="21">
        <v>47</v>
      </c>
      <c r="B48" s="21">
        <v>33</v>
      </c>
      <c r="C48" s="21" t="s">
        <v>876</v>
      </c>
      <c r="D48" s="21" t="s">
        <v>877</v>
      </c>
      <c r="E48" s="21">
        <v>18</v>
      </c>
      <c r="F48" s="21">
        <v>338984</v>
      </c>
      <c r="G48" s="42">
        <v>-0.14299999999999999</v>
      </c>
      <c r="H48" s="21" t="s">
        <v>878</v>
      </c>
      <c r="I48" s="39">
        <f ca="1">IFERROR(__xludf.DUMMYFUNCTION("IF(SUM(COUNTIF(artists!A:A, SPLIT(D48, "",""))) &gt; 0, ""UA"", 0)"),0)</f>
        <v>0</v>
      </c>
      <c r="J48" s="40">
        <f ca="1">IFERROR(__xludf.DUMMYFUNCTION("IF(SUM(COUNTIF(artists!C:C, SPLIT(D48, "",""))) &gt; 0, ""RU"", 0)"),0)</f>
        <v>0</v>
      </c>
      <c r="K48" s="39" t="str">
        <f ca="1">IFERROR(__xludf.DUMMYFUNCTION("IF(SUM(COUNTIF(artists!E:E, SPLIT(D48, "",""))) &gt; 0, ""OTHER"", 0)"),"OTHER")</f>
        <v>OTHER</v>
      </c>
    </row>
    <row r="49" spans="1:11" ht="14.25" customHeight="1">
      <c r="A49" s="21">
        <v>48</v>
      </c>
      <c r="B49" s="21">
        <v>48</v>
      </c>
      <c r="C49" s="21" t="s">
        <v>1327</v>
      </c>
      <c r="D49" s="21" t="s">
        <v>89</v>
      </c>
      <c r="E49" s="21">
        <v>17</v>
      </c>
      <c r="F49" s="21">
        <v>337696</v>
      </c>
      <c r="G49" s="42">
        <v>4.9000000000000002E-2</v>
      </c>
      <c r="H49" s="21" t="s">
        <v>1328</v>
      </c>
      <c r="I49" s="39" t="str">
        <f ca="1">IFERROR(__xludf.DUMMYFUNCTION("IF(SUM(COUNTIF(artists!A:A, SPLIT(D49, "",""))) &gt; 0, ""UA"", 0)"),"UA")</f>
        <v>UA</v>
      </c>
      <c r="J49" s="40">
        <f ca="1">IFERROR(__xludf.DUMMYFUNCTION("IF(SUM(COUNTIF(artists!C:C, SPLIT(D49, "",""))) &gt; 0, ""RU"", 0)"),0)</f>
        <v>0</v>
      </c>
      <c r="K49" s="39">
        <f ca="1">IFERROR(__xludf.DUMMYFUNCTION("IF(SUM(COUNTIF(artists!E:E, SPLIT(D49, "",""))) &gt; 0, ""OTHER"", 0)"),0)</f>
        <v>0</v>
      </c>
    </row>
    <row r="50" spans="1:11" ht="14.25" customHeight="1">
      <c r="A50" s="21">
        <v>49</v>
      </c>
      <c r="C50" s="21" t="s">
        <v>2002</v>
      </c>
      <c r="D50" s="21" t="s">
        <v>2003</v>
      </c>
      <c r="E50" s="21">
        <v>26</v>
      </c>
      <c r="F50" s="21">
        <v>328286</v>
      </c>
      <c r="H50" s="21" t="s">
        <v>2004</v>
      </c>
      <c r="I50" s="39">
        <f ca="1">IFERROR(__xludf.DUMMYFUNCTION("IF(SUM(COUNTIF(artists!A:A, SPLIT(D50, "",""))) &gt; 0, ""UA"", 0)"),0)</f>
        <v>0</v>
      </c>
      <c r="J50" s="40" t="str">
        <f ca="1">IFERROR(__xludf.DUMMYFUNCTION("IF(SUM(COUNTIF(artists!C:C, SPLIT(D50, "",""))) &gt; 0, ""RU"", 0)"),"RU")</f>
        <v>RU</v>
      </c>
      <c r="K50" s="39">
        <f ca="1">IFERROR(__xludf.DUMMYFUNCTION("IF(SUM(COUNTIF(artists!E:E, SPLIT(D50, "",""))) &gt; 0, ""OTHER"", 0)"),0)</f>
        <v>0</v>
      </c>
    </row>
    <row r="51" spans="1:11" ht="14.25" customHeight="1">
      <c r="A51" s="21">
        <v>50</v>
      </c>
      <c r="B51" s="21">
        <v>46</v>
      </c>
      <c r="C51" s="21" t="s">
        <v>2129</v>
      </c>
      <c r="D51" s="21" t="s">
        <v>1652</v>
      </c>
      <c r="E51" s="21">
        <v>11</v>
      </c>
      <c r="F51" s="21">
        <v>320444</v>
      </c>
      <c r="G51" s="42">
        <v>-5.6000000000000001E-2</v>
      </c>
      <c r="H51" s="21" t="s">
        <v>2130</v>
      </c>
      <c r="I51" s="39">
        <f ca="1">IFERROR(__xludf.DUMMYFUNCTION("IF(SUM(COUNTIF(artists!A:A, SPLIT(D51, "",""))) &gt; 0, ""UA"", 0)"),0)</f>
        <v>0</v>
      </c>
      <c r="J51" s="40" t="str">
        <f ca="1">IFERROR(__xludf.DUMMYFUNCTION("IF(SUM(COUNTIF(artists!C:C, SPLIT(D51, "",""))) &gt; 0, ""RU"", 0)"),"RU")</f>
        <v>RU</v>
      </c>
      <c r="K51" s="39">
        <f ca="1">IFERROR(__xludf.DUMMYFUNCTION("IF(SUM(COUNTIF(artists!E:E, SPLIT(D51, "",""))) &gt; 0, ""OTHER"", 0)"),0)</f>
        <v>0</v>
      </c>
    </row>
    <row r="52" spans="1:11" ht="14.25" customHeight="1">
      <c r="A52" s="21">
        <v>51</v>
      </c>
      <c r="B52" s="21">
        <v>68</v>
      </c>
      <c r="C52" s="21" t="s">
        <v>530</v>
      </c>
      <c r="D52" s="21" t="s">
        <v>531</v>
      </c>
      <c r="E52" s="21">
        <v>15</v>
      </c>
      <c r="F52" s="21">
        <v>294773</v>
      </c>
      <c r="G52" s="42">
        <v>0.36199999999999999</v>
      </c>
      <c r="H52" s="21" t="s">
        <v>532</v>
      </c>
      <c r="I52" s="39">
        <f ca="1">IFERROR(__xludf.DUMMYFUNCTION("IF(SUM(COUNTIF(artists!A:A, SPLIT(D52, "",""))) &gt; 0, ""UA"", 0)"),0)</f>
        <v>0</v>
      </c>
      <c r="J52" s="40" t="str">
        <f ca="1">IFERROR(__xludf.DUMMYFUNCTION("IF(SUM(COUNTIF(artists!C:C, SPLIT(D52, "",""))) &gt; 0, ""RU"", 0)"),"RU")</f>
        <v>RU</v>
      </c>
      <c r="K52" s="39">
        <f ca="1">IFERROR(__xludf.DUMMYFUNCTION("IF(SUM(COUNTIF(artists!E:E, SPLIT(D52, "",""))) &gt; 0, ""OTHER"", 0)"),0)</f>
        <v>0</v>
      </c>
    </row>
    <row r="53" spans="1:11" ht="14.25" customHeight="1">
      <c r="A53" s="21">
        <v>52</v>
      </c>
      <c r="C53" s="21" t="s">
        <v>1337</v>
      </c>
      <c r="D53" s="21" t="s">
        <v>1338</v>
      </c>
      <c r="E53" s="21">
        <v>1</v>
      </c>
      <c r="F53" s="21">
        <v>286512</v>
      </c>
      <c r="H53" s="21" t="s">
        <v>1339</v>
      </c>
      <c r="I53" s="39">
        <f ca="1">IFERROR(__xludf.DUMMYFUNCTION("IF(SUM(COUNTIF(artists!A:A, SPLIT(D53, "",""))) &gt; 0, ""UA"", 0)"),0)</f>
        <v>0</v>
      </c>
      <c r="J53" s="40">
        <f ca="1">IFERROR(__xludf.DUMMYFUNCTION("IF(SUM(COUNTIF(artists!C:C, SPLIT(D53, "",""))) &gt; 0, ""RU"", 0)"),0)</f>
        <v>0</v>
      </c>
      <c r="K53" s="39" t="str">
        <f ca="1">IFERROR(__xludf.DUMMYFUNCTION("IF(SUM(COUNTIF(artists!E:E, SPLIT(D53, "",""))) &gt; 0, ""OTHER"", 0)"),"OTHER")</f>
        <v>OTHER</v>
      </c>
    </row>
    <row r="54" spans="1:11" ht="14.25" customHeight="1">
      <c r="A54" s="21">
        <v>53</v>
      </c>
      <c r="B54" s="21">
        <v>97</v>
      </c>
      <c r="C54" s="21" t="s">
        <v>2209</v>
      </c>
      <c r="D54" s="21" t="s">
        <v>2132</v>
      </c>
      <c r="E54" s="21">
        <v>2</v>
      </c>
      <c r="F54" s="21">
        <v>282727</v>
      </c>
      <c r="G54" s="42">
        <v>0.57699999999999996</v>
      </c>
      <c r="H54" s="21" t="s">
        <v>2210</v>
      </c>
      <c r="I54" s="39">
        <f ca="1">IFERROR(__xludf.DUMMYFUNCTION("IF(SUM(COUNTIF(artists!A:A, SPLIT(D54, "",""))) &gt; 0, ""UA"", 0)"),0)</f>
        <v>0</v>
      </c>
      <c r="J54" s="40" t="str">
        <f ca="1">IFERROR(__xludf.DUMMYFUNCTION("IF(SUM(COUNTIF(artists!C:C, SPLIT(D54, "",""))) &gt; 0, ""RU"", 0)"),"RU")</f>
        <v>RU</v>
      </c>
      <c r="K54" s="39">
        <f ca="1">IFERROR(__xludf.DUMMYFUNCTION("IF(SUM(COUNTIF(artists!E:E, SPLIT(D54, "",""))) &gt; 0, ""OTHER"", 0)"),0)</f>
        <v>0</v>
      </c>
    </row>
    <row r="55" spans="1:11" ht="14.25" customHeight="1">
      <c r="A55" s="21">
        <v>54</v>
      </c>
      <c r="B55" s="21">
        <v>41</v>
      </c>
      <c r="C55" s="21" t="s">
        <v>2307</v>
      </c>
      <c r="D55" s="21" t="s">
        <v>2308</v>
      </c>
      <c r="E55" s="21">
        <v>20</v>
      </c>
      <c r="F55" s="21">
        <v>277992</v>
      </c>
      <c r="G55" s="42">
        <v>-0.221</v>
      </c>
      <c r="H55" s="21" t="s">
        <v>2309</v>
      </c>
      <c r="I55" s="39">
        <f ca="1">IFERROR(__xludf.DUMMYFUNCTION("IF(SUM(COUNTIF(artists!A:A, SPLIT(D55, "",""))) &gt; 0, ""UA"", 0)"),0)</f>
        <v>0</v>
      </c>
      <c r="J55" s="40" t="str">
        <f ca="1">IFERROR(__xludf.DUMMYFUNCTION("IF(SUM(COUNTIF(artists!C:C, SPLIT(D55, "",""))) &gt; 0, ""RU"", 0)"),"RU")</f>
        <v>RU</v>
      </c>
      <c r="K55" s="39">
        <f ca="1">IFERROR(__xludf.DUMMYFUNCTION("IF(SUM(COUNTIF(artists!E:E, SPLIT(D55, "",""))) &gt; 0, ""OTHER"", 0)"),0)</f>
        <v>0</v>
      </c>
    </row>
    <row r="56" spans="1:11" ht="14.25" customHeight="1">
      <c r="A56" s="21">
        <v>55</v>
      </c>
      <c r="C56" s="21" t="s">
        <v>2310</v>
      </c>
      <c r="D56" s="21" t="s">
        <v>2311</v>
      </c>
      <c r="E56" s="21">
        <v>54</v>
      </c>
      <c r="F56" s="21">
        <v>277856</v>
      </c>
      <c r="H56" s="21" t="s">
        <v>2312</v>
      </c>
      <c r="I56" s="39">
        <f ca="1">IFERROR(__xludf.DUMMYFUNCTION("IF(SUM(COUNTIF(artists!A:A, SPLIT(D56, "",""))) &gt; 0, ""UA"", 0)"),0)</f>
        <v>0</v>
      </c>
      <c r="J56" s="40" t="str">
        <f ca="1">IFERROR(__xludf.DUMMYFUNCTION("IF(SUM(COUNTIF(artists!C:C, SPLIT(D56, "",""))) &gt; 0, ""RU"", 0)"),"RU")</f>
        <v>RU</v>
      </c>
      <c r="K56" s="39">
        <f ca="1">IFERROR(__xludf.DUMMYFUNCTION("IF(SUM(COUNTIF(artists!E:E, SPLIT(D56, "",""))) &gt; 0, ""OTHER"", 0)"),0)</f>
        <v>0</v>
      </c>
    </row>
    <row r="57" spans="1:11" ht="14.25" customHeight="1">
      <c r="A57" s="21">
        <v>56</v>
      </c>
      <c r="C57" s="21" t="s">
        <v>1556</v>
      </c>
      <c r="D57" s="21" t="s">
        <v>1411</v>
      </c>
      <c r="E57" s="21">
        <v>30</v>
      </c>
      <c r="F57" s="21">
        <v>274058</v>
      </c>
      <c r="H57" s="21" t="s">
        <v>1557</v>
      </c>
      <c r="I57" s="39">
        <f ca="1">IFERROR(__xludf.DUMMYFUNCTION("IF(SUM(COUNTIF(artists!A:A, SPLIT(D57, "",""))) &gt; 0, ""UA"", 0)"),0)</f>
        <v>0</v>
      </c>
      <c r="J57" s="40" t="str">
        <f ca="1">IFERROR(__xludf.DUMMYFUNCTION("IF(SUM(COUNTIF(artists!C:C, SPLIT(D57, "",""))) &gt; 0, ""RU"", 0)"),"RU")</f>
        <v>RU</v>
      </c>
      <c r="K57" s="39">
        <f ca="1">IFERROR(__xludf.DUMMYFUNCTION("IF(SUM(COUNTIF(artists!E:E, SPLIT(D57, "",""))) &gt; 0, ""OTHER"", 0)"),0)</f>
        <v>0</v>
      </c>
    </row>
    <row r="58" spans="1:11" ht="14.25" customHeight="1">
      <c r="A58" s="21">
        <v>57</v>
      </c>
      <c r="B58" s="21">
        <v>64</v>
      </c>
      <c r="C58" s="21" t="s">
        <v>2063</v>
      </c>
      <c r="D58" s="21" t="s">
        <v>2064</v>
      </c>
      <c r="E58" s="21">
        <v>7</v>
      </c>
      <c r="F58" s="21">
        <v>272000</v>
      </c>
      <c r="G58" s="42">
        <v>0.191</v>
      </c>
      <c r="H58" s="21" t="s">
        <v>2065</v>
      </c>
      <c r="I58" s="39">
        <f ca="1">IFERROR(__xludf.DUMMYFUNCTION("IF(SUM(COUNTIF(artists!A:A, SPLIT(D58, "",""))) &gt; 0, ""UA"", 0)"),0)</f>
        <v>0</v>
      </c>
      <c r="J58" s="40" t="str">
        <f ca="1">IFERROR(__xludf.DUMMYFUNCTION("IF(SUM(COUNTIF(artists!C:C, SPLIT(D58, "",""))) &gt; 0, ""RU"", 0)"),"RU")</f>
        <v>RU</v>
      </c>
      <c r="K58" s="39">
        <f ca="1">IFERROR(__xludf.DUMMYFUNCTION("IF(SUM(COUNTIF(artists!E:E, SPLIT(D58, "",""))) &gt; 0, ""OTHER"", 0)"),0)</f>
        <v>0</v>
      </c>
    </row>
    <row r="59" spans="1:11" ht="14.25" customHeight="1">
      <c r="A59" s="21">
        <v>58</v>
      </c>
      <c r="B59" s="21">
        <v>40</v>
      </c>
      <c r="C59" s="21" t="s">
        <v>2161</v>
      </c>
      <c r="D59" s="21" t="s">
        <v>698</v>
      </c>
      <c r="E59" s="21">
        <v>3</v>
      </c>
      <c r="F59" s="21">
        <v>267712</v>
      </c>
      <c r="G59" s="42">
        <v>-0.28100000000000003</v>
      </c>
      <c r="H59" s="21" t="s">
        <v>2162</v>
      </c>
      <c r="I59" s="39">
        <f ca="1">IFERROR(__xludf.DUMMYFUNCTION("IF(SUM(COUNTIF(artists!A:A, SPLIT(D59, "",""))) &gt; 0, ""UA"", 0)"),0)</f>
        <v>0</v>
      </c>
      <c r="J59" s="40" t="str">
        <f ca="1">IFERROR(__xludf.DUMMYFUNCTION("IF(SUM(COUNTIF(artists!C:C, SPLIT(D59, "",""))) &gt; 0, ""RU"", 0)"),"RU")</f>
        <v>RU</v>
      </c>
      <c r="K59" s="39">
        <f ca="1">IFERROR(__xludf.DUMMYFUNCTION("IF(SUM(COUNTIF(artists!E:E, SPLIT(D59, "",""))) &gt; 0, ""OTHER"", 0)"),0)</f>
        <v>0</v>
      </c>
    </row>
    <row r="60" spans="1:11" ht="14.25" customHeight="1">
      <c r="A60" s="21">
        <v>59</v>
      </c>
      <c r="C60" s="21" t="s">
        <v>839</v>
      </c>
      <c r="D60" s="21" t="s">
        <v>837</v>
      </c>
      <c r="E60" s="21">
        <v>14</v>
      </c>
      <c r="F60" s="21">
        <v>260901</v>
      </c>
      <c r="H60" s="21" t="s">
        <v>840</v>
      </c>
      <c r="I60" s="39" t="str">
        <f ca="1">IFERROR(__xludf.DUMMYFUNCTION("IF(SUM(COUNTIF(artists!A:A, SPLIT(D60, "",""))) &gt; 0, ""UA"", 0)"),"UA")</f>
        <v>UA</v>
      </c>
      <c r="J60" s="40">
        <f ca="1">IFERROR(__xludf.DUMMYFUNCTION("IF(SUM(COUNTIF(artists!C:C, SPLIT(D60, "",""))) &gt; 0, ""RU"", 0)"),0)</f>
        <v>0</v>
      </c>
      <c r="K60" s="39">
        <f ca="1">IFERROR(__xludf.DUMMYFUNCTION("IF(SUM(COUNTIF(artists!E:E, SPLIT(D60, "",""))) &gt; 0, ""OTHER"", 0)"),0)</f>
        <v>0</v>
      </c>
    </row>
    <row r="61" spans="1:11" ht="14.25" customHeight="1">
      <c r="A61" s="21">
        <v>60</v>
      </c>
      <c r="B61" s="21">
        <v>52</v>
      </c>
      <c r="C61" s="21" t="s">
        <v>1483</v>
      </c>
      <c r="D61" s="21" t="s">
        <v>972</v>
      </c>
      <c r="E61" s="21">
        <v>8</v>
      </c>
      <c r="F61" s="21">
        <v>257885</v>
      </c>
      <c r="G61" s="42">
        <v>-8.6999999999999994E-2</v>
      </c>
      <c r="H61" s="21" t="s">
        <v>1484</v>
      </c>
      <c r="I61" s="39">
        <f ca="1">IFERROR(__xludf.DUMMYFUNCTION("IF(SUM(COUNTIF(artists!A:A, SPLIT(D61, "",""))) &gt; 0, ""UA"", 0)"),0)</f>
        <v>0</v>
      </c>
      <c r="J61" s="40">
        <f ca="1">IFERROR(__xludf.DUMMYFUNCTION("IF(SUM(COUNTIF(artists!C:C, SPLIT(D61, "",""))) &gt; 0, ""RU"", 0)"),0)</f>
        <v>0</v>
      </c>
      <c r="K61" s="39" t="str">
        <f ca="1">IFERROR(__xludf.DUMMYFUNCTION("IF(SUM(COUNTIF(artists!E:E, SPLIT(D61, "",""))) &gt; 0, ""OTHER"", 0)"),"OTHER")</f>
        <v>OTHER</v>
      </c>
    </row>
    <row r="62" spans="1:11" ht="14.25" customHeight="1">
      <c r="A62" s="21">
        <v>61</v>
      </c>
      <c r="B62" s="21">
        <v>49</v>
      </c>
      <c r="C62" s="21" t="s">
        <v>2244</v>
      </c>
      <c r="D62" s="21" t="s">
        <v>1050</v>
      </c>
      <c r="E62" s="21">
        <v>2</v>
      </c>
      <c r="F62" s="21">
        <v>251466</v>
      </c>
      <c r="G62" s="42">
        <v>-0.17199999999999999</v>
      </c>
      <c r="H62" s="21" t="s">
        <v>2245</v>
      </c>
      <c r="I62" s="39">
        <f ca="1">IFERROR(__xludf.DUMMYFUNCTION("IF(SUM(COUNTIF(artists!A:A, SPLIT(D62, "",""))) &gt; 0, ""UA"", 0)"),0)</f>
        <v>0</v>
      </c>
      <c r="J62" s="40" t="str">
        <f ca="1">IFERROR(__xludf.DUMMYFUNCTION("IF(SUM(COUNTIF(artists!C:C, SPLIT(D62, "",""))) &gt; 0, ""RU"", 0)"),"RU")</f>
        <v>RU</v>
      </c>
      <c r="K62" s="39">
        <f ca="1">IFERROR(__xludf.DUMMYFUNCTION("IF(SUM(COUNTIF(artists!E:E, SPLIT(D62, "",""))) &gt; 0, ""OTHER"", 0)"),0)</f>
        <v>0</v>
      </c>
    </row>
    <row r="63" spans="1:11" ht="14.25" customHeight="1">
      <c r="A63" s="21">
        <v>62</v>
      </c>
      <c r="B63" s="21">
        <v>59</v>
      </c>
      <c r="C63" s="21" t="s">
        <v>2272</v>
      </c>
      <c r="D63" s="21" t="s">
        <v>2273</v>
      </c>
      <c r="E63" s="21">
        <v>16</v>
      </c>
      <c r="F63" s="21">
        <v>250208</v>
      </c>
      <c r="G63" s="42">
        <v>2.9000000000000001E-2</v>
      </c>
      <c r="H63" s="21" t="s">
        <v>2274</v>
      </c>
      <c r="I63" s="39">
        <f ca="1">IFERROR(__xludf.DUMMYFUNCTION("IF(SUM(COUNTIF(artists!A:A, SPLIT(D63, "",""))) &gt; 0, ""UA"", 0)"),0)</f>
        <v>0</v>
      </c>
      <c r="J63" s="40">
        <f ca="1">IFERROR(__xludf.DUMMYFUNCTION("IF(SUM(COUNTIF(artists!C:C, SPLIT(D63, "",""))) &gt; 0, ""RU"", 0)"),0)</f>
        <v>0</v>
      </c>
      <c r="K63" s="39" t="str">
        <f ca="1">IFERROR(__xludf.DUMMYFUNCTION("IF(SUM(COUNTIF(artists!E:E, SPLIT(D63, "",""))) &gt; 0, ""OTHER"", 0)"),"OTHER")</f>
        <v>OTHER</v>
      </c>
    </row>
    <row r="64" spans="1:11" ht="14.25" customHeight="1">
      <c r="A64" s="21">
        <v>63</v>
      </c>
      <c r="C64" s="21" t="s">
        <v>1247</v>
      </c>
      <c r="D64" s="21" t="s">
        <v>853</v>
      </c>
      <c r="E64" s="21">
        <v>23</v>
      </c>
      <c r="F64" s="21">
        <v>248211</v>
      </c>
      <c r="H64" s="21" t="s">
        <v>1248</v>
      </c>
      <c r="I64" s="39" t="str">
        <f ca="1">IFERROR(__xludf.DUMMYFUNCTION("IF(SUM(COUNTIF(artists!A:A, SPLIT(D64, "",""))) &gt; 0, ""UA"", 0)"),"UA")</f>
        <v>UA</v>
      </c>
      <c r="J64" s="40">
        <f ca="1">IFERROR(__xludf.DUMMYFUNCTION("IF(SUM(COUNTIF(artists!C:C, SPLIT(D64, "",""))) &gt; 0, ""RU"", 0)"),0)</f>
        <v>0</v>
      </c>
      <c r="K64" s="39">
        <f ca="1">IFERROR(__xludf.DUMMYFUNCTION("IF(SUM(COUNTIF(artists!E:E, SPLIT(D64, "",""))) &gt; 0, ""OTHER"", 0)"),0)</f>
        <v>0</v>
      </c>
    </row>
    <row r="65" spans="1:11" ht="14.25" customHeight="1">
      <c r="A65" s="21">
        <v>64</v>
      </c>
      <c r="B65" s="21">
        <v>51</v>
      </c>
      <c r="C65" s="21" t="s">
        <v>2094</v>
      </c>
      <c r="D65" s="21" t="s">
        <v>104</v>
      </c>
      <c r="E65" s="21">
        <v>6</v>
      </c>
      <c r="F65" s="21">
        <v>246664</v>
      </c>
      <c r="G65" s="42">
        <v>-0.153</v>
      </c>
      <c r="H65" s="21" t="s">
        <v>2095</v>
      </c>
      <c r="I65" s="39" t="str">
        <f ca="1">IFERROR(__xludf.DUMMYFUNCTION("IF(SUM(COUNTIF(artists!A:A, SPLIT(D65, "",""))) &gt; 0, ""UA"", 0)"),"UA")</f>
        <v>UA</v>
      </c>
      <c r="J65" s="40">
        <f ca="1">IFERROR(__xludf.DUMMYFUNCTION("IF(SUM(COUNTIF(artists!C:C, SPLIT(D65, "",""))) &gt; 0, ""RU"", 0)"),0)</f>
        <v>0</v>
      </c>
      <c r="K65" s="39">
        <f ca="1">IFERROR(__xludf.DUMMYFUNCTION("IF(SUM(COUNTIF(artists!E:E, SPLIT(D65, "",""))) &gt; 0, ""OTHER"", 0)"),0)</f>
        <v>0</v>
      </c>
    </row>
    <row r="66" spans="1:11" ht="14.25" customHeight="1">
      <c r="A66" s="21">
        <v>65</v>
      </c>
      <c r="C66" s="21" t="s">
        <v>2313</v>
      </c>
      <c r="D66" s="21" t="s">
        <v>2039</v>
      </c>
      <c r="E66" s="21">
        <v>25</v>
      </c>
      <c r="F66" s="21">
        <v>245932</v>
      </c>
      <c r="H66" s="21" t="s">
        <v>2314</v>
      </c>
      <c r="I66" s="39">
        <f ca="1">IFERROR(__xludf.DUMMYFUNCTION("IF(SUM(COUNTIF(artists!A:A, SPLIT(D66, "",""))) &gt; 0, ""UA"", 0)"),0)</f>
        <v>0</v>
      </c>
      <c r="J66" s="40" t="str">
        <f ca="1">IFERROR(__xludf.DUMMYFUNCTION("IF(SUM(COUNTIF(artists!C:C, SPLIT(D66, "",""))) &gt; 0, ""RU"", 0)"),"RU")</f>
        <v>RU</v>
      </c>
      <c r="K66" s="39">
        <f ca="1">IFERROR(__xludf.DUMMYFUNCTION("IF(SUM(COUNTIF(artists!E:E, SPLIT(D66, "",""))) &gt; 0, ""OTHER"", 0)"),0)</f>
        <v>0</v>
      </c>
    </row>
    <row r="67" spans="1:11" ht="14.25" customHeight="1">
      <c r="A67" s="21">
        <v>66</v>
      </c>
      <c r="B67" s="21">
        <v>71</v>
      </c>
      <c r="C67" s="21" t="s">
        <v>539</v>
      </c>
      <c r="D67" s="21" t="s">
        <v>540</v>
      </c>
      <c r="E67" s="21">
        <v>23</v>
      </c>
      <c r="F67" s="21">
        <v>245904</v>
      </c>
      <c r="G67" s="42">
        <v>0.183</v>
      </c>
      <c r="H67" s="21" t="s">
        <v>541</v>
      </c>
      <c r="I67" s="39">
        <f ca="1">IFERROR(__xludf.DUMMYFUNCTION("IF(SUM(COUNTIF(artists!A:A, SPLIT(D67, "",""))) &gt; 0, ""UA"", 0)"),0)</f>
        <v>0</v>
      </c>
      <c r="J67" s="40" t="str">
        <f ca="1">IFERROR(__xludf.DUMMYFUNCTION("IF(SUM(COUNTIF(artists!C:C, SPLIT(D67, "",""))) &gt; 0, ""RU"", 0)"),"RU")</f>
        <v>RU</v>
      </c>
      <c r="K67" s="39">
        <f ca="1">IFERROR(__xludf.DUMMYFUNCTION("IF(SUM(COUNTIF(artists!E:E, SPLIT(D67, "",""))) &gt; 0, ""OTHER"", 0)"),0)</f>
        <v>0</v>
      </c>
    </row>
    <row r="68" spans="1:11" ht="14.25" customHeight="1">
      <c r="A68" s="21">
        <v>67</v>
      </c>
      <c r="B68" s="21">
        <v>50</v>
      </c>
      <c r="C68" s="21" t="s">
        <v>613</v>
      </c>
      <c r="D68" s="21" t="s">
        <v>614</v>
      </c>
      <c r="E68" s="21">
        <v>3</v>
      </c>
      <c r="F68" s="21">
        <v>239570</v>
      </c>
      <c r="G68" s="42">
        <v>-0.17899999999999999</v>
      </c>
      <c r="H68" s="21" t="s">
        <v>615</v>
      </c>
      <c r="I68" s="39">
        <f ca="1">IFERROR(__xludf.DUMMYFUNCTION("IF(SUM(COUNTIF(artists!A:A, SPLIT(D68, "",""))) &gt; 0, ""UA"", 0)"),0)</f>
        <v>0</v>
      </c>
      <c r="J68" s="40" t="str">
        <f ca="1">IFERROR(__xludf.DUMMYFUNCTION("IF(SUM(COUNTIF(artists!C:C, SPLIT(D68, "",""))) &gt; 0, ""RU"", 0)"),"RU")</f>
        <v>RU</v>
      </c>
      <c r="K68" s="39">
        <f ca="1">IFERROR(__xludf.DUMMYFUNCTION("IF(SUM(COUNTIF(artists!E:E, SPLIT(D68, "",""))) &gt; 0, ""OTHER"", 0)"),0)</f>
        <v>0</v>
      </c>
    </row>
    <row r="69" spans="1:11" ht="14.25" customHeight="1">
      <c r="A69" s="21">
        <v>68</v>
      </c>
      <c r="C69" s="21" t="s">
        <v>898</v>
      </c>
      <c r="D69" s="21" t="s">
        <v>864</v>
      </c>
      <c r="E69" s="21">
        <v>1</v>
      </c>
      <c r="F69" s="21">
        <v>238778</v>
      </c>
      <c r="H69" s="21" t="s">
        <v>899</v>
      </c>
      <c r="I69" s="39" t="str">
        <f ca="1">IFERROR(__xludf.DUMMYFUNCTION("IF(SUM(COUNTIF(artists!A:A, SPLIT(D69, "",""))) &gt; 0, ""UA"", 0)"),"UA")</f>
        <v>UA</v>
      </c>
      <c r="J69" s="40">
        <f ca="1">IFERROR(__xludf.DUMMYFUNCTION("IF(SUM(COUNTIF(artists!C:C, SPLIT(D69, "",""))) &gt; 0, ""RU"", 0)"),0)</f>
        <v>0</v>
      </c>
      <c r="K69" s="39">
        <f ca="1">IFERROR(__xludf.DUMMYFUNCTION("IF(SUM(COUNTIF(artists!E:E, SPLIT(D69, "",""))) &gt; 0, ""OTHER"", 0)"),0)</f>
        <v>0</v>
      </c>
    </row>
    <row r="70" spans="1:11" ht="14.25" customHeight="1">
      <c r="A70" s="21">
        <v>69</v>
      </c>
      <c r="B70" s="21">
        <v>78</v>
      </c>
      <c r="C70" s="21" t="s">
        <v>2151</v>
      </c>
      <c r="D70" s="21" t="s">
        <v>2152</v>
      </c>
      <c r="E70" s="21">
        <v>18</v>
      </c>
      <c r="F70" s="21">
        <v>238688</v>
      </c>
      <c r="G70" s="42">
        <v>0.192</v>
      </c>
      <c r="H70" s="21" t="s">
        <v>2153</v>
      </c>
      <c r="I70" s="39">
        <f ca="1">IFERROR(__xludf.DUMMYFUNCTION("IF(SUM(COUNTIF(artists!A:A, SPLIT(D70, "",""))) &gt; 0, ""UA"", 0)"),0)</f>
        <v>0</v>
      </c>
      <c r="J70" s="40" t="str">
        <f ca="1">IFERROR(__xludf.DUMMYFUNCTION("IF(SUM(COUNTIF(artists!C:C, SPLIT(D70, "",""))) &gt; 0, ""RU"", 0)"),"RU")</f>
        <v>RU</v>
      </c>
      <c r="K70" s="39">
        <f ca="1">IFERROR(__xludf.DUMMYFUNCTION("IF(SUM(COUNTIF(artists!E:E, SPLIT(D70, "",""))) &gt; 0, ""OTHER"", 0)"),0)</f>
        <v>0</v>
      </c>
    </row>
    <row r="71" spans="1:11" ht="14.25" customHeight="1">
      <c r="A71" s="21">
        <v>70</v>
      </c>
      <c r="B71" s="21">
        <v>66</v>
      </c>
      <c r="C71" s="21" t="s">
        <v>2281</v>
      </c>
      <c r="D71" s="21" t="s">
        <v>2282</v>
      </c>
      <c r="E71" s="21">
        <v>7</v>
      </c>
      <c r="F71" s="21">
        <v>238584</v>
      </c>
      <c r="G71" s="42">
        <v>7.5999999999999998E-2</v>
      </c>
      <c r="H71" s="21" t="s">
        <v>2283</v>
      </c>
      <c r="I71" s="39">
        <f ca="1">IFERROR(__xludf.DUMMYFUNCTION("IF(SUM(COUNTIF(artists!A:A, SPLIT(D71, "",""))) &gt; 0, ""UA"", 0)"),0)</f>
        <v>0</v>
      </c>
      <c r="J71" s="40" t="str">
        <f ca="1">IFERROR(__xludf.DUMMYFUNCTION("IF(SUM(COUNTIF(artists!C:C, SPLIT(D71, "",""))) &gt; 0, ""RU"", 0)"),"RU")</f>
        <v>RU</v>
      </c>
      <c r="K71" s="39">
        <f ca="1">IFERROR(__xludf.DUMMYFUNCTION("IF(SUM(COUNTIF(artists!E:E, SPLIT(D71, "",""))) &gt; 0, ""OTHER"", 0)"),0)</f>
        <v>0</v>
      </c>
    </row>
    <row r="72" spans="1:11" ht="14.25" customHeight="1">
      <c r="A72" s="21">
        <v>71</v>
      </c>
      <c r="B72" s="21">
        <v>80</v>
      </c>
      <c r="C72" s="21" t="s">
        <v>1970</v>
      </c>
      <c r="D72" s="21" t="s">
        <v>1971</v>
      </c>
      <c r="E72" s="21">
        <v>24</v>
      </c>
      <c r="F72" s="21">
        <v>238368</v>
      </c>
      <c r="G72" s="42">
        <v>0.215</v>
      </c>
      <c r="H72" s="21" t="s">
        <v>1972</v>
      </c>
      <c r="I72" s="39">
        <f ca="1">IFERROR(__xludf.DUMMYFUNCTION("IF(SUM(COUNTIF(artists!A:A, SPLIT(D72, "",""))) &gt; 0, ""UA"", 0)"),0)</f>
        <v>0</v>
      </c>
      <c r="J72" s="40" t="str">
        <f ca="1">IFERROR(__xludf.DUMMYFUNCTION("IF(SUM(COUNTIF(artists!C:C, SPLIT(D72, "",""))) &gt; 0, ""RU"", 0)"),"RU")</f>
        <v>RU</v>
      </c>
      <c r="K72" s="39">
        <f ca="1">IFERROR(__xludf.DUMMYFUNCTION("IF(SUM(COUNTIF(artists!E:E, SPLIT(D72, "",""))) &gt; 0, ""OTHER"", 0)"),0)</f>
        <v>0</v>
      </c>
    </row>
    <row r="73" spans="1:11" ht="14.25" customHeight="1">
      <c r="A73" s="21">
        <v>72</v>
      </c>
      <c r="C73" s="21" t="s">
        <v>2254</v>
      </c>
      <c r="D73" s="21" t="s">
        <v>2255</v>
      </c>
      <c r="E73" s="21">
        <v>23</v>
      </c>
      <c r="F73" s="21">
        <v>237906</v>
      </c>
      <c r="H73" s="21" t="s">
        <v>2256</v>
      </c>
      <c r="I73" s="39">
        <f ca="1">IFERROR(__xludf.DUMMYFUNCTION("IF(SUM(COUNTIF(artists!A:A, SPLIT(D73, "",""))) &gt; 0, ""UA"", 0)"),0)</f>
        <v>0</v>
      </c>
      <c r="J73" s="40" t="str">
        <f ca="1">IFERROR(__xludf.DUMMYFUNCTION("IF(SUM(COUNTIF(artists!C:C, SPLIT(D73, "",""))) &gt; 0, ""RU"", 0)"),"RU")</f>
        <v>RU</v>
      </c>
      <c r="K73" s="39">
        <f ca="1">IFERROR(__xludf.DUMMYFUNCTION("IF(SUM(COUNTIF(artists!E:E, SPLIT(D73, "",""))) &gt; 0, ""OTHER"", 0)"),0)</f>
        <v>0</v>
      </c>
    </row>
    <row r="74" spans="1:11" ht="14.25" customHeight="1">
      <c r="A74" s="21">
        <v>73</v>
      </c>
      <c r="C74" s="21" t="s">
        <v>2248</v>
      </c>
      <c r="D74" s="21" t="s">
        <v>630</v>
      </c>
      <c r="E74" s="21">
        <v>1</v>
      </c>
      <c r="F74" s="21">
        <v>232070</v>
      </c>
      <c r="H74" s="21" t="s">
        <v>2249</v>
      </c>
      <c r="I74" s="39" t="str">
        <f ca="1">IFERROR(__xludf.DUMMYFUNCTION("IF(SUM(COUNTIF(artists!A:A, SPLIT(D74, "",""))) &gt; 0, ""UA"", 0)"),"UA")</f>
        <v>UA</v>
      </c>
      <c r="J74" s="40">
        <f ca="1">IFERROR(__xludf.DUMMYFUNCTION("IF(SUM(COUNTIF(artists!C:C, SPLIT(D74, "",""))) &gt; 0, ""RU"", 0)"),0)</f>
        <v>0</v>
      </c>
      <c r="K74" s="39">
        <f ca="1">IFERROR(__xludf.DUMMYFUNCTION("IF(SUM(COUNTIF(artists!E:E, SPLIT(D74, "",""))) &gt; 0, ""OTHER"", 0)"),0)</f>
        <v>0</v>
      </c>
    </row>
    <row r="75" spans="1:11" ht="14.25" customHeight="1">
      <c r="A75" s="21">
        <v>74</v>
      </c>
      <c r="C75" s="21" t="s">
        <v>2304</v>
      </c>
      <c r="D75" s="21" t="s">
        <v>2305</v>
      </c>
      <c r="E75" s="21">
        <v>1</v>
      </c>
      <c r="F75" s="21">
        <v>229773</v>
      </c>
      <c r="H75" s="21" t="s">
        <v>2306</v>
      </c>
      <c r="I75" s="39">
        <f ca="1">IFERROR(__xludf.DUMMYFUNCTION("IF(SUM(COUNTIF(artists!A:A, SPLIT(D75, "",""))) &gt; 0, ""UA"", 0)"),0)</f>
        <v>0</v>
      </c>
      <c r="J75" s="40" t="str">
        <f ca="1">IFERROR(__xludf.DUMMYFUNCTION("IF(SUM(COUNTIF(artists!C:C, SPLIT(D75, "",""))) &gt; 0, ""RU"", 0)"),"RU")</f>
        <v>RU</v>
      </c>
      <c r="K75" s="39">
        <f ca="1">IFERROR(__xludf.DUMMYFUNCTION("IF(SUM(COUNTIF(artists!E:E, SPLIT(D75, "",""))) &gt; 0, ""OTHER"", 0)"),0)</f>
        <v>0</v>
      </c>
    </row>
    <row r="76" spans="1:11" ht="14.25" customHeight="1">
      <c r="A76" s="21">
        <v>75</v>
      </c>
      <c r="B76" s="21">
        <v>57</v>
      </c>
      <c r="C76" s="21" t="s">
        <v>2189</v>
      </c>
      <c r="D76" s="21" t="s">
        <v>125</v>
      </c>
      <c r="E76" s="21">
        <v>5</v>
      </c>
      <c r="F76" s="21">
        <v>227102</v>
      </c>
      <c r="G76" s="42">
        <v>-0.13200000000000001</v>
      </c>
      <c r="H76" s="21" t="s">
        <v>2190</v>
      </c>
      <c r="I76" s="39">
        <f ca="1">IFERROR(__xludf.DUMMYFUNCTION("IF(SUM(COUNTIF(artists!A:A, SPLIT(D76, "",""))) &gt; 0, ""UA"", 0)"),0)</f>
        <v>0</v>
      </c>
      <c r="J76" s="40" t="str">
        <f ca="1">IFERROR(__xludf.DUMMYFUNCTION("IF(SUM(COUNTIF(artists!C:C, SPLIT(D76, "",""))) &gt; 0, ""RU"", 0)"),"RU")</f>
        <v>RU</v>
      </c>
      <c r="K76" s="39">
        <f ca="1">IFERROR(__xludf.DUMMYFUNCTION("IF(SUM(COUNTIF(artists!E:E, SPLIT(D76, "",""))) &gt; 0, ""OTHER"", 0)"),0)</f>
        <v>0</v>
      </c>
    </row>
    <row r="77" spans="1:11" ht="14.25" customHeight="1">
      <c r="A77" s="21">
        <v>76</v>
      </c>
      <c r="C77" s="21" t="s">
        <v>2170</v>
      </c>
      <c r="D77" s="21" t="s">
        <v>2171</v>
      </c>
      <c r="E77" s="21">
        <v>8</v>
      </c>
      <c r="F77" s="21">
        <v>227012</v>
      </c>
      <c r="H77" s="21" t="s">
        <v>2172</v>
      </c>
      <c r="I77" s="39">
        <f ca="1">IFERROR(__xludf.DUMMYFUNCTION("IF(SUM(COUNTIF(artists!A:A, SPLIT(D77, "",""))) &gt; 0, ""UA"", 0)"),0)</f>
        <v>0</v>
      </c>
      <c r="J77" s="40" t="str">
        <f ca="1">IFERROR(__xludf.DUMMYFUNCTION("IF(SUM(COUNTIF(artists!C:C, SPLIT(D77, "",""))) &gt; 0, ""RU"", 0)"),"RU")</f>
        <v>RU</v>
      </c>
      <c r="K77" s="39">
        <f ca="1">IFERROR(__xludf.DUMMYFUNCTION("IF(SUM(COUNTIF(artists!E:E, SPLIT(D77, "",""))) &gt; 0, ""OTHER"", 0)"),0)</f>
        <v>0</v>
      </c>
    </row>
    <row r="78" spans="1:11" ht="14.25" customHeight="1">
      <c r="A78" s="21">
        <v>77</v>
      </c>
      <c r="B78" s="21">
        <v>67</v>
      </c>
      <c r="C78" s="21" t="s">
        <v>2114</v>
      </c>
      <c r="D78" s="21" t="s">
        <v>2115</v>
      </c>
      <c r="E78" s="21">
        <v>5</v>
      </c>
      <c r="F78" s="21">
        <v>226610</v>
      </c>
      <c r="G78" s="43">
        <v>0.04</v>
      </c>
      <c r="H78" s="21" t="s">
        <v>2116</v>
      </c>
      <c r="I78" s="39">
        <f ca="1">IFERROR(__xludf.DUMMYFUNCTION("IF(SUM(COUNTIF(artists!A:A, SPLIT(D78, "",""))) &gt; 0, ""UA"", 0)"),0)</f>
        <v>0</v>
      </c>
      <c r="J78" s="40" t="str">
        <f ca="1">IFERROR(__xludf.DUMMYFUNCTION("IF(SUM(COUNTIF(artists!C:C, SPLIT(D78, "",""))) &gt; 0, ""RU"", 0)"),"RU")</f>
        <v>RU</v>
      </c>
      <c r="K78" s="39">
        <f ca="1">IFERROR(__xludf.DUMMYFUNCTION("IF(SUM(COUNTIF(artists!E:E, SPLIT(D78, "",""))) &gt; 0, ""OTHER"", 0)"),0)</f>
        <v>0</v>
      </c>
    </row>
    <row r="79" spans="1:11" ht="14.25" customHeight="1">
      <c r="A79" s="21">
        <v>78</v>
      </c>
      <c r="B79" s="21">
        <v>55</v>
      </c>
      <c r="C79" s="21" t="s">
        <v>968</v>
      </c>
      <c r="D79" s="21" t="s">
        <v>969</v>
      </c>
      <c r="E79" s="21">
        <v>3</v>
      </c>
      <c r="F79" s="21">
        <v>225838</v>
      </c>
      <c r="G79" s="42">
        <v>-0.14199999999999999</v>
      </c>
      <c r="H79" s="21" t="s">
        <v>970</v>
      </c>
      <c r="I79" s="39" t="str">
        <f ca="1">IFERROR(__xludf.DUMMYFUNCTION("IF(SUM(COUNTIF(artists!A:A, SPLIT(D79, "",""))) &gt; 0, ""UA"", 0)"),"UA")</f>
        <v>UA</v>
      </c>
      <c r="J79" s="40">
        <f ca="1">IFERROR(__xludf.DUMMYFUNCTION("IF(SUM(COUNTIF(artists!C:C, SPLIT(D79, "",""))) &gt; 0, ""RU"", 0)"),0)</f>
        <v>0</v>
      </c>
      <c r="K79" s="39">
        <f ca="1">IFERROR(__xludf.DUMMYFUNCTION("IF(SUM(COUNTIF(artists!E:E, SPLIT(D79, "",""))) &gt; 0, ""OTHER"", 0)"),0)</f>
        <v>0</v>
      </c>
    </row>
    <row r="80" spans="1:11" ht="14.25" customHeight="1">
      <c r="A80" s="21">
        <v>79</v>
      </c>
      <c r="B80" s="21">
        <v>72</v>
      </c>
      <c r="C80" s="21" t="s">
        <v>889</v>
      </c>
      <c r="D80" s="21" t="s">
        <v>2315</v>
      </c>
      <c r="E80" s="21">
        <v>2</v>
      </c>
      <c r="F80" s="21">
        <v>224906</v>
      </c>
      <c r="G80" s="42">
        <v>8.6999999999999994E-2</v>
      </c>
      <c r="H80" s="21" t="s">
        <v>2316</v>
      </c>
      <c r="I80" s="39">
        <f ca="1">IFERROR(__xludf.DUMMYFUNCTION("IF(SUM(COUNTIF(artists!A:A, SPLIT(D80, "",""))) &gt; 0, ""UA"", 0)"),0)</f>
        <v>0</v>
      </c>
      <c r="J80" s="40" t="str">
        <f ca="1">IFERROR(__xludf.DUMMYFUNCTION("IF(SUM(COUNTIF(artists!C:C, SPLIT(D80, "",""))) &gt; 0, ""RU"", 0)"),"RU")</f>
        <v>RU</v>
      </c>
      <c r="K80" s="39">
        <f ca="1">IFERROR(__xludf.DUMMYFUNCTION("IF(SUM(COUNTIF(artists!E:E, SPLIT(D80, "",""))) &gt; 0, ""OTHER"", 0)"),0)</f>
        <v>0</v>
      </c>
    </row>
    <row r="81" spans="1:11" ht="14.25" customHeight="1">
      <c r="A81" s="21">
        <v>80</v>
      </c>
      <c r="C81" s="21" t="s">
        <v>2317</v>
      </c>
      <c r="D81" s="21" t="s">
        <v>2318</v>
      </c>
      <c r="E81" s="21">
        <v>1</v>
      </c>
      <c r="F81" s="21">
        <v>222871</v>
      </c>
      <c r="H81" s="21" t="s">
        <v>2319</v>
      </c>
      <c r="I81" s="39">
        <f ca="1">IFERROR(__xludf.DUMMYFUNCTION("IF(SUM(COUNTIF(artists!A:A, SPLIT(D81, "",""))) &gt; 0, ""UA"", 0)"),0)</f>
        <v>0</v>
      </c>
      <c r="J81" s="40" t="str">
        <f ca="1">IFERROR(__xludf.DUMMYFUNCTION("IF(SUM(COUNTIF(artists!C:C, SPLIT(D81, "",""))) &gt; 0, ""RU"", 0)"),"RU")</f>
        <v>RU</v>
      </c>
      <c r="K81" s="39">
        <f ca="1">IFERROR(__xludf.DUMMYFUNCTION("IF(SUM(COUNTIF(artists!E:E, SPLIT(D81, "",""))) &gt; 0, ""OTHER"", 0)"),0)</f>
        <v>0</v>
      </c>
    </row>
    <row r="82" spans="1:11" ht="14.25" customHeight="1">
      <c r="A82" s="21">
        <v>81</v>
      </c>
      <c r="B82" s="21">
        <v>63</v>
      </c>
      <c r="C82" s="21" t="s">
        <v>2154</v>
      </c>
      <c r="D82" s="21" t="s">
        <v>1646</v>
      </c>
      <c r="E82" s="21">
        <v>14</v>
      </c>
      <c r="F82" s="21">
        <v>221650</v>
      </c>
      <c r="G82" s="42">
        <v>-6.7000000000000004E-2</v>
      </c>
      <c r="H82" s="21" t="s">
        <v>2155</v>
      </c>
      <c r="I82" s="39">
        <f ca="1">IFERROR(__xludf.DUMMYFUNCTION("IF(SUM(COUNTIF(artists!A:A, SPLIT(D82, "",""))) &gt; 0, ""UA"", 0)"),0)</f>
        <v>0</v>
      </c>
      <c r="J82" s="40" t="str">
        <f ca="1">IFERROR(__xludf.DUMMYFUNCTION("IF(SUM(COUNTIF(artists!C:C, SPLIT(D82, "",""))) &gt; 0, ""RU"", 0)"),"RU")</f>
        <v>RU</v>
      </c>
      <c r="K82" s="39">
        <f ca="1">IFERROR(__xludf.DUMMYFUNCTION("IF(SUM(COUNTIF(artists!E:E, SPLIT(D82, "",""))) &gt; 0, ""OTHER"", 0)"),0)</f>
        <v>0</v>
      </c>
    </row>
    <row r="83" spans="1:11" ht="14.25" customHeight="1">
      <c r="A83" s="21">
        <v>82</v>
      </c>
      <c r="B83" s="21">
        <v>69</v>
      </c>
      <c r="C83" s="21" t="s">
        <v>2278</v>
      </c>
      <c r="D83" s="21" t="s">
        <v>2279</v>
      </c>
      <c r="E83" s="21">
        <v>2</v>
      </c>
      <c r="F83" s="21">
        <v>220640</v>
      </c>
      <c r="G83" s="42">
        <v>4.5999999999999999E-2</v>
      </c>
      <c r="H83" s="21" t="s">
        <v>2280</v>
      </c>
      <c r="I83" s="39">
        <f ca="1">IFERROR(__xludf.DUMMYFUNCTION("IF(SUM(COUNTIF(artists!A:A, SPLIT(D83, "",""))) &gt; 0, ""UA"", 0)"),0)</f>
        <v>0</v>
      </c>
      <c r="J83" s="40" t="str">
        <f ca="1">IFERROR(__xludf.DUMMYFUNCTION("IF(SUM(COUNTIF(artists!C:C, SPLIT(D83, "",""))) &gt; 0, ""RU"", 0)"),"RU")</f>
        <v>RU</v>
      </c>
      <c r="K83" s="39">
        <f ca="1">IFERROR(__xludf.DUMMYFUNCTION("IF(SUM(COUNTIF(artists!E:E, SPLIT(D83, "",""))) &gt; 0, ""OTHER"", 0)"),0)</f>
        <v>0</v>
      </c>
    </row>
    <row r="84" spans="1:11" ht="14.25" customHeight="1">
      <c r="A84" s="21">
        <v>83</v>
      </c>
      <c r="B84" s="21">
        <v>62</v>
      </c>
      <c r="C84" s="21" t="s">
        <v>2173</v>
      </c>
      <c r="D84" s="21" t="s">
        <v>2174</v>
      </c>
      <c r="E84" s="21">
        <v>11</v>
      </c>
      <c r="F84" s="21">
        <v>217957</v>
      </c>
      <c r="G84" s="42">
        <v>-9.2999999999999999E-2</v>
      </c>
      <c r="H84" s="21" t="s">
        <v>2175</v>
      </c>
      <c r="I84" s="39">
        <f ca="1">IFERROR(__xludf.DUMMYFUNCTION("IF(SUM(COUNTIF(artists!A:A, SPLIT(D84, "",""))) &gt; 0, ""UA"", 0)"),0)</f>
        <v>0</v>
      </c>
      <c r="J84" s="40" t="str">
        <f ca="1">IFERROR(__xludf.DUMMYFUNCTION("IF(SUM(COUNTIF(artists!C:C, SPLIT(D84, "",""))) &gt; 0, ""RU"", 0)"),"RU")</f>
        <v>RU</v>
      </c>
      <c r="K84" s="39">
        <f ca="1">IFERROR(__xludf.DUMMYFUNCTION("IF(SUM(COUNTIF(artists!E:E, SPLIT(D84, "",""))) &gt; 0, ""OTHER"", 0)"),0)</f>
        <v>0</v>
      </c>
    </row>
    <row r="85" spans="1:11" ht="14.25" customHeight="1">
      <c r="A85" s="21">
        <v>84</v>
      </c>
      <c r="C85" s="21" t="s">
        <v>2320</v>
      </c>
      <c r="D85" s="21" t="s">
        <v>2321</v>
      </c>
      <c r="E85" s="21">
        <v>21</v>
      </c>
      <c r="F85" s="21">
        <v>217366</v>
      </c>
      <c r="H85" s="21" t="s">
        <v>2322</v>
      </c>
      <c r="I85" s="39">
        <f ca="1">IFERROR(__xludf.DUMMYFUNCTION("IF(SUM(COUNTIF(artists!A:A, SPLIT(D85, "",""))) &gt; 0, ""UA"", 0)"),0)</f>
        <v>0</v>
      </c>
      <c r="J85" s="40" t="str">
        <f ca="1">IFERROR(__xludf.DUMMYFUNCTION("IF(SUM(COUNTIF(artists!C:C, SPLIT(D85, "",""))) &gt; 0, ""RU"", 0)"),"RU")</f>
        <v>RU</v>
      </c>
      <c r="K85" s="39">
        <f ca="1">IFERROR(__xludf.DUMMYFUNCTION("IF(SUM(COUNTIF(artists!E:E, SPLIT(D85, "",""))) &gt; 0, ""OTHER"", 0)"),0)</f>
        <v>0</v>
      </c>
    </row>
    <row r="86" spans="1:11" ht="14.25" customHeight="1">
      <c r="A86" s="21">
        <v>85</v>
      </c>
      <c r="C86" s="21" t="s">
        <v>2323</v>
      </c>
      <c r="D86" s="21" t="s">
        <v>864</v>
      </c>
      <c r="E86" s="21">
        <v>3</v>
      </c>
      <c r="F86" s="21">
        <v>215740</v>
      </c>
      <c r="H86" s="21" t="s">
        <v>2324</v>
      </c>
      <c r="I86" s="39" t="str">
        <f ca="1">IFERROR(__xludf.DUMMYFUNCTION("IF(SUM(COUNTIF(artists!A:A, SPLIT(D86, "",""))) &gt; 0, ""UA"", 0)"),"UA")</f>
        <v>UA</v>
      </c>
      <c r="J86" s="40">
        <f ca="1">IFERROR(__xludf.DUMMYFUNCTION("IF(SUM(COUNTIF(artists!C:C, SPLIT(D86, "",""))) &gt; 0, ""RU"", 0)"),0)</f>
        <v>0</v>
      </c>
      <c r="K86" s="39">
        <f ca="1">IFERROR(__xludf.DUMMYFUNCTION("IF(SUM(COUNTIF(artists!E:E, SPLIT(D86, "",""))) &gt; 0, ""OTHER"", 0)"),0)</f>
        <v>0</v>
      </c>
    </row>
    <row r="87" spans="1:11" ht="14.25" customHeight="1">
      <c r="A87" s="21">
        <v>86</v>
      </c>
      <c r="C87" s="21" t="s">
        <v>836</v>
      </c>
      <c r="D87" s="21" t="s">
        <v>837</v>
      </c>
      <c r="E87" s="21">
        <v>1</v>
      </c>
      <c r="F87" s="21">
        <v>215367</v>
      </c>
      <c r="H87" s="21" t="s">
        <v>838</v>
      </c>
      <c r="I87" s="39" t="str">
        <f ca="1">IFERROR(__xludf.DUMMYFUNCTION("IF(SUM(COUNTIF(artists!A:A, SPLIT(D87, "",""))) &gt; 0, ""UA"", 0)"),"UA")</f>
        <v>UA</v>
      </c>
      <c r="J87" s="40">
        <f ca="1">IFERROR(__xludf.DUMMYFUNCTION("IF(SUM(COUNTIF(artists!C:C, SPLIT(D87, "",""))) &gt; 0, ""RU"", 0)"),0)</f>
        <v>0</v>
      </c>
      <c r="K87" s="39">
        <f ca="1">IFERROR(__xludf.DUMMYFUNCTION("IF(SUM(COUNTIF(artists!E:E, SPLIT(D87, "",""))) &gt; 0, ""OTHER"", 0)"),0)</f>
        <v>0</v>
      </c>
    </row>
    <row r="88" spans="1:11" ht="14.25" customHeight="1">
      <c r="A88" s="21">
        <v>87</v>
      </c>
      <c r="C88" s="21" t="s">
        <v>2299</v>
      </c>
      <c r="D88" s="21" t="s">
        <v>2300</v>
      </c>
      <c r="E88" s="21">
        <v>1</v>
      </c>
      <c r="F88" s="21">
        <v>213507</v>
      </c>
      <c r="H88" s="21" t="s">
        <v>2301</v>
      </c>
      <c r="I88" s="39">
        <f ca="1">IFERROR(__xludf.DUMMYFUNCTION("IF(SUM(COUNTIF(artists!A:A, SPLIT(D88, "",""))) &gt; 0, ""UA"", 0)"),0)</f>
        <v>0</v>
      </c>
      <c r="J88" s="40" t="str">
        <f ca="1">IFERROR(__xludf.DUMMYFUNCTION("IF(SUM(COUNTIF(artists!C:C, SPLIT(D88, "",""))) &gt; 0, ""RU"", 0)"),"RU")</f>
        <v>RU</v>
      </c>
      <c r="K88" s="39">
        <f ca="1">IFERROR(__xludf.DUMMYFUNCTION("IF(SUM(COUNTIF(artists!E:E, SPLIT(D88, "",""))) &gt; 0, ""OTHER"", 0)"),0)</f>
        <v>0</v>
      </c>
    </row>
    <row r="89" spans="1:11" ht="14.25" customHeight="1">
      <c r="A89" s="21">
        <v>88</v>
      </c>
      <c r="B89" s="21">
        <v>58</v>
      </c>
      <c r="C89" s="21" t="s">
        <v>900</v>
      </c>
      <c r="D89" s="21" t="s">
        <v>901</v>
      </c>
      <c r="E89" s="21">
        <v>14</v>
      </c>
      <c r="F89" s="21">
        <v>211274</v>
      </c>
      <c r="G89" s="42">
        <v>-0.17699999999999999</v>
      </c>
      <c r="H89" s="21" t="s">
        <v>902</v>
      </c>
      <c r="I89" s="39">
        <f ca="1">IFERROR(__xludf.DUMMYFUNCTION("IF(SUM(COUNTIF(artists!A:A, SPLIT(D89, "",""))) &gt; 0, ""UA"", 0)"),0)</f>
        <v>0</v>
      </c>
      <c r="J89" s="40">
        <f ca="1">IFERROR(__xludf.DUMMYFUNCTION("IF(SUM(COUNTIF(artists!C:C, SPLIT(D89, "",""))) &gt; 0, ""RU"", 0)"),0)</f>
        <v>0</v>
      </c>
      <c r="K89" s="39" t="str">
        <f ca="1">IFERROR(__xludf.DUMMYFUNCTION("IF(SUM(COUNTIF(artists!E:E, SPLIT(D89, "",""))) &gt; 0, ""OTHER"", 0)"),"OTHER")</f>
        <v>OTHER</v>
      </c>
    </row>
    <row r="90" spans="1:11" ht="14.25" customHeight="1">
      <c r="A90" s="21">
        <v>89</v>
      </c>
      <c r="B90" s="21">
        <v>90</v>
      </c>
      <c r="C90" s="21" t="s">
        <v>2211</v>
      </c>
      <c r="D90" s="21" t="s">
        <v>1951</v>
      </c>
      <c r="E90" s="21">
        <v>16</v>
      </c>
      <c r="F90" s="21">
        <v>210480</v>
      </c>
      <c r="G90" s="43">
        <v>0.14000000000000001</v>
      </c>
      <c r="H90" s="21" t="s">
        <v>2212</v>
      </c>
      <c r="I90" s="39">
        <f ca="1">IFERROR(__xludf.DUMMYFUNCTION("IF(SUM(COUNTIF(artists!A:A, SPLIT(D90, "",""))) &gt; 0, ""UA"", 0)"),0)</f>
        <v>0</v>
      </c>
      <c r="J90" s="40" t="str">
        <f ca="1">IFERROR(__xludf.DUMMYFUNCTION("IF(SUM(COUNTIF(artists!C:C, SPLIT(D90, "",""))) &gt; 0, ""RU"", 0)"),"RU")</f>
        <v>RU</v>
      </c>
      <c r="K90" s="39">
        <f ca="1">IFERROR(__xludf.DUMMYFUNCTION("IF(SUM(COUNTIF(artists!E:E, SPLIT(D90, "",""))) &gt; 0, ""OTHER"", 0)"),0)</f>
        <v>0</v>
      </c>
    </row>
    <row r="91" spans="1:11" ht="14.25" customHeight="1">
      <c r="A91" s="21">
        <v>90</v>
      </c>
      <c r="B91" s="21">
        <v>60</v>
      </c>
      <c r="C91" s="21" t="s">
        <v>2213</v>
      </c>
      <c r="D91" s="21" t="s">
        <v>2214</v>
      </c>
      <c r="E91" s="21">
        <v>16</v>
      </c>
      <c r="F91" s="21">
        <v>205254</v>
      </c>
      <c r="G91" s="42">
        <v>-0.151</v>
      </c>
      <c r="H91" s="21" t="s">
        <v>2215</v>
      </c>
      <c r="I91" s="39">
        <f ca="1">IFERROR(__xludf.DUMMYFUNCTION("IF(SUM(COUNTIF(artists!A:A, SPLIT(D91, "",""))) &gt; 0, ""UA"", 0)"),0)</f>
        <v>0</v>
      </c>
      <c r="J91" s="40" t="str">
        <f ca="1">IFERROR(__xludf.DUMMYFUNCTION("IF(SUM(COUNTIF(artists!C:C, SPLIT(D91, "",""))) &gt; 0, ""RU"", 0)"),"RU")</f>
        <v>RU</v>
      </c>
      <c r="K91" s="39">
        <f ca="1">IFERROR(__xludf.DUMMYFUNCTION("IF(SUM(COUNTIF(artists!E:E, SPLIT(D91, "",""))) &gt; 0, ""OTHER"", 0)"),0)</f>
        <v>0</v>
      </c>
    </row>
    <row r="92" spans="1:11" ht="14.25" customHeight="1">
      <c r="A92" s="21">
        <v>91</v>
      </c>
      <c r="C92" s="21" t="s">
        <v>2288</v>
      </c>
      <c r="D92" s="21" t="s">
        <v>2289</v>
      </c>
      <c r="E92" s="21">
        <v>53</v>
      </c>
      <c r="F92" s="21">
        <v>203626</v>
      </c>
      <c r="H92" s="21" t="s">
        <v>2290</v>
      </c>
      <c r="I92" s="39">
        <f ca="1">IFERROR(__xludf.DUMMYFUNCTION("IF(SUM(COUNTIF(artists!A:A, SPLIT(D92, "",""))) &gt; 0, ""UA"", 0)"),0)</f>
        <v>0</v>
      </c>
      <c r="J92" s="40" t="str">
        <f ca="1">IFERROR(__xludf.DUMMYFUNCTION("IF(SUM(COUNTIF(artists!C:C, SPLIT(D92, "",""))) &gt; 0, ""RU"", 0)"),"RU")</f>
        <v>RU</v>
      </c>
      <c r="K92" s="39">
        <f ca="1">IFERROR(__xludf.DUMMYFUNCTION("IF(SUM(COUNTIF(artists!E:E, SPLIT(D92, "",""))) &gt; 0, ""OTHER"", 0)"),0)</f>
        <v>0</v>
      </c>
    </row>
    <row r="93" spans="1:11" ht="14.25" customHeight="1">
      <c r="A93" s="21">
        <v>92</v>
      </c>
      <c r="C93" s="21" t="s">
        <v>2325</v>
      </c>
      <c r="D93" s="21" t="s">
        <v>2326</v>
      </c>
      <c r="E93" s="21">
        <v>1</v>
      </c>
      <c r="F93" s="21">
        <v>200234</v>
      </c>
      <c r="H93" s="21" t="s">
        <v>2327</v>
      </c>
      <c r="I93" s="39">
        <f ca="1">IFERROR(__xludf.DUMMYFUNCTION("IF(SUM(COUNTIF(artists!A:A, SPLIT(D93, "",""))) &gt; 0, ""UA"", 0)"),0)</f>
        <v>0</v>
      </c>
      <c r="J93" s="40" t="str">
        <f ca="1">IFERROR(__xludf.DUMMYFUNCTION("IF(SUM(COUNTIF(artists!C:C, SPLIT(D93, "",""))) &gt; 0, ""RU"", 0)"),"RU")</f>
        <v>RU</v>
      </c>
      <c r="K93" s="39">
        <f ca="1">IFERROR(__xludf.DUMMYFUNCTION("IF(SUM(COUNTIF(artists!E:E, SPLIT(D93, "",""))) &gt; 0, ""OTHER"", 0)"),0)</f>
        <v>0</v>
      </c>
    </row>
    <row r="94" spans="1:11" ht="14.25" customHeight="1">
      <c r="A94" s="21">
        <v>93</v>
      </c>
      <c r="B94" s="21">
        <v>98</v>
      </c>
      <c r="C94" s="21" t="s">
        <v>2328</v>
      </c>
      <c r="D94" s="21" t="s">
        <v>2329</v>
      </c>
      <c r="E94" s="21">
        <v>3</v>
      </c>
      <c r="F94" s="21">
        <v>198933</v>
      </c>
      <c r="G94" s="42">
        <v>0.115</v>
      </c>
      <c r="H94" s="21" t="s">
        <v>2330</v>
      </c>
      <c r="I94" s="39">
        <f ca="1">IFERROR(__xludf.DUMMYFUNCTION("IF(SUM(COUNTIF(artists!A:A, SPLIT(D94, "",""))) &gt; 0, ""UA"", 0)"),0)</f>
        <v>0</v>
      </c>
      <c r="J94" s="40" t="str">
        <f ca="1">IFERROR(__xludf.DUMMYFUNCTION("IF(SUM(COUNTIF(artists!C:C, SPLIT(D94, "",""))) &gt; 0, ""RU"", 0)"),"RU")</f>
        <v>RU</v>
      </c>
      <c r="K94" s="39">
        <f ca="1">IFERROR(__xludf.DUMMYFUNCTION("IF(SUM(COUNTIF(artists!E:E, SPLIT(D94, "",""))) &gt; 0, ""OTHER"", 0)"),0)</f>
        <v>0</v>
      </c>
    </row>
    <row r="95" spans="1:11" ht="14.25" customHeight="1">
      <c r="A95" s="21">
        <v>94</v>
      </c>
      <c r="B95" s="21">
        <v>81</v>
      </c>
      <c r="C95" s="21" t="s">
        <v>2120</v>
      </c>
      <c r="D95" s="21" t="s">
        <v>2121</v>
      </c>
      <c r="E95" s="21">
        <v>3</v>
      </c>
      <c r="F95" s="21">
        <v>198127</v>
      </c>
      <c r="G95" s="43">
        <v>0.01</v>
      </c>
      <c r="H95" s="21" t="s">
        <v>2122</v>
      </c>
      <c r="I95" s="39">
        <f ca="1">IFERROR(__xludf.DUMMYFUNCTION("IF(SUM(COUNTIF(artists!A:A, SPLIT(D95, "",""))) &gt; 0, ""UA"", 0)"),0)</f>
        <v>0</v>
      </c>
      <c r="J95" s="40">
        <f ca="1">IFERROR(__xludf.DUMMYFUNCTION("IF(SUM(COUNTIF(artists!C:C, SPLIT(D95, "",""))) &gt; 0, ""RU"", 0)"),0)</f>
        <v>0</v>
      </c>
      <c r="K95" s="39" t="str">
        <f ca="1">IFERROR(__xludf.DUMMYFUNCTION("IF(SUM(COUNTIF(artists!E:E, SPLIT(D95, "",""))) &gt; 0, ""OTHER"", 0)"),"OTHER")</f>
        <v>OTHER</v>
      </c>
    </row>
    <row r="96" spans="1:11" ht="14.25" customHeight="1">
      <c r="A96" s="21">
        <v>95</v>
      </c>
      <c r="C96" s="21" t="s">
        <v>2112</v>
      </c>
      <c r="D96" s="21" t="s">
        <v>1996</v>
      </c>
      <c r="E96" s="21">
        <v>5</v>
      </c>
      <c r="F96" s="21">
        <v>197827</v>
      </c>
      <c r="H96" s="21" t="s">
        <v>2113</v>
      </c>
      <c r="I96" s="39">
        <f ca="1">IFERROR(__xludf.DUMMYFUNCTION("IF(SUM(COUNTIF(artists!A:A, SPLIT(D96, "",""))) &gt; 0, ""UA"", 0)"),0)</f>
        <v>0</v>
      </c>
      <c r="J96" s="40" t="str">
        <f ca="1">IFERROR(__xludf.DUMMYFUNCTION("IF(SUM(COUNTIF(artists!C:C, SPLIT(D96, "",""))) &gt; 0, ""RU"", 0)"),"RU")</f>
        <v>RU</v>
      </c>
      <c r="K96" s="39">
        <f ca="1">IFERROR(__xludf.DUMMYFUNCTION("IF(SUM(COUNTIF(artists!E:E, SPLIT(D96, "",""))) &gt; 0, ""OTHER"", 0)"),0)</f>
        <v>0</v>
      </c>
    </row>
    <row r="97" spans="1:11" ht="14.25" customHeight="1">
      <c r="A97" s="21">
        <v>96</v>
      </c>
      <c r="C97" s="21" t="s">
        <v>2104</v>
      </c>
      <c r="D97" s="21" t="s">
        <v>2105</v>
      </c>
      <c r="E97" s="21">
        <v>1</v>
      </c>
      <c r="F97" s="21">
        <v>197779</v>
      </c>
      <c r="H97" s="21" t="s">
        <v>2106</v>
      </c>
      <c r="I97" s="39">
        <f ca="1">IFERROR(__xludf.DUMMYFUNCTION("IF(SUM(COUNTIF(artists!A:A, SPLIT(D97, "",""))) &gt; 0, ""UA"", 0)"),0)</f>
        <v>0</v>
      </c>
      <c r="J97" s="40" t="str">
        <f ca="1">IFERROR(__xludf.DUMMYFUNCTION("IF(SUM(COUNTIF(artists!C:C, SPLIT(D97, "",""))) &gt; 0, ""RU"", 0)"),"RU")</f>
        <v>RU</v>
      </c>
      <c r="K97" s="39">
        <f ca="1">IFERROR(__xludf.DUMMYFUNCTION("IF(SUM(COUNTIF(artists!E:E, SPLIT(D97, "",""))) &gt; 0, ""OTHER"", 0)"),0)</f>
        <v>0</v>
      </c>
    </row>
    <row r="98" spans="1:11" ht="14.25" customHeight="1">
      <c r="A98" s="21">
        <v>97</v>
      </c>
      <c r="C98" s="21" t="s">
        <v>2275</v>
      </c>
      <c r="D98" s="21" t="s">
        <v>2276</v>
      </c>
      <c r="E98" s="21">
        <v>18</v>
      </c>
      <c r="F98" s="21">
        <v>196061</v>
      </c>
      <c r="H98" s="21" t="s">
        <v>2277</v>
      </c>
      <c r="I98" s="39">
        <f ca="1">IFERROR(__xludf.DUMMYFUNCTION("IF(SUM(COUNTIF(artists!A:A, SPLIT(D98, "",""))) &gt; 0, ""UA"", 0)"),0)</f>
        <v>0</v>
      </c>
      <c r="J98" s="40" t="str">
        <f ca="1">IFERROR(__xludf.DUMMYFUNCTION("IF(SUM(COUNTIF(artists!C:C, SPLIT(D98, "",""))) &gt; 0, ""RU"", 0)"),"RU")</f>
        <v>RU</v>
      </c>
      <c r="K98" s="39">
        <f ca="1">IFERROR(__xludf.DUMMYFUNCTION("IF(SUM(COUNTIF(artists!E:E, SPLIT(D98, "",""))) &gt; 0, ""OTHER"", 0)"),0)</f>
        <v>0</v>
      </c>
    </row>
    <row r="99" spans="1:11" ht="14.25" customHeight="1">
      <c r="A99" s="21">
        <v>98</v>
      </c>
      <c r="B99" s="21">
        <v>73</v>
      </c>
      <c r="C99" s="21" t="s">
        <v>2054</v>
      </c>
      <c r="D99" s="21" t="s">
        <v>2055</v>
      </c>
      <c r="E99" s="21">
        <v>3</v>
      </c>
      <c r="F99" s="21">
        <v>194363</v>
      </c>
      <c r="G99" s="43">
        <v>-0.06</v>
      </c>
      <c r="H99" s="21" t="s">
        <v>2056</v>
      </c>
      <c r="I99" s="39">
        <f ca="1">IFERROR(__xludf.DUMMYFUNCTION("IF(SUM(COUNTIF(artists!A:A, SPLIT(D99, "",""))) &gt; 0, ""UA"", 0)"),0)</f>
        <v>0</v>
      </c>
      <c r="J99" s="40">
        <f ca="1">IFERROR(__xludf.DUMMYFUNCTION("IF(SUM(COUNTIF(artists!C:C, SPLIT(D99, "",""))) &gt; 0, ""RU"", 0)"),0)</f>
        <v>0</v>
      </c>
      <c r="K99" s="39" t="str">
        <f ca="1">IFERROR(__xludf.DUMMYFUNCTION("IF(SUM(COUNTIF(artists!E:E, SPLIT(D99, "",""))) &gt; 0, ""OTHER"", 0)"),"OTHER")</f>
        <v>OTHER</v>
      </c>
    </row>
    <row r="100" spans="1:11" ht="14.25" customHeight="1">
      <c r="A100" s="21">
        <v>99</v>
      </c>
      <c r="B100" s="21">
        <v>77</v>
      </c>
      <c r="C100" s="21" t="s">
        <v>1354</v>
      </c>
      <c r="D100" s="21" t="s">
        <v>1355</v>
      </c>
      <c r="E100" s="21">
        <v>18</v>
      </c>
      <c r="F100" s="21">
        <v>194245</v>
      </c>
      <c r="G100" s="42">
        <v>-4.4999999999999998E-2</v>
      </c>
      <c r="H100" s="21" t="s">
        <v>1356</v>
      </c>
      <c r="I100" s="39" t="str">
        <f ca="1">IFERROR(__xludf.DUMMYFUNCTION("IF(SUM(COUNTIF(artists!A:A, SPLIT(D100, "",""))) &gt; 0, ""UA"", 0)"),"UA")</f>
        <v>UA</v>
      </c>
      <c r="J100" s="40">
        <f ca="1">IFERROR(__xludf.DUMMYFUNCTION("IF(SUM(COUNTIF(artists!C:C, SPLIT(D100, "",""))) &gt; 0, ""RU"", 0)"),0)</f>
        <v>0</v>
      </c>
      <c r="K100" s="39">
        <f ca="1">IFERROR(__xludf.DUMMYFUNCTION("IF(SUM(COUNTIF(artists!E:E, SPLIT(D100, "",""))) &gt; 0, ""OTHER"", 0)"),0)</f>
        <v>0</v>
      </c>
    </row>
    <row r="101" spans="1:11" ht="14.25" customHeight="1">
      <c r="A101" s="21">
        <v>100</v>
      </c>
      <c r="C101" s="21" t="s">
        <v>889</v>
      </c>
      <c r="D101" s="21" t="s">
        <v>2331</v>
      </c>
      <c r="E101" s="21">
        <v>1</v>
      </c>
      <c r="F101" s="21">
        <v>190772</v>
      </c>
      <c r="H101" s="21" t="s">
        <v>2332</v>
      </c>
      <c r="I101" s="39">
        <f ca="1">IFERROR(__xludf.DUMMYFUNCTION("IF(SUM(COUNTIF(artists!A:A, SPLIT(D101, "",""))) &gt; 0, ""UA"", 0)"),0)</f>
        <v>0</v>
      </c>
      <c r="J101" s="40" t="str">
        <f ca="1">IFERROR(__xludf.DUMMYFUNCTION("IF(SUM(COUNTIF(artists!C:C, SPLIT(D101, "",""))) &gt; 0, ""RU"", 0)"),"RU")</f>
        <v>RU</v>
      </c>
      <c r="K101" s="39">
        <f ca="1">IFERROR(__xludf.DUMMYFUNCTION("IF(SUM(COUNTIF(artists!E:E, SPLIT(D101, "",""))) &gt; 0, ""OTHER"", 0)"),0)</f>
        <v>0</v>
      </c>
    </row>
    <row r="102" spans="1:11" ht="14.25" customHeight="1"/>
    <row r="103" spans="1:11" ht="14.25" customHeight="1"/>
    <row r="104" spans="1:11" ht="14.25" customHeight="1"/>
    <row r="105" spans="1:11" ht="14.25" customHeight="1"/>
    <row r="106" spans="1:11" ht="14.25" customHeight="1"/>
    <row r="107" spans="1:11" ht="14.25" customHeight="1"/>
    <row r="108" spans="1:11" ht="14.25" customHeight="1"/>
    <row r="109" spans="1:11" ht="14.25" customHeight="1"/>
    <row r="110" spans="1:11" ht="14.25" customHeight="1"/>
    <row r="111" spans="1:11" ht="14.25" customHeight="1"/>
    <row r="112" spans="1:11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1" priority="1">
      <formula>AND($I2=0, $J2=0, $K2=0)</formula>
    </cfRule>
    <cfRule type="expression" dxfId="0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Аркуш7">
    <tabColor rgb="FF38761D"/>
    <outlinePr summaryBelow="0" summaryRight="0"/>
  </sheetPr>
  <dimension ref="A1:K101"/>
  <sheetViews>
    <sheetView workbookViewId="0"/>
  </sheetViews>
  <sheetFormatPr defaultColWidth="14.44140625" defaultRowHeight="15.75" customHeight="1"/>
  <cols>
    <col min="1" max="1" width="5" customWidth="1"/>
    <col min="2" max="2" width="14.44140625" hidden="1"/>
    <col min="5" max="5" width="14.44140625" hidden="1"/>
    <col min="8" max="8" width="14.44140625" hidden="1"/>
  </cols>
  <sheetData>
    <row r="1" spans="1:1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>
      <c r="A2" s="21">
        <v>1</v>
      </c>
      <c r="B2" s="21">
        <v>1</v>
      </c>
      <c r="C2" s="21" t="s">
        <v>91</v>
      </c>
      <c r="D2" s="21" t="s">
        <v>92</v>
      </c>
      <c r="E2" s="21">
        <v>2</v>
      </c>
      <c r="F2" s="21">
        <v>1697380</v>
      </c>
      <c r="G2" s="21" t="s">
        <v>723</v>
      </c>
      <c r="H2" s="38" t="s">
        <v>94</v>
      </c>
      <c r="I2" s="39">
        <f ca="1">IFERROR(__xludf.DUMMYFUNCTION("IF(SUM(COUNTIF(artists!A:A, SPLIT(D2, "",""))) &gt; 0, ""UA"", 0)"),0)</f>
        <v>0</v>
      </c>
      <c r="J2" s="40">
        <f ca="1">IFERROR(__xludf.DUMMYFUNCTION("IF(SUM(COUNTIF(artists!C:C, SPLIT(D2, "",""))) &gt; 0, ""RU"", 0)"),0)</f>
        <v>0</v>
      </c>
      <c r="K2" s="39" t="str">
        <f ca="1">IFERROR(__xludf.DUMMYFUNCTION("IF(SUM(COUNTIF(artists!E:E, SPLIT(D2, "",""))) &gt; 0, ""OTHER"", 0)"),"OTHER")</f>
        <v>OTHER</v>
      </c>
    </row>
    <row r="3" spans="1:11">
      <c r="A3" s="21">
        <v>2</v>
      </c>
      <c r="B3" s="21">
        <v>2</v>
      </c>
      <c r="C3" s="21" t="s">
        <v>88</v>
      </c>
      <c r="D3" s="21" t="s">
        <v>89</v>
      </c>
      <c r="E3" s="21">
        <v>26</v>
      </c>
      <c r="F3" s="21">
        <v>826750</v>
      </c>
      <c r="G3" s="21" t="s">
        <v>663</v>
      </c>
      <c r="H3" s="38" t="s">
        <v>90</v>
      </c>
      <c r="I3" s="39" t="str">
        <f ca="1">IFERROR(__xludf.DUMMYFUNCTION("IF(SUM(COUNTIF(artists!A:A, SPLIT(D3, "",""))) &gt; 0, ""UA"", 0)"),"UA")</f>
        <v>UA</v>
      </c>
      <c r="J3" s="40">
        <f ca="1">IFERROR(__xludf.DUMMYFUNCTION("IF(SUM(COUNTIF(artists!C:C, SPLIT(D3, "",""))) &gt; 0, ""RU"", 0)"),0)</f>
        <v>0</v>
      </c>
      <c r="K3" s="39">
        <f ca="1">IFERROR(__xludf.DUMMYFUNCTION("IF(SUM(COUNTIF(artists!E:E, SPLIT(D3, "",""))) &gt; 0, ""OTHER"", 0)"),0)</f>
        <v>0</v>
      </c>
    </row>
    <row r="4" spans="1:11">
      <c r="A4" s="21">
        <v>3</v>
      </c>
      <c r="B4" s="21">
        <v>3</v>
      </c>
      <c r="C4" s="21" t="s">
        <v>124</v>
      </c>
      <c r="D4" s="21" t="s">
        <v>125</v>
      </c>
      <c r="E4" s="21">
        <v>9</v>
      </c>
      <c r="F4" s="21">
        <v>775176</v>
      </c>
      <c r="G4" s="21" t="s">
        <v>155</v>
      </c>
      <c r="H4" s="38" t="s">
        <v>127</v>
      </c>
      <c r="I4" s="39">
        <f ca="1">IFERROR(__xludf.DUMMYFUNCTION("IF(SUM(COUNTIF(artists!A:A, SPLIT(D4, "",""))) &gt; 0, ""UA"", 0)"),0)</f>
        <v>0</v>
      </c>
      <c r="J4" s="40" t="str">
        <f ca="1">IFERROR(__xludf.DUMMYFUNCTION("IF(SUM(COUNTIF(artists!C:C, SPLIT(D4, "",""))) &gt; 0, ""RU"", 0)"),"RU")</f>
        <v>RU</v>
      </c>
      <c r="K4" s="39">
        <f ca="1">IFERROR(__xludf.DUMMYFUNCTION("IF(SUM(COUNTIF(artists!E:E, SPLIT(D4, "",""))) &gt; 0, ""OTHER"", 0)"),0)</f>
        <v>0</v>
      </c>
    </row>
    <row r="5" spans="1:11">
      <c r="A5" s="21">
        <v>4</v>
      </c>
      <c r="B5" s="21">
        <v>5</v>
      </c>
      <c r="C5" s="21" t="s">
        <v>95</v>
      </c>
      <c r="D5" s="21" t="s">
        <v>96</v>
      </c>
      <c r="E5" s="21">
        <v>11</v>
      </c>
      <c r="F5" s="21">
        <v>754477</v>
      </c>
      <c r="G5" s="21" t="s">
        <v>581</v>
      </c>
      <c r="H5" s="38" t="s">
        <v>98</v>
      </c>
      <c r="I5" s="39" t="str">
        <f ca="1">IFERROR(__xludf.DUMMYFUNCTION("IF(SUM(COUNTIF(artists!A:A, SPLIT(D5, "",""))) &gt; 0, ""UA"", 0)"),"UA")</f>
        <v>UA</v>
      </c>
      <c r="J5" s="40">
        <f ca="1">IFERROR(__xludf.DUMMYFUNCTION("IF(SUM(COUNTIF(artists!C:C, SPLIT(D5, "",""))) &gt; 0, ""RU"", 0)"),0)</f>
        <v>0</v>
      </c>
      <c r="K5" s="39">
        <f ca="1">IFERROR(__xludf.DUMMYFUNCTION("IF(SUM(COUNTIF(artists!E:E, SPLIT(D5, "",""))) &gt; 0, ""OTHER"", 0)"),0)</f>
        <v>0</v>
      </c>
    </row>
    <row r="6" spans="1:11">
      <c r="A6" s="21">
        <v>5</v>
      </c>
      <c r="B6" s="21">
        <v>4</v>
      </c>
      <c r="C6" s="21" t="s">
        <v>111</v>
      </c>
      <c r="D6" s="21" t="s">
        <v>112</v>
      </c>
      <c r="E6" s="21">
        <v>7</v>
      </c>
      <c r="F6" s="21">
        <v>754009</v>
      </c>
      <c r="G6" s="21" t="s">
        <v>162</v>
      </c>
      <c r="H6" s="38" t="s">
        <v>114</v>
      </c>
      <c r="I6" s="39" t="str">
        <f ca="1">IFERROR(__xludf.DUMMYFUNCTION("IF(SUM(COUNTIF(artists!A:A, SPLIT(D6, "",""))) &gt; 0, ""UA"", 0)"),"UA")</f>
        <v>UA</v>
      </c>
      <c r="J6" s="40">
        <f ca="1">IFERROR(__xludf.DUMMYFUNCTION("IF(SUM(COUNTIF(artists!C:C, SPLIT(D6, "",""))) &gt; 0, ""RU"", 0)"),0)</f>
        <v>0</v>
      </c>
      <c r="K6" s="39">
        <f ca="1">IFERROR(__xludf.DUMMYFUNCTION("IF(SUM(COUNTIF(artists!E:E, SPLIT(D6, "",""))) &gt; 0, ""OTHER"", 0)"),0)</f>
        <v>0</v>
      </c>
    </row>
    <row r="7" spans="1:11">
      <c r="A7" s="21">
        <v>6</v>
      </c>
      <c r="B7" s="21">
        <v>9</v>
      </c>
      <c r="C7" s="21" t="s">
        <v>103</v>
      </c>
      <c r="D7" s="21" t="s">
        <v>104</v>
      </c>
      <c r="E7" s="21">
        <v>7</v>
      </c>
      <c r="F7" s="21">
        <v>664404</v>
      </c>
      <c r="G7" s="21" t="s">
        <v>724</v>
      </c>
      <c r="H7" s="38" t="s">
        <v>106</v>
      </c>
      <c r="I7" s="39" t="str">
        <f ca="1">IFERROR(__xludf.DUMMYFUNCTION("IF(SUM(COUNTIF(artists!A:A, SPLIT(D7, "",""))) &gt; 0, ""UA"", 0)"),"UA")</f>
        <v>UA</v>
      </c>
      <c r="J7" s="40">
        <f ca="1">IFERROR(__xludf.DUMMYFUNCTION("IF(SUM(COUNTIF(artists!C:C, SPLIT(D7, "",""))) &gt; 0, ""RU"", 0)"),0)</f>
        <v>0</v>
      </c>
      <c r="K7" s="39">
        <f ca="1">IFERROR(__xludf.DUMMYFUNCTION("IF(SUM(COUNTIF(artists!E:E, SPLIT(D7, "",""))) &gt; 0, ""OTHER"", 0)"),0)</f>
        <v>0</v>
      </c>
    </row>
    <row r="8" spans="1:11">
      <c r="A8" s="21">
        <v>7</v>
      </c>
      <c r="B8" s="21">
        <v>7</v>
      </c>
      <c r="C8" s="21" t="s">
        <v>121</v>
      </c>
      <c r="D8" s="21" t="s">
        <v>122</v>
      </c>
      <c r="E8" s="21">
        <v>6</v>
      </c>
      <c r="F8" s="21">
        <v>663547</v>
      </c>
      <c r="G8" s="21" t="s">
        <v>725</v>
      </c>
      <c r="H8" s="38" t="s">
        <v>123</v>
      </c>
      <c r="I8" s="39" t="str">
        <f ca="1">IFERROR(__xludf.DUMMYFUNCTION("IF(SUM(COUNTIF(artists!A:A, SPLIT(D8, "",""))) &gt; 0, ""UA"", 0)"),"UA")</f>
        <v>UA</v>
      </c>
      <c r="J8" s="40">
        <f ca="1">IFERROR(__xludf.DUMMYFUNCTION("IF(SUM(COUNTIF(artists!C:C, SPLIT(D8, "",""))) &gt; 0, ""RU"", 0)"),0)</f>
        <v>0</v>
      </c>
      <c r="K8" s="39">
        <f ca="1">IFERROR(__xludf.DUMMYFUNCTION("IF(SUM(COUNTIF(artists!E:E, SPLIT(D8, "",""))) &gt; 0, ""OTHER"", 0)"),0)</f>
        <v>0</v>
      </c>
    </row>
    <row r="9" spans="1:11">
      <c r="A9" s="21">
        <v>8</v>
      </c>
      <c r="B9" s="21">
        <v>6</v>
      </c>
      <c r="C9" s="21" t="s">
        <v>153</v>
      </c>
      <c r="D9" s="21" t="s">
        <v>154</v>
      </c>
      <c r="E9" s="21">
        <v>6</v>
      </c>
      <c r="F9" s="21">
        <v>640433</v>
      </c>
      <c r="G9" s="41">
        <v>-0.14000000000000001</v>
      </c>
      <c r="H9" s="38" t="s">
        <v>156</v>
      </c>
      <c r="I9" s="39">
        <f ca="1">IFERROR(__xludf.DUMMYFUNCTION("IF(SUM(COUNTIF(artists!A:A, SPLIT(D9, "",""))) &gt; 0, ""UA"", 0)"),0)</f>
        <v>0</v>
      </c>
      <c r="J9" s="40" t="str">
        <f ca="1">IFERROR(__xludf.DUMMYFUNCTION("IF(SUM(COUNTIF(artists!C:C, SPLIT(D9, "",""))) &gt; 0, ""RU"", 0)"),"RU")</f>
        <v>RU</v>
      </c>
      <c r="K9" s="39">
        <f ca="1">IFERROR(__xludf.DUMMYFUNCTION("IF(SUM(COUNTIF(artists!E:E, SPLIT(D9, "",""))) &gt; 0, ""OTHER"", 0)"),0)</f>
        <v>0</v>
      </c>
    </row>
    <row r="10" spans="1:11">
      <c r="A10" s="21">
        <v>9</v>
      </c>
      <c r="B10" s="21">
        <v>8</v>
      </c>
      <c r="C10" s="21" t="s">
        <v>84</v>
      </c>
      <c r="D10" s="21" t="s">
        <v>85</v>
      </c>
      <c r="E10" s="21">
        <v>5</v>
      </c>
      <c r="F10" s="21">
        <v>605305</v>
      </c>
      <c r="G10" s="21" t="s">
        <v>239</v>
      </c>
      <c r="H10" s="38" t="s">
        <v>87</v>
      </c>
      <c r="I10" s="39" t="str">
        <f ca="1">IFERROR(__xludf.DUMMYFUNCTION("IF(SUM(COUNTIF(artists!A:A, SPLIT(D10, "",""))) &gt; 0, ""UA"", 0)"),"UA")</f>
        <v>UA</v>
      </c>
      <c r="J10" s="40">
        <f ca="1">IFERROR(__xludf.DUMMYFUNCTION("IF(SUM(COUNTIF(artists!C:C, SPLIT(D10, "",""))) &gt; 0, ""RU"", 0)"),0)</f>
        <v>0</v>
      </c>
      <c r="K10" s="39">
        <f ca="1">IFERROR(__xludf.DUMMYFUNCTION("IF(SUM(COUNTIF(artists!E:E, SPLIT(D10, "",""))) &gt; 0, ""OTHER"", 0)"),0)</f>
        <v>0</v>
      </c>
    </row>
    <row r="11" spans="1:11">
      <c r="A11" s="21">
        <v>10</v>
      </c>
      <c r="B11" s="21">
        <v>10</v>
      </c>
      <c r="C11" s="21" t="s">
        <v>128</v>
      </c>
      <c r="D11" s="21" t="s">
        <v>129</v>
      </c>
      <c r="E11" s="21">
        <v>34</v>
      </c>
      <c r="F11" s="21">
        <v>580817</v>
      </c>
      <c r="G11" s="21" t="s">
        <v>641</v>
      </c>
      <c r="H11" s="38" t="s">
        <v>131</v>
      </c>
      <c r="I11" s="39" t="str">
        <f ca="1">IFERROR(__xludf.DUMMYFUNCTION("IF(SUM(COUNTIF(artists!A:A, SPLIT(D11, "",""))) &gt; 0, ""UA"", 0)"),"UA")</f>
        <v>UA</v>
      </c>
      <c r="J11" s="40">
        <f ca="1">IFERROR(__xludf.DUMMYFUNCTION("IF(SUM(COUNTIF(artists!C:C, SPLIT(D11, "",""))) &gt; 0, ""RU"", 0)"),0)</f>
        <v>0</v>
      </c>
      <c r="K11" s="39">
        <f ca="1">IFERROR(__xludf.DUMMYFUNCTION("IF(SUM(COUNTIF(artists!E:E, SPLIT(D11, "",""))) &gt; 0, ""OTHER"", 0)"),0)</f>
        <v>0</v>
      </c>
    </row>
    <row r="12" spans="1:11">
      <c r="A12" s="21">
        <v>11</v>
      </c>
      <c r="B12" s="21">
        <v>12</v>
      </c>
      <c r="C12" s="21" t="s">
        <v>107</v>
      </c>
      <c r="D12" s="21" t="s">
        <v>108</v>
      </c>
      <c r="E12" s="21">
        <v>6</v>
      </c>
      <c r="F12" s="21">
        <v>538168</v>
      </c>
      <c r="G12" s="21" t="s">
        <v>392</v>
      </c>
      <c r="H12" s="38" t="s">
        <v>110</v>
      </c>
      <c r="I12" s="39" t="str">
        <f ca="1">IFERROR(__xludf.DUMMYFUNCTION("IF(SUM(COUNTIF(artists!A:A, SPLIT(D12, "",""))) &gt; 0, ""UA"", 0)"),"UA")</f>
        <v>UA</v>
      </c>
      <c r="J12" s="40">
        <f ca="1">IFERROR(__xludf.DUMMYFUNCTION("IF(SUM(COUNTIF(artists!C:C, SPLIT(D12, "",""))) &gt; 0, ""RU"", 0)"),0)</f>
        <v>0</v>
      </c>
      <c r="K12" s="39">
        <f ca="1">IFERROR(__xludf.DUMMYFUNCTION("IF(SUM(COUNTIF(artists!E:E, SPLIT(D12, "",""))) &gt; 0, ""OTHER"", 0)"),0)</f>
        <v>0</v>
      </c>
    </row>
    <row r="13" spans="1:11">
      <c r="A13" s="21">
        <v>12</v>
      </c>
      <c r="B13" s="21">
        <v>11</v>
      </c>
      <c r="C13" s="21" t="s">
        <v>645</v>
      </c>
      <c r="D13" s="21" t="s">
        <v>352</v>
      </c>
      <c r="E13" s="21">
        <v>51</v>
      </c>
      <c r="F13" s="21">
        <v>531324</v>
      </c>
      <c r="G13" s="21" t="s">
        <v>726</v>
      </c>
      <c r="H13" s="38" t="s">
        <v>647</v>
      </c>
      <c r="I13" s="39" t="str">
        <f ca="1">IFERROR(__xludf.DUMMYFUNCTION("IF(SUM(COUNTIF(artists!A:A, SPLIT(D13, "",""))) &gt; 0, ""UA"", 0)"),"UA")</f>
        <v>UA</v>
      </c>
      <c r="J13" s="40">
        <f ca="1">IFERROR(__xludf.DUMMYFUNCTION("IF(SUM(COUNTIF(artists!C:C, SPLIT(D13, "",""))) &gt; 0, ""RU"", 0)"),0)</f>
        <v>0</v>
      </c>
      <c r="K13" s="39">
        <f ca="1">IFERROR(__xludf.DUMMYFUNCTION("IF(SUM(COUNTIF(artists!E:E, SPLIT(D13, "",""))) &gt; 0, ""OTHER"", 0)"),0)</f>
        <v>0</v>
      </c>
    </row>
    <row r="14" spans="1:11">
      <c r="A14" s="21">
        <v>13</v>
      </c>
      <c r="B14" s="21">
        <v>14</v>
      </c>
      <c r="C14" s="21" t="s">
        <v>132</v>
      </c>
      <c r="D14" s="21" t="s">
        <v>133</v>
      </c>
      <c r="E14" s="21">
        <v>38</v>
      </c>
      <c r="F14" s="21">
        <v>487825</v>
      </c>
      <c r="G14" s="21" t="s">
        <v>444</v>
      </c>
      <c r="H14" s="38" t="s">
        <v>135</v>
      </c>
      <c r="I14" s="39" t="str">
        <f ca="1">IFERROR(__xludf.DUMMYFUNCTION("IF(SUM(COUNTIF(artists!A:A, SPLIT(D14, "",""))) &gt; 0, ""UA"", 0)"),"UA")</f>
        <v>UA</v>
      </c>
      <c r="J14" s="40">
        <f ca="1">IFERROR(__xludf.DUMMYFUNCTION("IF(SUM(COUNTIF(artists!C:C, SPLIT(D14, "",""))) &gt; 0, ""RU"", 0)"),0)</f>
        <v>0</v>
      </c>
      <c r="K14" s="39">
        <f ca="1">IFERROR(__xludf.DUMMYFUNCTION("IF(SUM(COUNTIF(artists!E:E, SPLIT(D14, "",""))) &gt; 0, ""OTHER"", 0)"),0)</f>
        <v>0</v>
      </c>
    </row>
    <row r="15" spans="1:11">
      <c r="A15" s="21">
        <v>14</v>
      </c>
      <c r="B15" s="21">
        <v>15</v>
      </c>
      <c r="C15" s="21" t="s">
        <v>115</v>
      </c>
      <c r="D15" s="21" t="s">
        <v>116</v>
      </c>
      <c r="E15" s="21">
        <v>28</v>
      </c>
      <c r="F15" s="21">
        <v>486810</v>
      </c>
      <c r="G15" s="21" t="s">
        <v>727</v>
      </c>
      <c r="H15" s="38" t="s">
        <v>117</v>
      </c>
      <c r="I15" s="39" t="str">
        <f ca="1">IFERROR(__xludf.DUMMYFUNCTION("IF(SUM(COUNTIF(artists!A:A, SPLIT(D15, "",""))) &gt; 0, ""UA"", 0)"),"UA")</f>
        <v>UA</v>
      </c>
      <c r="J15" s="40">
        <f ca="1">IFERROR(__xludf.DUMMYFUNCTION("IF(SUM(COUNTIF(artists!C:C, SPLIT(D15, "",""))) &gt; 0, ""RU"", 0)"),0)</f>
        <v>0</v>
      </c>
      <c r="K15" s="39">
        <f ca="1">IFERROR(__xludf.DUMMYFUNCTION("IF(SUM(COUNTIF(artists!E:E, SPLIT(D15, "",""))) &gt; 0, ""OTHER"", 0)"),0)</f>
        <v>0</v>
      </c>
    </row>
    <row r="16" spans="1:11">
      <c r="A16" s="21">
        <v>15</v>
      </c>
      <c r="B16" s="21">
        <v>16</v>
      </c>
      <c r="C16" s="21" t="s">
        <v>168</v>
      </c>
      <c r="D16" s="21" t="s">
        <v>137</v>
      </c>
      <c r="E16" s="21">
        <v>29</v>
      </c>
      <c r="F16" s="21">
        <v>457317</v>
      </c>
      <c r="G16" s="21" t="s">
        <v>245</v>
      </c>
      <c r="H16" s="38" t="s">
        <v>170</v>
      </c>
      <c r="I16" s="39" t="str">
        <f ca="1">IFERROR(__xludf.DUMMYFUNCTION("IF(SUM(COUNTIF(artists!A:A, SPLIT(D16, "",""))) &gt; 0, ""UA"", 0)"),"UA")</f>
        <v>UA</v>
      </c>
      <c r="J16" s="40">
        <f ca="1">IFERROR(__xludf.DUMMYFUNCTION("IF(SUM(COUNTIF(artists!C:C, SPLIT(D16, "",""))) &gt; 0, ""RU"", 0)"),0)</f>
        <v>0</v>
      </c>
      <c r="K16" s="39">
        <f ca="1">IFERROR(__xludf.DUMMYFUNCTION("IF(SUM(COUNTIF(artists!E:E, SPLIT(D16, "",""))) &gt; 0, ""OTHER"", 0)"),0)</f>
        <v>0</v>
      </c>
    </row>
    <row r="17" spans="1:11">
      <c r="A17" s="21">
        <v>16</v>
      </c>
      <c r="B17" s="21">
        <v>19</v>
      </c>
      <c r="C17" s="21" t="s">
        <v>149</v>
      </c>
      <c r="D17" s="21" t="s">
        <v>150</v>
      </c>
      <c r="E17" s="21">
        <v>31</v>
      </c>
      <c r="F17" s="21">
        <v>453950</v>
      </c>
      <c r="G17" s="21" t="s">
        <v>552</v>
      </c>
      <c r="H17" s="38" t="s">
        <v>152</v>
      </c>
      <c r="I17" s="39" t="str">
        <f ca="1">IFERROR(__xludf.DUMMYFUNCTION("IF(SUM(COUNTIF(artists!A:A, SPLIT(D17, "",""))) &gt; 0, ""UA"", 0)"),"UA")</f>
        <v>UA</v>
      </c>
      <c r="J17" s="40">
        <f ca="1">IFERROR(__xludf.DUMMYFUNCTION("IF(SUM(COUNTIF(artists!C:C, SPLIT(D17, "",""))) &gt; 0, ""RU"", 0)"),0)</f>
        <v>0</v>
      </c>
      <c r="K17" s="39">
        <f ca="1">IFERROR(__xludf.DUMMYFUNCTION("IF(SUM(COUNTIF(artists!E:E, SPLIT(D17, "",""))) &gt; 0, ""OTHER"", 0)"),0)</f>
        <v>0</v>
      </c>
    </row>
    <row r="18" spans="1:11">
      <c r="A18" s="21">
        <v>17</v>
      </c>
      <c r="B18" s="21">
        <v>18</v>
      </c>
      <c r="C18" s="21" t="s">
        <v>145</v>
      </c>
      <c r="D18" s="21" t="s">
        <v>146</v>
      </c>
      <c r="E18" s="21">
        <v>32</v>
      </c>
      <c r="F18" s="21">
        <v>422711</v>
      </c>
      <c r="G18" s="21" t="s">
        <v>725</v>
      </c>
      <c r="H18" s="38" t="s">
        <v>148</v>
      </c>
      <c r="I18" s="39" t="str">
        <f ca="1">IFERROR(__xludf.DUMMYFUNCTION("IF(SUM(COUNTIF(artists!A:A, SPLIT(D18, "",""))) &gt; 0, ""UA"", 0)"),"UA")</f>
        <v>UA</v>
      </c>
      <c r="J18" s="40">
        <f ca="1">IFERROR(__xludf.DUMMYFUNCTION("IF(SUM(COUNTIF(artists!C:C, SPLIT(D18, "",""))) &gt; 0, ""RU"", 0)"),0)</f>
        <v>0</v>
      </c>
      <c r="K18" s="39">
        <f ca="1">IFERROR(__xludf.DUMMYFUNCTION("IF(SUM(COUNTIF(artists!E:E, SPLIT(D18, "",""))) &gt; 0, ""OTHER"", 0)"),0)</f>
        <v>0</v>
      </c>
    </row>
    <row r="19" spans="1:11">
      <c r="A19" s="21">
        <v>18</v>
      </c>
      <c r="B19" s="21">
        <v>13</v>
      </c>
      <c r="C19" s="21" t="s">
        <v>290</v>
      </c>
      <c r="D19" s="21" t="s">
        <v>291</v>
      </c>
      <c r="E19" s="21">
        <v>3</v>
      </c>
      <c r="F19" s="21">
        <v>422183</v>
      </c>
      <c r="G19" s="21" t="s">
        <v>728</v>
      </c>
      <c r="H19" s="38" t="s">
        <v>293</v>
      </c>
      <c r="I19" s="39" t="str">
        <f ca="1">IFERROR(__xludf.DUMMYFUNCTION("IF(SUM(COUNTIF(artists!A:A, SPLIT(D19, "",""))) &gt; 0, ""UA"", 0)"),"UA")</f>
        <v>UA</v>
      </c>
      <c r="J19" s="40">
        <f ca="1">IFERROR(__xludf.DUMMYFUNCTION("IF(SUM(COUNTIF(artists!C:C, SPLIT(D19, "",""))) &gt; 0, ""RU"", 0)"),0)</f>
        <v>0</v>
      </c>
      <c r="K19" s="39">
        <f ca="1">IFERROR(__xludf.DUMMYFUNCTION("IF(SUM(COUNTIF(artists!E:E, SPLIT(D19, "",""))) &gt; 0, ""OTHER"", 0)"),0)</f>
        <v>0</v>
      </c>
    </row>
    <row r="20" spans="1:11">
      <c r="A20" s="21">
        <v>19</v>
      </c>
      <c r="B20" s="21">
        <v>17</v>
      </c>
      <c r="C20" s="21" t="s">
        <v>99</v>
      </c>
      <c r="D20" s="21" t="s">
        <v>100</v>
      </c>
      <c r="E20" s="21">
        <v>8</v>
      </c>
      <c r="F20" s="21">
        <v>409560</v>
      </c>
      <c r="G20" s="21" t="s">
        <v>729</v>
      </c>
      <c r="H20" s="38" t="s">
        <v>102</v>
      </c>
      <c r="I20" s="39" t="str">
        <f ca="1">IFERROR(__xludf.DUMMYFUNCTION("IF(SUM(COUNTIF(artists!A:A, SPLIT(D20, "",""))) &gt; 0, ""UA"", 0)"),"UA")</f>
        <v>UA</v>
      </c>
      <c r="J20" s="40">
        <f ca="1">IFERROR(__xludf.DUMMYFUNCTION("IF(SUM(COUNTIF(artists!C:C, SPLIT(D20, "",""))) &gt; 0, ""RU"", 0)"),0)</f>
        <v>0</v>
      </c>
      <c r="K20" s="39">
        <f ca="1">IFERROR(__xludf.DUMMYFUNCTION("IF(SUM(COUNTIF(artists!E:E, SPLIT(D20, "",""))) &gt; 0, ""OTHER"", 0)"),0)</f>
        <v>0</v>
      </c>
    </row>
    <row r="21" spans="1:11">
      <c r="A21" s="21">
        <v>20</v>
      </c>
      <c r="B21" s="21">
        <v>22</v>
      </c>
      <c r="C21" s="21" t="s">
        <v>175</v>
      </c>
      <c r="D21" s="21" t="s">
        <v>89</v>
      </c>
      <c r="E21" s="21">
        <v>38</v>
      </c>
      <c r="F21" s="21">
        <v>387696</v>
      </c>
      <c r="G21" s="21" t="s">
        <v>429</v>
      </c>
      <c r="H21" s="38" t="s">
        <v>177</v>
      </c>
      <c r="I21" s="39" t="str">
        <f ca="1">IFERROR(__xludf.DUMMYFUNCTION("IF(SUM(COUNTIF(artists!A:A, SPLIT(D21, "",""))) &gt; 0, ""UA"", 0)"),"UA")</f>
        <v>UA</v>
      </c>
      <c r="J21" s="40">
        <f ca="1">IFERROR(__xludf.DUMMYFUNCTION("IF(SUM(COUNTIF(artists!C:C, SPLIT(D21, "",""))) &gt; 0, ""RU"", 0)"),0)</f>
        <v>0</v>
      </c>
      <c r="K21" s="39">
        <f ca="1">IFERROR(__xludf.DUMMYFUNCTION("IF(SUM(COUNTIF(artists!E:E, SPLIT(D21, "",""))) &gt; 0, ""OTHER"", 0)"),0)</f>
        <v>0</v>
      </c>
    </row>
    <row r="22" spans="1:11">
      <c r="A22" s="21">
        <v>21</v>
      </c>
      <c r="B22" s="21">
        <v>21</v>
      </c>
      <c r="C22" s="21" t="s">
        <v>171</v>
      </c>
      <c r="D22" s="21" t="s">
        <v>172</v>
      </c>
      <c r="E22" s="21">
        <v>33</v>
      </c>
      <c r="F22" s="21">
        <v>380318</v>
      </c>
      <c r="G22" s="41">
        <v>-0.03</v>
      </c>
      <c r="H22" s="38" t="s">
        <v>174</v>
      </c>
      <c r="I22" s="39">
        <f ca="1">IFERROR(__xludf.DUMMYFUNCTION("IF(SUM(COUNTIF(artists!A:A, SPLIT(D22, "",""))) &gt; 0, ""UA"", 0)"),0)</f>
        <v>0</v>
      </c>
      <c r="J22" s="40" t="str">
        <f ca="1">IFERROR(__xludf.DUMMYFUNCTION("IF(SUM(COUNTIF(artists!C:C, SPLIT(D22, "",""))) &gt; 0, ""RU"", 0)"),"RU")</f>
        <v>RU</v>
      </c>
      <c r="K22" s="39">
        <f ca="1">IFERROR(__xludf.DUMMYFUNCTION("IF(SUM(COUNTIF(artists!E:E, SPLIT(D22, "",""))) &gt; 0, ""OTHER"", 0)"),0)</f>
        <v>0</v>
      </c>
    </row>
    <row r="23" spans="1:11">
      <c r="A23" s="21">
        <v>22</v>
      </c>
      <c r="B23" s="21">
        <v>28</v>
      </c>
      <c r="C23" s="21" t="s">
        <v>160</v>
      </c>
      <c r="D23" s="21" t="s">
        <v>161</v>
      </c>
      <c r="E23" s="21">
        <v>32</v>
      </c>
      <c r="F23" s="21">
        <v>377830</v>
      </c>
      <c r="G23" s="21" t="s">
        <v>427</v>
      </c>
      <c r="H23" s="38" t="s">
        <v>163</v>
      </c>
      <c r="I23" s="39" t="str">
        <f ca="1">IFERROR(__xludf.DUMMYFUNCTION("IF(SUM(COUNTIF(artists!A:A, SPLIT(D23, "",""))) &gt; 0, ""UA"", 0)"),"UA")</f>
        <v>UA</v>
      </c>
      <c r="J23" s="40">
        <f ca="1">IFERROR(__xludf.DUMMYFUNCTION("IF(SUM(COUNTIF(artists!C:C, SPLIT(D23, "",""))) &gt; 0, ""RU"", 0)"),0)</f>
        <v>0</v>
      </c>
      <c r="K23" s="39">
        <f ca="1">IFERROR(__xludf.DUMMYFUNCTION("IF(SUM(COUNTIF(artists!E:E, SPLIT(D23, "",""))) &gt; 0, ""OTHER"", 0)"),0)</f>
        <v>0</v>
      </c>
    </row>
    <row r="24" spans="1:11">
      <c r="A24" s="21">
        <v>23</v>
      </c>
      <c r="B24" s="21">
        <v>24</v>
      </c>
      <c r="C24" s="21" t="s">
        <v>182</v>
      </c>
      <c r="D24" s="21" t="s">
        <v>183</v>
      </c>
      <c r="E24" s="21">
        <v>34</v>
      </c>
      <c r="F24" s="21">
        <v>361175</v>
      </c>
      <c r="G24" s="21" t="s">
        <v>730</v>
      </c>
      <c r="H24" s="38" t="s">
        <v>185</v>
      </c>
      <c r="I24" s="39" t="str">
        <f ca="1">IFERROR(__xludf.DUMMYFUNCTION("IF(SUM(COUNTIF(artists!A:A, SPLIT(D24, "",""))) &gt; 0, ""UA"", 0)"),"UA")</f>
        <v>UA</v>
      </c>
      <c r="J24" s="40">
        <f ca="1">IFERROR(__xludf.DUMMYFUNCTION("IF(SUM(COUNTIF(artists!C:C, SPLIT(D24, "",""))) &gt; 0, ""RU"", 0)"),0)</f>
        <v>0</v>
      </c>
      <c r="K24" s="39">
        <f ca="1">IFERROR(__xludf.DUMMYFUNCTION("IF(SUM(COUNTIF(artists!E:E, SPLIT(D24, "",""))) &gt; 0, ""OTHER"", 0)"),0)</f>
        <v>0</v>
      </c>
    </row>
    <row r="25" spans="1:11">
      <c r="A25" s="21">
        <v>24</v>
      </c>
      <c r="B25" s="21">
        <v>26</v>
      </c>
      <c r="C25" s="21" t="s">
        <v>186</v>
      </c>
      <c r="D25" s="21" t="s">
        <v>187</v>
      </c>
      <c r="E25" s="21">
        <v>42</v>
      </c>
      <c r="F25" s="21">
        <v>360162</v>
      </c>
      <c r="G25" s="21" t="s">
        <v>724</v>
      </c>
      <c r="H25" s="38" t="s">
        <v>189</v>
      </c>
      <c r="I25" s="39" t="str">
        <f ca="1">IFERROR(__xludf.DUMMYFUNCTION("IF(SUM(COUNTIF(artists!A:A, SPLIT(D25, "",""))) &gt; 0, ""UA"", 0)"),"UA")</f>
        <v>UA</v>
      </c>
      <c r="J25" s="40">
        <f ca="1">IFERROR(__xludf.DUMMYFUNCTION("IF(SUM(COUNTIF(artists!C:C, SPLIT(D25, "",""))) &gt; 0, ""RU"", 0)"),0)</f>
        <v>0</v>
      </c>
      <c r="K25" s="39">
        <f ca="1">IFERROR(__xludf.DUMMYFUNCTION("IF(SUM(COUNTIF(artists!E:E, SPLIT(D25, "",""))) &gt; 0, ""OTHER"", 0)"),0)</f>
        <v>0</v>
      </c>
    </row>
    <row r="26" spans="1:11">
      <c r="A26" s="21">
        <v>25</v>
      </c>
      <c r="B26" s="21">
        <v>51</v>
      </c>
      <c r="C26" s="21" t="s">
        <v>217</v>
      </c>
      <c r="D26" s="21" t="s">
        <v>218</v>
      </c>
      <c r="E26" s="21">
        <v>2</v>
      </c>
      <c r="F26" s="21">
        <v>358362</v>
      </c>
      <c r="G26" s="21" t="s">
        <v>731</v>
      </c>
      <c r="H26" s="38" t="s">
        <v>220</v>
      </c>
      <c r="I26" s="39" t="str">
        <f ca="1">IFERROR(__xludf.DUMMYFUNCTION("IF(SUM(COUNTIF(artists!A:A, SPLIT(D26, "",""))) &gt; 0, ""UA"", 0)"),"UA")</f>
        <v>UA</v>
      </c>
      <c r="J26" s="40">
        <f ca="1">IFERROR(__xludf.DUMMYFUNCTION("IF(SUM(COUNTIF(artists!C:C, SPLIT(D26, "",""))) &gt; 0, ""RU"", 0)"),0)</f>
        <v>0</v>
      </c>
      <c r="K26" s="39">
        <f ca="1">IFERROR(__xludf.DUMMYFUNCTION("IF(SUM(COUNTIF(artists!E:E, SPLIT(D26, "",""))) &gt; 0, ""OTHER"", 0)"),0)</f>
        <v>0</v>
      </c>
    </row>
    <row r="27" spans="1:11">
      <c r="A27" s="21">
        <v>26</v>
      </c>
      <c r="B27" s="21">
        <v>23</v>
      </c>
      <c r="C27" s="21" t="s">
        <v>136</v>
      </c>
      <c r="D27" s="21" t="s">
        <v>137</v>
      </c>
      <c r="E27" s="21">
        <v>4</v>
      </c>
      <c r="F27" s="21">
        <v>355775</v>
      </c>
      <c r="G27" s="21" t="s">
        <v>732</v>
      </c>
      <c r="H27" s="38" t="s">
        <v>138</v>
      </c>
      <c r="I27" s="39" t="str">
        <f ca="1">IFERROR(__xludf.DUMMYFUNCTION("IF(SUM(COUNTIF(artists!A:A, SPLIT(D27, "",""))) &gt; 0, ""UA"", 0)"),"UA")</f>
        <v>UA</v>
      </c>
      <c r="J27" s="40">
        <f ca="1">IFERROR(__xludf.DUMMYFUNCTION("IF(SUM(COUNTIF(artists!C:C, SPLIT(D27, "",""))) &gt; 0, ""RU"", 0)"),0)</f>
        <v>0</v>
      </c>
      <c r="K27" s="39">
        <f ca="1">IFERROR(__xludf.DUMMYFUNCTION("IF(SUM(COUNTIF(artists!E:E, SPLIT(D27, "",""))) &gt; 0, ""OTHER"", 0)"),0)</f>
        <v>0</v>
      </c>
    </row>
    <row r="28" spans="1:11">
      <c r="A28" s="21">
        <v>27</v>
      </c>
      <c r="C28" s="21" t="s">
        <v>221</v>
      </c>
      <c r="D28" s="21" t="s">
        <v>222</v>
      </c>
      <c r="E28" s="21">
        <v>1</v>
      </c>
      <c r="F28" s="21">
        <v>354796</v>
      </c>
      <c r="H28" s="38" t="s">
        <v>224</v>
      </c>
      <c r="I28" s="39">
        <f ca="1">IFERROR(__xludf.DUMMYFUNCTION("IF(SUM(COUNTIF(artists!A:A, SPLIT(D28, "",""))) &gt; 0, ""UA"", 0)"),0)</f>
        <v>0</v>
      </c>
      <c r="J28" s="40">
        <f ca="1">IFERROR(__xludf.DUMMYFUNCTION("IF(SUM(COUNTIF(artists!C:C, SPLIT(D28, "",""))) &gt; 0, ""RU"", 0)"),0)</f>
        <v>0</v>
      </c>
      <c r="K28" s="39" t="str">
        <f ca="1">IFERROR(__xludf.DUMMYFUNCTION("IF(SUM(COUNTIF(artists!E:E, SPLIT(D28, "",""))) &gt; 0, ""OTHER"", 0)"),"OTHER")</f>
        <v>OTHER</v>
      </c>
    </row>
    <row r="29" spans="1:11">
      <c r="A29" s="21">
        <v>28</v>
      </c>
      <c r="B29" s="21">
        <v>37</v>
      </c>
      <c r="C29" s="21" t="s">
        <v>164</v>
      </c>
      <c r="D29" s="21" t="s">
        <v>165</v>
      </c>
      <c r="E29" s="21">
        <v>5</v>
      </c>
      <c r="F29" s="21">
        <v>330110</v>
      </c>
      <c r="G29" s="21" t="s">
        <v>733</v>
      </c>
      <c r="H29" s="38" t="s">
        <v>167</v>
      </c>
      <c r="I29" s="39" t="str">
        <f ca="1">IFERROR(__xludf.DUMMYFUNCTION("IF(SUM(COUNTIF(artists!A:A, SPLIT(D29, "",""))) &gt; 0, ""UA"", 0)"),"UA")</f>
        <v>UA</v>
      </c>
      <c r="J29" s="40">
        <f ca="1">IFERROR(__xludf.DUMMYFUNCTION("IF(SUM(COUNTIF(artists!C:C, SPLIT(D29, "",""))) &gt; 0, ""RU"", 0)"),0)</f>
        <v>0</v>
      </c>
      <c r="K29" s="39">
        <f ca="1">IFERROR(__xludf.DUMMYFUNCTION("IF(SUM(COUNTIF(artists!E:E, SPLIT(D29, "",""))) &gt; 0, ""OTHER"", 0)"),0)</f>
        <v>0</v>
      </c>
    </row>
    <row r="30" spans="1:11">
      <c r="A30" s="21">
        <v>29</v>
      </c>
      <c r="B30" s="21">
        <v>25</v>
      </c>
      <c r="C30" s="21" t="s">
        <v>202</v>
      </c>
      <c r="D30" s="21" t="s">
        <v>203</v>
      </c>
      <c r="E30" s="21">
        <v>28</v>
      </c>
      <c r="F30" s="21">
        <v>326094</v>
      </c>
      <c r="G30" s="41">
        <v>-0.1</v>
      </c>
      <c r="H30" s="38" t="s">
        <v>204</v>
      </c>
      <c r="I30" s="39" t="str">
        <f ca="1">IFERROR(__xludf.DUMMYFUNCTION("IF(SUM(COUNTIF(artists!A:A, SPLIT(D30, "",""))) &gt; 0, ""UA"", 0)"),"UA")</f>
        <v>UA</v>
      </c>
      <c r="J30" s="40">
        <f ca="1">IFERROR(__xludf.DUMMYFUNCTION("IF(SUM(COUNTIF(artists!C:C, SPLIT(D30, "",""))) &gt; 0, ""RU"", 0)"),0)</f>
        <v>0</v>
      </c>
      <c r="K30" s="39">
        <f ca="1">IFERROR(__xludf.DUMMYFUNCTION("IF(SUM(COUNTIF(artists!E:E, SPLIT(D30, "",""))) &gt; 0, ""OTHER"", 0)"),0)</f>
        <v>0</v>
      </c>
    </row>
    <row r="31" spans="1:11">
      <c r="A31" s="21">
        <v>30</v>
      </c>
      <c r="B31" s="21">
        <v>29</v>
      </c>
      <c r="C31" s="21" t="s">
        <v>653</v>
      </c>
      <c r="D31" s="21" t="s">
        <v>85</v>
      </c>
      <c r="E31" s="21">
        <v>14</v>
      </c>
      <c r="F31" s="21">
        <v>314431</v>
      </c>
      <c r="G31" s="21" t="s">
        <v>109</v>
      </c>
      <c r="H31" s="38" t="s">
        <v>655</v>
      </c>
      <c r="I31" s="39" t="str">
        <f ca="1">IFERROR(__xludf.DUMMYFUNCTION("IF(SUM(COUNTIF(artists!A:A, SPLIT(D31, "",""))) &gt; 0, ""UA"", 0)"),"UA")</f>
        <v>UA</v>
      </c>
      <c r="J31" s="40">
        <f ca="1">IFERROR(__xludf.DUMMYFUNCTION("IF(SUM(COUNTIF(artists!C:C, SPLIT(D31, "",""))) &gt; 0, ""RU"", 0)"),0)</f>
        <v>0</v>
      </c>
      <c r="K31" s="39">
        <f ca="1">IFERROR(__xludf.DUMMYFUNCTION("IF(SUM(COUNTIF(artists!E:E, SPLIT(D31, "",""))) &gt; 0, ""OTHER"", 0)"),0)</f>
        <v>0</v>
      </c>
    </row>
    <row r="32" spans="1:11">
      <c r="A32" s="21">
        <v>31</v>
      </c>
      <c r="B32" s="21">
        <v>43</v>
      </c>
      <c r="C32" s="21" t="s">
        <v>268</v>
      </c>
      <c r="D32" s="21" t="s">
        <v>466</v>
      </c>
      <c r="E32" s="21">
        <v>11</v>
      </c>
      <c r="F32" s="21">
        <v>309703</v>
      </c>
      <c r="G32" s="21" t="s">
        <v>734</v>
      </c>
      <c r="H32" s="38" t="s">
        <v>270</v>
      </c>
      <c r="I32" s="39" t="str">
        <f ca="1">IFERROR(__xludf.DUMMYFUNCTION("IF(SUM(COUNTIF(artists!A:A, SPLIT(D32, "",""))) &gt; 0, ""UA"", 0)"),"UA")</f>
        <v>UA</v>
      </c>
      <c r="J32" s="40">
        <f ca="1">IFERROR(__xludf.DUMMYFUNCTION("IF(SUM(COUNTIF(artists!C:C, SPLIT(D32, "",""))) &gt; 0, ""RU"", 0)"),0)</f>
        <v>0</v>
      </c>
      <c r="K32" s="39">
        <f ca="1">IFERROR(__xludf.DUMMYFUNCTION("IF(SUM(COUNTIF(artists!E:E, SPLIT(D32, "",""))) &gt; 0, ""OTHER"", 0)"),0)</f>
        <v>0</v>
      </c>
    </row>
    <row r="33" spans="1:11">
      <c r="A33" s="21">
        <v>32</v>
      </c>
      <c r="B33" s="21">
        <v>27</v>
      </c>
      <c r="C33" s="21" t="s">
        <v>237</v>
      </c>
      <c r="D33" s="21" t="s">
        <v>238</v>
      </c>
      <c r="E33" s="21">
        <v>7</v>
      </c>
      <c r="F33" s="21">
        <v>306499</v>
      </c>
      <c r="G33" s="41">
        <v>-0.14000000000000001</v>
      </c>
      <c r="H33" s="38" t="s">
        <v>240</v>
      </c>
      <c r="I33" s="39" t="str">
        <f ca="1">IFERROR(__xludf.DUMMYFUNCTION("IF(SUM(COUNTIF(artists!A:A, SPLIT(D33, "",""))) &gt; 0, ""UA"", 0)"),"UA")</f>
        <v>UA</v>
      </c>
      <c r="J33" s="40">
        <f ca="1">IFERROR(__xludf.DUMMYFUNCTION("IF(SUM(COUNTIF(artists!C:C, SPLIT(D33, "",""))) &gt; 0, ""RU"", 0)"),0)</f>
        <v>0</v>
      </c>
      <c r="K33" s="39">
        <f ca="1">IFERROR(__xludf.DUMMYFUNCTION("IF(SUM(COUNTIF(artists!E:E, SPLIT(D33, "",""))) &gt; 0, ""OTHER"", 0)"),0)</f>
        <v>0</v>
      </c>
    </row>
    <row r="34" spans="1:11">
      <c r="A34" s="21">
        <v>33</v>
      </c>
      <c r="B34" s="21">
        <v>34</v>
      </c>
      <c r="C34" s="21" t="s">
        <v>178</v>
      </c>
      <c r="D34" s="21" t="s">
        <v>179</v>
      </c>
      <c r="E34" s="21">
        <v>42</v>
      </c>
      <c r="F34" s="21">
        <v>301650</v>
      </c>
      <c r="G34" s="21" t="s">
        <v>439</v>
      </c>
      <c r="H34" s="38" t="s">
        <v>181</v>
      </c>
      <c r="I34" s="39" t="str">
        <f ca="1">IFERROR(__xludf.DUMMYFUNCTION("IF(SUM(COUNTIF(artists!A:A, SPLIT(D34, "",""))) &gt; 0, ""UA"", 0)"),"UA")</f>
        <v>UA</v>
      </c>
      <c r="J34" s="40">
        <f ca="1">IFERROR(__xludf.DUMMYFUNCTION("IF(SUM(COUNTIF(artists!C:C, SPLIT(D34, "",""))) &gt; 0, ""RU"", 0)"),0)</f>
        <v>0</v>
      </c>
      <c r="K34" s="39">
        <f ca="1">IFERROR(__xludf.DUMMYFUNCTION("IF(SUM(COUNTIF(artists!E:E, SPLIT(D34, "",""))) &gt; 0, ""OTHER"", 0)"),0)</f>
        <v>0</v>
      </c>
    </row>
    <row r="35" spans="1:11">
      <c r="A35" s="21">
        <v>34</v>
      </c>
      <c r="B35" s="21">
        <v>30</v>
      </c>
      <c r="C35" s="21" t="s">
        <v>277</v>
      </c>
      <c r="D35" s="21" t="s">
        <v>125</v>
      </c>
      <c r="E35" s="21">
        <v>5</v>
      </c>
      <c r="F35" s="21">
        <v>300498</v>
      </c>
      <c r="G35" s="21" t="s">
        <v>735</v>
      </c>
      <c r="H35" s="38" t="s">
        <v>279</v>
      </c>
      <c r="I35" s="39">
        <f ca="1">IFERROR(__xludf.DUMMYFUNCTION("IF(SUM(COUNTIF(artists!A:A, SPLIT(D35, "",""))) &gt; 0, ""UA"", 0)"),0)</f>
        <v>0</v>
      </c>
      <c r="J35" s="40" t="str">
        <f ca="1">IFERROR(__xludf.DUMMYFUNCTION("IF(SUM(COUNTIF(artists!C:C, SPLIT(D35, "",""))) &gt; 0, ""RU"", 0)"),"RU")</f>
        <v>RU</v>
      </c>
      <c r="K35" s="39">
        <f ca="1">IFERROR(__xludf.DUMMYFUNCTION("IF(SUM(COUNTIF(artists!E:E, SPLIT(D35, "",""))) &gt; 0, ""OTHER"", 0)"),0)</f>
        <v>0</v>
      </c>
    </row>
    <row r="36" spans="1:11">
      <c r="A36" s="21">
        <v>35</v>
      </c>
      <c r="B36" s="21">
        <v>32</v>
      </c>
      <c r="C36" s="21" t="s">
        <v>198</v>
      </c>
      <c r="D36" s="21" t="s">
        <v>199</v>
      </c>
      <c r="E36" s="21">
        <v>19</v>
      </c>
      <c r="F36" s="21">
        <v>296546</v>
      </c>
      <c r="G36" s="21" t="s">
        <v>166</v>
      </c>
      <c r="H36" s="38" t="s">
        <v>201</v>
      </c>
      <c r="I36" s="39" t="str">
        <f ca="1">IFERROR(__xludf.DUMMYFUNCTION("IF(SUM(COUNTIF(artists!A:A, SPLIT(D36, "",""))) &gt; 0, ""UA"", 0)"),"UA")</f>
        <v>UA</v>
      </c>
      <c r="J36" s="40">
        <f ca="1">IFERROR(__xludf.DUMMYFUNCTION("IF(SUM(COUNTIF(artists!C:C, SPLIT(D36, "",""))) &gt; 0, ""RU"", 0)"),0)</f>
        <v>0</v>
      </c>
      <c r="K36" s="39">
        <f ca="1">IFERROR(__xludf.DUMMYFUNCTION("IF(SUM(COUNTIF(artists!E:E, SPLIT(D36, "",""))) &gt; 0, ""OTHER"", 0)"),0)</f>
        <v>0</v>
      </c>
    </row>
    <row r="37" spans="1:11">
      <c r="A37" s="21">
        <v>36</v>
      </c>
      <c r="B37" s="21">
        <v>31</v>
      </c>
      <c r="C37" s="21" t="s">
        <v>194</v>
      </c>
      <c r="D37" s="21" t="s">
        <v>195</v>
      </c>
      <c r="E37" s="21">
        <v>41</v>
      </c>
      <c r="F37" s="21">
        <v>295249</v>
      </c>
      <c r="G37" s="21" t="s">
        <v>86</v>
      </c>
      <c r="H37" s="38" t="s">
        <v>197</v>
      </c>
      <c r="I37" s="39" t="str">
        <f ca="1">IFERROR(__xludf.DUMMYFUNCTION("IF(SUM(COUNTIF(artists!A:A, SPLIT(D37, "",""))) &gt; 0, ""UA"", 0)"),"UA")</f>
        <v>UA</v>
      </c>
      <c r="J37" s="40">
        <f ca="1">IFERROR(__xludf.DUMMYFUNCTION("IF(SUM(COUNTIF(artists!C:C, SPLIT(D37, "",""))) &gt; 0, ""RU"", 0)"),0)</f>
        <v>0</v>
      </c>
      <c r="K37" s="39">
        <f ca="1">IFERROR(__xludf.DUMMYFUNCTION("IF(SUM(COUNTIF(artists!E:E, SPLIT(D37, "",""))) &gt; 0, ""OTHER"", 0)"),0)</f>
        <v>0</v>
      </c>
    </row>
    <row r="38" spans="1:11">
      <c r="A38" s="21">
        <v>37</v>
      </c>
      <c r="B38" s="21">
        <v>38</v>
      </c>
      <c r="C38" s="21" t="s">
        <v>190</v>
      </c>
      <c r="D38" s="21" t="s">
        <v>191</v>
      </c>
      <c r="E38" s="21">
        <v>13</v>
      </c>
      <c r="F38" s="21">
        <v>289656</v>
      </c>
      <c r="G38" s="21" t="s">
        <v>469</v>
      </c>
      <c r="H38" s="38" t="s">
        <v>193</v>
      </c>
      <c r="I38" s="39" t="str">
        <f ca="1">IFERROR(__xludf.DUMMYFUNCTION("IF(SUM(COUNTIF(artists!A:A, SPLIT(D38, "",""))) &gt; 0, ""UA"", 0)"),"UA")</f>
        <v>UA</v>
      </c>
      <c r="J38" s="40">
        <f ca="1">IFERROR(__xludf.DUMMYFUNCTION("IF(SUM(COUNTIF(artists!C:C, SPLIT(D38, "",""))) &gt; 0, ""RU"", 0)"),0)</f>
        <v>0</v>
      </c>
      <c r="K38" s="39">
        <f ca="1">IFERROR(__xludf.DUMMYFUNCTION("IF(SUM(COUNTIF(artists!E:E, SPLIT(D38, "",""))) &gt; 0, ""OTHER"", 0)"),0)</f>
        <v>0</v>
      </c>
    </row>
    <row r="39" spans="1:11">
      <c r="A39" s="21">
        <v>38</v>
      </c>
      <c r="B39" s="21">
        <v>41</v>
      </c>
      <c r="C39" s="21" t="s">
        <v>209</v>
      </c>
      <c r="D39" s="21" t="s">
        <v>210</v>
      </c>
      <c r="E39" s="21">
        <v>31</v>
      </c>
      <c r="F39" s="21">
        <v>281935</v>
      </c>
      <c r="G39" s="21" t="s">
        <v>371</v>
      </c>
      <c r="H39" s="38" t="s">
        <v>212</v>
      </c>
      <c r="I39" s="39" t="str">
        <f ca="1">IFERROR(__xludf.DUMMYFUNCTION("IF(SUM(COUNTIF(artists!A:A, SPLIT(D39, "",""))) &gt; 0, ""UA"", 0)"),"UA")</f>
        <v>UA</v>
      </c>
      <c r="J39" s="40">
        <f ca="1">IFERROR(__xludf.DUMMYFUNCTION("IF(SUM(COUNTIF(artists!C:C, SPLIT(D39, "",""))) &gt; 0, ""RU"", 0)"),0)</f>
        <v>0</v>
      </c>
      <c r="K39" s="39">
        <f ca="1">IFERROR(__xludf.DUMMYFUNCTION("IF(SUM(COUNTIF(artists!E:E, SPLIT(D39, "",""))) &gt; 0, ""OTHER"", 0)"),0)</f>
        <v>0</v>
      </c>
    </row>
    <row r="40" spans="1:11">
      <c r="A40" s="21">
        <v>39</v>
      </c>
      <c r="B40" s="21">
        <v>35</v>
      </c>
      <c r="C40" s="21" t="s">
        <v>247</v>
      </c>
      <c r="D40" s="21" t="s">
        <v>454</v>
      </c>
      <c r="E40" s="21">
        <v>15</v>
      </c>
      <c r="F40" s="21">
        <v>271144</v>
      </c>
      <c r="G40" s="21" t="s">
        <v>592</v>
      </c>
      <c r="H40" s="38" t="s">
        <v>250</v>
      </c>
      <c r="I40" s="39" t="str">
        <f ca="1">IFERROR(__xludf.DUMMYFUNCTION("IF(SUM(COUNTIF(artists!A:A, SPLIT(D40, "",""))) &gt; 0, ""UA"", 0)"),"UA")</f>
        <v>UA</v>
      </c>
      <c r="J40" s="40">
        <f ca="1">IFERROR(__xludf.DUMMYFUNCTION("IF(SUM(COUNTIF(artists!C:C, SPLIT(D40, "",""))) &gt; 0, ""RU"", 0)"),0)</f>
        <v>0</v>
      </c>
      <c r="K40" s="39">
        <f ca="1">IFERROR(__xludf.DUMMYFUNCTION("IF(SUM(COUNTIF(artists!E:E, SPLIT(D40, "",""))) &gt; 0, ""OTHER"", 0)"),0)</f>
        <v>0</v>
      </c>
    </row>
    <row r="41" spans="1:11">
      <c r="A41" s="21">
        <v>40</v>
      </c>
      <c r="B41" s="21">
        <v>33</v>
      </c>
      <c r="C41" s="21" t="s">
        <v>261</v>
      </c>
      <c r="D41" s="21" t="s">
        <v>262</v>
      </c>
      <c r="E41" s="21">
        <v>8</v>
      </c>
      <c r="F41" s="21">
        <v>265334</v>
      </c>
      <c r="G41" s="21" t="s">
        <v>736</v>
      </c>
      <c r="H41" s="38" t="s">
        <v>263</v>
      </c>
      <c r="I41" s="39" t="str">
        <f ca="1">IFERROR(__xludf.DUMMYFUNCTION("IF(SUM(COUNTIF(artists!A:A, SPLIT(D41, "",""))) &gt; 0, ""UA"", 0)"),"UA")</f>
        <v>UA</v>
      </c>
      <c r="J41" s="40">
        <f ca="1">IFERROR(__xludf.DUMMYFUNCTION("IF(SUM(COUNTIF(artists!C:C, SPLIT(D41, "",""))) &gt; 0, ""RU"", 0)"),0)</f>
        <v>0</v>
      </c>
      <c r="K41" s="39">
        <f ca="1">IFERROR(__xludf.DUMMYFUNCTION("IF(SUM(COUNTIF(artists!E:E, SPLIT(D41, "",""))) &gt; 0, ""OTHER"", 0)"),0)</f>
        <v>0</v>
      </c>
    </row>
    <row r="42" spans="1:11">
      <c r="A42" s="21">
        <v>41</v>
      </c>
      <c r="B42" s="21">
        <v>39</v>
      </c>
      <c r="C42" s="21" t="s">
        <v>462</v>
      </c>
      <c r="D42" s="21" t="s">
        <v>463</v>
      </c>
      <c r="E42" s="21">
        <v>23</v>
      </c>
      <c r="F42" s="21">
        <v>257083</v>
      </c>
      <c r="G42" s="21" t="s">
        <v>657</v>
      </c>
      <c r="H42" s="38" t="s">
        <v>465</v>
      </c>
      <c r="I42" s="39" t="str">
        <f ca="1">IFERROR(__xludf.DUMMYFUNCTION("IF(SUM(COUNTIF(artists!A:A, SPLIT(D42, "",""))) &gt; 0, ""UA"", 0)"),"UA")</f>
        <v>UA</v>
      </c>
      <c r="J42" s="40">
        <f ca="1">IFERROR(__xludf.DUMMYFUNCTION("IF(SUM(COUNTIF(artists!C:C, SPLIT(D42, "",""))) &gt; 0, ""RU"", 0)"),0)</f>
        <v>0</v>
      </c>
      <c r="K42" s="39">
        <f ca="1">IFERROR(__xludf.DUMMYFUNCTION("IF(SUM(COUNTIF(artists!E:E, SPLIT(D42, "",""))) &gt; 0, ""OTHER"", 0)"),0)</f>
        <v>0</v>
      </c>
    </row>
    <row r="43" spans="1:11">
      <c r="A43" s="21">
        <v>42</v>
      </c>
      <c r="B43" s="21">
        <v>42</v>
      </c>
      <c r="C43" s="21" t="s">
        <v>229</v>
      </c>
      <c r="D43" s="21" t="s">
        <v>230</v>
      </c>
      <c r="E43" s="21">
        <v>45</v>
      </c>
      <c r="F43" s="21">
        <v>256791</v>
      </c>
      <c r="G43" s="21" t="s">
        <v>726</v>
      </c>
      <c r="H43" s="38" t="s">
        <v>232</v>
      </c>
      <c r="I43" s="39" t="str">
        <f ca="1">IFERROR(__xludf.DUMMYFUNCTION("IF(SUM(COUNTIF(artists!A:A, SPLIT(D43, "",""))) &gt; 0, ""UA"", 0)"),"UA")</f>
        <v>UA</v>
      </c>
      <c r="J43" s="40">
        <f ca="1">IFERROR(__xludf.DUMMYFUNCTION("IF(SUM(COUNTIF(artists!C:C, SPLIT(D43, "",""))) &gt; 0, ""RU"", 0)"),0)</f>
        <v>0</v>
      </c>
      <c r="K43" s="39">
        <f ca="1">IFERROR(__xludf.DUMMYFUNCTION("IF(SUM(COUNTIF(artists!E:E, SPLIT(D43, "",""))) &gt; 0, ""OTHER"", 0)"),0)</f>
        <v>0</v>
      </c>
    </row>
    <row r="44" spans="1:11">
      <c r="A44" s="21">
        <v>43</v>
      </c>
      <c r="B44" s="21">
        <v>44</v>
      </c>
      <c r="C44" s="21" t="s">
        <v>253</v>
      </c>
      <c r="D44" s="21" t="s">
        <v>89</v>
      </c>
      <c r="E44" s="21">
        <v>47</v>
      </c>
      <c r="F44" s="21">
        <v>248027</v>
      </c>
      <c r="G44" s="21" t="s">
        <v>737</v>
      </c>
      <c r="H44" s="38" t="s">
        <v>254</v>
      </c>
      <c r="I44" s="39" t="str">
        <f ca="1">IFERROR(__xludf.DUMMYFUNCTION("IF(SUM(COUNTIF(artists!A:A, SPLIT(D44, "",""))) &gt; 0, ""UA"", 0)"),"UA")</f>
        <v>UA</v>
      </c>
      <c r="J44" s="40">
        <f ca="1">IFERROR(__xludf.DUMMYFUNCTION("IF(SUM(COUNTIF(artists!C:C, SPLIT(D44, "",""))) &gt; 0, ""RU"", 0)"),0)</f>
        <v>0</v>
      </c>
      <c r="K44" s="39">
        <f ca="1">IFERROR(__xludf.DUMMYFUNCTION("IF(SUM(COUNTIF(artists!E:E, SPLIT(D44, "",""))) &gt; 0, ""OTHER"", 0)"),0)</f>
        <v>0</v>
      </c>
    </row>
    <row r="45" spans="1:11">
      <c r="A45" s="21">
        <v>44</v>
      </c>
      <c r="B45" s="21">
        <v>36</v>
      </c>
      <c r="C45" s="21" t="s">
        <v>286</v>
      </c>
      <c r="D45" s="21" t="s">
        <v>287</v>
      </c>
      <c r="E45" s="21">
        <v>13</v>
      </c>
      <c r="F45" s="21">
        <v>246744</v>
      </c>
      <c r="G45" s="21" t="s">
        <v>664</v>
      </c>
      <c r="H45" s="38" t="s">
        <v>289</v>
      </c>
      <c r="I45" s="39">
        <f ca="1">IFERROR(__xludf.DUMMYFUNCTION("IF(SUM(COUNTIF(artists!A:A, SPLIT(D45, "",""))) &gt; 0, ""UA"", 0)"),0)</f>
        <v>0</v>
      </c>
      <c r="J45" s="40" t="str">
        <f ca="1">IFERROR(__xludf.DUMMYFUNCTION("IF(SUM(COUNTIF(artists!C:C, SPLIT(D45, "",""))) &gt; 0, ""RU"", 0)"),"RU")</f>
        <v>RU</v>
      </c>
      <c r="K45" s="39">
        <f ca="1">IFERROR(__xludf.DUMMYFUNCTION("IF(SUM(COUNTIF(artists!E:E, SPLIT(D45, "",""))) &gt; 0, ""OTHER"", 0)"),0)</f>
        <v>0</v>
      </c>
    </row>
    <row r="46" spans="1:11">
      <c r="A46" s="21">
        <v>45</v>
      </c>
      <c r="B46" s="21">
        <v>45</v>
      </c>
      <c r="C46" s="21" t="s">
        <v>251</v>
      </c>
      <c r="D46" s="21" t="s">
        <v>133</v>
      </c>
      <c r="E46" s="21">
        <v>23</v>
      </c>
      <c r="F46" s="21">
        <v>238715</v>
      </c>
      <c r="G46" s="21" t="s">
        <v>433</v>
      </c>
      <c r="H46" s="38" t="s">
        <v>252</v>
      </c>
      <c r="I46" s="39" t="str">
        <f ca="1">IFERROR(__xludf.DUMMYFUNCTION("IF(SUM(COUNTIF(artists!A:A, SPLIT(D46, "",""))) &gt; 0, ""UA"", 0)"),"UA")</f>
        <v>UA</v>
      </c>
      <c r="J46" s="40">
        <f ca="1">IFERROR(__xludf.DUMMYFUNCTION("IF(SUM(COUNTIF(artists!C:C, SPLIT(D46, "",""))) &gt; 0, ""RU"", 0)"),0)</f>
        <v>0</v>
      </c>
      <c r="K46" s="39">
        <f ca="1">IFERROR(__xludf.DUMMYFUNCTION("IF(SUM(COUNTIF(artists!E:E, SPLIT(D46, "",""))) &gt; 0, ""OTHER"", 0)"),0)</f>
        <v>0</v>
      </c>
    </row>
    <row r="47" spans="1:11">
      <c r="A47" s="21">
        <v>46</v>
      </c>
      <c r="B47" s="21">
        <v>40</v>
      </c>
      <c r="C47" s="21" t="s">
        <v>294</v>
      </c>
      <c r="D47" s="21" t="s">
        <v>295</v>
      </c>
      <c r="E47" s="21">
        <v>10</v>
      </c>
      <c r="F47" s="21">
        <v>232499</v>
      </c>
      <c r="G47" s="21" t="s">
        <v>738</v>
      </c>
      <c r="H47" s="38" t="s">
        <v>297</v>
      </c>
      <c r="I47" s="39">
        <f ca="1">IFERROR(__xludf.DUMMYFUNCTION("IF(SUM(COUNTIF(artists!A:A, SPLIT(D47, "",""))) &gt; 0, ""UA"", 0)"),0)</f>
        <v>0</v>
      </c>
      <c r="J47" s="40" t="str">
        <f ca="1">IFERROR(__xludf.DUMMYFUNCTION("IF(SUM(COUNTIF(artists!C:C, SPLIT(D47, "",""))) &gt; 0, ""RU"", 0)"),"RU")</f>
        <v>RU</v>
      </c>
      <c r="K47" s="39">
        <f ca="1">IFERROR(__xludf.DUMMYFUNCTION("IF(SUM(COUNTIF(artists!E:E, SPLIT(D47, "",""))) &gt; 0, ""OTHER"", 0)"),0)</f>
        <v>0</v>
      </c>
    </row>
    <row r="48" spans="1:11">
      <c r="A48" s="21">
        <v>47</v>
      </c>
      <c r="B48" s="21">
        <v>47</v>
      </c>
      <c r="C48" s="21" t="s">
        <v>264</v>
      </c>
      <c r="D48" s="21" t="s">
        <v>265</v>
      </c>
      <c r="E48" s="21">
        <v>16</v>
      </c>
      <c r="F48" s="21">
        <v>226403</v>
      </c>
      <c r="G48" s="21" t="s">
        <v>322</v>
      </c>
      <c r="H48" s="38" t="s">
        <v>267</v>
      </c>
      <c r="I48" s="39">
        <f ca="1">IFERROR(__xludf.DUMMYFUNCTION("IF(SUM(COUNTIF(artists!A:A, SPLIT(D48, "",""))) &gt; 0, ""UA"", 0)"),0)</f>
        <v>0</v>
      </c>
      <c r="J48" s="40">
        <f ca="1">IFERROR(__xludf.DUMMYFUNCTION("IF(SUM(COUNTIF(artists!C:C, SPLIT(D48, "",""))) &gt; 0, ""RU"", 0)"),0)</f>
        <v>0</v>
      </c>
      <c r="K48" s="39" t="str">
        <f ca="1">IFERROR(__xludf.DUMMYFUNCTION("IF(SUM(COUNTIF(artists!E:E, SPLIT(D48, "",""))) &gt; 0, ""OTHER"", 0)"),"OTHER")</f>
        <v>OTHER</v>
      </c>
    </row>
    <row r="49" spans="1:11">
      <c r="A49" s="21">
        <v>48</v>
      </c>
      <c r="C49" s="21" t="s">
        <v>579</v>
      </c>
      <c r="D49" s="21" t="s">
        <v>183</v>
      </c>
      <c r="E49" s="21">
        <v>24</v>
      </c>
      <c r="F49" s="21">
        <v>220850</v>
      </c>
      <c r="H49" s="38" t="s">
        <v>580</v>
      </c>
      <c r="I49" s="39" t="str">
        <f ca="1">IFERROR(__xludf.DUMMYFUNCTION("IF(SUM(COUNTIF(artists!A:A, SPLIT(D49, "",""))) &gt; 0, ""UA"", 0)"),"UA")</f>
        <v>UA</v>
      </c>
      <c r="J49" s="40">
        <f ca="1">IFERROR(__xludf.DUMMYFUNCTION("IF(SUM(COUNTIF(artists!C:C, SPLIT(D49, "",""))) &gt; 0, ""RU"", 0)"),0)</f>
        <v>0</v>
      </c>
      <c r="K49" s="39">
        <f ca="1">IFERROR(__xludf.DUMMYFUNCTION("IF(SUM(COUNTIF(artists!E:E, SPLIT(D49, "",""))) &gt; 0, ""OTHER"", 0)"),0)</f>
        <v>0</v>
      </c>
    </row>
    <row r="50" spans="1:11">
      <c r="A50" s="21">
        <v>49</v>
      </c>
      <c r="B50" s="21">
        <v>50</v>
      </c>
      <c r="C50" s="21" t="s">
        <v>456</v>
      </c>
      <c r="D50" s="21" t="s">
        <v>457</v>
      </c>
      <c r="E50" s="21">
        <v>18</v>
      </c>
      <c r="F50" s="21">
        <v>214970</v>
      </c>
      <c r="G50" s="21" t="s">
        <v>739</v>
      </c>
      <c r="H50" s="38" t="s">
        <v>459</v>
      </c>
      <c r="I50" s="39">
        <f ca="1">IFERROR(__xludf.DUMMYFUNCTION("IF(SUM(COUNTIF(artists!A:A, SPLIT(D50, "",""))) &gt; 0, ""UA"", 0)"),0)</f>
        <v>0</v>
      </c>
      <c r="J50" s="40">
        <f ca="1">IFERROR(__xludf.DUMMYFUNCTION("IF(SUM(COUNTIF(artists!C:C, SPLIT(D50, "",""))) &gt; 0, ""RU"", 0)"),0)</f>
        <v>0</v>
      </c>
      <c r="K50" s="39" t="str">
        <f ca="1">IFERROR(__xludf.DUMMYFUNCTION("IF(SUM(COUNTIF(artists!E:E, SPLIT(D50, "",""))) &gt; 0, ""OTHER"", 0)"),"OTHER")</f>
        <v>OTHER</v>
      </c>
    </row>
    <row r="51" spans="1:11">
      <c r="A51" s="21">
        <v>50</v>
      </c>
      <c r="B51" s="21">
        <v>48</v>
      </c>
      <c r="C51" s="21" t="s">
        <v>298</v>
      </c>
      <c r="D51" s="21" t="s">
        <v>299</v>
      </c>
      <c r="E51" s="21">
        <v>15</v>
      </c>
      <c r="F51" s="21">
        <v>210979</v>
      </c>
      <c r="G51" s="41">
        <v>-0.02</v>
      </c>
      <c r="H51" s="38" t="s">
        <v>300</v>
      </c>
      <c r="I51" s="39">
        <f ca="1">IFERROR(__xludf.DUMMYFUNCTION("IF(SUM(COUNTIF(artists!A:A, SPLIT(D51, "",""))) &gt; 0, ""UA"", 0)"),0)</f>
        <v>0</v>
      </c>
      <c r="J51" s="40">
        <f ca="1">IFERROR(__xludf.DUMMYFUNCTION("IF(SUM(COUNTIF(artists!C:C, SPLIT(D51, "",""))) &gt; 0, ""RU"", 0)"),0)</f>
        <v>0</v>
      </c>
      <c r="K51" s="39" t="str">
        <f ca="1">IFERROR(__xludf.DUMMYFUNCTION("IF(SUM(COUNTIF(artists!E:E, SPLIT(D51, "",""))) &gt; 0, ""OTHER"", 0)"),"OTHER")</f>
        <v>OTHER</v>
      </c>
    </row>
    <row r="52" spans="1:11">
      <c r="A52" s="21">
        <v>51</v>
      </c>
      <c r="B52" s="21">
        <v>46</v>
      </c>
      <c r="C52" s="21" t="s">
        <v>351</v>
      </c>
      <c r="D52" s="21" t="s">
        <v>352</v>
      </c>
      <c r="E52" s="21">
        <v>14</v>
      </c>
      <c r="F52" s="21">
        <v>208225</v>
      </c>
      <c r="G52" s="21" t="s">
        <v>231</v>
      </c>
      <c r="H52" s="38" t="s">
        <v>354</v>
      </c>
      <c r="I52" s="39" t="str">
        <f ca="1">IFERROR(__xludf.DUMMYFUNCTION("IF(SUM(COUNTIF(artists!A:A, SPLIT(D52, "",""))) &gt; 0, ""UA"", 0)"),"UA")</f>
        <v>UA</v>
      </c>
      <c r="J52" s="40">
        <f ca="1">IFERROR(__xludf.DUMMYFUNCTION("IF(SUM(COUNTIF(artists!C:C, SPLIT(D52, "",""))) &gt; 0, ""RU"", 0)"),0)</f>
        <v>0</v>
      </c>
      <c r="K52" s="39">
        <f ca="1">IFERROR(__xludf.DUMMYFUNCTION("IF(SUM(COUNTIF(artists!E:E, SPLIT(D52, "",""))) &gt; 0, ""OTHER"", 0)"),0)</f>
        <v>0</v>
      </c>
    </row>
    <row r="53" spans="1:11">
      <c r="A53" s="21">
        <v>52</v>
      </c>
      <c r="B53" s="21">
        <v>49</v>
      </c>
      <c r="C53" s="21" t="s">
        <v>339</v>
      </c>
      <c r="D53" s="21" t="s">
        <v>340</v>
      </c>
      <c r="E53" s="21">
        <v>14</v>
      </c>
      <c r="F53" s="21">
        <v>206520</v>
      </c>
      <c r="G53" s="21" t="s">
        <v>740</v>
      </c>
      <c r="H53" s="38" t="s">
        <v>342</v>
      </c>
      <c r="I53" s="39" t="str">
        <f ca="1">IFERROR(__xludf.DUMMYFUNCTION("IF(SUM(COUNTIF(artists!A:A, SPLIT(D53, "",""))) &gt; 0, ""UA"", 0)"),"UA")</f>
        <v>UA</v>
      </c>
      <c r="J53" s="40">
        <f ca="1">IFERROR(__xludf.DUMMYFUNCTION("IF(SUM(COUNTIF(artists!C:C, SPLIT(D53, "",""))) &gt; 0, ""RU"", 0)"),0)</f>
        <v>0</v>
      </c>
      <c r="K53" s="39">
        <f ca="1">IFERROR(__xludf.DUMMYFUNCTION("IF(SUM(COUNTIF(artists!E:E, SPLIT(D53, "",""))) &gt; 0, ""OTHER"", 0)"),0)</f>
        <v>0</v>
      </c>
    </row>
    <row r="54" spans="1:11">
      <c r="A54" s="21">
        <v>53</v>
      </c>
      <c r="C54" s="21" t="s">
        <v>255</v>
      </c>
      <c r="D54" s="21" t="s">
        <v>256</v>
      </c>
      <c r="E54" s="21">
        <v>25</v>
      </c>
      <c r="F54" s="21">
        <v>197389</v>
      </c>
      <c r="H54" s="38" t="s">
        <v>257</v>
      </c>
      <c r="I54" s="39" t="str">
        <f ca="1">IFERROR(__xludf.DUMMYFUNCTION("IF(SUM(COUNTIF(artists!A:A, SPLIT(D54, "",""))) &gt; 0, ""UA"", 0)"),"UA")</f>
        <v>UA</v>
      </c>
      <c r="J54" s="40">
        <f ca="1">IFERROR(__xludf.DUMMYFUNCTION("IF(SUM(COUNTIF(artists!C:C, SPLIT(D54, "",""))) &gt; 0, ""RU"", 0)"),0)</f>
        <v>0</v>
      </c>
      <c r="K54" s="39">
        <f ca="1">IFERROR(__xludf.DUMMYFUNCTION("IF(SUM(COUNTIF(artists!E:E, SPLIT(D54, "",""))) &gt; 0, ""OTHER"", 0)"),0)</f>
        <v>0</v>
      </c>
    </row>
    <row r="55" spans="1:11">
      <c r="A55" s="21">
        <v>54</v>
      </c>
      <c r="B55" s="21">
        <v>59</v>
      </c>
      <c r="C55" s="21" t="s">
        <v>244</v>
      </c>
      <c r="D55" s="21" t="s">
        <v>161</v>
      </c>
      <c r="E55" s="21">
        <v>7</v>
      </c>
      <c r="F55" s="21">
        <v>193532</v>
      </c>
      <c r="G55" s="21" t="s">
        <v>445</v>
      </c>
      <c r="H55" s="38" t="s">
        <v>246</v>
      </c>
      <c r="I55" s="39" t="str">
        <f ca="1">IFERROR(__xludf.DUMMYFUNCTION("IF(SUM(COUNTIF(artists!A:A, SPLIT(D55, "",""))) &gt; 0, ""UA"", 0)"),"UA")</f>
        <v>UA</v>
      </c>
      <c r="J55" s="40">
        <f ca="1">IFERROR(__xludf.DUMMYFUNCTION("IF(SUM(COUNTIF(artists!C:C, SPLIT(D55, "",""))) &gt; 0, ""RU"", 0)"),0)</f>
        <v>0</v>
      </c>
      <c r="K55" s="39">
        <f ca="1">IFERROR(__xludf.DUMMYFUNCTION("IF(SUM(COUNTIF(artists!E:E, SPLIT(D55, "",""))) &gt; 0, ""OTHER"", 0)"),0)</f>
        <v>0</v>
      </c>
    </row>
    <row r="56" spans="1:11">
      <c r="A56" s="21">
        <v>55</v>
      </c>
      <c r="B56" s="21">
        <v>53</v>
      </c>
      <c r="C56" s="21" t="s">
        <v>500</v>
      </c>
      <c r="D56" s="21" t="s">
        <v>501</v>
      </c>
      <c r="E56" s="21">
        <v>17</v>
      </c>
      <c r="F56" s="21">
        <v>182495</v>
      </c>
      <c r="G56" s="21" t="s">
        <v>726</v>
      </c>
      <c r="H56" s="38" t="s">
        <v>503</v>
      </c>
      <c r="I56" s="39">
        <f ca="1">IFERROR(__xludf.DUMMYFUNCTION("IF(SUM(COUNTIF(artists!A:A, SPLIT(D56, "",""))) &gt; 0, ""UA"", 0)"),0)</f>
        <v>0</v>
      </c>
      <c r="J56" s="40" t="str">
        <f ca="1">IFERROR(__xludf.DUMMYFUNCTION("IF(SUM(COUNTIF(artists!C:C, SPLIT(D56, "",""))) &gt; 0, ""RU"", 0)"),"RU")</f>
        <v>RU</v>
      </c>
      <c r="K56" s="39">
        <f ca="1">IFERROR(__xludf.DUMMYFUNCTION("IF(SUM(COUNTIF(artists!E:E, SPLIT(D56, "",""))) &gt; 0, ""OTHER"", 0)"),0)</f>
        <v>0</v>
      </c>
    </row>
    <row r="57" spans="1:11">
      <c r="A57" s="21">
        <v>56</v>
      </c>
      <c r="C57" s="21" t="s">
        <v>470</v>
      </c>
      <c r="D57" s="21" t="s">
        <v>81</v>
      </c>
      <c r="E57" s="21">
        <v>23</v>
      </c>
      <c r="F57" s="21">
        <v>182038</v>
      </c>
      <c r="H57" s="38" t="s">
        <v>472</v>
      </c>
      <c r="I57" s="39" t="str">
        <f ca="1">IFERROR(__xludf.DUMMYFUNCTION("IF(SUM(COUNTIF(artists!A:A, SPLIT(D57, "",""))) &gt; 0, ""UA"", 0)"),"UA")</f>
        <v>UA</v>
      </c>
      <c r="J57" s="40">
        <f ca="1">IFERROR(__xludf.DUMMYFUNCTION("IF(SUM(COUNTIF(artists!C:C, SPLIT(D57, "",""))) &gt; 0, ""RU"", 0)"),0)</f>
        <v>0</v>
      </c>
      <c r="K57" s="39">
        <f ca="1">IFERROR(__xludf.DUMMYFUNCTION("IF(SUM(COUNTIF(artists!E:E, SPLIT(D57, "",""))) &gt; 0, ""OTHER"", 0)"),0)</f>
        <v>0</v>
      </c>
    </row>
    <row r="58" spans="1:11">
      <c r="A58" s="21">
        <v>57</v>
      </c>
      <c r="B58" s="21">
        <v>55</v>
      </c>
      <c r="C58" s="21" t="s">
        <v>667</v>
      </c>
      <c r="D58" s="21" t="s">
        <v>668</v>
      </c>
      <c r="E58" s="21">
        <v>19</v>
      </c>
      <c r="F58" s="21">
        <v>174219</v>
      </c>
      <c r="G58" s="21" t="s">
        <v>726</v>
      </c>
      <c r="H58" s="38" t="s">
        <v>669</v>
      </c>
      <c r="I58" s="39">
        <f ca="1">IFERROR(__xludf.DUMMYFUNCTION("IF(SUM(COUNTIF(artists!A:A, SPLIT(D58, "",""))) &gt; 0, ""UA"", 0)"),0)</f>
        <v>0</v>
      </c>
      <c r="J58" s="40" t="str">
        <f ca="1">IFERROR(__xludf.DUMMYFUNCTION("IF(SUM(COUNTIF(artists!C:C, SPLIT(D58, "",""))) &gt; 0, ""RU"", 0)"),"RU")</f>
        <v>RU</v>
      </c>
      <c r="K58" s="39">
        <f ca="1">IFERROR(__xludf.DUMMYFUNCTION("IF(SUM(COUNTIF(artists!E:E, SPLIT(D58, "",""))) &gt; 0, ""OTHER"", 0)"),0)</f>
        <v>0</v>
      </c>
    </row>
    <row r="59" spans="1:11">
      <c r="A59" s="21">
        <v>58</v>
      </c>
      <c r="B59" s="21">
        <v>70</v>
      </c>
      <c r="C59" s="21" t="s">
        <v>324</v>
      </c>
      <c r="D59" s="21" t="s">
        <v>325</v>
      </c>
      <c r="E59" s="21">
        <v>8</v>
      </c>
      <c r="F59" s="21">
        <v>172674</v>
      </c>
      <c r="G59" s="21" t="s">
        <v>445</v>
      </c>
      <c r="H59" s="38" t="s">
        <v>327</v>
      </c>
      <c r="I59" s="39" t="str">
        <f ca="1">IFERROR(__xludf.DUMMYFUNCTION("IF(SUM(COUNTIF(artists!A:A, SPLIT(D59, "",""))) &gt; 0, ""UA"", 0)"),"UA")</f>
        <v>UA</v>
      </c>
      <c r="J59" s="40">
        <f ca="1">IFERROR(__xludf.DUMMYFUNCTION("IF(SUM(COUNTIF(artists!C:C, SPLIT(D59, "",""))) &gt; 0, ""RU"", 0)"),0)</f>
        <v>0</v>
      </c>
      <c r="K59" s="39">
        <f ca="1">IFERROR(__xludf.DUMMYFUNCTION("IF(SUM(COUNTIF(artists!E:E, SPLIT(D59, "",""))) &gt; 0, ""OTHER"", 0)"),0)</f>
        <v>0</v>
      </c>
    </row>
    <row r="60" spans="1:11">
      <c r="A60" s="21">
        <v>59</v>
      </c>
      <c r="B60" s="21">
        <v>57</v>
      </c>
      <c r="C60" s="21" t="s">
        <v>482</v>
      </c>
      <c r="D60" s="21" t="s">
        <v>210</v>
      </c>
      <c r="E60" s="21">
        <v>17</v>
      </c>
      <c r="F60" s="21">
        <v>172348</v>
      </c>
      <c r="G60" s="21" t="s">
        <v>741</v>
      </c>
      <c r="H60" s="38" t="s">
        <v>484</v>
      </c>
      <c r="I60" s="39" t="str">
        <f ca="1">IFERROR(__xludf.DUMMYFUNCTION("IF(SUM(COUNTIF(artists!A:A, SPLIT(D60, "",""))) &gt; 0, ""UA"", 0)"),"UA")</f>
        <v>UA</v>
      </c>
      <c r="J60" s="40">
        <f ca="1">IFERROR(__xludf.DUMMYFUNCTION("IF(SUM(COUNTIF(artists!C:C, SPLIT(D60, "",""))) &gt; 0, ""RU"", 0)"),0)</f>
        <v>0</v>
      </c>
      <c r="K60" s="39">
        <f ca="1">IFERROR(__xludf.DUMMYFUNCTION("IF(SUM(COUNTIF(artists!E:E, SPLIT(D60, "",""))) &gt; 0, ""OTHER"", 0)"),0)</f>
        <v>0</v>
      </c>
    </row>
    <row r="61" spans="1:11">
      <c r="A61" s="21">
        <v>60</v>
      </c>
      <c r="B61" s="21">
        <v>52</v>
      </c>
      <c r="C61" s="21" t="s">
        <v>527</v>
      </c>
      <c r="D61" s="21" t="s">
        <v>528</v>
      </c>
      <c r="E61" s="21">
        <v>17</v>
      </c>
      <c r="F61" s="21">
        <v>170936</v>
      </c>
      <c r="G61" s="21" t="s">
        <v>266</v>
      </c>
      <c r="H61" s="38" t="s">
        <v>529</v>
      </c>
      <c r="I61" s="39" t="str">
        <f ca="1">IFERROR(__xludf.DUMMYFUNCTION("IF(SUM(COUNTIF(artists!A:A, SPLIT(D61, "",""))) &gt; 0, ""UA"", 0)"),"UA")</f>
        <v>UA</v>
      </c>
      <c r="J61" s="40">
        <f ca="1">IFERROR(__xludf.DUMMYFUNCTION("IF(SUM(COUNTIF(artists!C:C, SPLIT(D61, "",""))) &gt; 0, ""RU"", 0)"),0)</f>
        <v>0</v>
      </c>
      <c r="K61" s="39">
        <f ca="1">IFERROR(__xludf.DUMMYFUNCTION("IF(SUM(COUNTIF(artists!E:E, SPLIT(D61, "",""))) &gt; 0, ""OTHER"", 0)"),0)</f>
        <v>0</v>
      </c>
    </row>
    <row r="62" spans="1:11">
      <c r="A62" s="21">
        <v>61</v>
      </c>
      <c r="C62" s="21" t="s">
        <v>486</v>
      </c>
      <c r="D62" s="21" t="s">
        <v>487</v>
      </c>
      <c r="E62" s="21">
        <v>22</v>
      </c>
      <c r="F62" s="21">
        <v>170108</v>
      </c>
      <c r="H62" s="38" t="s">
        <v>488</v>
      </c>
      <c r="I62" s="39">
        <f ca="1">IFERROR(__xludf.DUMMYFUNCTION("IF(SUM(COUNTIF(artists!A:A, SPLIT(D62, "",""))) &gt; 0, ""UA"", 0)"),0)</f>
        <v>0</v>
      </c>
      <c r="J62" s="40">
        <f ca="1">IFERROR(__xludf.DUMMYFUNCTION("IF(SUM(COUNTIF(artists!C:C, SPLIT(D62, "",""))) &gt; 0, ""RU"", 0)"),0)</f>
        <v>0</v>
      </c>
      <c r="K62" s="39" t="str">
        <f ca="1">IFERROR(__xludf.DUMMYFUNCTION("IF(SUM(COUNTIF(artists!E:E, SPLIT(D62, "",""))) &gt; 0, ""OTHER"", 0)"),"OTHER")</f>
        <v>OTHER</v>
      </c>
    </row>
    <row r="63" spans="1:11">
      <c r="A63" s="21">
        <v>62</v>
      </c>
      <c r="B63" s="21">
        <v>60</v>
      </c>
      <c r="C63" s="21" t="s">
        <v>742</v>
      </c>
      <c r="D63" s="21" t="s">
        <v>743</v>
      </c>
      <c r="E63" s="21">
        <v>20</v>
      </c>
      <c r="F63" s="21">
        <v>168802</v>
      </c>
      <c r="G63" s="41">
        <v>0.01</v>
      </c>
      <c r="H63" s="38" t="s">
        <v>744</v>
      </c>
      <c r="I63" s="39">
        <f ca="1">IFERROR(__xludf.DUMMYFUNCTION("IF(SUM(COUNTIF(artists!A:A, SPLIT(D63, "",""))) &gt; 0, ""UA"", 0)"),0)</f>
        <v>0</v>
      </c>
      <c r="J63" s="40" t="str">
        <f ca="1">IFERROR(__xludf.DUMMYFUNCTION("IF(SUM(COUNTIF(artists!C:C, SPLIT(D63, "",""))) &gt; 0, ""RU"", 0)"),"RU")</f>
        <v>RU</v>
      </c>
      <c r="K63" s="39">
        <f ca="1">IFERROR(__xludf.DUMMYFUNCTION("IF(SUM(COUNTIF(artists!E:E, SPLIT(D63, "",""))) &gt; 0, ""OTHER"", 0)"),0)</f>
        <v>0</v>
      </c>
    </row>
    <row r="64" spans="1:11">
      <c r="A64" s="21">
        <v>63</v>
      </c>
      <c r="B64" s="21">
        <v>81</v>
      </c>
      <c r="C64" s="21" t="s">
        <v>258</v>
      </c>
      <c r="D64" s="21" t="s">
        <v>259</v>
      </c>
      <c r="E64" s="21">
        <v>5</v>
      </c>
      <c r="F64" s="21">
        <v>168044</v>
      </c>
      <c r="G64" s="21" t="s">
        <v>745</v>
      </c>
      <c r="H64" s="38" t="s">
        <v>260</v>
      </c>
      <c r="I64" s="39" t="str">
        <f ca="1">IFERROR(__xludf.DUMMYFUNCTION("IF(SUM(COUNTIF(artists!A:A, SPLIT(D64, "",""))) &gt; 0, ""UA"", 0)"),"UA")</f>
        <v>UA</v>
      </c>
      <c r="J64" s="40">
        <f ca="1">IFERROR(__xludf.DUMMYFUNCTION("IF(SUM(COUNTIF(artists!C:C, SPLIT(D64, "",""))) &gt; 0, ""RU"", 0)"),0)</f>
        <v>0</v>
      </c>
      <c r="K64" s="39">
        <f ca="1">IFERROR(__xludf.DUMMYFUNCTION("IF(SUM(COUNTIF(artists!E:E, SPLIT(D64, "",""))) &gt; 0, ""OTHER"", 0)"),0)</f>
        <v>0</v>
      </c>
    </row>
    <row r="65" spans="1:11">
      <c r="A65" s="21">
        <v>64</v>
      </c>
      <c r="B65" s="21">
        <v>61</v>
      </c>
      <c r="C65" s="21" t="s">
        <v>602</v>
      </c>
      <c r="D65" s="21" t="s">
        <v>299</v>
      </c>
      <c r="E65" s="21">
        <v>19</v>
      </c>
      <c r="F65" s="21">
        <v>165818</v>
      </c>
      <c r="G65" s="21" t="s">
        <v>735</v>
      </c>
      <c r="H65" s="38" t="s">
        <v>604</v>
      </c>
      <c r="I65" s="39">
        <f ca="1">IFERROR(__xludf.DUMMYFUNCTION("IF(SUM(COUNTIF(artists!A:A, SPLIT(D65, "",""))) &gt; 0, ""UA"", 0)"),0)</f>
        <v>0</v>
      </c>
      <c r="J65" s="40">
        <f ca="1">IFERROR(__xludf.DUMMYFUNCTION("IF(SUM(COUNTIF(artists!C:C, SPLIT(D65, "",""))) &gt; 0, ""RU"", 0)"),0)</f>
        <v>0</v>
      </c>
      <c r="K65" s="39" t="str">
        <f ca="1">IFERROR(__xludf.DUMMYFUNCTION("IF(SUM(COUNTIF(artists!E:E, SPLIT(D65, "",""))) &gt; 0, ""OTHER"", 0)"),"OTHER")</f>
        <v>OTHER</v>
      </c>
    </row>
    <row r="66" spans="1:11">
      <c r="A66" s="21">
        <v>65</v>
      </c>
      <c r="B66" s="21">
        <v>62</v>
      </c>
      <c r="C66" s="21" t="s">
        <v>508</v>
      </c>
      <c r="D66" s="21" t="s">
        <v>509</v>
      </c>
      <c r="E66" s="21">
        <v>19</v>
      </c>
      <c r="F66" s="21">
        <v>164318</v>
      </c>
      <c r="G66" s="21" t="s">
        <v>746</v>
      </c>
      <c r="H66" s="38" t="s">
        <v>510</v>
      </c>
      <c r="I66" s="39">
        <f ca="1">IFERROR(__xludf.DUMMYFUNCTION("IF(SUM(COUNTIF(artists!A:A, SPLIT(D66, "",""))) &gt; 0, ""UA"", 0)"),0)</f>
        <v>0</v>
      </c>
      <c r="J66" s="40" t="str">
        <f ca="1">IFERROR(__xludf.DUMMYFUNCTION("IF(SUM(COUNTIF(artists!C:C, SPLIT(D66, "",""))) &gt; 0, ""RU"", 0)"),"RU")</f>
        <v>RU</v>
      </c>
      <c r="K66" s="39">
        <f ca="1">IFERROR(__xludf.DUMMYFUNCTION("IF(SUM(COUNTIF(artists!E:E, SPLIT(D66, "",""))) &gt; 0, ""OTHER"", 0)"),0)</f>
        <v>0</v>
      </c>
    </row>
    <row r="67" spans="1:11">
      <c r="A67" s="21">
        <v>66</v>
      </c>
      <c r="B67" s="21">
        <v>56</v>
      </c>
      <c r="C67" s="21" t="s">
        <v>402</v>
      </c>
      <c r="D67" s="21" t="s">
        <v>403</v>
      </c>
      <c r="E67" s="21">
        <v>10</v>
      </c>
      <c r="F67" s="21">
        <v>157844</v>
      </c>
      <c r="G67" s="21" t="s">
        <v>747</v>
      </c>
      <c r="H67" s="38" t="s">
        <v>404</v>
      </c>
      <c r="I67" s="39">
        <f ca="1">IFERROR(__xludf.DUMMYFUNCTION("IF(SUM(COUNTIF(artists!A:A, SPLIT(D67, "",""))) &gt; 0, ""UA"", 0)"),0)</f>
        <v>0</v>
      </c>
      <c r="J67" s="40">
        <f ca="1">IFERROR(__xludf.DUMMYFUNCTION("IF(SUM(COUNTIF(artists!C:C, SPLIT(D67, "",""))) &gt; 0, ""RU"", 0)"),0)</f>
        <v>0</v>
      </c>
      <c r="K67" s="39" t="str">
        <f ca="1">IFERROR(__xludf.DUMMYFUNCTION("IF(SUM(COUNTIF(artists!E:E, SPLIT(D67, "",""))) &gt; 0, ""OTHER"", 0)"),"OTHER")</f>
        <v>OTHER</v>
      </c>
    </row>
    <row r="68" spans="1:11">
      <c r="A68" s="21">
        <v>67</v>
      </c>
      <c r="C68" s="21" t="s">
        <v>748</v>
      </c>
      <c r="D68" s="21" t="s">
        <v>586</v>
      </c>
      <c r="E68" s="21">
        <v>25</v>
      </c>
      <c r="F68" s="21">
        <v>155777</v>
      </c>
      <c r="H68" s="38" t="s">
        <v>749</v>
      </c>
      <c r="I68" s="39" t="str">
        <f ca="1">IFERROR(__xludf.DUMMYFUNCTION("IF(SUM(COUNTIF(artists!A:A, SPLIT(D68, "",""))) &gt; 0, ""UA"", 0)"),"UA")</f>
        <v>UA</v>
      </c>
      <c r="J68" s="40">
        <f ca="1">IFERROR(__xludf.DUMMYFUNCTION("IF(SUM(COUNTIF(artists!C:C, SPLIT(D68, "",""))) &gt; 0, ""RU"", 0)"),0)</f>
        <v>0</v>
      </c>
      <c r="K68" s="39">
        <f ca="1">IFERROR(__xludf.DUMMYFUNCTION("IF(SUM(COUNTIF(artists!E:E, SPLIT(D68, "",""))) &gt; 0, ""OTHER"", 0)"),0)</f>
        <v>0</v>
      </c>
    </row>
    <row r="69" spans="1:11">
      <c r="A69" s="21">
        <v>68</v>
      </c>
      <c r="B69" s="21">
        <v>58</v>
      </c>
      <c r="C69" s="21" t="s">
        <v>233</v>
      </c>
      <c r="D69" s="21" t="s">
        <v>234</v>
      </c>
      <c r="E69" s="21">
        <v>2</v>
      </c>
      <c r="F69" s="21">
        <v>154434</v>
      </c>
      <c r="G69" s="21" t="s">
        <v>664</v>
      </c>
      <c r="H69" s="38" t="s">
        <v>236</v>
      </c>
      <c r="I69" s="39">
        <f ca="1">IFERROR(__xludf.DUMMYFUNCTION("IF(SUM(COUNTIF(artists!A:A, SPLIT(D69, "",""))) &gt; 0, ""UA"", 0)"),0)</f>
        <v>0</v>
      </c>
      <c r="J69" s="40">
        <f ca="1">IFERROR(__xludf.DUMMYFUNCTION("IF(SUM(COUNTIF(artists!C:C, SPLIT(D69, "",""))) &gt; 0, ""RU"", 0)"),0)</f>
        <v>0</v>
      </c>
      <c r="K69" s="39" t="str">
        <f ca="1">IFERROR(__xludf.DUMMYFUNCTION("IF(SUM(COUNTIF(artists!E:E, SPLIT(D69, "",""))) &gt; 0, ""OTHER"", 0)"),"OTHER")</f>
        <v>OTHER</v>
      </c>
    </row>
    <row r="70" spans="1:11">
      <c r="A70" s="21">
        <v>69</v>
      </c>
      <c r="B70" s="21">
        <v>65</v>
      </c>
      <c r="C70" s="21" t="s">
        <v>605</v>
      </c>
      <c r="D70" s="21" t="s">
        <v>299</v>
      </c>
      <c r="E70" s="21">
        <v>18</v>
      </c>
      <c r="F70" s="21">
        <v>154302</v>
      </c>
      <c r="G70" s="21" t="s">
        <v>724</v>
      </c>
      <c r="H70" s="38" t="s">
        <v>607</v>
      </c>
      <c r="I70" s="39">
        <f ca="1">IFERROR(__xludf.DUMMYFUNCTION("IF(SUM(COUNTIF(artists!A:A, SPLIT(D70, "",""))) &gt; 0, ""UA"", 0)"),0)</f>
        <v>0</v>
      </c>
      <c r="J70" s="40">
        <f ca="1">IFERROR(__xludf.DUMMYFUNCTION("IF(SUM(COUNTIF(artists!C:C, SPLIT(D70, "",""))) &gt; 0, ""RU"", 0)"),0)</f>
        <v>0</v>
      </c>
      <c r="K70" s="39" t="str">
        <f ca="1">IFERROR(__xludf.DUMMYFUNCTION("IF(SUM(COUNTIF(artists!E:E, SPLIT(D70, "",""))) &gt; 0, ""OTHER"", 0)"),"OTHER")</f>
        <v>OTHER</v>
      </c>
    </row>
    <row r="71" spans="1:11">
      <c r="A71" s="21">
        <v>70</v>
      </c>
      <c r="C71" s="21" t="s">
        <v>750</v>
      </c>
      <c r="D71" s="21" t="s">
        <v>751</v>
      </c>
      <c r="E71" s="21">
        <v>1</v>
      </c>
      <c r="F71" s="21">
        <v>152255</v>
      </c>
      <c r="H71" s="38" t="s">
        <v>752</v>
      </c>
      <c r="I71" s="39" t="str">
        <f ca="1">IFERROR(__xludf.DUMMYFUNCTION("IF(SUM(COUNTIF(artists!A:A, SPLIT(D71, "",""))) &gt; 0, ""UA"", 0)"),"UA")</f>
        <v>UA</v>
      </c>
      <c r="J71" s="40">
        <f ca="1">IFERROR(__xludf.DUMMYFUNCTION("IF(SUM(COUNTIF(artists!C:C, SPLIT(D71, "",""))) &gt; 0, ""RU"", 0)"),0)</f>
        <v>0</v>
      </c>
      <c r="K71" s="39">
        <f ca="1">IFERROR(__xludf.DUMMYFUNCTION("IF(SUM(COUNTIF(artists!E:E, SPLIT(D71, "",""))) &gt; 0, ""OTHER"", 0)"),0)</f>
        <v>0</v>
      </c>
    </row>
    <row r="72" spans="1:11">
      <c r="A72" s="21">
        <v>71</v>
      </c>
      <c r="B72" s="21">
        <v>63</v>
      </c>
      <c r="C72" s="21" t="s">
        <v>373</v>
      </c>
      <c r="D72" s="21" t="s">
        <v>172</v>
      </c>
      <c r="E72" s="21">
        <v>14</v>
      </c>
      <c r="F72" s="21">
        <v>151989</v>
      </c>
      <c r="G72" s="41">
        <v>-7.0000000000000007E-2</v>
      </c>
      <c r="H72" s="38" t="s">
        <v>375</v>
      </c>
      <c r="I72" s="39">
        <f ca="1">IFERROR(__xludf.DUMMYFUNCTION("IF(SUM(COUNTIF(artists!A:A, SPLIT(D72, "",""))) &gt; 0, ""UA"", 0)"),0)</f>
        <v>0</v>
      </c>
      <c r="J72" s="40" t="str">
        <f ca="1">IFERROR(__xludf.DUMMYFUNCTION("IF(SUM(COUNTIF(artists!C:C, SPLIT(D72, "",""))) &gt; 0, ""RU"", 0)"),"RU")</f>
        <v>RU</v>
      </c>
      <c r="K72" s="39">
        <f ca="1">IFERROR(__xludf.DUMMYFUNCTION("IF(SUM(COUNTIF(artists!E:E, SPLIT(D72, "",""))) &gt; 0, ""OTHER"", 0)"),0)</f>
        <v>0</v>
      </c>
    </row>
    <row r="73" spans="1:11">
      <c r="A73" s="21">
        <v>72</v>
      </c>
      <c r="B73" s="21">
        <v>75</v>
      </c>
      <c r="C73" s="21" t="s">
        <v>282</v>
      </c>
      <c r="D73" s="21" t="s">
        <v>85</v>
      </c>
      <c r="E73" s="21">
        <v>8</v>
      </c>
      <c r="F73" s="21">
        <v>150667</v>
      </c>
      <c r="G73" s="21" t="s">
        <v>560</v>
      </c>
      <c r="H73" s="38" t="s">
        <v>283</v>
      </c>
      <c r="I73" s="39" t="str">
        <f ca="1">IFERROR(__xludf.DUMMYFUNCTION("IF(SUM(COUNTIF(artists!A:A, SPLIT(D73, "",""))) &gt; 0, ""UA"", 0)"),"UA")</f>
        <v>UA</v>
      </c>
      <c r="J73" s="40">
        <f ca="1">IFERROR(__xludf.DUMMYFUNCTION("IF(SUM(COUNTIF(artists!C:C, SPLIT(D73, "",""))) &gt; 0, ""RU"", 0)"),0)</f>
        <v>0</v>
      </c>
      <c r="K73" s="39">
        <f ca="1">IFERROR(__xludf.DUMMYFUNCTION("IF(SUM(COUNTIF(artists!E:E, SPLIT(D73, "",""))) &gt; 0, ""OTHER"", 0)"),0)</f>
        <v>0</v>
      </c>
    </row>
    <row r="74" spans="1:11">
      <c r="A74" s="21">
        <v>73</v>
      </c>
      <c r="B74" s="21">
        <v>71</v>
      </c>
      <c r="C74" s="21" t="s">
        <v>682</v>
      </c>
      <c r="D74" s="21" t="s">
        <v>125</v>
      </c>
      <c r="E74" s="21">
        <v>19</v>
      </c>
      <c r="F74" s="21">
        <v>148045</v>
      </c>
      <c r="G74" s="21" t="s">
        <v>557</v>
      </c>
      <c r="H74" s="38" t="s">
        <v>684</v>
      </c>
      <c r="I74" s="39">
        <f ca="1">IFERROR(__xludf.DUMMYFUNCTION("IF(SUM(COUNTIF(artists!A:A, SPLIT(D74, "",""))) &gt; 0, ""UA"", 0)"),0)</f>
        <v>0</v>
      </c>
      <c r="J74" s="40" t="str">
        <f ca="1">IFERROR(__xludf.DUMMYFUNCTION("IF(SUM(COUNTIF(artists!C:C, SPLIT(D74, "",""))) &gt; 0, ""RU"", 0)"),"RU")</f>
        <v>RU</v>
      </c>
      <c r="K74" s="39">
        <f ca="1">IFERROR(__xludf.DUMMYFUNCTION("IF(SUM(COUNTIF(artists!E:E, SPLIT(D74, "",""))) &gt; 0, ""OTHER"", 0)"),0)</f>
        <v>0</v>
      </c>
    </row>
    <row r="75" spans="1:11">
      <c r="A75" s="21">
        <v>74</v>
      </c>
      <c r="B75" s="21">
        <v>73</v>
      </c>
      <c r="C75" s="21" t="s">
        <v>411</v>
      </c>
      <c r="D75" s="21" t="s">
        <v>412</v>
      </c>
      <c r="E75" s="21">
        <v>2</v>
      </c>
      <c r="F75" s="21">
        <v>147468</v>
      </c>
      <c r="G75" s="21" t="s">
        <v>753</v>
      </c>
      <c r="H75" s="38" t="s">
        <v>413</v>
      </c>
      <c r="I75" s="39" t="str">
        <f ca="1">IFERROR(__xludf.DUMMYFUNCTION("IF(SUM(COUNTIF(artists!A:A, SPLIT(D75, "",""))) &gt; 0, ""UA"", 0)"),"UA")</f>
        <v>UA</v>
      </c>
      <c r="J75" s="40">
        <f ca="1">IFERROR(__xludf.DUMMYFUNCTION("IF(SUM(COUNTIF(artists!C:C, SPLIT(D75, "",""))) &gt; 0, ""RU"", 0)"),0)</f>
        <v>0</v>
      </c>
      <c r="K75" s="39">
        <f ca="1">IFERROR(__xludf.DUMMYFUNCTION("IF(SUM(COUNTIF(artists!E:E, SPLIT(D75, "",""))) &gt; 0, ""OTHER"", 0)"),0)</f>
        <v>0</v>
      </c>
    </row>
    <row r="76" spans="1:11">
      <c r="A76" s="21">
        <v>75</v>
      </c>
      <c r="B76" s="21">
        <v>84</v>
      </c>
      <c r="C76" s="21" t="s">
        <v>309</v>
      </c>
      <c r="D76" s="21" t="s">
        <v>310</v>
      </c>
      <c r="E76" s="21">
        <v>13</v>
      </c>
      <c r="F76" s="21">
        <v>146987</v>
      </c>
      <c r="G76" s="21" t="s">
        <v>754</v>
      </c>
      <c r="H76" s="38" t="s">
        <v>312</v>
      </c>
      <c r="I76" s="39">
        <f ca="1">IFERROR(__xludf.DUMMYFUNCTION("IF(SUM(COUNTIF(artists!A:A, SPLIT(D76, "",""))) &gt; 0, ""UA"", 0)"),0)</f>
        <v>0</v>
      </c>
      <c r="J76" s="40">
        <f ca="1">IFERROR(__xludf.DUMMYFUNCTION("IF(SUM(COUNTIF(artists!C:C, SPLIT(D76, "",""))) &gt; 0, ""RU"", 0)"),0)</f>
        <v>0</v>
      </c>
      <c r="K76" s="39" t="str">
        <f ca="1">IFERROR(__xludf.DUMMYFUNCTION("IF(SUM(COUNTIF(artists!E:E, SPLIT(D76, "",""))) &gt; 0, ""OTHER"", 0)"),"OTHER")</f>
        <v>OTHER</v>
      </c>
    </row>
    <row r="77" spans="1:11">
      <c r="A77" s="21">
        <v>76</v>
      </c>
      <c r="B77" s="21">
        <v>66</v>
      </c>
      <c r="C77" s="21" t="s">
        <v>306</v>
      </c>
      <c r="D77" s="21" t="s">
        <v>307</v>
      </c>
      <c r="E77" s="21">
        <v>4</v>
      </c>
      <c r="F77" s="21">
        <v>146298</v>
      </c>
      <c r="G77" s="21" t="s">
        <v>666</v>
      </c>
      <c r="H77" s="38" t="s">
        <v>308</v>
      </c>
      <c r="I77" s="39">
        <f ca="1">IFERROR(__xludf.DUMMYFUNCTION("IF(SUM(COUNTIF(artists!A:A, SPLIT(D77, "",""))) &gt; 0, ""UA"", 0)"),0)</f>
        <v>0</v>
      </c>
      <c r="J77" s="40">
        <f ca="1">IFERROR(__xludf.DUMMYFUNCTION("IF(SUM(COUNTIF(artists!C:C, SPLIT(D77, "",""))) &gt; 0, ""RU"", 0)"),0)</f>
        <v>0</v>
      </c>
      <c r="K77" s="39" t="str">
        <f ca="1">IFERROR(__xludf.DUMMYFUNCTION("IF(SUM(COUNTIF(artists!E:E, SPLIT(D77, "",""))) &gt; 0, ""OTHER"", 0)"),"OTHER")</f>
        <v>OTHER</v>
      </c>
    </row>
    <row r="78" spans="1:11">
      <c r="A78" s="21">
        <v>77</v>
      </c>
      <c r="B78" s="21">
        <v>78</v>
      </c>
      <c r="C78" s="21" t="s">
        <v>622</v>
      </c>
      <c r="D78" s="21" t="s">
        <v>108</v>
      </c>
      <c r="E78" s="21">
        <v>8</v>
      </c>
      <c r="F78" s="21">
        <v>144911</v>
      </c>
      <c r="G78" s="21" t="s">
        <v>562</v>
      </c>
      <c r="H78" s="38" t="s">
        <v>623</v>
      </c>
      <c r="I78" s="39" t="str">
        <f ca="1">IFERROR(__xludf.DUMMYFUNCTION("IF(SUM(COUNTIF(artists!A:A, SPLIT(D78, "",""))) &gt; 0, ""UA"", 0)"),"UA")</f>
        <v>UA</v>
      </c>
      <c r="J78" s="40">
        <f ca="1">IFERROR(__xludf.DUMMYFUNCTION("IF(SUM(COUNTIF(artists!C:C, SPLIT(D78, "",""))) &gt; 0, ""RU"", 0)"),0)</f>
        <v>0</v>
      </c>
      <c r="K78" s="39">
        <f ca="1">IFERROR(__xludf.DUMMYFUNCTION("IF(SUM(COUNTIF(artists!E:E, SPLIT(D78, "",""))) &gt; 0, ""OTHER"", 0)"),0)</f>
        <v>0</v>
      </c>
    </row>
    <row r="79" spans="1:11">
      <c r="A79" s="21">
        <v>78</v>
      </c>
      <c r="B79" s="21">
        <v>80</v>
      </c>
      <c r="C79" s="21" t="s">
        <v>418</v>
      </c>
      <c r="D79" s="21" t="s">
        <v>419</v>
      </c>
      <c r="E79" s="21">
        <v>11</v>
      </c>
      <c r="F79" s="21">
        <v>142344</v>
      </c>
      <c r="G79" s="21" t="s">
        <v>458</v>
      </c>
      <c r="H79" s="38" t="s">
        <v>420</v>
      </c>
      <c r="I79" s="39">
        <f ca="1">IFERROR(__xludf.DUMMYFUNCTION("IF(SUM(COUNTIF(artists!A:A, SPLIT(D79, "",""))) &gt; 0, ""UA"", 0)"),0)</f>
        <v>0</v>
      </c>
      <c r="J79" s="40">
        <f ca="1">IFERROR(__xludf.DUMMYFUNCTION("IF(SUM(COUNTIF(artists!C:C, SPLIT(D79, "",""))) &gt; 0, ""RU"", 0)"),0)</f>
        <v>0</v>
      </c>
      <c r="K79" s="39" t="str">
        <f ca="1">IFERROR(__xludf.DUMMYFUNCTION("IF(SUM(COUNTIF(artists!E:E, SPLIT(D79, "",""))) &gt; 0, ""OTHER"", 0)"),"OTHER")</f>
        <v>OTHER</v>
      </c>
    </row>
    <row r="80" spans="1:11">
      <c r="A80" s="21">
        <v>79</v>
      </c>
      <c r="B80" s="21">
        <v>90</v>
      </c>
      <c r="C80" s="21" t="s">
        <v>383</v>
      </c>
      <c r="D80" s="21" t="s">
        <v>384</v>
      </c>
      <c r="E80" s="21">
        <v>8</v>
      </c>
      <c r="F80" s="21">
        <v>141322</v>
      </c>
      <c r="G80" s="21" t="s">
        <v>447</v>
      </c>
      <c r="H80" s="38" t="s">
        <v>386</v>
      </c>
      <c r="I80" s="39">
        <f ca="1">IFERROR(__xludf.DUMMYFUNCTION("IF(SUM(COUNTIF(artists!A:A, SPLIT(D80, "",""))) &gt; 0, ""UA"", 0)"),0)</f>
        <v>0</v>
      </c>
      <c r="J80" s="40">
        <f ca="1">IFERROR(__xludf.DUMMYFUNCTION("IF(SUM(COUNTIF(artists!C:C, SPLIT(D80, "",""))) &gt; 0, ""RU"", 0)"),0)</f>
        <v>0</v>
      </c>
      <c r="K80" s="39" t="str">
        <f ca="1">IFERROR(__xludf.DUMMYFUNCTION("IF(SUM(COUNTIF(artists!E:E, SPLIT(D80, "",""))) &gt; 0, ""OTHER"", 0)"),"OTHER")</f>
        <v>OTHER</v>
      </c>
    </row>
    <row r="81" spans="1:11">
      <c r="A81" s="21">
        <v>80</v>
      </c>
      <c r="B81" s="21">
        <v>64</v>
      </c>
      <c r="C81" s="21" t="s">
        <v>693</v>
      </c>
      <c r="D81" s="21" t="s">
        <v>694</v>
      </c>
      <c r="E81" s="21">
        <v>2</v>
      </c>
      <c r="F81" s="21">
        <v>140000</v>
      </c>
      <c r="G81" s="21" t="s">
        <v>288</v>
      </c>
      <c r="H81" s="38" t="s">
        <v>696</v>
      </c>
      <c r="I81" s="39">
        <f ca="1">IFERROR(__xludf.DUMMYFUNCTION("IF(SUM(COUNTIF(artists!A:A, SPLIT(D81, "",""))) &gt; 0, ""UA"", 0)"),0)</f>
        <v>0</v>
      </c>
      <c r="J81" s="40">
        <f ca="1">IFERROR(__xludf.DUMMYFUNCTION("IF(SUM(COUNTIF(artists!C:C, SPLIT(D81, "",""))) &gt; 0, ""RU"", 0)"),0)</f>
        <v>0</v>
      </c>
      <c r="K81" s="39" t="str">
        <f ca="1">IFERROR(__xludf.DUMMYFUNCTION("IF(SUM(COUNTIF(artists!E:E, SPLIT(D81, "",""))) &gt; 0, ""OTHER"", 0)"),"OTHER")</f>
        <v>OTHER</v>
      </c>
    </row>
    <row r="82" spans="1:11">
      <c r="A82" s="21">
        <v>81</v>
      </c>
      <c r="B82" s="21">
        <v>68</v>
      </c>
      <c r="C82" s="21" t="s">
        <v>545</v>
      </c>
      <c r="D82" s="21" t="s">
        <v>546</v>
      </c>
      <c r="E82" s="21">
        <v>11</v>
      </c>
      <c r="F82" s="21">
        <v>137320</v>
      </c>
      <c r="G82" s="21" t="s">
        <v>755</v>
      </c>
      <c r="H82" s="38" t="s">
        <v>548</v>
      </c>
      <c r="I82" s="39">
        <f ca="1">IFERROR(__xludf.DUMMYFUNCTION("IF(SUM(COUNTIF(artists!A:A, SPLIT(D82, "",""))) &gt; 0, ""UA"", 0)"),0)</f>
        <v>0</v>
      </c>
      <c r="J82" s="40" t="str">
        <f ca="1">IFERROR(__xludf.DUMMYFUNCTION("IF(SUM(COUNTIF(artists!C:C, SPLIT(D82, "",""))) &gt; 0, ""RU"", 0)"),"RU")</f>
        <v>RU</v>
      </c>
      <c r="K82" s="39">
        <f ca="1">IFERROR(__xludf.DUMMYFUNCTION("IF(SUM(COUNTIF(artists!E:E, SPLIT(D82, "",""))) &gt; 0, ""OTHER"", 0)"),0)</f>
        <v>0</v>
      </c>
    </row>
    <row r="83" spans="1:11">
      <c r="A83" s="21">
        <v>82</v>
      </c>
      <c r="B83" s="21">
        <v>89</v>
      </c>
      <c r="C83" s="21" t="s">
        <v>313</v>
      </c>
      <c r="D83" s="21" t="s">
        <v>310</v>
      </c>
      <c r="E83" s="21">
        <v>11</v>
      </c>
      <c r="F83" s="21">
        <v>137185</v>
      </c>
      <c r="G83" s="21" t="s">
        <v>427</v>
      </c>
      <c r="H83" s="38" t="s">
        <v>398</v>
      </c>
      <c r="I83" s="39">
        <f ca="1">IFERROR(__xludf.DUMMYFUNCTION("IF(SUM(COUNTIF(artists!A:A, SPLIT(D83, "",""))) &gt; 0, ""UA"", 0)"),0)</f>
        <v>0</v>
      </c>
      <c r="J83" s="40">
        <f ca="1">IFERROR(__xludf.DUMMYFUNCTION("IF(SUM(COUNTIF(artists!C:C, SPLIT(D83, "",""))) &gt; 0, ""RU"", 0)"),0)</f>
        <v>0</v>
      </c>
      <c r="K83" s="39" t="str">
        <f ca="1">IFERROR(__xludf.DUMMYFUNCTION("IF(SUM(COUNTIF(artists!E:E, SPLIT(D83, "",""))) &gt; 0, ""OTHER"", 0)"),"OTHER")</f>
        <v>OTHER</v>
      </c>
    </row>
    <row r="84" spans="1:11">
      <c r="A84" s="21">
        <v>83</v>
      </c>
      <c r="B84" s="21">
        <v>77</v>
      </c>
      <c r="C84" s="21" t="s">
        <v>497</v>
      </c>
      <c r="D84" s="21" t="s">
        <v>498</v>
      </c>
      <c r="E84" s="21">
        <v>18</v>
      </c>
      <c r="F84" s="21">
        <v>135182</v>
      </c>
      <c r="G84" s="21" t="s">
        <v>651</v>
      </c>
      <c r="H84" s="38" t="s">
        <v>499</v>
      </c>
      <c r="I84" s="39" t="str">
        <f ca="1">IFERROR(__xludf.DUMMYFUNCTION("IF(SUM(COUNTIF(artists!A:A, SPLIT(D84, "",""))) &gt; 0, ""UA"", 0)"),"UA")</f>
        <v>UA</v>
      </c>
      <c r="J84" s="40">
        <f ca="1">IFERROR(__xludf.DUMMYFUNCTION("IF(SUM(COUNTIF(artists!C:C, SPLIT(D84, "",""))) &gt; 0, ""RU"", 0)"),0)</f>
        <v>0</v>
      </c>
      <c r="K84" s="39">
        <f ca="1">IFERROR(__xludf.DUMMYFUNCTION("IF(SUM(COUNTIF(artists!E:E, SPLIT(D84, "",""))) &gt; 0, ""OTHER"", 0)"),0)</f>
        <v>0</v>
      </c>
    </row>
    <row r="85" spans="1:11">
      <c r="A85" s="21">
        <v>84</v>
      </c>
      <c r="B85" s="21">
        <v>72</v>
      </c>
      <c r="C85" s="21" t="s">
        <v>690</v>
      </c>
      <c r="D85" s="21" t="s">
        <v>691</v>
      </c>
      <c r="E85" s="21">
        <v>11</v>
      </c>
      <c r="F85" s="21">
        <v>134924</v>
      </c>
      <c r="G85" s="21" t="s">
        <v>756</v>
      </c>
      <c r="H85" s="38" t="s">
        <v>692</v>
      </c>
      <c r="I85" s="39">
        <f ca="1">IFERROR(__xludf.DUMMYFUNCTION("IF(SUM(COUNTIF(artists!A:A, SPLIT(D85, "",""))) &gt; 0, ""UA"", 0)"),0)</f>
        <v>0</v>
      </c>
      <c r="J85" s="40" t="str">
        <f ca="1">IFERROR(__xludf.DUMMYFUNCTION("IF(SUM(COUNTIF(artists!C:C, SPLIT(D85, "",""))) &gt; 0, ""RU"", 0)"),"RU")</f>
        <v>RU</v>
      </c>
      <c r="K85" s="39">
        <f ca="1">IFERROR(__xludf.DUMMYFUNCTION("IF(SUM(COUNTIF(artists!E:E, SPLIT(D85, "",""))) &gt; 0, ""OTHER"", 0)"),0)</f>
        <v>0</v>
      </c>
    </row>
    <row r="86" spans="1:11">
      <c r="A86" s="21">
        <v>85</v>
      </c>
      <c r="B86" s="21">
        <v>83</v>
      </c>
      <c r="C86" s="21" t="s">
        <v>370</v>
      </c>
      <c r="D86" s="21" t="s">
        <v>222</v>
      </c>
      <c r="E86" s="21">
        <v>6</v>
      </c>
      <c r="F86" s="21">
        <v>134378</v>
      </c>
      <c r="G86" s="21" t="s">
        <v>727</v>
      </c>
      <c r="H86" s="38" t="s">
        <v>372</v>
      </c>
      <c r="I86" s="39">
        <f ca="1">IFERROR(__xludf.DUMMYFUNCTION("IF(SUM(COUNTIF(artists!A:A, SPLIT(D86, "",""))) &gt; 0, ""UA"", 0)"),0)</f>
        <v>0</v>
      </c>
      <c r="J86" s="40">
        <f ca="1">IFERROR(__xludf.DUMMYFUNCTION("IF(SUM(COUNTIF(artists!C:C, SPLIT(D86, "",""))) &gt; 0, ""RU"", 0)"),0)</f>
        <v>0</v>
      </c>
      <c r="K86" s="39" t="str">
        <f ca="1">IFERROR(__xludf.DUMMYFUNCTION("IF(SUM(COUNTIF(artists!E:E, SPLIT(D86, "",""))) &gt; 0, ""OTHER"", 0)"),"OTHER")</f>
        <v>OTHER</v>
      </c>
    </row>
    <row r="87" spans="1:11">
      <c r="A87" s="21">
        <v>86</v>
      </c>
      <c r="B87" s="21">
        <v>69</v>
      </c>
      <c r="C87" s="21" t="s">
        <v>757</v>
      </c>
      <c r="D87" s="21" t="s">
        <v>758</v>
      </c>
      <c r="E87" s="21">
        <v>5</v>
      </c>
      <c r="F87" s="21">
        <v>134374</v>
      </c>
      <c r="G87" s="21" t="s">
        <v>288</v>
      </c>
      <c r="H87" s="38" t="s">
        <v>759</v>
      </c>
      <c r="I87" s="39" t="str">
        <f ca="1">IFERROR(__xludf.DUMMYFUNCTION("IF(SUM(COUNTIF(artists!A:A, SPLIT(D87, "",""))) &gt; 0, ""UA"", 0)"),"UA")</f>
        <v>UA</v>
      </c>
      <c r="J87" s="40">
        <f ca="1">IFERROR(__xludf.DUMMYFUNCTION("IF(SUM(COUNTIF(artists!C:C, SPLIT(D87, "",""))) &gt; 0, ""RU"", 0)"),0)</f>
        <v>0</v>
      </c>
      <c r="K87" s="39">
        <f ca="1">IFERROR(__xludf.DUMMYFUNCTION("IF(SUM(COUNTIF(artists!E:E, SPLIT(D87, "",""))) &gt; 0, ""OTHER"", 0)"),0)</f>
        <v>0</v>
      </c>
    </row>
    <row r="88" spans="1:11">
      <c r="A88" s="21">
        <v>87</v>
      </c>
      <c r="B88" s="21">
        <v>74</v>
      </c>
      <c r="C88" s="21" t="s">
        <v>760</v>
      </c>
      <c r="D88" s="21" t="s">
        <v>761</v>
      </c>
      <c r="E88" s="21">
        <v>7</v>
      </c>
      <c r="F88" s="21">
        <v>133699</v>
      </c>
      <c r="G88" s="21" t="s">
        <v>762</v>
      </c>
      <c r="H88" s="38" t="s">
        <v>763</v>
      </c>
      <c r="I88" s="39" t="str">
        <f ca="1">IFERROR(__xludf.DUMMYFUNCTION("IF(SUM(COUNTIF(artists!A:A, SPLIT(D88, "",""))) &gt; 0, ""UA"", 0)"),"UA")</f>
        <v>UA</v>
      </c>
      <c r="J88" s="40">
        <f ca="1">IFERROR(__xludf.DUMMYFUNCTION("IF(SUM(COUNTIF(artists!C:C, SPLIT(D88, "",""))) &gt; 0, ""RU"", 0)"),0)</f>
        <v>0</v>
      </c>
      <c r="K88" s="39">
        <f ca="1">IFERROR(__xludf.DUMMYFUNCTION("IF(SUM(COUNTIF(artists!E:E, SPLIT(D88, "",""))) &gt; 0, ""OTHER"", 0)"),0)</f>
        <v>0</v>
      </c>
    </row>
    <row r="89" spans="1:11">
      <c r="A89" s="21">
        <v>88</v>
      </c>
      <c r="B89" s="21">
        <v>76</v>
      </c>
      <c r="C89" s="21" t="s">
        <v>700</v>
      </c>
      <c r="D89" s="21" t="s">
        <v>701</v>
      </c>
      <c r="E89" s="21">
        <v>19</v>
      </c>
      <c r="F89" s="21">
        <v>132549</v>
      </c>
      <c r="G89" s="21" t="s">
        <v>657</v>
      </c>
      <c r="H89" s="38" t="s">
        <v>702</v>
      </c>
      <c r="I89" s="39">
        <f ca="1">IFERROR(__xludf.DUMMYFUNCTION("IF(SUM(COUNTIF(artists!A:A, SPLIT(D89, "",""))) &gt; 0, ""UA"", 0)"),0)</f>
        <v>0</v>
      </c>
      <c r="J89" s="40" t="str">
        <f ca="1">IFERROR(__xludf.DUMMYFUNCTION("IF(SUM(COUNTIF(artists!C:C, SPLIT(D89, "",""))) &gt; 0, ""RU"", 0)"),"RU")</f>
        <v>RU</v>
      </c>
      <c r="K89" s="39">
        <f ca="1">IFERROR(__xludf.DUMMYFUNCTION("IF(SUM(COUNTIF(artists!E:E, SPLIT(D89, "",""))) &gt; 0, ""OTHER"", 0)"),0)</f>
        <v>0</v>
      </c>
    </row>
    <row r="90" spans="1:11">
      <c r="A90" s="21">
        <v>89</v>
      </c>
      <c r="C90" s="21" t="s">
        <v>320</v>
      </c>
      <c r="D90" s="21" t="s">
        <v>321</v>
      </c>
      <c r="E90" s="21">
        <v>8</v>
      </c>
      <c r="F90" s="21">
        <v>132232</v>
      </c>
      <c r="H90" s="38" t="s">
        <v>323</v>
      </c>
      <c r="I90" s="39">
        <f ca="1">IFERROR(__xludf.DUMMYFUNCTION("IF(SUM(COUNTIF(artists!A:A, SPLIT(D90, "",""))) &gt; 0, ""UA"", 0)"),0)</f>
        <v>0</v>
      </c>
      <c r="J90" s="40">
        <f ca="1">IFERROR(__xludf.DUMMYFUNCTION("IF(SUM(COUNTIF(artists!C:C, SPLIT(D90, "",""))) &gt; 0, ""RU"", 0)"),0)</f>
        <v>0</v>
      </c>
      <c r="K90" s="39" t="str">
        <f ca="1">IFERROR(__xludf.DUMMYFUNCTION("IF(SUM(COUNTIF(artists!E:E, SPLIT(D90, "",""))) &gt; 0, ""OTHER"", 0)"),"OTHER")</f>
        <v>OTHER</v>
      </c>
    </row>
    <row r="91" spans="1:11">
      <c r="A91" s="21">
        <v>90</v>
      </c>
      <c r="B91" s="21">
        <v>95</v>
      </c>
      <c r="C91" s="21" t="s">
        <v>399</v>
      </c>
      <c r="D91" s="21" t="s">
        <v>400</v>
      </c>
      <c r="E91" s="21">
        <v>3</v>
      </c>
      <c r="F91" s="21">
        <v>132135</v>
      </c>
      <c r="G91" s="21" t="s">
        <v>426</v>
      </c>
      <c r="H91" s="38" t="s">
        <v>401</v>
      </c>
      <c r="I91" s="39" t="str">
        <f ca="1">IFERROR(__xludf.DUMMYFUNCTION("IF(SUM(COUNTIF(artists!A:A, SPLIT(D91, "",""))) &gt; 0, ""UA"", 0)"),"UA")</f>
        <v>UA</v>
      </c>
      <c r="J91" s="40">
        <f ca="1">IFERROR(__xludf.DUMMYFUNCTION("IF(SUM(COUNTIF(artists!C:C, SPLIT(D91, "",""))) &gt; 0, ""RU"", 0)"),0)</f>
        <v>0</v>
      </c>
      <c r="K91" s="39">
        <f ca="1">IFERROR(__xludf.DUMMYFUNCTION("IF(SUM(COUNTIF(artists!E:E, SPLIT(D91, "",""))) &gt; 0, ""OTHER"", 0)"),0)</f>
        <v>0</v>
      </c>
    </row>
    <row r="92" spans="1:11">
      <c r="A92" s="21">
        <v>91</v>
      </c>
      <c r="B92" s="21">
        <v>92</v>
      </c>
      <c r="C92" s="21" t="s">
        <v>358</v>
      </c>
      <c r="D92" s="21" t="s">
        <v>359</v>
      </c>
      <c r="E92" s="21">
        <v>14</v>
      </c>
      <c r="F92" s="21">
        <v>131875</v>
      </c>
      <c r="G92" s="21" t="s">
        <v>764</v>
      </c>
      <c r="H92" s="38" t="s">
        <v>361</v>
      </c>
      <c r="I92" s="39">
        <f ca="1">IFERROR(__xludf.DUMMYFUNCTION("IF(SUM(COUNTIF(artists!A:A, SPLIT(D92, "",""))) &gt; 0, ""UA"", 0)"),0)</f>
        <v>0</v>
      </c>
      <c r="J92" s="40">
        <f ca="1">IFERROR(__xludf.DUMMYFUNCTION("IF(SUM(COUNTIF(artists!C:C, SPLIT(D92, "",""))) &gt; 0, ""RU"", 0)"),0)</f>
        <v>0</v>
      </c>
      <c r="K92" s="39" t="str">
        <f ca="1">IFERROR(__xludf.DUMMYFUNCTION("IF(SUM(COUNTIF(artists!E:E, SPLIT(D92, "",""))) &gt; 0, ""OTHER"", 0)"),"OTHER")</f>
        <v>OTHER</v>
      </c>
    </row>
    <row r="93" spans="1:11">
      <c r="A93" s="21">
        <v>92</v>
      </c>
      <c r="C93" s="21" t="s">
        <v>697</v>
      </c>
      <c r="D93" s="21" t="s">
        <v>698</v>
      </c>
      <c r="E93" s="21">
        <v>18</v>
      </c>
      <c r="F93" s="21">
        <v>128010</v>
      </c>
      <c r="H93" s="38" t="s">
        <v>699</v>
      </c>
      <c r="I93" s="39">
        <f ca="1">IFERROR(__xludf.DUMMYFUNCTION("IF(SUM(COUNTIF(artists!A:A, SPLIT(D93, "",""))) &gt; 0, ""UA"", 0)"),0)</f>
        <v>0</v>
      </c>
      <c r="J93" s="40" t="str">
        <f ca="1">IFERROR(__xludf.DUMMYFUNCTION("IF(SUM(COUNTIF(artists!C:C, SPLIT(D93, "",""))) &gt; 0, ""RU"", 0)"),"RU")</f>
        <v>RU</v>
      </c>
      <c r="K93" s="39">
        <f ca="1">IFERROR(__xludf.DUMMYFUNCTION("IF(SUM(COUNTIF(artists!E:E, SPLIT(D93, "",""))) &gt; 0, ""OTHER"", 0)"),0)</f>
        <v>0</v>
      </c>
    </row>
    <row r="94" spans="1:11">
      <c r="A94" s="21">
        <v>93</v>
      </c>
      <c r="B94" s="21">
        <v>82</v>
      </c>
      <c r="C94" s="21" t="s">
        <v>765</v>
      </c>
      <c r="D94" s="21" t="s">
        <v>766</v>
      </c>
      <c r="E94" s="21">
        <v>11</v>
      </c>
      <c r="F94" s="21">
        <v>126709</v>
      </c>
      <c r="G94" s="21" t="s">
        <v>767</v>
      </c>
      <c r="H94" s="38" t="s">
        <v>768</v>
      </c>
      <c r="I94" s="39" t="str">
        <f ca="1">IFERROR(__xludf.DUMMYFUNCTION("IF(SUM(COUNTIF(artists!A:A, SPLIT(D94, "",""))) &gt; 0, ""UA"", 0)"),"UA")</f>
        <v>UA</v>
      </c>
      <c r="J94" s="40">
        <f ca="1">IFERROR(__xludf.DUMMYFUNCTION("IF(SUM(COUNTIF(artists!C:C, SPLIT(D94, "",""))) &gt; 0, ""RU"", 0)"),0)</f>
        <v>0</v>
      </c>
      <c r="K94" s="39">
        <f ca="1">IFERROR(__xludf.DUMMYFUNCTION("IF(SUM(COUNTIF(artists!E:E, SPLIT(D94, "",""))) &gt; 0, ""OTHER"", 0)"),0)</f>
        <v>0</v>
      </c>
    </row>
    <row r="95" spans="1:11">
      <c r="A95" s="21">
        <v>94</v>
      </c>
      <c r="C95" s="21" t="s">
        <v>717</v>
      </c>
      <c r="D95" s="21" t="s">
        <v>718</v>
      </c>
      <c r="E95" s="21">
        <v>2</v>
      </c>
      <c r="F95" s="21">
        <v>126087</v>
      </c>
      <c r="H95" s="38" t="s">
        <v>719</v>
      </c>
      <c r="I95" s="39">
        <f ca="1">IFERROR(__xludf.DUMMYFUNCTION("IF(SUM(COUNTIF(artists!A:A, SPLIT(D95, "",""))) &gt; 0, ""UA"", 0)"),0)</f>
        <v>0</v>
      </c>
      <c r="J95" s="40">
        <f ca="1">IFERROR(__xludf.DUMMYFUNCTION("IF(SUM(COUNTIF(artists!C:C, SPLIT(D95, "",""))) &gt; 0, ""RU"", 0)"),0)</f>
        <v>0</v>
      </c>
      <c r="K95" s="39" t="str">
        <f ca="1">IFERROR(__xludf.DUMMYFUNCTION("IF(SUM(COUNTIF(artists!E:E, SPLIT(D95, "",""))) &gt; 0, ""OTHER"", 0)"),"OTHER")</f>
        <v>OTHER</v>
      </c>
    </row>
    <row r="96" spans="1:11">
      <c r="A96" s="21">
        <v>95</v>
      </c>
      <c r="B96" s="21">
        <v>85</v>
      </c>
      <c r="C96" s="21" t="s">
        <v>686</v>
      </c>
      <c r="D96" s="21" t="s">
        <v>687</v>
      </c>
      <c r="E96" s="21">
        <v>9</v>
      </c>
      <c r="F96" s="21">
        <v>125935</v>
      </c>
      <c r="G96" s="21" t="s">
        <v>592</v>
      </c>
      <c r="H96" s="38" t="s">
        <v>688</v>
      </c>
      <c r="I96" s="39">
        <f ca="1">IFERROR(__xludf.DUMMYFUNCTION("IF(SUM(COUNTIF(artists!A:A, SPLIT(D96, "",""))) &gt; 0, ""UA"", 0)"),0)</f>
        <v>0</v>
      </c>
      <c r="J96" s="40" t="str">
        <f ca="1">IFERROR(__xludf.DUMMYFUNCTION("IF(SUM(COUNTIF(artists!C:C, SPLIT(D96, "",""))) &gt; 0, ""RU"", 0)"),"RU")</f>
        <v>RU</v>
      </c>
      <c r="K96" s="39">
        <f ca="1">IFERROR(__xludf.DUMMYFUNCTION("IF(SUM(COUNTIF(artists!E:E, SPLIT(D96, "",""))) &gt; 0, ""OTHER"", 0)"),0)</f>
        <v>0</v>
      </c>
    </row>
    <row r="97" spans="1:11">
      <c r="A97" s="21">
        <v>96</v>
      </c>
      <c r="C97" s="21" t="s">
        <v>769</v>
      </c>
      <c r="D97" s="21" t="s">
        <v>770</v>
      </c>
      <c r="E97" s="21">
        <v>4</v>
      </c>
      <c r="F97" s="21">
        <v>123840</v>
      </c>
      <c r="H97" s="38" t="s">
        <v>771</v>
      </c>
      <c r="I97" s="39">
        <f ca="1">IFERROR(__xludf.DUMMYFUNCTION("IF(SUM(COUNTIF(artists!A:A, SPLIT(D97, "",""))) &gt; 0, ""UA"", 0)"),0)</f>
        <v>0</v>
      </c>
      <c r="J97" s="40">
        <f ca="1">IFERROR(__xludf.DUMMYFUNCTION("IF(SUM(COUNTIF(artists!C:C, SPLIT(D97, "",""))) &gt; 0, ""RU"", 0)"),0)</f>
        <v>0</v>
      </c>
      <c r="K97" s="39" t="str">
        <f ca="1">IFERROR(__xludf.DUMMYFUNCTION("IF(SUM(COUNTIF(artists!E:E, SPLIT(D97, "",""))) &gt; 0, ""OTHER"", 0)"),"OTHER")</f>
        <v>OTHER</v>
      </c>
    </row>
    <row r="98" spans="1:11">
      <c r="A98" s="21">
        <v>97</v>
      </c>
      <c r="B98" s="21">
        <v>93</v>
      </c>
      <c r="C98" s="21" t="s">
        <v>714</v>
      </c>
      <c r="D98" s="21" t="s">
        <v>715</v>
      </c>
      <c r="E98" s="21">
        <v>3</v>
      </c>
      <c r="F98" s="21">
        <v>123705</v>
      </c>
      <c r="G98" s="21" t="s">
        <v>396</v>
      </c>
      <c r="H98" s="38" t="s">
        <v>716</v>
      </c>
      <c r="I98" s="39" t="str">
        <f ca="1">IFERROR(__xludf.DUMMYFUNCTION("IF(SUM(COUNTIF(artists!A:A, SPLIT(D98, "",""))) &gt; 0, ""UA"", 0)"),"UA")</f>
        <v>UA</v>
      </c>
      <c r="J98" s="40">
        <f ca="1">IFERROR(__xludf.DUMMYFUNCTION("IF(SUM(COUNTIF(artists!C:C, SPLIT(D98, "",""))) &gt; 0, ""RU"", 0)"),0)</f>
        <v>0</v>
      </c>
      <c r="K98" s="39">
        <f ca="1">IFERROR(__xludf.DUMMYFUNCTION("IF(SUM(COUNTIF(artists!E:E, SPLIT(D98, "",""))) &gt; 0, ""OTHER"", 0)"),0)</f>
        <v>0</v>
      </c>
    </row>
    <row r="99" spans="1:11">
      <c r="A99" s="21">
        <v>98</v>
      </c>
      <c r="B99" s="21">
        <v>87</v>
      </c>
      <c r="C99" s="21" t="s">
        <v>316</v>
      </c>
      <c r="D99" s="21" t="s">
        <v>317</v>
      </c>
      <c r="E99" s="21">
        <v>12</v>
      </c>
      <c r="F99" s="21">
        <v>122561</v>
      </c>
      <c r="G99" s="21" t="s">
        <v>611</v>
      </c>
      <c r="H99" s="38" t="s">
        <v>319</v>
      </c>
      <c r="I99" s="39" t="str">
        <f ca="1">IFERROR(__xludf.DUMMYFUNCTION("IF(SUM(COUNTIF(artists!A:A, SPLIT(D99, "",""))) &gt; 0, ""UA"", 0)"),"UA")</f>
        <v>UA</v>
      </c>
      <c r="J99" s="40">
        <f ca="1">IFERROR(__xludf.DUMMYFUNCTION("IF(SUM(COUNTIF(artists!C:C, SPLIT(D99, "",""))) &gt; 0, ""RU"", 0)"),0)</f>
        <v>0</v>
      </c>
      <c r="K99" s="39">
        <f ca="1">IFERROR(__xludf.DUMMYFUNCTION("IF(SUM(COUNTIF(artists!E:E, SPLIT(D99, "",""))) &gt; 0, ""OTHER"", 0)"),0)</f>
        <v>0</v>
      </c>
    </row>
    <row r="100" spans="1:11">
      <c r="A100" s="21">
        <v>99</v>
      </c>
      <c r="B100" s="21">
        <v>100</v>
      </c>
      <c r="C100" s="21" t="s">
        <v>772</v>
      </c>
      <c r="D100" s="21" t="s">
        <v>773</v>
      </c>
      <c r="E100" s="21">
        <v>14</v>
      </c>
      <c r="F100" s="21">
        <v>120485</v>
      </c>
      <c r="G100" s="21" t="s">
        <v>211</v>
      </c>
      <c r="H100" s="38" t="s">
        <v>774</v>
      </c>
      <c r="I100" s="39" t="str">
        <f ca="1">IFERROR(__xludf.DUMMYFUNCTION("IF(SUM(COUNTIF(artists!A:A, SPLIT(D100, "",""))) &gt; 0, ""UA"", 0)"),"UA")</f>
        <v>UA</v>
      </c>
      <c r="J100" s="40">
        <f ca="1">IFERROR(__xludf.DUMMYFUNCTION("IF(SUM(COUNTIF(artists!C:C, SPLIT(D100, "",""))) &gt; 0, ""RU"", 0)"),0)</f>
        <v>0</v>
      </c>
      <c r="K100" s="39">
        <f ca="1">IFERROR(__xludf.DUMMYFUNCTION("IF(SUM(COUNTIF(artists!E:E, SPLIT(D100, "",""))) &gt; 0, ""OTHER"", 0)"),0)</f>
        <v>0</v>
      </c>
    </row>
    <row r="101" spans="1:11">
      <c r="A101" s="21">
        <v>100</v>
      </c>
      <c r="B101" s="21">
        <v>99</v>
      </c>
      <c r="C101" s="21" t="s">
        <v>775</v>
      </c>
      <c r="D101" s="21" t="s">
        <v>776</v>
      </c>
      <c r="E101" s="21">
        <v>8</v>
      </c>
      <c r="F101" s="21">
        <v>119336</v>
      </c>
      <c r="G101" s="21" t="s">
        <v>724</v>
      </c>
      <c r="H101" s="38" t="s">
        <v>777</v>
      </c>
      <c r="I101" s="39" t="str">
        <f ca="1">IFERROR(__xludf.DUMMYFUNCTION("IF(SUM(COUNTIF(artists!A:A, SPLIT(D101, "",""))) &gt; 0, ""UA"", 0)"),"UA")</f>
        <v>UA</v>
      </c>
      <c r="J101" s="40">
        <f ca="1">IFERROR(__xludf.DUMMYFUNCTION("IF(SUM(COUNTIF(artists!C:C, SPLIT(D101, "",""))) &gt; 0, ""RU"", 0)"),0)</f>
        <v>0</v>
      </c>
      <c r="K101" s="39">
        <f ca="1">IFERROR(__xludf.DUMMYFUNCTION("IF(SUM(COUNTIF(artists!E:E, SPLIT(D101, "",""))) &gt; 0, ""OTHER"", 0)"),0)</f>
        <v>0</v>
      </c>
    </row>
  </sheetData>
  <conditionalFormatting sqref="I2:K101">
    <cfRule type="expression" dxfId="111" priority="1">
      <formula>AND($I2=0, $J2=0, $K2=0)</formula>
    </cfRule>
    <cfRule type="expression" dxfId="110" priority="2">
      <formula>OR(AND($I2&lt;&gt;0, $J2&lt;&gt;0), AND($I2&lt;&gt;0, $K2&lt;&gt;0), AND($J2&lt;&gt;0, $K2&lt;&gt;0))</formula>
    </cfRule>
  </conditionalFormatting>
  <hyperlinks>
    <hyperlink ref="H2" r:id="rId1" xr:uid="{00000000-0004-0000-0600-000000000000}"/>
    <hyperlink ref="H3" r:id="rId2" xr:uid="{00000000-0004-0000-0600-000001000000}"/>
    <hyperlink ref="H4" r:id="rId3" xr:uid="{00000000-0004-0000-0600-000002000000}"/>
    <hyperlink ref="H5" r:id="rId4" xr:uid="{00000000-0004-0000-0600-000003000000}"/>
    <hyperlink ref="H6" r:id="rId5" xr:uid="{00000000-0004-0000-0600-000004000000}"/>
    <hyperlink ref="H7" r:id="rId6" xr:uid="{00000000-0004-0000-0600-000005000000}"/>
    <hyperlink ref="H8" r:id="rId7" xr:uid="{00000000-0004-0000-0600-000006000000}"/>
    <hyperlink ref="H9" r:id="rId8" xr:uid="{00000000-0004-0000-0600-000007000000}"/>
    <hyperlink ref="H10" r:id="rId9" xr:uid="{00000000-0004-0000-0600-000008000000}"/>
    <hyperlink ref="H11" r:id="rId10" xr:uid="{00000000-0004-0000-0600-000009000000}"/>
    <hyperlink ref="H12" r:id="rId11" xr:uid="{00000000-0004-0000-0600-00000A000000}"/>
    <hyperlink ref="H13" r:id="rId12" xr:uid="{00000000-0004-0000-0600-00000B000000}"/>
    <hyperlink ref="H14" r:id="rId13" xr:uid="{00000000-0004-0000-0600-00000C000000}"/>
    <hyperlink ref="H15" r:id="rId14" xr:uid="{00000000-0004-0000-0600-00000D000000}"/>
    <hyperlink ref="H16" r:id="rId15" xr:uid="{00000000-0004-0000-0600-00000E000000}"/>
    <hyperlink ref="H17" r:id="rId16" xr:uid="{00000000-0004-0000-0600-00000F000000}"/>
    <hyperlink ref="H18" r:id="rId17" xr:uid="{00000000-0004-0000-0600-000010000000}"/>
    <hyperlink ref="H19" r:id="rId18" xr:uid="{00000000-0004-0000-0600-000011000000}"/>
    <hyperlink ref="H20" r:id="rId19" xr:uid="{00000000-0004-0000-0600-000012000000}"/>
    <hyperlink ref="H21" r:id="rId20" xr:uid="{00000000-0004-0000-0600-000013000000}"/>
    <hyperlink ref="H22" r:id="rId21" xr:uid="{00000000-0004-0000-0600-000014000000}"/>
    <hyperlink ref="H23" r:id="rId22" xr:uid="{00000000-0004-0000-0600-000015000000}"/>
    <hyperlink ref="H24" r:id="rId23" xr:uid="{00000000-0004-0000-0600-000016000000}"/>
    <hyperlink ref="H25" r:id="rId24" xr:uid="{00000000-0004-0000-0600-000017000000}"/>
    <hyperlink ref="H26" r:id="rId25" xr:uid="{00000000-0004-0000-0600-000018000000}"/>
    <hyperlink ref="H27" r:id="rId26" xr:uid="{00000000-0004-0000-0600-000019000000}"/>
    <hyperlink ref="H28" r:id="rId27" xr:uid="{00000000-0004-0000-0600-00001A000000}"/>
    <hyperlink ref="H29" r:id="rId28" xr:uid="{00000000-0004-0000-0600-00001B000000}"/>
    <hyperlink ref="H30" r:id="rId29" xr:uid="{00000000-0004-0000-0600-00001C000000}"/>
    <hyperlink ref="H31" r:id="rId30" xr:uid="{00000000-0004-0000-0600-00001D000000}"/>
    <hyperlink ref="H32" r:id="rId31" xr:uid="{00000000-0004-0000-0600-00001E000000}"/>
    <hyperlink ref="H33" r:id="rId32" xr:uid="{00000000-0004-0000-0600-00001F000000}"/>
    <hyperlink ref="H34" r:id="rId33" xr:uid="{00000000-0004-0000-0600-000020000000}"/>
    <hyperlink ref="H35" r:id="rId34" xr:uid="{00000000-0004-0000-0600-000021000000}"/>
    <hyperlink ref="H36" r:id="rId35" xr:uid="{00000000-0004-0000-0600-000022000000}"/>
    <hyperlink ref="H37" r:id="rId36" xr:uid="{00000000-0004-0000-0600-000023000000}"/>
    <hyperlink ref="H38" r:id="rId37" xr:uid="{00000000-0004-0000-0600-000024000000}"/>
    <hyperlink ref="H39" r:id="rId38" xr:uid="{00000000-0004-0000-0600-000025000000}"/>
    <hyperlink ref="H40" r:id="rId39" xr:uid="{00000000-0004-0000-0600-000026000000}"/>
    <hyperlink ref="H41" r:id="rId40" xr:uid="{00000000-0004-0000-0600-000027000000}"/>
    <hyperlink ref="H42" r:id="rId41" xr:uid="{00000000-0004-0000-0600-000028000000}"/>
    <hyperlink ref="H43" r:id="rId42" xr:uid="{00000000-0004-0000-0600-000029000000}"/>
    <hyperlink ref="H44" r:id="rId43" xr:uid="{00000000-0004-0000-0600-00002A000000}"/>
    <hyperlink ref="H45" r:id="rId44" xr:uid="{00000000-0004-0000-0600-00002B000000}"/>
    <hyperlink ref="H46" r:id="rId45" xr:uid="{00000000-0004-0000-0600-00002C000000}"/>
    <hyperlink ref="H47" r:id="rId46" xr:uid="{00000000-0004-0000-0600-00002D000000}"/>
    <hyperlink ref="H48" r:id="rId47" xr:uid="{00000000-0004-0000-0600-00002E000000}"/>
    <hyperlink ref="H49" r:id="rId48" xr:uid="{00000000-0004-0000-0600-00002F000000}"/>
    <hyperlink ref="H50" r:id="rId49" xr:uid="{00000000-0004-0000-0600-000030000000}"/>
    <hyperlink ref="H51" r:id="rId50" xr:uid="{00000000-0004-0000-0600-000031000000}"/>
    <hyperlink ref="H52" r:id="rId51" xr:uid="{00000000-0004-0000-0600-000032000000}"/>
    <hyperlink ref="H53" r:id="rId52" xr:uid="{00000000-0004-0000-0600-000033000000}"/>
    <hyperlink ref="H54" r:id="rId53" xr:uid="{00000000-0004-0000-0600-000034000000}"/>
    <hyperlink ref="H55" r:id="rId54" xr:uid="{00000000-0004-0000-0600-000035000000}"/>
    <hyperlink ref="H56" r:id="rId55" xr:uid="{00000000-0004-0000-0600-000036000000}"/>
    <hyperlink ref="H57" r:id="rId56" xr:uid="{00000000-0004-0000-0600-000037000000}"/>
    <hyperlink ref="H58" r:id="rId57" xr:uid="{00000000-0004-0000-0600-000038000000}"/>
    <hyperlink ref="H59" r:id="rId58" xr:uid="{00000000-0004-0000-0600-000039000000}"/>
    <hyperlink ref="H60" r:id="rId59" xr:uid="{00000000-0004-0000-0600-00003A000000}"/>
    <hyperlink ref="H61" r:id="rId60" xr:uid="{00000000-0004-0000-0600-00003B000000}"/>
    <hyperlink ref="H62" r:id="rId61" xr:uid="{00000000-0004-0000-0600-00003C000000}"/>
    <hyperlink ref="H63" r:id="rId62" xr:uid="{00000000-0004-0000-0600-00003D000000}"/>
    <hyperlink ref="H64" r:id="rId63" xr:uid="{00000000-0004-0000-0600-00003E000000}"/>
    <hyperlink ref="H65" r:id="rId64" xr:uid="{00000000-0004-0000-0600-00003F000000}"/>
    <hyperlink ref="H66" r:id="rId65" xr:uid="{00000000-0004-0000-0600-000040000000}"/>
    <hyperlink ref="H67" r:id="rId66" xr:uid="{00000000-0004-0000-0600-000041000000}"/>
    <hyperlink ref="H68" r:id="rId67" xr:uid="{00000000-0004-0000-0600-000042000000}"/>
    <hyperlink ref="H69" r:id="rId68" xr:uid="{00000000-0004-0000-0600-000043000000}"/>
    <hyperlink ref="H70" r:id="rId69" xr:uid="{00000000-0004-0000-0600-000044000000}"/>
    <hyperlink ref="H71" r:id="rId70" xr:uid="{00000000-0004-0000-0600-000045000000}"/>
    <hyperlink ref="H72" r:id="rId71" xr:uid="{00000000-0004-0000-0600-000046000000}"/>
    <hyperlink ref="H73" r:id="rId72" xr:uid="{00000000-0004-0000-0600-000047000000}"/>
    <hyperlink ref="H74" r:id="rId73" xr:uid="{00000000-0004-0000-0600-000048000000}"/>
    <hyperlink ref="H75" r:id="rId74" xr:uid="{00000000-0004-0000-0600-000049000000}"/>
    <hyperlink ref="H76" r:id="rId75" xr:uid="{00000000-0004-0000-0600-00004A000000}"/>
    <hyperlink ref="H77" r:id="rId76" xr:uid="{00000000-0004-0000-0600-00004B000000}"/>
    <hyperlink ref="H78" r:id="rId77" xr:uid="{00000000-0004-0000-0600-00004C000000}"/>
    <hyperlink ref="H79" r:id="rId78" xr:uid="{00000000-0004-0000-0600-00004D000000}"/>
    <hyperlink ref="H80" r:id="rId79" xr:uid="{00000000-0004-0000-0600-00004E000000}"/>
    <hyperlink ref="H81" r:id="rId80" xr:uid="{00000000-0004-0000-0600-00004F000000}"/>
    <hyperlink ref="H82" r:id="rId81" xr:uid="{00000000-0004-0000-0600-000050000000}"/>
    <hyperlink ref="H83" r:id="rId82" xr:uid="{00000000-0004-0000-0600-000051000000}"/>
    <hyperlink ref="H84" r:id="rId83" xr:uid="{00000000-0004-0000-0600-000052000000}"/>
    <hyperlink ref="H85" r:id="rId84" xr:uid="{00000000-0004-0000-0600-000053000000}"/>
    <hyperlink ref="H86" r:id="rId85" xr:uid="{00000000-0004-0000-0600-000054000000}"/>
    <hyperlink ref="H87" r:id="rId86" xr:uid="{00000000-0004-0000-0600-000055000000}"/>
    <hyperlink ref="H88" r:id="rId87" xr:uid="{00000000-0004-0000-0600-000056000000}"/>
    <hyperlink ref="H89" r:id="rId88" xr:uid="{00000000-0004-0000-0600-000057000000}"/>
    <hyperlink ref="H90" r:id="rId89" xr:uid="{00000000-0004-0000-0600-000058000000}"/>
    <hyperlink ref="H91" r:id="rId90" xr:uid="{00000000-0004-0000-0600-000059000000}"/>
    <hyperlink ref="H92" r:id="rId91" xr:uid="{00000000-0004-0000-0600-00005A000000}"/>
    <hyperlink ref="H93" r:id="rId92" xr:uid="{00000000-0004-0000-0600-00005B000000}"/>
    <hyperlink ref="H94" r:id="rId93" xr:uid="{00000000-0004-0000-0600-00005C000000}"/>
    <hyperlink ref="H95" r:id="rId94" xr:uid="{00000000-0004-0000-0600-00005D000000}"/>
    <hyperlink ref="H96" r:id="rId95" xr:uid="{00000000-0004-0000-0600-00005E000000}"/>
    <hyperlink ref="H97" r:id="rId96" xr:uid="{00000000-0004-0000-0600-00005F000000}"/>
    <hyperlink ref="H98" r:id="rId97" xr:uid="{00000000-0004-0000-0600-000060000000}"/>
    <hyperlink ref="H99" r:id="rId98" xr:uid="{00000000-0004-0000-0600-000061000000}"/>
    <hyperlink ref="H100" r:id="rId99" xr:uid="{00000000-0004-0000-0600-000062000000}"/>
    <hyperlink ref="H101" r:id="rId100" xr:uid="{00000000-0004-0000-0600-000063000000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Аркуш8">
    <tabColor rgb="FF38761D"/>
    <outlinePr summaryBelow="0" summaryRight="0"/>
  </sheetPr>
  <dimension ref="A1:K101"/>
  <sheetViews>
    <sheetView workbookViewId="0"/>
  </sheetViews>
  <sheetFormatPr defaultColWidth="14.44140625" defaultRowHeight="15.75" customHeight="1"/>
  <cols>
    <col min="1" max="1" width="5" customWidth="1"/>
    <col min="2" max="2" width="14.44140625" hidden="1"/>
    <col min="5" max="5" width="14.44140625" hidden="1"/>
    <col min="8" max="8" width="14.44140625" hidden="1"/>
  </cols>
  <sheetData>
    <row r="1" spans="1:1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>
      <c r="A2" s="21">
        <v>1</v>
      </c>
      <c r="C2" s="21" t="s">
        <v>91</v>
      </c>
      <c r="D2" s="21" t="s">
        <v>92</v>
      </c>
      <c r="E2" s="21">
        <v>1</v>
      </c>
      <c r="F2" s="21">
        <v>919053</v>
      </c>
      <c r="H2" s="38" t="s">
        <v>94</v>
      </c>
      <c r="I2" s="39">
        <f ca="1">IFERROR(__xludf.DUMMYFUNCTION("IF(SUM(COUNTIF(artists!A:A, SPLIT(D2, "",""))) &gt; 0, ""UA"", 0)"),0)</f>
        <v>0</v>
      </c>
      <c r="J2" s="40">
        <f ca="1">IFERROR(__xludf.DUMMYFUNCTION("IF(SUM(COUNTIF(artists!C:C, SPLIT(D2, "",""))) &gt; 0, ""RU"", 0)"),0)</f>
        <v>0</v>
      </c>
      <c r="K2" s="39" t="str">
        <f ca="1">IFERROR(__xludf.DUMMYFUNCTION("IF(SUM(COUNTIF(artists!E:E, SPLIT(D2, "",""))) &gt; 0, ""OTHER"", 0)"),"OTHER")</f>
        <v>OTHER</v>
      </c>
    </row>
    <row r="3" spans="1:11">
      <c r="A3" s="21">
        <v>2</v>
      </c>
      <c r="B3" s="21">
        <v>3</v>
      </c>
      <c r="C3" s="21" t="s">
        <v>88</v>
      </c>
      <c r="D3" s="21" t="s">
        <v>89</v>
      </c>
      <c r="E3" s="21">
        <v>25</v>
      </c>
      <c r="F3" s="21">
        <v>854255</v>
      </c>
      <c r="G3" s="21" t="s">
        <v>436</v>
      </c>
      <c r="H3" s="38" t="s">
        <v>90</v>
      </c>
      <c r="I3" s="39" t="str">
        <f ca="1">IFERROR(__xludf.DUMMYFUNCTION("IF(SUM(COUNTIF(artists!A:A, SPLIT(D3, "",""))) &gt; 0, ""UA"", 0)"),"UA")</f>
        <v>UA</v>
      </c>
      <c r="J3" s="40">
        <f ca="1">IFERROR(__xludf.DUMMYFUNCTION("IF(SUM(COUNTIF(artists!C:C, SPLIT(D3, "",""))) &gt; 0, ""RU"", 0)"),0)</f>
        <v>0</v>
      </c>
      <c r="K3" s="39">
        <f ca="1">IFERROR(__xludf.DUMMYFUNCTION("IF(SUM(COUNTIF(artists!E:E, SPLIT(D3, "",""))) &gt; 0, ""OTHER"", 0)"),0)</f>
        <v>0</v>
      </c>
    </row>
    <row r="4" spans="1:11">
      <c r="A4" s="21">
        <v>3</v>
      </c>
      <c r="B4" s="21">
        <v>1</v>
      </c>
      <c r="C4" s="21" t="s">
        <v>124</v>
      </c>
      <c r="D4" s="21" t="s">
        <v>125</v>
      </c>
      <c r="E4" s="21">
        <v>8</v>
      </c>
      <c r="F4" s="21">
        <v>822757</v>
      </c>
      <c r="G4" s="21" t="s">
        <v>778</v>
      </c>
      <c r="H4" s="38" t="s">
        <v>127</v>
      </c>
      <c r="I4" s="39">
        <f ca="1">IFERROR(__xludf.DUMMYFUNCTION("IF(SUM(COUNTIF(artists!A:A, SPLIT(D4, "",""))) &gt; 0, ""UA"", 0)"),0)</f>
        <v>0</v>
      </c>
      <c r="J4" s="40" t="str">
        <f ca="1">IFERROR(__xludf.DUMMYFUNCTION("IF(SUM(COUNTIF(artists!C:C, SPLIT(D4, "",""))) &gt; 0, ""RU"", 0)"),"RU")</f>
        <v>RU</v>
      </c>
      <c r="K4" s="39">
        <f ca="1">IFERROR(__xludf.DUMMYFUNCTION("IF(SUM(COUNTIF(artists!E:E, SPLIT(D4, "",""))) &gt; 0, ""OTHER"", 0)"),0)</f>
        <v>0</v>
      </c>
    </row>
    <row r="5" spans="1:11">
      <c r="A5" s="21">
        <v>4</v>
      </c>
      <c r="B5" s="21">
        <v>5</v>
      </c>
      <c r="C5" s="21" t="s">
        <v>111</v>
      </c>
      <c r="D5" s="21" t="s">
        <v>112</v>
      </c>
      <c r="E5" s="21">
        <v>6</v>
      </c>
      <c r="F5" s="21">
        <v>791547</v>
      </c>
      <c r="G5" s="21" t="s">
        <v>326</v>
      </c>
      <c r="H5" s="38" t="s">
        <v>114</v>
      </c>
      <c r="I5" s="39" t="str">
        <f ca="1">IFERROR(__xludf.DUMMYFUNCTION("IF(SUM(COUNTIF(artists!A:A, SPLIT(D5, "",""))) &gt; 0, ""UA"", 0)"),"UA")</f>
        <v>UA</v>
      </c>
      <c r="J5" s="40">
        <f ca="1">IFERROR(__xludf.DUMMYFUNCTION("IF(SUM(COUNTIF(artists!C:C, SPLIT(D5, "",""))) &gt; 0, ""RU"", 0)"),0)</f>
        <v>0</v>
      </c>
      <c r="K5" s="39">
        <f ca="1">IFERROR(__xludf.DUMMYFUNCTION("IF(SUM(COUNTIF(artists!E:E, SPLIT(D5, "",""))) &gt; 0, ""OTHER"", 0)"),0)</f>
        <v>0</v>
      </c>
    </row>
    <row r="6" spans="1:11">
      <c r="A6" s="21">
        <v>5</v>
      </c>
      <c r="B6" s="21">
        <v>4</v>
      </c>
      <c r="C6" s="21" t="s">
        <v>95</v>
      </c>
      <c r="D6" s="21" t="s">
        <v>96</v>
      </c>
      <c r="E6" s="21">
        <v>10</v>
      </c>
      <c r="F6" s="21">
        <v>783567</v>
      </c>
      <c r="G6" s="21" t="s">
        <v>424</v>
      </c>
      <c r="H6" s="38" t="s">
        <v>98</v>
      </c>
      <c r="I6" s="39" t="str">
        <f ca="1">IFERROR(__xludf.DUMMYFUNCTION("IF(SUM(COUNTIF(artists!A:A, SPLIT(D6, "",""))) &gt; 0, ""UA"", 0)"),"UA")</f>
        <v>UA</v>
      </c>
      <c r="J6" s="40">
        <f ca="1">IFERROR(__xludf.DUMMYFUNCTION("IF(SUM(COUNTIF(artists!C:C, SPLIT(D6, "",""))) &gt; 0, ""RU"", 0)"),0)</f>
        <v>0</v>
      </c>
      <c r="K6" s="39">
        <f ca="1">IFERROR(__xludf.DUMMYFUNCTION("IF(SUM(COUNTIF(artists!E:E, SPLIT(D6, "",""))) &gt; 0, ""OTHER"", 0)"),0)</f>
        <v>0</v>
      </c>
    </row>
    <row r="7" spans="1:11">
      <c r="A7" s="21">
        <v>6</v>
      </c>
      <c r="B7" s="21">
        <v>2</v>
      </c>
      <c r="C7" s="21" t="s">
        <v>153</v>
      </c>
      <c r="D7" s="21" t="s">
        <v>154</v>
      </c>
      <c r="E7" s="21">
        <v>5</v>
      </c>
      <c r="F7" s="21">
        <v>745060</v>
      </c>
      <c r="G7" s="21" t="s">
        <v>779</v>
      </c>
      <c r="H7" s="38" t="s">
        <v>156</v>
      </c>
      <c r="I7" s="39">
        <f ca="1">IFERROR(__xludf.DUMMYFUNCTION("IF(SUM(COUNTIF(artists!A:A, SPLIT(D7, "",""))) &gt; 0, ""UA"", 0)"),0)</f>
        <v>0</v>
      </c>
      <c r="J7" s="40" t="str">
        <f ca="1">IFERROR(__xludf.DUMMYFUNCTION("IF(SUM(COUNTIF(artists!C:C, SPLIT(D7, "",""))) &gt; 0, ""RU"", 0)"),"RU")</f>
        <v>RU</v>
      </c>
      <c r="K7" s="39">
        <f ca="1">IFERROR(__xludf.DUMMYFUNCTION("IF(SUM(COUNTIF(artists!E:E, SPLIT(D7, "",""))) &gt; 0, ""OTHER"", 0)"),0)</f>
        <v>0</v>
      </c>
    </row>
    <row r="8" spans="1:11">
      <c r="A8" s="21">
        <v>7</v>
      </c>
      <c r="B8" s="21">
        <v>6</v>
      </c>
      <c r="C8" s="21" t="s">
        <v>121</v>
      </c>
      <c r="D8" s="21" t="s">
        <v>122</v>
      </c>
      <c r="E8" s="21">
        <v>5</v>
      </c>
      <c r="F8" s="21">
        <v>709631</v>
      </c>
      <c r="G8" s="21" t="s">
        <v>296</v>
      </c>
      <c r="H8" s="38" t="s">
        <v>123</v>
      </c>
      <c r="I8" s="39" t="str">
        <f ca="1">IFERROR(__xludf.DUMMYFUNCTION("IF(SUM(COUNTIF(artists!A:A, SPLIT(D8, "",""))) &gt; 0, ""UA"", 0)"),"UA")</f>
        <v>UA</v>
      </c>
      <c r="J8" s="40">
        <f ca="1">IFERROR(__xludf.DUMMYFUNCTION("IF(SUM(COUNTIF(artists!C:C, SPLIT(D8, "",""))) &gt; 0, ""RU"", 0)"),0)</f>
        <v>0</v>
      </c>
      <c r="K8" s="39">
        <f ca="1">IFERROR(__xludf.DUMMYFUNCTION("IF(SUM(COUNTIF(artists!E:E, SPLIT(D8, "",""))) &gt; 0, ""OTHER"", 0)"),0)</f>
        <v>0</v>
      </c>
    </row>
    <row r="9" spans="1:11">
      <c r="A9" s="21">
        <v>8</v>
      </c>
      <c r="B9" s="21">
        <v>9</v>
      </c>
      <c r="C9" s="21" t="s">
        <v>84</v>
      </c>
      <c r="D9" s="21" t="s">
        <v>85</v>
      </c>
      <c r="E9" s="21">
        <v>4</v>
      </c>
      <c r="F9" s="21">
        <v>667541</v>
      </c>
      <c r="G9" s="21" t="s">
        <v>552</v>
      </c>
      <c r="H9" s="38" t="s">
        <v>87</v>
      </c>
      <c r="I9" s="39" t="str">
        <f ca="1">IFERROR(__xludf.DUMMYFUNCTION("IF(SUM(COUNTIF(artists!A:A, SPLIT(D9, "",""))) &gt; 0, ""UA"", 0)"),"UA")</f>
        <v>UA</v>
      </c>
      <c r="J9" s="40">
        <f ca="1">IFERROR(__xludf.DUMMYFUNCTION("IF(SUM(COUNTIF(artists!C:C, SPLIT(D9, "",""))) &gt; 0, ""RU"", 0)"),0)</f>
        <v>0</v>
      </c>
      <c r="K9" s="39">
        <f ca="1">IFERROR(__xludf.DUMMYFUNCTION("IF(SUM(COUNTIF(artists!E:E, SPLIT(D9, "",""))) &gt; 0, ""OTHER"", 0)"),0)</f>
        <v>0</v>
      </c>
    </row>
    <row r="10" spans="1:11">
      <c r="A10" s="21">
        <v>9</v>
      </c>
      <c r="B10" s="21">
        <v>7</v>
      </c>
      <c r="C10" s="21" t="s">
        <v>103</v>
      </c>
      <c r="D10" s="21" t="s">
        <v>104</v>
      </c>
      <c r="E10" s="21">
        <v>6</v>
      </c>
      <c r="F10" s="21">
        <v>665511</v>
      </c>
      <c r="G10" s="21" t="s">
        <v>780</v>
      </c>
      <c r="H10" s="38" t="s">
        <v>106</v>
      </c>
      <c r="I10" s="39" t="str">
        <f ca="1">IFERROR(__xludf.DUMMYFUNCTION("IF(SUM(COUNTIF(artists!A:A, SPLIT(D10, "",""))) &gt; 0, ""UA"", 0)"),"UA")</f>
        <v>UA</v>
      </c>
      <c r="J10" s="40">
        <f ca="1">IFERROR(__xludf.DUMMYFUNCTION("IF(SUM(COUNTIF(artists!C:C, SPLIT(D10, "",""))) &gt; 0, ""RU"", 0)"),0)</f>
        <v>0</v>
      </c>
      <c r="K10" s="39">
        <f ca="1">IFERROR(__xludf.DUMMYFUNCTION("IF(SUM(COUNTIF(artists!E:E, SPLIT(D10, "",""))) &gt; 0, ""OTHER"", 0)"),0)</f>
        <v>0</v>
      </c>
    </row>
    <row r="11" spans="1:11">
      <c r="A11" s="21">
        <v>10</v>
      </c>
      <c r="B11" s="21">
        <v>8</v>
      </c>
      <c r="C11" s="21" t="s">
        <v>128</v>
      </c>
      <c r="D11" s="21" t="s">
        <v>129</v>
      </c>
      <c r="E11" s="21">
        <v>33</v>
      </c>
      <c r="F11" s="21">
        <v>615375</v>
      </c>
      <c r="G11" s="21" t="s">
        <v>266</v>
      </c>
      <c r="H11" s="38" t="s">
        <v>131</v>
      </c>
      <c r="I11" s="39" t="str">
        <f ca="1">IFERROR(__xludf.DUMMYFUNCTION("IF(SUM(COUNTIF(artists!A:A, SPLIT(D11, "",""))) &gt; 0, ""UA"", 0)"),"UA")</f>
        <v>UA</v>
      </c>
      <c r="J11" s="40">
        <f ca="1">IFERROR(__xludf.DUMMYFUNCTION("IF(SUM(COUNTIF(artists!C:C, SPLIT(D11, "",""))) &gt; 0, ""RU"", 0)"),0)</f>
        <v>0</v>
      </c>
      <c r="K11" s="39">
        <f ca="1">IFERROR(__xludf.DUMMYFUNCTION("IF(SUM(COUNTIF(artists!E:E, SPLIT(D11, "",""))) &gt; 0, ""OTHER"", 0)"),0)</f>
        <v>0</v>
      </c>
    </row>
    <row r="12" spans="1:11">
      <c r="A12" s="21">
        <v>11</v>
      </c>
      <c r="B12" s="21">
        <v>13</v>
      </c>
      <c r="C12" s="21" t="s">
        <v>645</v>
      </c>
      <c r="D12" s="21" t="s">
        <v>352</v>
      </c>
      <c r="E12" s="21">
        <v>50</v>
      </c>
      <c r="F12" s="21">
        <v>550183</v>
      </c>
      <c r="G12" s="21" t="s">
        <v>683</v>
      </c>
      <c r="H12" s="38" t="s">
        <v>647</v>
      </c>
      <c r="I12" s="39" t="str">
        <f ca="1">IFERROR(__xludf.DUMMYFUNCTION("IF(SUM(COUNTIF(artists!A:A, SPLIT(D12, "",""))) &gt; 0, ""UA"", 0)"),"UA")</f>
        <v>UA</v>
      </c>
      <c r="J12" s="40">
        <f ca="1">IFERROR(__xludf.DUMMYFUNCTION("IF(SUM(COUNTIF(artists!C:C, SPLIT(D12, "",""))) &gt; 0, ""RU"", 0)"),0)</f>
        <v>0</v>
      </c>
      <c r="K12" s="39">
        <f ca="1">IFERROR(__xludf.DUMMYFUNCTION("IF(SUM(COUNTIF(artists!E:E, SPLIT(D12, "",""))) &gt; 0, ""OTHER"", 0)"),0)</f>
        <v>0</v>
      </c>
    </row>
    <row r="13" spans="1:11">
      <c r="A13" s="21">
        <v>12</v>
      </c>
      <c r="B13" s="21">
        <v>10</v>
      </c>
      <c r="C13" s="21" t="s">
        <v>107</v>
      </c>
      <c r="D13" s="21" t="s">
        <v>108</v>
      </c>
      <c r="E13" s="21">
        <v>5</v>
      </c>
      <c r="F13" s="21">
        <v>549887</v>
      </c>
      <c r="G13" s="21" t="s">
        <v>374</v>
      </c>
      <c r="H13" s="38" t="s">
        <v>110</v>
      </c>
      <c r="I13" s="39" t="str">
        <f ca="1">IFERROR(__xludf.DUMMYFUNCTION("IF(SUM(COUNTIF(artists!A:A, SPLIT(D13, "",""))) &gt; 0, ""UA"", 0)"),"UA")</f>
        <v>UA</v>
      </c>
      <c r="J13" s="40">
        <f ca="1">IFERROR(__xludf.DUMMYFUNCTION("IF(SUM(COUNTIF(artists!C:C, SPLIT(D13, "",""))) &gt; 0, ""RU"", 0)"),0)</f>
        <v>0</v>
      </c>
      <c r="K13" s="39">
        <f ca="1">IFERROR(__xludf.DUMMYFUNCTION("IF(SUM(COUNTIF(artists!E:E, SPLIT(D13, "",""))) &gt; 0, ""OTHER"", 0)"),0)</f>
        <v>0</v>
      </c>
    </row>
    <row r="14" spans="1:11">
      <c r="A14" s="21">
        <v>13</v>
      </c>
      <c r="B14" s="21">
        <v>22</v>
      </c>
      <c r="C14" s="21" t="s">
        <v>290</v>
      </c>
      <c r="D14" s="21" t="s">
        <v>291</v>
      </c>
      <c r="E14" s="21">
        <v>2</v>
      </c>
      <c r="F14" s="21">
        <v>515809</v>
      </c>
      <c r="G14" s="41">
        <v>0.32</v>
      </c>
      <c r="H14" s="38" t="s">
        <v>293</v>
      </c>
      <c r="I14" s="39" t="str">
        <f ca="1">IFERROR(__xludf.DUMMYFUNCTION("IF(SUM(COUNTIF(artists!A:A, SPLIT(D14, "",""))) &gt; 0, ""UA"", 0)"),"UA")</f>
        <v>UA</v>
      </c>
      <c r="J14" s="40">
        <f ca="1">IFERROR(__xludf.DUMMYFUNCTION("IF(SUM(COUNTIF(artists!C:C, SPLIT(D14, "",""))) &gt; 0, ""RU"", 0)"),0)</f>
        <v>0</v>
      </c>
      <c r="K14" s="39">
        <f ca="1">IFERROR(__xludf.DUMMYFUNCTION("IF(SUM(COUNTIF(artists!E:E, SPLIT(D14, "",""))) &gt; 0, ""OTHER"", 0)"),0)</f>
        <v>0</v>
      </c>
    </row>
    <row r="15" spans="1:11">
      <c r="A15" s="21">
        <v>14</v>
      </c>
      <c r="B15" s="21">
        <v>14</v>
      </c>
      <c r="C15" s="21" t="s">
        <v>132</v>
      </c>
      <c r="D15" s="21" t="s">
        <v>133</v>
      </c>
      <c r="E15" s="21">
        <v>37</v>
      </c>
      <c r="F15" s="21">
        <v>485134</v>
      </c>
      <c r="G15" s="21" t="s">
        <v>781</v>
      </c>
      <c r="H15" s="38" t="s">
        <v>135</v>
      </c>
      <c r="I15" s="39" t="str">
        <f ca="1">IFERROR(__xludf.DUMMYFUNCTION("IF(SUM(COUNTIF(artists!A:A, SPLIT(D15, "",""))) &gt; 0, ""UA"", 0)"),"UA")</f>
        <v>UA</v>
      </c>
      <c r="J15" s="40">
        <f ca="1">IFERROR(__xludf.DUMMYFUNCTION("IF(SUM(COUNTIF(artists!C:C, SPLIT(D15, "",""))) &gt; 0, ""RU"", 0)"),0)</f>
        <v>0</v>
      </c>
      <c r="K15" s="39">
        <f ca="1">IFERROR(__xludf.DUMMYFUNCTION("IF(SUM(COUNTIF(artists!E:E, SPLIT(D15, "",""))) &gt; 0, ""OTHER"", 0)"),0)</f>
        <v>0</v>
      </c>
    </row>
    <row r="16" spans="1:11">
      <c r="A16" s="21">
        <v>15</v>
      </c>
      <c r="B16" s="21">
        <v>16</v>
      </c>
      <c r="C16" s="21" t="s">
        <v>115</v>
      </c>
      <c r="D16" s="21" t="s">
        <v>116</v>
      </c>
      <c r="E16" s="21">
        <v>27</v>
      </c>
      <c r="F16" s="21">
        <v>478890</v>
      </c>
      <c r="G16" s="21" t="s">
        <v>664</v>
      </c>
      <c r="H16" s="38" t="s">
        <v>117</v>
      </c>
      <c r="I16" s="39" t="str">
        <f ca="1">IFERROR(__xludf.DUMMYFUNCTION("IF(SUM(COUNTIF(artists!A:A, SPLIT(D16, "",""))) &gt; 0, ""UA"", 0)"),"UA")</f>
        <v>UA</v>
      </c>
      <c r="J16" s="40">
        <f ca="1">IFERROR(__xludf.DUMMYFUNCTION("IF(SUM(COUNTIF(artists!C:C, SPLIT(D16, "",""))) &gt; 0, ""RU"", 0)"),0)</f>
        <v>0</v>
      </c>
      <c r="K16" s="39">
        <f ca="1">IFERROR(__xludf.DUMMYFUNCTION("IF(SUM(COUNTIF(artists!E:E, SPLIT(D16, "",""))) &gt; 0, ""OTHER"", 0)"),0)</f>
        <v>0</v>
      </c>
    </row>
    <row r="17" spans="1:11">
      <c r="A17" s="21">
        <v>16</v>
      </c>
      <c r="B17" s="21">
        <v>15</v>
      </c>
      <c r="C17" s="21" t="s">
        <v>168</v>
      </c>
      <c r="D17" s="21" t="s">
        <v>137</v>
      </c>
      <c r="E17" s="21">
        <v>28</v>
      </c>
      <c r="F17" s="21">
        <v>475983</v>
      </c>
      <c r="G17" s="21" t="s">
        <v>353</v>
      </c>
      <c r="H17" s="38" t="s">
        <v>170</v>
      </c>
      <c r="I17" s="39" t="str">
        <f ca="1">IFERROR(__xludf.DUMMYFUNCTION("IF(SUM(COUNTIF(artists!A:A, SPLIT(D17, "",""))) &gt; 0, ""UA"", 0)"),"UA")</f>
        <v>UA</v>
      </c>
      <c r="J17" s="40">
        <f ca="1">IFERROR(__xludf.DUMMYFUNCTION("IF(SUM(COUNTIF(artists!C:C, SPLIT(D17, "",""))) &gt; 0, ""RU"", 0)"),0)</f>
        <v>0</v>
      </c>
      <c r="K17" s="39">
        <f ca="1">IFERROR(__xludf.DUMMYFUNCTION("IF(SUM(COUNTIF(artists!E:E, SPLIT(D17, "",""))) &gt; 0, ""OTHER"", 0)"),0)</f>
        <v>0</v>
      </c>
    </row>
    <row r="18" spans="1:11">
      <c r="A18" s="21">
        <v>17</v>
      </c>
      <c r="B18" s="21">
        <v>11</v>
      </c>
      <c r="C18" s="21" t="s">
        <v>99</v>
      </c>
      <c r="D18" s="21" t="s">
        <v>100</v>
      </c>
      <c r="E18" s="21">
        <v>7</v>
      </c>
      <c r="F18" s="21">
        <v>468157</v>
      </c>
      <c r="G18" s="21" t="s">
        <v>782</v>
      </c>
      <c r="H18" s="38" t="s">
        <v>102</v>
      </c>
      <c r="I18" s="39" t="str">
        <f ca="1">IFERROR(__xludf.DUMMYFUNCTION("IF(SUM(COUNTIF(artists!A:A, SPLIT(D18, "",""))) &gt; 0, ""UA"", 0)"),"UA")</f>
        <v>UA</v>
      </c>
      <c r="J18" s="40">
        <f ca="1">IFERROR(__xludf.DUMMYFUNCTION("IF(SUM(COUNTIF(artists!C:C, SPLIT(D18, "",""))) &gt; 0, ""RU"", 0)"),0)</f>
        <v>0</v>
      </c>
      <c r="K18" s="39">
        <f ca="1">IFERROR(__xludf.DUMMYFUNCTION("IF(SUM(COUNTIF(artists!E:E, SPLIT(D18, "",""))) &gt; 0, ""OTHER"", 0)"),0)</f>
        <v>0</v>
      </c>
    </row>
    <row r="19" spans="1:11">
      <c r="A19" s="21">
        <v>18</v>
      </c>
      <c r="B19" s="21">
        <v>17</v>
      </c>
      <c r="C19" s="21" t="s">
        <v>145</v>
      </c>
      <c r="D19" s="21" t="s">
        <v>146</v>
      </c>
      <c r="E19" s="21">
        <v>31</v>
      </c>
      <c r="F19" s="21">
        <v>452133</v>
      </c>
      <c r="G19" s="21" t="s">
        <v>783</v>
      </c>
      <c r="H19" s="38" t="s">
        <v>148</v>
      </c>
      <c r="I19" s="39" t="str">
        <f ca="1">IFERROR(__xludf.DUMMYFUNCTION("IF(SUM(COUNTIF(artists!A:A, SPLIT(D19, "",""))) &gt; 0, ""UA"", 0)"),"UA")</f>
        <v>UA</v>
      </c>
      <c r="J19" s="40">
        <f ca="1">IFERROR(__xludf.DUMMYFUNCTION("IF(SUM(COUNTIF(artists!C:C, SPLIT(D19, "",""))) &gt; 0, ""RU"", 0)"),0)</f>
        <v>0</v>
      </c>
      <c r="K19" s="39">
        <f ca="1">IFERROR(__xludf.DUMMYFUNCTION("IF(SUM(COUNTIF(artists!E:E, SPLIT(D19, "",""))) &gt; 0, ""OTHER"", 0)"),0)</f>
        <v>0</v>
      </c>
    </row>
    <row r="20" spans="1:11">
      <c r="A20" s="21">
        <v>19</v>
      </c>
      <c r="B20" s="21">
        <v>18</v>
      </c>
      <c r="C20" s="21" t="s">
        <v>149</v>
      </c>
      <c r="D20" s="21" t="s">
        <v>150</v>
      </c>
      <c r="E20" s="21">
        <v>30</v>
      </c>
      <c r="F20" s="21">
        <v>443495</v>
      </c>
      <c r="G20" s="21" t="s">
        <v>646</v>
      </c>
      <c r="H20" s="38" t="s">
        <v>152</v>
      </c>
      <c r="I20" s="39" t="str">
        <f ca="1">IFERROR(__xludf.DUMMYFUNCTION("IF(SUM(COUNTIF(artists!A:A, SPLIT(D20, "",""))) &gt; 0, ""UA"", 0)"),"UA")</f>
        <v>UA</v>
      </c>
      <c r="J20" s="40">
        <f ca="1">IFERROR(__xludf.DUMMYFUNCTION("IF(SUM(COUNTIF(artists!C:C, SPLIT(D20, "",""))) &gt; 0, ""RU"", 0)"),0)</f>
        <v>0</v>
      </c>
      <c r="K20" s="39">
        <f ca="1">IFERROR(__xludf.DUMMYFUNCTION("IF(SUM(COUNTIF(artists!E:E, SPLIT(D20, "",""))) &gt; 0, ""OTHER"", 0)"),0)</f>
        <v>0</v>
      </c>
    </row>
    <row r="21" spans="1:11">
      <c r="A21" s="21">
        <v>20</v>
      </c>
      <c r="B21" s="21">
        <v>12</v>
      </c>
      <c r="C21" s="21" t="s">
        <v>221</v>
      </c>
      <c r="D21" s="21" t="s">
        <v>222</v>
      </c>
      <c r="E21" s="21">
        <v>7</v>
      </c>
      <c r="F21" s="21">
        <v>407641</v>
      </c>
      <c r="G21" s="21" t="s">
        <v>784</v>
      </c>
      <c r="H21" s="38" t="s">
        <v>785</v>
      </c>
      <c r="I21" s="39">
        <f ca="1">IFERROR(__xludf.DUMMYFUNCTION("IF(SUM(COUNTIF(artists!A:A, SPLIT(D21, "",""))) &gt; 0, ""UA"", 0)"),0)</f>
        <v>0</v>
      </c>
      <c r="J21" s="40">
        <f ca="1">IFERROR(__xludf.DUMMYFUNCTION("IF(SUM(COUNTIF(artists!C:C, SPLIT(D21, "",""))) &gt; 0, ""RU"", 0)"),0)</f>
        <v>0</v>
      </c>
      <c r="K21" s="39" t="str">
        <f ca="1">IFERROR(__xludf.DUMMYFUNCTION("IF(SUM(COUNTIF(artists!E:E, SPLIT(D21, "",""))) &gt; 0, ""OTHER"", 0)"),"OTHER")</f>
        <v>OTHER</v>
      </c>
    </row>
    <row r="22" spans="1:11">
      <c r="A22" s="21">
        <v>21</v>
      </c>
      <c r="B22" s="21">
        <v>19</v>
      </c>
      <c r="C22" s="21" t="s">
        <v>171</v>
      </c>
      <c r="D22" s="21" t="s">
        <v>172</v>
      </c>
      <c r="E22" s="21">
        <v>32</v>
      </c>
      <c r="F22" s="21">
        <v>391933</v>
      </c>
      <c r="G22" s="21" t="s">
        <v>786</v>
      </c>
      <c r="H22" s="38" t="s">
        <v>174</v>
      </c>
      <c r="I22" s="39">
        <f ca="1">IFERROR(__xludf.DUMMYFUNCTION("IF(SUM(COUNTIF(artists!A:A, SPLIT(D22, "",""))) &gt; 0, ""UA"", 0)"),0)</f>
        <v>0</v>
      </c>
      <c r="J22" s="40" t="str">
        <f ca="1">IFERROR(__xludf.DUMMYFUNCTION("IF(SUM(COUNTIF(artists!C:C, SPLIT(D22, "",""))) &gt; 0, ""RU"", 0)"),"RU")</f>
        <v>RU</v>
      </c>
      <c r="K22" s="39">
        <f ca="1">IFERROR(__xludf.DUMMYFUNCTION("IF(SUM(COUNTIF(artists!E:E, SPLIT(D22, "",""))) &gt; 0, ""OTHER"", 0)"),0)</f>
        <v>0</v>
      </c>
    </row>
    <row r="23" spans="1:11">
      <c r="A23" s="21">
        <v>22</v>
      </c>
      <c r="B23" s="21">
        <v>23</v>
      </c>
      <c r="C23" s="21" t="s">
        <v>175</v>
      </c>
      <c r="D23" s="21" t="s">
        <v>89</v>
      </c>
      <c r="E23" s="21">
        <v>37</v>
      </c>
      <c r="F23" s="21">
        <v>387324</v>
      </c>
      <c r="G23" s="21" t="s">
        <v>737</v>
      </c>
      <c r="H23" s="38" t="s">
        <v>177</v>
      </c>
      <c r="I23" s="39" t="str">
        <f ca="1">IFERROR(__xludf.DUMMYFUNCTION("IF(SUM(COUNTIF(artists!A:A, SPLIT(D23, "",""))) &gt; 0, ""UA"", 0)"),"UA")</f>
        <v>UA</v>
      </c>
      <c r="J23" s="40">
        <f ca="1">IFERROR(__xludf.DUMMYFUNCTION("IF(SUM(COUNTIF(artists!C:C, SPLIT(D23, "",""))) &gt; 0, ""RU"", 0)"),0)</f>
        <v>0</v>
      </c>
      <c r="K23" s="39">
        <f ca="1">IFERROR(__xludf.DUMMYFUNCTION("IF(SUM(COUNTIF(artists!E:E, SPLIT(D23, "",""))) &gt; 0, ""OTHER"", 0)"),0)</f>
        <v>0</v>
      </c>
    </row>
    <row r="24" spans="1:11">
      <c r="A24" s="21">
        <v>23</v>
      </c>
      <c r="B24" s="21">
        <v>46</v>
      </c>
      <c r="C24" s="21" t="s">
        <v>136</v>
      </c>
      <c r="D24" s="21" t="s">
        <v>137</v>
      </c>
      <c r="E24" s="21">
        <v>3</v>
      </c>
      <c r="F24" s="21">
        <v>386393</v>
      </c>
      <c r="G24" s="21" t="s">
        <v>787</v>
      </c>
      <c r="H24" s="38" t="s">
        <v>138</v>
      </c>
      <c r="I24" s="39" t="str">
        <f ca="1">IFERROR(__xludf.DUMMYFUNCTION("IF(SUM(COUNTIF(artists!A:A, SPLIT(D24, "",""))) &gt; 0, ""UA"", 0)"),"UA")</f>
        <v>UA</v>
      </c>
      <c r="J24" s="40">
        <f ca="1">IFERROR(__xludf.DUMMYFUNCTION("IF(SUM(COUNTIF(artists!C:C, SPLIT(D24, "",""))) &gt; 0, ""RU"", 0)"),0)</f>
        <v>0</v>
      </c>
      <c r="K24" s="39">
        <f ca="1">IFERROR(__xludf.DUMMYFUNCTION("IF(SUM(COUNTIF(artists!E:E, SPLIT(D24, "",""))) &gt; 0, ""OTHER"", 0)"),0)</f>
        <v>0</v>
      </c>
    </row>
    <row r="25" spans="1:11">
      <c r="A25" s="21">
        <v>24</v>
      </c>
      <c r="B25" s="21">
        <v>28</v>
      </c>
      <c r="C25" s="21" t="s">
        <v>182</v>
      </c>
      <c r="D25" s="21" t="s">
        <v>183</v>
      </c>
      <c r="E25" s="21">
        <v>33</v>
      </c>
      <c r="F25" s="21">
        <v>367699</v>
      </c>
      <c r="G25" s="21" t="s">
        <v>788</v>
      </c>
      <c r="H25" s="38" t="s">
        <v>185</v>
      </c>
      <c r="I25" s="39" t="str">
        <f ca="1">IFERROR(__xludf.DUMMYFUNCTION("IF(SUM(COUNTIF(artists!A:A, SPLIT(D25, "",""))) &gt; 0, ""UA"", 0)"),"UA")</f>
        <v>UA</v>
      </c>
      <c r="J25" s="40">
        <f ca="1">IFERROR(__xludf.DUMMYFUNCTION("IF(SUM(COUNTIF(artists!C:C, SPLIT(D25, "",""))) &gt; 0, ""RU"", 0)"),0)</f>
        <v>0</v>
      </c>
      <c r="K25" s="39">
        <f ca="1">IFERROR(__xludf.DUMMYFUNCTION("IF(SUM(COUNTIF(artists!E:E, SPLIT(D25, "",""))) &gt; 0, ""OTHER"", 0)"),0)</f>
        <v>0</v>
      </c>
    </row>
    <row r="26" spans="1:11">
      <c r="A26" s="21">
        <v>25</v>
      </c>
      <c r="B26" s="21">
        <v>20</v>
      </c>
      <c r="C26" s="21" t="s">
        <v>202</v>
      </c>
      <c r="D26" s="21" t="s">
        <v>203</v>
      </c>
      <c r="E26" s="21">
        <v>27</v>
      </c>
      <c r="F26" s="21">
        <v>362402</v>
      </c>
      <c r="G26" s="21" t="s">
        <v>789</v>
      </c>
      <c r="H26" s="38" t="s">
        <v>204</v>
      </c>
      <c r="I26" s="39" t="str">
        <f ca="1">IFERROR(__xludf.DUMMYFUNCTION("IF(SUM(COUNTIF(artists!A:A, SPLIT(D26, "",""))) &gt; 0, ""UA"", 0)"),"UA")</f>
        <v>UA</v>
      </c>
      <c r="J26" s="40">
        <f ca="1">IFERROR(__xludf.DUMMYFUNCTION("IF(SUM(COUNTIF(artists!C:C, SPLIT(D26, "",""))) &gt; 0, ""RU"", 0)"),0)</f>
        <v>0</v>
      </c>
      <c r="K26" s="39">
        <f ca="1">IFERROR(__xludf.DUMMYFUNCTION("IF(SUM(COUNTIF(artists!E:E, SPLIT(D26, "",""))) &gt; 0, ""OTHER"", 0)"),0)</f>
        <v>0</v>
      </c>
    </row>
    <row r="27" spans="1:11">
      <c r="A27" s="21">
        <v>26</v>
      </c>
      <c r="B27" s="21">
        <v>25</v>
      </c>
      <c r="C27" s="21" t="s">
        <v>186</v>
      </c>
      <c r="D27" s="21" t="s">
        <v>187</v>
      </c>
      <c r="E27" s="21">
        <v>41</v>
      </c>
      <c r="F27" s="21">
        <v>360935</v>
      </c>
      <c r="G27" s="21" t="s">
        <v>492</v>
      </c>
      <c r="H27" s="38" t="s">
        <v>189</v>
      </c>
      <c r="I27" s="39" t="str">
        <f ca="1">IFERROR(__xludf.DUMMYFUNCTION("IF(SUM(COUNTIF(artists!A:A, SPLIT(D27, "",""))) &gt; 0, ""UA"", 0)"),"UA")</f>
        <v>UA</v>
      </c>
      <c r="J27" s="40">
        <f ca="1">IFERROR(__xludf.DUMMYFUNCTION("IF(SUM(COUNTIF(artists!C:C, SPLIT(D27, "",""))) &gt; 0, ""RU"", 0)"),0)</f>
        <v>0</v>
      </c>
      <c r="K27" s="39">
        <f ca="1">IFERROR(__xludf.DUMMYFUNCTION("IF(SUM(COUNTIF(artists!E:E, SPLIT(D27, "",""))) &gt; 0, ""OTHER"", 0)"),0)</f>
        <v>0</v>
      </c>
    </row>
    <row r="28" spans="1:11">
      <c r="A28" s="21">
        <v>27</v>
      </c>
      <c r="B28" s="21">
        <v>26</v>
      </c>
      <c r="C28" s="21" t="s">
        <v>237</v>
      </c>
      <c r="D28" s="21" t="s">
        <v>238</v>
      </c>
      <c r="E28" s="21">
        <v>6</v>
      </c>
      <c r="F28" s="21">
        <v>356420</v>
      </c>
      <c r="G28" s="21" t="s">
        <v>381</v>
      </c>
      <c r="H28" s="38" t="s">
        <v>240</v>
      </c>
      <c r="I28" s="39" t="str">
        <f ca="1">IFERROR(__xludf.DUMMYFUNCTION("IF(SUM(COUNTIF(artists!A:A, SPLIT(D28, "",""))) &gt; 0, ""UA"", 0)"),"UA")</f>
        <v>UA</v>
      </c>
      <c r="J28" s="40">
        <f ca="1">IFERROR(__xludf.DUMMYFUNCTION("IF(SUM(COUNTIF(artists!C:C, SPLIT(D28, "",""))) &gt; 0, ""RU"", 0)"),0)</f>
        <v>0</v>
      </c>
      <c r="K28" s="39">
        <f ca="1">IFERROR(__xludf.DUMMYFUNCTION("IF(SUM(COUNTIF(artists!E:E, SPLIT(D28, "",""))) &gt; 0, ""OTHER"", 0)"),0)</f>
        <v>0</v>
      </c>
    </row>
    <row r="29" spans="1:11">
      <c r="A29" s="21">
        <v>28</v>
      </c>
      <c r="B29" s="21">
        <v>21</v>
      </c>
      <c r="C29" s="21" t="s">
        <v>160</v>
      </c>
      <c r="D29" s="21" t="s">
        <v>161</v>
      </c>
      <c r="E29" s="21">
        <v>31</v>
      </c>
      <c r="F29" s="21">
        <v>351648</v>
      </c>
      <c r="G29" s="21" t="s">
        <v>747</v>
      </c>
      <c r="H29" s="38" t="s">
        <v>163</v>
      </c>
      <c r="I29" s="39" t="str">
        <f ca="1">IFERROR(__xludf.DUMMYFUNCTION("IF(SUM(COUNTIF(artists!A:A, SPLIT(D29, "",""))) &gt; 0, ""UA"", 0)"),"UA")</f>
        <v>UA</v>
      </c>
      <c r="J29" s="40">
        <f ca="1">IFERROR(__xludf.DUMMYFUNCTION("IF(SUM(COUNTIF(artists!C:C, SPLIT(D29, "",""))) &gt; 0, ""RU"", 0)"),0)</f>
        <v>0</v>
      </c>
      <c r="K29" s="39">
        <f ca="1">IFERROR(__xludf.DUMMYFUNCTION("IF(SUM(COUNTIF(artists!E:E, SPLIT(D29, "",""))) &gt; 0, ""OTHER"", 0)"),0)</f>
        <v>0</v>
      </c>
    </row>
    <row r="30" spans="1:11">
      <c r="A30" s="21">
        <v>29</v>
      </c>
      <c r="B30" s="21">
        <v>30</v>
      </c>
      <c r="C30" s="21" t="s">
        <v>653</v>
      </c>
      <c r="D30" s="21" t="s">
        <v>85</v>
      </c>
      <c r="E30" s="21">
        <v>13</v>
      </c>
      <c r="F30" s="21">
        <v>312824</v>
      </c>
      <c r="G30" s="21" t="s">
        <v>385</v>
      </c>
      <c r="H30" s="38" t="s">
        <v>655</v>
      </c>
      <c r="I30" s="39" t="str">
        <f ca="1">IFERROR(__xludf.DUMMYFUNCTION("IF(SUM(COUNTIF(artists!A:A, SPLIT(D30, "",""))) &gt; 0, ""UA"", 0)"),"UA")</f>
        <v>UA</v>
      </c>
      <c r="J30" s="40">
        <f ca="1">IFERROR(__xludf.DUMMYFUNCTION("IF(SUM(COUNTIF(artists!C:C, SPLIT(D30, "",""))) &gt; 0, ""RU"", 0)"),0)</f>
        <v>0</v>
      </c>
      <c r="K30" s="39">
        <f ca="1">IFERROR(__xludf.DUMMYFUNCTION("IF(SUM(COUNTIF(artists!E:E, SPLIT(D30, "",""))) &gt; 0, ""OTHER"", 0)"),0)</f>
        <v>0</v>
      </c>
    </row>
    <row r="31" spans="1:11">
      <c r="A31" s="21">
        <v>30</v>
      </c>
      <c r="B31" s="21">
        <v>27</v>
      </c>
      <c r="C31" s="21" t="s">
        <v>277</v>
      </c>
      <c r="D31" s="21" t="s">
        <v>125</v>
      </c>
      <c r="E31" s="21">
        <v>4</v>
      </c>
      <c r="F31" s="21">
        <v>302659</v>
      </c>
      <c r="G31" s="21" t="s">
        <v>790</v>
      </c>
      <c r="H31" s="38" t="s">
        <v>279</v>
      </c>
      <c r="I31" s="39">
        <f ca="1">IFERROR(__xludf.DUMMYFUNCTION("IF(SUM(COUNTIF(artists!A:A, SPLIT(D31, "",""))) &gt; 0, ""UA"", 0)"),0)</f>
        <v>0</v>
      </c>
      <c r="J31" s="40" t="str">
        <f ca="1">IFERROR(__xludf.DUMMYFUNCTION("IF(SUM(COUNTIF(artists!C:C, SPLIT(D31, "",""))) &gt; 0, ""RU"", 0)"),"RU")</f>
        <v>RU</v>
      </c>
      <c r="K31" s="39">
        <f ca="1">IFERROR(__xludf.DUMMYFUNCTION("IF(SUM(COUNTIF(artists!E:E, SPLIT(D31, "",""))) &gt; 0, ""OTHER"", 0)"),0)</f>
        <v>0</v>
      </c>
    </row>
    <row r="32" spans="1:11">
      <c r="A32" s="21">
        <v>31</v>
      </c>
      <c r="B32" s="21">
        <v>24</v>
      </c>
      <c r="C32" s="21" t="s">
        <v>194</v>
      </c>
      <c r="D32" s="21" t="s">
        <v>195</v>
      </c>
      <c r="E32" s="21">
        <v>40</v>
      </c>
      <c r="F32" s="21">
        <v>300938</v>
      </c>
      <c r="G32" s="21" t="s">
        <v>791</v>
      </c>
      <c r="H32" s="38" t="s">
        <v>197</v>
      </c>
      <c r="I32" s="39" t="str">
        <f ca="1">IFERROR(__xludf.DUMMYFUNCTION("IF(SUM(COUNTIF(artists!A:A, SPLIT(D32, "",""))) &gt; 0, ""UA"", 0)"),"UA")</f>
        <v>UA</v>
      </c>
      <c r="J32" s="40">
        <f ca="1">IFERROR(__xludf.DUMMYFUNCTION("IF(SUM(COUNTIF(artists!C:C, SPLIT(D32, "",""))) &gt; 0, ""RU"", 0)"),0)</f>
        <v>0</v>
      </c>
      <c r="K32" s="39">
        <f ca="1">IFERROR(__xludf.DUMMYFUNCTION("IF(SUM(COUNTIF(artists!E:E, SPLIT(D32, "",""))) &gt; 0, ""OTHER"", 0)"),0)</f>
        <v>0</v>
      </c>
    </row>
    <row r="33" spans="1:11">
      <c r="A33" s="21">
        <v>32</v>
      </c>
      <c r="B33" s="21">
        <v>35</v>
      </c>
      <c r="C33" s="21" t="s">
        <v>198</v>
      </c>
      <c r="D33" s="21" t="s">
        <v>199</v>
      </c>
      <c r="E33" s="21">
        <v>18</v>
      </c>
      <c r="F33" s="21">
        <v>297501</v>
      </c>
      <c r="G33" s="21" t="s">
        <v>211</v>
      </c>
      <c r="H33" s="38" t="s">
        <v>201</v>
      </c>
      <c r="I33" s="39" t="str">
        <f ca="1">IFERROR(__xludf.DUMMYFUNCTION("IF(SUM(COUNTIF(artists!A:A, SPLIT(D33, "",""))) &gt; 0, ""UA"", 0)"),"UA")</f>
        <v>UA</v>
      </c>
      <c r="J33" s="40">
        <f ca="1">IFERROR(__xludf.DUMMYFUNCTION("IF(SUM(COUNTIF(artists!C:C, SPLIT(D33, "",""))) &gt; 0, ""RU"", 0)"),0)</f>
        <v>0</v>
      </c>
      <c r="K33" s="39">
        <f ca="1">IFERROR(__xludf.DUMMYFUNCTION("IF(SUM(COUNTIF(artists!E:E, SPLIT(D33, "",""))) &gt; 0, ""OTHER"", 0)"),0)</f>
        <v>0</v>
      </c>
    </row>
    <row r="34" spans="1:11">
      <c r="A34" s="21">
        <v>33</v>
      </c>
      <c r="B34" s="21">
        <v>33</v>
      </c>
      <c r="C34" s="21" t="s">
        <v>261</v>
      </c>
      <c r="D34" s="21" t="s">
        <v>262</v>
      </c>
      <c r="E34" s="21">
        <v>7</v>
      </c>
      <c r="F34" s="21">
        <v>284998</v>
      </c>
      <c r="G34" s="21" t="s">
        <v>642</v>
      </c>
      <c r="H34" s="38" t="s">
        <v>263</v>
      </c>
      <c r="I34" s="39" t="str">
        <f ca="1">IFERROR(__xludf.DUMMYFUNCTION("IF(SUM(COUNTIF(artists!A:A, SPLIT(D34, "",""))) &gt; 0, ""UA"", 0)"),"UA")</f>
        <v>UA</v>
      </c>
      <c r="J34" s="40">
        <f ca="1">IFERROR(__xludf.DUMMYFUNCTION("IF(SUM(COUNTIF(artists!C:C, SPLIT(D34, "",""))) &gt; 0, ""RU"", 0)"),0)</f>
        <v>0</v>
      </c>
      <c r="K34" s="39">
        <f ca="1">IFERROR(__xludf.DUMMYFUNCTION("IF(SUM(COUNTIF(artists!E:E, SPLIT(D34, "",""))) &gt; 0, ""OTHER"", 0)"),0)</f>
        <v>0</v>
      </c>
    </row>
    <row r="35" spans="1:11">
      <c r="A35" s="21">
        <v>34</v>
      </c>
      <c r="B35" s="21">
        <v>34</v>
      </c>
      <c r="C35" s="21" t="s">
        <v>178</v>
      </c>
      <c r="D35" s="21" t="s">
        <v>179</v>
      </c>
      <c r="E35" s="21">
        <v>41</v>
      </c>
      <c r="F35" s="21">
        <v>278386</v>
      </c>
      <c r="G35" s="21" t="s">
        <v>162</v>
      </c>
      <c r="H35" s="38" t="s">
        <v>181</v>
      </c>
      <c r="I35" s="39" t="str">
        <f ca="1">IFERROR(__xludf.DUMMYFUNCTION("IF(SUM(COUNTIF(artists!A:A, SPLIT(D35, "",""))) &gt; 0, ""UA"", 0)"),"UA")</f>
        <v>UA</v>
      </c>
      <c r="J35" s="40">
        <f ca="1">IFERROR(__xludf.DUMMYFUNCTION("IF(SUM(COUNTIF(artists!C:C, SPLIT(D35, "",""))) &gt; 0, ""RU"", 0)"),0)</f>
        <v>0</v>
      </c>
      <c r="K35" s="39">
        <f ca="1">IFERROR(__xludf.DUMMYFUNCTION("IF(SUM(COUNTIF(artists!E:E, SPLIT(D35, "",""))) &gt; 0, ""OTHER"", 0)"),0)</f>
        <v>0</v>
      </c>
    </row>
    <row r="36" spans="1:11">
      <c r="A36" s="21">
        <v>35</v>
      </c>
      <c r="B36" s="21">
        <v>47</v>
      </c>
      <c r="C36" s="21" t="s">
        <v>247</v>
      </c>
      <c r="D36" s="21" t="s">
        <v>454</v>
      </c>
      <c r="E36" s="21">
        <v>14</v>
      </c>
      <c r="F36" s="21">
        <v>278063</v>
      </c>
      <c r="G36" s="21" t="s">
        <v>483</v>
      </c>
      <c r="H36" s="38" t="s">
        <v>250</v>
      </c>
      <c r="I36" s="39" t="str">
        <f ca="1">IFERROR(__xludf.DUMMYFUNCTION("IF(SUM(COUNTIF(artists!A:A, SPLIT(D36, "",""))) &gt; 0, ""UA"", 0)"),"UA")</f>
        <v>UA</v>
      </c>
      <c r="J36" s="40">
        <f ca="1">IFERROR(__xludf.DUMMYFUNCTION("IF(SUM(COUNTIF(artists!C:C, SPLIT(D36, "",""))) &gt; 0, ""RU"", 0)"),0)</f>
        <v>0</v>
      </c>
      <c r="K36" s="39">
        <f ca="1">IFERROR(__xludf.DUMMYFUNCTION("IF(SUM(COUNTIF(artists!E:E, SPLIT(D36, "",""))) &gt; 0, ""OTHER"", 0)"),0)</f>
        <v>0</v>
      </c>
    </row>
    <row r="37" spans="1:11">
      <c r="A37" s="21">
        <v>36</v>
      </c>
      <c r="B37" s="21">
        <v>32</v>
      </c>
      <c r="C37" s="21" t="s">
        <v>286</v>
      </c>
      <c r="D37" s="21" t="s">
        <v>287</v>
      </c>
      <c r="E37" s="21">
        <v>12</v>
      </c>
      <c r="F37" s="21">
        <v>276415</v>
      </c>
      <c r="G37" s="21" t="s">
        <v>792</v>
      </c>
      <c r="H37" s="38" t="s">
        <v>289</v>
      </c>
      <c r="I37" s="39">
        <f ca="1">IFERROR(__xludf.DUMMYFUNCTION("IF(SUM(COUNTIF(artists!A:A, SPLIT(D37, "",""))) &gt; 0, ""UA"", 0)"),0)</f>
        <v>0</v>
      </c>
      <c r="J37" s="40" t="str">
        <f ca="1">IFERROR(__xludf.DUMMYFUNCTION("IF(SUM(COUNTIF(artists!C:C, SPLIT(D37, "",""))) &gt; 0, ""RU"", 0)"),"RU")</f>
        <v>RU</v>
      </c>
      <c r="K37" s="39">
        <f ca="1">IFERROR(__xludf.DUMMYFUNCTION("IF(SUM(COUNTIF(artists!E:E, SPLIT(D37, "",""))) &gt; 0, ""OTHER"", 0)"),0)</f>
        <v>0</v>
      </c>
    </row>
    <row r="38" spans="1:11">
      <c r="A38" s="21">
        <v>37</v>
      </c>
      <c r="B38" s="21">
        <v>40</v>
      </c>
      <c r="C38" s="21" t="s">
        <v>164</v>
      </c>
      <c r="D38" s="21" t="s">
        <v>165</v>
      </c>
      <c r="E38" s="21">
        <v>4</v>
      </c>
      <c r="F38" s="21">
        <v>275588</v>
      </c>
      <c r="G38" s="21" t="s">
        <v>467</v>
      </c>
      <c r="H38" s="38" t="s">
        <v>167</v>
      </c>
      <c r="I38" s="39" t="str">
        <f ca="1">IFERROR(__xludf.DUMMYFUNCTION("IF(SUM(COUNTIF(artists!A:A, SPLIT(D38, "",""))) &gt; 0, ""UA"", 0)"),"UA")</f>
        <v>UA</v>
      </c>
      <c r="J38" s="40">
        <f ca="1">IFERROR(__xludf.DUMMYFUNCTION("IF(SUM(COUNTIF(artists!C:C, SPLIT(D38, "",""))) &gt; 0, ""RU"", 0)"),0)</f>
        <v>0</v>
      </c>
      <c r="K38" s="39">
        <f ca="1">IFERROR(__xludf.DUMMYFUNCTION("IF(SUM(COUNTIF(artists!E:E, SPLIT(D38, "",""))) &gt; 0, ""OTHER"", 0)"),0)</f>
        <v>0</v>
      </c>
    </row>
    <row r="39" spans="1:11">
      <c r="A39" s="21">
        <v>38</v>
      </c>
      <c r="B39" s="21">
        <v>45</v>
      </c>
      <c r="C39" s="21" t="s">
        <v>190</v>
      </c>
      <c r="D39" s="21" t="s">
        <v>191</v>
      </c>
      <c r="E39" s="21">
        <v>12</v>
      </c>
      <c r="F39" s="21">
        <v>271144</v>
      </c>
      <c r="G39" s="21" t="s">
        <v>575</v>
      </c>
      <c r="H39" s="38" t="s">
        <v>193</v>
      </c>
      <c r="I39" s="39" t="str">
        <f ca="1">IFERROR(__xludf.DUMMYFUNCTION("IF(SUM(COUNTIF(artists!A:A, SPLIT(D39, "",""))) &gt; 0, ""UA"", 0)"),"UA")</f>
        <v>UA</v>
      </c>
      <c r="J39" s="40">
        <f ca="1">IFERROR(__xludf.DUMMYFUNCTION("IF(SUM(COUNTIF(artists!C:C, SPLIT(D39, "",""))) &gt; 0, ""RU"", 0)"),0)</f>
        <v>0</v>
      </c>
      <c r="K39" s="39">
        <f ca="1">IFERROR(__xludf.DUMMYFUNCTION("IF(SUM(COUNTIF(artists!E:E, SPLIT(D39, "",""))) &gt; 0, ""OTHER"", 0)"),0)</f>
        <v>0</v>
      </c>
    </row>
    <row r="40" spans="1:11">
      <c r="A40" s="21">
        <v>39</v>
      </c>
      <c r="C40" s="21" t="s">
        <v>462</v>
      </c>
      <c r="D40" s="21" t="s">
        <v>463</v>
      </c>
      <c r="E40" s="21">
        <v>22</v>
      </c>
      <c r="F40" s="21">
        <v>271030</v>
      </c>
      <c r="H40" s="38" t="s">
        <v>465</v>
      </c>
      <c r="I40" s="39" t="str">
        <f ca="1">IFERROR(__xludf.DUMMYFUNCTION("IF(SUM(COUNTIF(artists!A:A, SPLIT(D40, "",""))) &gt; 0, ""UA"", 0)"),"UA")</f>
        <v>UA</v>
      </c>
      <c r="J40" s="40">
        <f ca="1">IFERROR(__xludf.DUMMYFUNCTION("IF(SUM(COUNTIF(artists!C:C, SPLIT(D40, "",""))) &gt; 0, ""RU"", 0)"),0)</f>
        <v>0</v>
      </c>
      <c r="K40" s="39">
        <f ca="1">IFERROR(__xludf.DUMMYFUNCTION("IF(SUM(COUNTIF(artists!E:E, SPLIT(D40, "",""))) &gt; 0, ""OTHER"", 0)"),0)</f>
        <v>0</v>
      </c>
    </row>
    <row r="41" spans="1:11">
      <c r="A41" s="21">
        <v>40</v>
      </c>
      <c r="B41" s="21">
        <v>29</v>
      </c>
      <c r="C41" s="21" t="s">
        <v>294</v>
      </c>
      <c r="D41" s="21" t="s">
        <v>295</v>
      </c>
      <c r="E41" s="21">
        <v>9</v>
      </c>
      <c r="F41" s="21">
        <v>267951</v>
      </c>
      <c r="G41" s="21" t="s">
        <v>793</v>
      </c>
      <c r="H41" s="38" t="s">
        <v>297</v>
      </c>
      <c r="I41" s="39">
        <f ca="1">IFERROR(__xludf.DUMMYFUNCTION("IF(SUM(COUNTIF(artists!A:A, SPLIT(D41, "",""))) &gt; 0, ""UA"", 0)"),0)</f>
        <v>0</v>
      </c>
      <c r="J41" s="40" t="str">
        <f ca="1">IFERROR(__xludf.DUMMYFUNCTION("IF(SUM(COUNTIF(artists!C:C, SPLIT(D41, "",""))) &gt; 0, ""RU"", 0)"),"RU")</f>
        <v>RU</v>
      </c>
      <c r="K41" s="39">
        <f ca="1">IFERROR(__xludf.DUMMYFUNCTION("IF(SUM(COUNTIF(artists!E:E, SPLIT(D41, "",""))) &gt; 0, ""OTHER"", 0)"),0)</f>
        <v>0</v>
      </c>
    </row>
    <row r="42" spans="1:11">
      <c r="A42" s="21">
        <v>41</v>
      </c>
      <c r="B42" s="21">
        <v>37</v>
      </c>
      <c r="C42" s="21" t="s">
        <v>209</v>
      </c>
      <c r="D42" s="21" t="s">
        <v>210</v>
      </c>
      <c r="E42" s="21">
        <v>30</v>
      </c>
      <c r="F42" s="21">
        <v>266106</v>
      </c>
      <c r="G42" s="41">
        <v>-0.05</v>
      </c>
      <c r="H42" s="38" t="s">
        <v>212</v>
      </c>
      <c r="I42" s="39" t="str">
        <f ca="1">IFERROR(__xludf.DUMMYFUNCTION("IF(SUM(COUNTIF(artists!A:A, SPLIT(D42, "",""))) &gt; 0, ""UA"", 0)"),"UA")</f>
        <v>UA</v>
      </c>
      <c r="J42" s="40">
        <f ca="1">IFERROR(__xludf.DUMMYFUNCTION("IF(SUM(COUNTIF(artists!C:C, SPLIT(D42, "",""))) &gt; 0, ""RU"", 0)"),0)</f>
        <v>0</v>
      </c>
      <c r="K42" s="39">
        <f ca="1">IFERROR(__xludf.DUMMYFUNCTION("IF(SUM(COUNTIF(artists!E:E, SPLIT(D42, "",""))) &gt; 0, ""OTHER"", 0)"),0)</f>
        <v>0</v>
      </c>
    </row>
    <row r="43" spans="1:11">
      <c r="A43" s="21">
        <v>42</v>
      </c>
      <c r="B43" s="21">
        <v>39</v>
      </c>
      <c r="C43" s="21" t="s">
        <v>229</v>
      </c>
      <c r="D43" s="21" t="s">
        <v>230</v>
      </c>
      <c r="E43" s="21">
        <v>44</v>
      </c>
      <c r="F43" s="21">
        <v>265759</v>
      </c>
      <c r="G43" s="21" t="s">
        <v>392</v>
      </c>
      <c r="H43" s="38" t="s">
        <v>232</v>
      </c>
      <c r="I43" s="39" t="str">
        <f ca="1">IFERROR(__xludf.DUMMYFUNCTION("IF(SUM(COUNTIF(artists!A:A, SPLIT(D43, "",""))) &gt; 0, ""UA"", 0)"),"UA")</f>
        <v>UA</v>
      </c>
      <c r="J43" s="40">
        <f ca="1">IFERROR(__xludf.DUMMYFUNCTION("IF(SUM(COUNTIF(artists!C:C, SPLIT(D43, "",""))) &gt; 0, ""RU"", 0)"),0)</f>
        <v>0</v>
      </c>
      <c r="K43" s="39">
        <f ca="1">IFERROR(__xludf.DUMMYFUNCTION("IF(SUM(COUNTIF(artists!E:E, SPLIT(D43, "",""))) &gt; 0, ""OTHER"", 0)"),0)</f>
        <v>0</v>
      </c>
    </row>
    <row r="44" spans="1:11">
      <c r="A44" s="21">
        <v>43</v>
      </c>
      <c r="B44" s="21">
        <v>83</v>
      </c>
      <c r="C44" s="21" t="s">
        <v>268</v>
      </c>
      <c r="D44" s="21" t="s">
        <v>466</v>
      </c>
      <c r="E44" s="21">
        <v>10</v>
      </c>
      <c r="F44" s="21">
        <v>255761</v>
      </c>
      <c r="G44" s="21" t="s">
        <v>794</v>
      </c>
      <c r="H44" s="38" t="s">
        <v>270</v>
      </c>
      <c r="I44" s="39" t="str">
        <f ca="1">IFERROR(__xludf.DUMMYFUNCTION("IF(SUM(COUNTIF(artists!A:A, SPLIT(D44, "",""))) &gt; 0, ""UA"", 0)"),"UA")</f>
        <v>UA</v>
      </c>
      <c r="J44" s="40">
        <f ca="1">IFERROR(__xludf.DUMMYFUNCTION("IF(SUM(COUNTIF(artists!C:C, SPLIT(D44, "",""))) &gt; 0, ""RU"", 0)"),0)</f>
        <v>0</v>
      </c>
      <c r="K44" s="39">
        <f ca="1">IFERROR(__xludf.DUMMYFUNCTION("IF(SUM(COUNTIF(artists!E:E, SPLIT(D44, "",""))) &gt; 0, ""OTHER"", 0)"),0)</f>
        <v>0</v>
      </c>
    </row>
    <row r="45" spans="1:11">
      <c r="A45" s="21">
        <v>44</v>
      </c>
      <c r="B45" s="21">
        <v>44</v>
      </c>
      <c r="C45" s="21" t="s">
        <v>253</v>
      </c>
      <c r="D45" s="21" t="s">
        <v>89</v>
      </c>
      <c r="E45" s="21">
        <v>46</v>
      </c>
      <c r="F45" s="21">
        <v>243309</v>
      </c>
      <c r="G45" s="21" t="s">
        <v>592</v>
      </c>
      <c r="H45" s="38" t="s">
        <v>254</v>
      </c>
      <c r="I45" s="39" t="str">
        <f ca="1">IFERROR(__xludf.DUMMYFUNCTION("IF(SUM(COUNTIF(artists!A:A, SPLIT(D45, "",""))) &gt; 0, ""UA"", 0)"),"UA")</f>
        <v>UA</v>
      </c>
      <c r="J45" s="40">
        <f ca="1">IFERROR(__xludf.DUMMYFUNCTION("IF(SUM(COUNTIF(artists!C:C, SPLIT(D45, "",""))) &gt; 0, ""RU"", 0)"),0)</f>
        <v>0</v>
      </c>
      <c r="K45" s="39">
        <f ca="1">IFERROR(__xludf.DUMMYFUNCTION("IF(SUM(COUNTIF(artists!E:E, SPLIT(D45, "",""))) &gt; 0, ""OTHER"", 0)"),0)</f>
        <v>0</v>
      </c>
    </row>
    <row r="46" spans="1:11">
      <c r="A46" s="21">
        <v>45</v>
      </c>
      <c r="B46" s="21">
        <v>43</v>
      </c>
      <c r="C46" s="21" t="s">
        <v>251</v>
      </c>
      <c r="D46" s="21" t="s">
        <v>133</v>
      </c>
      <c r="E46" s="21">
        <v>22</v>
      </c>
      <c r="F46" s="21">
        <v>240717</v>
      </c>
      <c r="G46" s="41">
        <v>-0.04</v>
      </c>
      <c r="H46" s="38" t="s">
        <v>252</v>
      </c>
      <c r="I46" s="39" t="str">
        <f ca="1">IFERROR(__xludf.DUMMYFUNCTION("IF(SUM(COUNTIF(artists!A:A, SPLIT(D46, "",""))) &gt; 0, ""UA"", 0)"),"UA")</f>
        <v>UA</v>
      </c>
      <c r="J46" s="40">
        <f ca="1">IFERROR(__xludf.DUMMYFUNCTION("IF(SUM(COUNTIF(artists!C:C, SPLIT(D46, "",""))) &gt; 0, ""RU"", 0)"),0)</f>
        <v>0</v>
      </c>
      <c r="K46" s="39">
        <f ca="1">IFERROR(__xludf.DUMMYFUNCTION("IF(SUM(COUNTIF(artists!E:E, SPLIT(D46, "",""))) &gt; 0, ""OTHER"", 0)"),0)</f>
        <v>0</v>
      </c>
    </row>
    <row r="47" spans="1:11">
      <c r="A47" s="21">
        <v>46</v>
      </c>
      <c r="B47" s="21">
        <v>41</v>
      </c>
      <c r="C47" s="21" t="s">
        <v>351</v>
      </c>
      <c r="D47" s="21" t="s">
        <v>352</v>
      </c>
      <c r="E47" s="21">
        <v>13</v>
      </c>
      <c r="F47" s="21">
        <v>230142</v>
      </c>
      <c r="G47" s="21" t="s">
        <v>795</v>
      </c>
      <c r="H47" s="38" t="s">
        <v>354</v>
      </c>
      <c r="I47" s="39" t="str">
        <f ca="1">IFERROR(__xludf.DUMMYFUNCTION("IF(SUM(COUNTIF(artists!A:A, SPLIT(D47, "",""))) &gt; 0, ""UA"", 0)"),"UA")</f>
        <v>UA</v>
      </c>
      <c r="J47" s="40">
        <f ca="1">IFERROR(__xludf.DUMMYFUNCTION("IF(SUM(COUNTIF(artists!C:C, SPLIT(D47, "",""))) &gt; 0, ""RU"", 0)"),0)</f>
        <v>0</v>
      </c>
      <c r="K47" s="39">
        <f ca="1">IFERROR(__xludf.DUMMYFUNCTION("IF(SUM(COUNTIF(artists!E:E, SPLIT(D47, "",""))) &gt; 0, ""OTHER"", 0)"),0)</f>
        <v>0</v>
      </c>
    </row>
    <row r="48" spans="1:11">
      <c r="A48" s="21">
        <v>47</v>
      </c>
      <c r="B48" s="21">
        <v>48</v>
      </c>
      <c r="C48" s="21" t="s">
        <v>264</v>
      </c>
      <c r="D48" s="21" t="s">
        <v>265</v>
      </c>
      <c r="E48" s="21">
        <v>15</v>
      </c>
      <c r="F48" s="21">
        <v>219436</v>
      </c>
      <c r="G48" s="21" t="s">
        <v>245</v>
      </c>
      <c r="H48" s="38" t="s">
        <v>267</v>
      </c>
      <c r="I48" s="39">
        <f ca="1">IFERROR(__xludf.DUMMYFUNCTION("IF(SUM(COUNTIF(artists!A:A, SPLIT(D48, "",""))) &gt; 0, ""UA"", 0)"),0)</f>
        <v>0</v>
      </c>
      <c r="J48" s="40">
        <f ca="1">IFERROR(__xludf.DUMMYFUNCTION("IF(SUM(COUNTIF(artists!C:C, SPLIT(D48, "",""))) &gt; 0, ""RU"", 0)"),0)</f>
        <v>0</v>
      </c>
      <c r="K48" s="39" t="str">
        <f ca="1">IFERROR(__xludf.DUMMYFUNCTION("IF(SUM(COUNTIF(artists!E:E, SPLIT(D48, "",""))) &gt; 0, ""OTHER"", 0)"),"OTHER")</f>
        <v>OTHER</v>
      </c>
    </row>
    <row r="49" spans="1:11">
      <c r="A49" s="21">
        <v>48</v>
      </c>
      <c r="B49" s="21">
        <v>51</v>
      </c>
      <c r="C49" s="21" t="s">
        <v>298</v>
      </c>
      <c r="D49" s="21" t="s">
        <v>299</v>
      </c>
      <c r="E49" s="21">
        <v>14</v>
      </c>
      <c r="F49" s="21">
        <v>215280</v>
      </c>
      <c r="G49" s="21" t="s">
        <v>724</v>
      </c>
      <c r="H49" s="38" t="s">
        <v>300</v>
      </c>
      <c r="I49" s="39">
        <f ca="1">IFERROR(__xludf.DUMMYFUNCTION("IF(SUM(COUNTIF(artists!A:A, SPLIT(D49, "",""))) &gt; 0, ""UA"", 0)"),0)</f>
        <v>0</v>
      </c>
      <c r="J49" s="40">
        <f ca="1">IFERROR(__xludf.DUMMYFUNCTION("IF(SUM(COUNTIF(artists!C:C, SPLIT(D49, "",""))) &gt; 0, ""RU"", 0)"),0)</f>
        <v>0</v>
      </c>
      <c r="K49" s="39" t="str">
        <f ca="1">IFERROR(__xludf.DUMMYFUNCTION("IF(SUM(COUNTIF(artists!E:E, SPLIT(D49, "",""))) &gt; 0, ""OTHER"", 0)"),"OTHER")</f>
        <v>OTHER</v>
      </c>
    </row>
    <row r="50" spans="1:11">
      <c r="A50" s="21">
        <v>49</v>
      </c>
      <c r="B50" s="21">
        <v>52</v>
      </c>
      <c r="C50" s="21" t="s">
        <v>339</v>
      </c>
      <c r="D50" s="21" t="s">
        <v>340</v>
      </c>
      <c r="E50" s="21">
        <v>13</v>
      </c>
      <c r="F50" s="21">
        <v>202322</v>
      </c>
      <c r="G50" s="21" t="s">
        <v>659</v>
      </c>
      <c r="H50" s="38" t="s">
        <v>342</v>
      </c>
      <c r="I50" s="39" t="str">
        <f ca="1">IFERROR(__xludf.DUMMYFUNCTION("IF(SUM(COUNTIF(artists!A:A, SPLIT(D50, "",""))) &gt; 0, ""UA"", 0)"),"UA")</f>
        <v>UA</v>
      </c>
      <c r="J50" s="40">
        <f ca="1">IFERROR(__xludf.DUMMYFUNCTION("IF(SUM(COUNTIF(artists!C:C, SPLIT(D50, "",""))) &gt; 0, ""RU"", 0)"),0)</f>
        <v>0</v>
      </c>
      <c r="K50" s="39">
        <f ca="1">IFERROR(__xludf.DUMMYFUNCTION("IF(SUM(COUNTIF(artists!E:E, SPLIT(D50, "",""))) &gt; 0, ""OTHER"", 0)"),0)</f>
        <v>0</v>
      </c>
    </row>
    <row r="51" spans="1:11">
      <c r="A51" s="21">
        <v>50</v>
      </c>
      <c r="B51" s="21">
        <v>50</v>
      </c>
      <c r="C51" s="21" t="s">
        <v>456</v>
      </c>
      <c r="D51" s="21" t="s">
        <v>457</v>
      </c>
      <c r="E51" s="21">
        <v>17</v>
      </c>
      <c r="F51" s="21">
        <v>202178</v>
      </c>
      <c r="G51" s="21" t="s">
        <v>796</v>
      </c>
      <c r="H51" s="38" t="s">
        <v>459</v>
      </c>
      <c r="I51" s="39">
        <f ca="1">IFERROR(__xludf.DUMMYFUNCTION("IF(SUM(COUNTIF(artists!A:A, SPLIT(D51, "",""))) &gt; 0, ""UA"", 0)"),0)</f>
        <v>0</v>
      </c>
      <c r="J51" s="40">
        <f ca="1">IFERROR(__xludf.DUMMYFUNCTION("IF(SUM(COUNTIF(artists!C:C, SPLIT(D51, "",""))) &gt; 0, ""RU"", 0)"),0)</f>
        <v>0</v>
      </c>
      <c r="K51" s="39" t="str">
        <f ca="1">IFERROR(__xludf.DUMMYFUNCTION("IF(SUM(COUNTIF(artists!E:E, SPLIT(D51, "",""))) &gt; 0, ""OTHER"", 0)"),"OTHER")</f>
        <v>OTHER</v>
      </c>
    </row>
    <row r="52" spans="1:11">
      <c r="A52" s="21">
        <v>51</v>
      </c>
      <c r="C52" s="21" t="s">
        <v>217</v>
      </c>
      <c r="D52" s="21" t="s">
        <v>218</v>
      </c>
      <c r="E52" s="21">
        <v>1</v>
      </c>
      <c r="F52" s="21">
        <v>196814</v>
      </c>
      <c r="H52" s="38" t="s">
        <v>220</v>
      </c>
      <c r="I52" s="39" t="str">
        <f ca="1">IFERROR(__xludf.DUMMYFUNCTION("IF(SUM(COUNTIF(artists!A:A, SPLIT(D52, "",""))) &gt; 0, ""UA"", 0)"),"UA")</f>
        <v>UA</v>
      </c>
      <c r="J52" s="40">
        <f ca="1">IFERROR(__xludf.DUMMYFUNCTION("IF(SUM(COUNTIF(artists!C:C, SPLIT(D52, "",""))) &gt; 0, ""RU"", 0)"),0)</f>
        <v>0</v>
      </c>
      <c r="K52" s="39">
        <f ca="1">IFERROR(__xludf.DUMMYFUNCTION("IF(SUM(COUNTIF(artists!E:E, SPLIT(D52, "",""))) &gt; 0, ""OTHER"", 0)"),0)</f>
        <v>0</v>
      </c>
    </row>
    <row r="53" spans="1:11">
      <c r="A53" s="21">
        <v>52</v>
      </c>
      <c r="B53" s="21">
        <v>67</v>
      </c>
      <c r="C53" s="21" t="s">
        <v>527</v>
      </c>
      <c r="D53" s="21" t="s">
        <v>528</v>
      </c>
      <c r="E53" s="21">
        <v>16</v>
      </c>
      <c r="F53" s="21">
        <v>189698</v>
      </c>
      <c r="G53" s="21" t="s">
        <v>797</v>
      </c>
      <c r="H53" s="38" t="s">
        <v>529</v>
      </c>
      <c r="I53" s="39" t="str">
        <f ca="1">IFERROR(__xludf.DUMMYFUNCTION("IF(SUM(COUNTIF(artists!A:A, SPLIT(D53, "",""))) &gt; 0, ""UA"", 0)"),"UA")</f>
        <v>UA</v>
      </c>
      <c r="J53" s="40">
        <f ca="1">IFERROR(__xludf.DUMMYFUNCTION("IF(SUM(COUNTIF(artists!C:C, SPLIT(D53, "",""))) &gt; 0, ""RU"", 0)"),0)</f>
        <v>0</v>
      </c>
      <c r="K53" s="39">
        <f ca="1">IFERROR(__xludf.DUMMYFUNCTION("IF(SUM(COUNTIF(artists!E:E, SPLIT(D53, "",""))) &gt; 0, ""OTHER"", 0)"),0)</f>
        <v>0</v>
      </c>
    </row>
    <row r="54" spans="1:11">
      <c r="A54" s="21">
        <v>53</v>
      </c>
      <c r="B54" s="21">
        <v>54</v>
      </c>
      <c r="C54" s="21" t="s">
        <v>500</v>
      </c>
      <c r="D54" s="21" t="s">
        <v>501</v>
      </c>
      <c r="E54" s="21">
        <v>16</v>
      </c>
      <c r="F54" s="21">
        <v>188979</v>
      </c>
      <c r="G54" s="21" t="s">
        <v>798</v>
      </c>
      <c r="H54" s="38" t="s">
        <v>503</v>
      </c>
      <c r="I54" s="39">
        <f ca="1">IFERROR(__xludf.DUMMYFUNCTION("IF(SUM(COUNTIF(artists!A:A, SPLIT(D54, "",""))) &gt; 0, ""UA"", 0)"),0)</f>
        <v>0</v>
      </c>
      <c r="J54" s="40" t="str">
        <f ca="1">IFERROR(__xludf.DUMMYFUNCTION("IF(SUM(COUNTIF(artists!C:C, SPLIT(D54, "",""))) &gt; 0, ""RU"", 0)"),"RU")</f>
        <v>RU</v>
      </c>
      <c r="K54" s="39">
        <f ca="1">IFERROR(__xludf.DUMMYFUNCTION("IF(SUM(COUNTIF(artists!E:E, SPLIT(D54, "",""))) &gt; 0, ""OTHER"", 0)"),0)</f>
        <v>0</v>
      </c>
    </row>
    <row r="55" spans="1:11">
      <c r="A55" s="21">
        <v>54</v>
      </c>
      <c r="C55" s="21" t="s">
        <v>799</v>
      </c>
      <c r="D55" s="21" t="s">
        <v>494</v>
      </c>
      <c r="E55" s="21">
        <v>42</v>
      </c>
      <c r="F55" s="21">
        <v>187572</v>
      </c>
      <c r="H55" s="38" t="s">
        <v>800</v>
      </c>
      <c r="I55" s="39" t="str">
        <f ca="1">IFERROR(__xludf.DUMMYFUNCTION("IF(SUM(COUNTIF(artists!A:A, SPLIT(D55, "",""))) &gt; 0, ""UA"", 0)"),"UA")</f>
        <v>UA</v>
      </c>
      <c r="J55" s="40">
        <f ca="1">IFERROR(__xludf.DUMMYFUNCTION("IF(SUM(COUNTIF(artists!C:C, SPLIT(D55, "",""))) &gt; 0, ""RU"", 0)"),0)</f>
        <v>0</v>
      </c>
      <c r="K55" s="39">
        <f ca="1">IFERROR(__xludf.DUMMYFUNCTION("IF(SUM(COUNTIF(artists!E:E, SPLIT(D55, "",""))) &gt; 0, ""OTHER"", 0)"),0)</f>
        <v>0</v>
      </c>
    </row>
    <row r="56" spans="1:11">
      <c r="A56" s="21">
        <v>55</v>
      </c>
      <c r="B56" s="21">
        <v>55</v>
      </c>
      <c r="C56" s="21" t="s">
        <v>667</v>
      </c>
      <c r="D56" s="21" t="s">
        <v>668</v>
      </c>
      <c r="E56" s="21">
        <v>18</v>
      </c>
      <c r="F56" s="21">
        <v>180266</v>
      </c>
      <c r="G56" s="21" t="s">
        <v>801</v>
      </c>
      <c r="H56" s="38" t="s">
        <v>669</v>
      </c>
      <c r="I56" s="39">
        <f ca="1">IFERROR(__xludf.DUMMYFUNCTION("IF(SUM(COUNTIF(artists!A:A, SPLIT(D56, "",""))) &gt; 0, ""UA"", 0)"),0)</f>
        <v>0</v>
      </c>
      <c r="J56" s="40" t="str">
        <f ca="1">IFERROR(__xludf.DUMMYFUNCTION("IF(SUM(COUNTIF(artists!C:C, SPLIT(D56, "",""))) &gt; 0, ""RU"", 0)"),"RU")</f>
        <v>RU</v>
      </c>
      <c r="K56" s="39">
        <f ca="1">IFERROR(__xludf.DUMMYFUNCTION("IF(SUM(COUNTIF(artists!E:E, SPLIT(D56, "",""))) &gt; 0, ""OTHER"", 0)"),0)</f>
        <v>0</v>
      </c>
    </row>
    <row r="57" spans="1:11">
      <c r="A57" s="21">
        <v>56</v>
      </c>
      <c r="B57" s="21">
        <v>60</v>
      </c>
      <c r="C57" s="21" t="s">
        <v>402</v>
      </c>
      <c r="D57" s="21" t="s">
        <v>403</v>
      </c>
      <c r="E57" s="21">
        <v>9</v>
      </c>
      <c r="F57" s="21">
        <v>177200</v>
      </c>
      <c r="G57" s="21" t="s">
        <v>736</v>
      </c>
      <c r="H57" s="38" t="s">
        <v>404</v>
      </c>
      <c r="I57" s="39">
        <f ca="1">IFERROR(__xludf.DUMMYFUNCTION("IF(SUM(COUNTIF(artists!A:A, SPLIT(D57, "",""))) &gt; 0, ""UA"", 0)"),0)</f>
        <v>0</v>
      </c>
      <c r="J57" s="40">
        <f ca="1">IFERROR(__xludf.DUMMYFUNCTION("IF(SUM(COUNTIF(artists!C:C, SPLIT(D57, "",""))) &gt; 0, ""RU"", 0)"),0)</f>
        <v>0</v>
      </c>
      <c r="K57" s="39" t="str">
        <f ca="1">IFERROR(__xludf.DUMMYFUNCTION("IF(SUM(COUNTIF(artists!E:E, SPLIT(D57, "",""))) &gt; 0, ""OTHER"", 0)"),"OTHER")</f>
        <v>OTHER</v>
      </c>
    </row>
    <row r="58" spans="1:11">
      <c r="A58" s="21">
        <v>57</v>
      </c>
      <c r="B58" s="21">
        <v>64</v>
      </c>
      <c r="C58" s="21" t="s">
        <v>482</v>
      </c>
      <c r="D58" s="21" t="s">
        <v>210</v>
      </c>
      <c r="E58" s="21">
        <v>16</v>
      </c>
      <c r="F58" s="21">
        <v>176871</v>
      </c>
      <c r="G58" s="21" t="s">
        <v>726</v>
      </c>
      <c r="H58" s="38" t="s">
        <v>484</v>
      </c>
      <c r="I58" s="39" t="str">
        <f ca="1">IFERROR(__xludf.DUMMYFUNCTION("IF(SUM(COUNTIF(artists!A:A, SPLIT(D58, "",""))) &gt; 0, ""UA"", 0)"),"UA")</f>
        <v>UA</v>
      </c>
      <c r="J58" s="40">
        <f ca="1">IFERROR(__xludf.DUMMYFUNCTION("IF(SUM(COUNTIF(artists!C:C, SPLIT(D58, "",""))) &gt; 0, ""RU"", 0)"),0)</f>
        <v>0</v>
      </c>
      <c r="K58" s="39">
        <f ca="1">IFERROR(__xludf.DUMMYFUNCTION("IF(SUM(COUNTIF(artists!E:E, SPLIT(D58, "",""))) &gt; 0, ""OTHER"", 0)"),0)</f>
        <v>0</v>
      </c>
    </row>
    <row r="59" spans="1:11">
      <c r="A59" s="21">
        <v>58</v>
      </c>
      <c r="C59" s="21" t="s">
        <v>233</v>
      </c>
      <c r="D59" s="21" t="s">
        <v>234</v>
      </c>
      <c r="E59" s="21">
        <v>1</v>
      </c>
      <c r="F59" s="21">
        <v>172880</v>
      </c>
      <c r="H59" s="38" t="s">
        <v>236</v>
      </c>
      <c r="I59" s="39">
        <f ca="1">IFERROR(__xludf.DUMMYFUNCTION("IF(SUM(COUNTIF(artists!A:A, SPLIT(D59, "",""))) &gt; 0, ""UA"", 0)"),0)</f>
        <v>0</v>
      </c>
      <c r="J59" s="40">
        <f ca="1">IFERROR(__xludf.DUMMYFUNCTION("IF(SUM(COUNTIF(artists!C:C, SPLIT(D59, "",""))) &gt; 0, ""RU"", 0)"),0)</f>
        <v>0</v>
      </c>
      <c r="K59" s="39" t="str">
        <f ca="1">IFERROR(__xludf.DUMMYFUNCTION("IF(SUM(COUNTIF(artists!E:E, SPLIT(D59, "",""))) &gt; 0, ""OTHER"", 0)"),"OTHER")</f>
        <v>OTHER</v>
      </c>
    </row>
    <row r="60" spans="1:11">
      <c r="A60" s="21">
        <v>59</v>
      </c>
      <c r="B60" s="21">
        <v>56</v>
      </c>
      <c r="C60" s="21" t="s">
        <v>244</v>
      </c>
      <c r="D60" s="21" t="s">
        <v>161</v>
      </c>
      <c r="E60" s="21">
        <v>6</v>
      </c>
      <c r="F60" s="21">
        <v>169079</v>
      </c>
      <c r="G60" s="21" t="s">
        <v>783</v>
      </c>
      <c r="H60" s="38" t="s">
        <v>246</v>
      </c>
      <c r="I60" s="39" t="str">
        <f ca="1">IFERROR(__xludf.DUMMYFUNCTION("IF(SUM(COUNTIF(artists!A:A, SPLIT(D60, "",""))) &gt; 0, ""UA"", 0)"),"UA")</f>
        <v>UA</v>
      </c>
      <c r="J60" s="40">
        <f ca="1">IFERROR(__xludf.DUMMYFUNCTION("IF(SUM(COUNTIF(artists!C:C, SPLIT(D60, "",""))) &gt; 0, ""RU"", 0)"),0)</f>
        <v>0</v>
      </c>
      <c r="K60" s="39">
        <f ca="1">IFERROR(__xludf.DUMMYFUNCTION("IF(SUM(COUNTIF(artists!E:E, SPLIT(D60, "",""))) &gt; 0, ""OTHER"", 0)"),0)</f>
        <v>0</v>
      </c>
    </row>
    <row r="61" spans="1:11">
      <c r="A61" s="21">
        <v>60</v>
      </c>
      <c r="B61" s="21">
        <v>57</v>
      </c>
      <c r="C61" s="21" t="s">
        <v>742</v>
      </c>
      <c r="D61" s="21" t="s">
        <v>743</v>
      </c>
      <c r="E61" s="21">
        <v>19</v>
      </c>
      <c r="F61" s="21">
        <v>167161</v>
      </c>
      <c r="G61" s="21" t="s">
        <v>249</v>
      </c>
      <c r="H61" s="38" t="s">
        <v>744</v>
      </c>
      <c r="I61" s="39">
        <f ca="1">IFERROR(__xludf.DUMMYFUNCTION("IF(SUM(COUNTIF(artists!A:A, SPLIT(D61, "",""))) &gt; 0, ""UA"", 0)"),0)</f>
        <v>0</v>
      </c>
      <c r="J61" s="40" t="str">
        <f ca="1">IFERROR(__xludf.DUMMYFUNCTION("IF(SUM(COUNTIF(artists!C:C, SPLIT(D61, "",""))) &gt; 0, ""RU"", 0)"),"RU")</f>
        <v>RU</v>
      </c>
      <c r="K61" s="39">
        <f ca="1">IFERROR(__xludf.DUMMYFUNCTION("IF(SUM(COUNTIF(artists!E:E, SPLIT(D61, "",""))) &gt; 0, ""OTHER"", 0)"),0)</f>
        <v>0</v>
      </c>
    </row>
    <row r="62" spans="1:11">
      <c r="A62" s="21">
        <v>61</v>
      </c>
      <c r="B62" s="21">
        <v>69</v>
      </c>
      <c r="C62" s="21" t="s">
        <v>602</v>
      </c>
      <c r="D62" s="21" t="s">
        <v>299</v>
      </c>
      <c r="E62" s="21">
        <v>18</v>
      </c>
      <c r="F62" s="21">
        <v>167008</v>
      </c>
      <c r="G62" s="21" t="s">
        <v>796</v>
      </c>
      <c r="H62" s="38" t="s">
        <v>604</v>
      </c>
      <c r="I62" s="39">
        <f ca="1">IFERROR(__xludf.DUMMYFUNCTION("IF(SUM(COUNTIF(artists!A:A, SPLIT(D62, "",""))) &gt; 0, ""UA"", 0)"),0)</f>
        <v>0</v>
      </c>
      <c r="J62" s="40">
        <f ca="1">IFERROR(__xludf.DUMMYFUNCTION("IF(SUM(COUNTIF(artists!C:C, SPLIT(D62, "",""))) &gt; 0, ""RU"", 0)"),0)</f>
        <v>0</v>
      </c>
      <c r="K62" s="39" t="str">
        <f ca="1">IFERROR(__xludf.DUMMYFUNCTION("IF(SUM(COUNTIF(artists!E:E, SPLIT(D62, "",""))) &gt; 0, ""OTHER"", 0)"),"OTHER")</f>
        <v>OTHER</v>
      </c>
    </row>
    <row r="63" spans="1:11">
      <c r="A63" s="21">
        <v>62</v>
      </c>
      <c r="B63" s="21">
        <v>53</v>
      </c>
      <c r="C63" s="21" t="s">
        <v>508</v>
      </c>
      <c r="D63" s="21" t="s">
        <v>509</v>
      </c>
      <c r="E63" s="21">
        <v>18</v>
      </c>
      <c r="F63" s="21">
        <v>164066</v>
      </c>
      <c r="G63" s="21" t="s">
        <v>802</v>
      </c>
      <c r="H63" s="38" t="s">
        <v>510</v>
      </c>
      <c r="I63" s="39">
        <f ca="1">IFERROR(__xludf.DUMMYFUNCTION("IF(SUM(COUNTIF(artists!A:A, SPLIT(D63, "",""))) &gt; 0, ""UA"", 0)"),0)</f>
        <v>0</v>
      </c>
      <c r="J63" s="40" t="str">
        <f ca="1">IFERROR(__xludf.DUMMYFUNCTION("IF(SUM(COUNTIF(artists!C:C, SPLIT(D63, "",""))) &gt; 0, ""RU"", 0)"),"RU")</f>
        <v>RU</v>
      </c>
      <c r="K63" s="39">
        <f ca="1">IFERROR(__xludf.DUMMYFUNCTION("IF(SUM(COUNTIF(artists!E:E, SPLIT(D63, "",""))) &gt; 0, ""OTHER"", 0)"),0)</f>
        <v>0</v>
      </c>
    </row>
    <row r="64" spans="1:11">
      <c r="A64" s="21">
        <v>63</v>
      </c>
      <c r="B64" s="21">
        <v>62</v>
      </c>
      <c r="C64" s="21" t="s">
        <v>373</v>
      </c>
      <c r="D64" s="21" t="s">
        <v>172</v>
      </c>
      <c r="E64" s="21">
        <v>13</v>
      </c>
      <c r="F64" s="21">
        <v>163425</v>
      </c>
      <c r="G64" s="21" t="s">
        <v>803</v>
      </c>
      <c r="H64" s="38" t="s">
        <v>375</v>
      </c>
      <c r="I64" s="39">
        <f ca="1">IFERROR(__xludf.DUMMYFUNCTION("IF(SUM(COUNTIF(artists!A:A, SPLIT(D64, "",""))) &gt; 0, ""UA"", 0)"),0)</f>
        <v>0</v>
      </c>
      <c r="J64" s="40" t="str">
        <f ca="1">IFERROR(__xludf.DUMMYFUNCTION("IF(SUM(COUNTIF(artists!C:C, SPLIT(D64, "",""))) &gt; 0, ""RU"", 0)"),"RU")</f>
        <v>RU</v>
      </c>
      <c r="K64" s="39">
        <f ca="1">IFERROR(__xludf.DUMMYFUNCTION("IF(SUM(COUNTIF(artists!E:E, SPLIT(D64, "",""))) &gt; 0, ""OTHER"", 0)"),0)</f>
        <v>0</v>
      </c>
    </row>
    <row r="65" spans="1:11">
      <c r="A65" s="21">
        <v>64</v>
      </c>
      <c r="C65" s="21" t="s">
        <v>693</v>
      </c>
      <c r="D65" s="21" t="s">
        <v>694</v>
      </c>
      <c r="E65" s="21">
        <v>1</v>
      </c>
      <c r="F65" s="21">
        <v>157883</v>
      </c>
      <c r="H65" s="38" t="s">
        <v>696</v>
      </c>
      <c r="I65" s="39">
        <f ca="1">IFERROR(__xludf.DUMMYFUNCTION("IF(SUM(COUNTIF(artists!A:A, SPLIT(D65, "",""))) &gt; 0, ""UA"", 0)"),0)</f>
        <v>0</v>
      </c>
      <c r="J65" s="40">
        <f ca="1">IFERROR(__xludf.DUMMYFUNCTION("IF(SUM(COUNTIF(artists!C:C, SPLIT(D65, "",""))) &gt; 0, ""RU"", 0)"),0)</f>
        <v>0</v>
      </c>
      <c r="K65" s="39" t="str">
        <f ca="1">IFERROR(__xludf.DUMMYFUNCTION("IF(SUM(COUNTIF(artists!E:E, SPLIT(D65, "",""))) &gt; 0, ""OTHER"", 0)"),"OTHER")</f>
        <v>OTHER</v>
      </c>
    </row>
    <row r="66" spans="1:11">
      <c r="A66" s="21">
        <v>65</v>
      </c>
      <c r="B66" s="21">
        <v>73</v>
      </c>
      <c r="C66" s="21" t="s">
        <v>605</v>
      </c>
      <c r="D66" s="21" t="s">
        <v>299</v>
      </c>
      <c r="E66" s="21">
        <v>17</v>
      </c>
      <c r="F66" s="21">
        <v>154663</v>
      </c>
      <c r="G66" s="21" t="s">
        <v>296</v>
      </c>
      <c r="H66" s="38" t="s">
        <v>607</v>
      </c>
      <c r="I66" s="39">
        <f ca="1">IFERROR(__xludf.DUMMYFUNCTION("IF(SUM(COUNTIF(artists!A:A, SPLIT(D66, "",""))) &gt; 0, ""UA"", 0)"),0)</f>
        <v>0</v>
      </c>
      <c r="J66" s="40">
        <f ca="1">IFERROR(__xludf.DUMMYFUNCTION("IF(SUM(COUNTIF(artists!C:C, SPLIT(D66, "",""))) &gt; 0, ""RU"", 0)"),0)</f>
        <v>0</v>
      </c>
      <c r="K66" s="39" t="str">
        <f ca="1">IFERROR(__xludf.DUMMYFUNCTION("IF(SUM(COUNTIF(artists!E:E, SPLIT(D66, "",""))) &gt; 0, ""OTHER"", 0)"),"OTHER")</f>
        <v>OTHER</v>
      </c>
    </row>
    <row r="67" spans="1:11">
      <c r="A67" s="21">
        <v>66</v>
      </c>
      <c r="B67" s="21">
        <v>82</v>
      </c>
      <c r="C67" s="21" t="s">
        <v>306</v>
      </c>
      <c r="D67" s="21" t="s">
        <v>307</v>
      </c>
      <c r="E67" s="21">
        <v>3</v>
      </c>
      <c r="F67" s="21">
        <v>153041</v>
      </c>
      <c r="G67" s="21" t="s">
        <v>345</v>
      </c>
      <c r="H67" s="38" t="s">
        <v>308</v>
      </c>
      <c r="I67" s="39">
        <f ca="1">IFERROR(__xludf.DUMMYFUNCTION("IF(SUM(COUNTIF(artists!A:A, SPLIT(D67, "",""))) &gt; 0, ""UA"", 0)"),0)</f>
        <v>0</v>
      </c>
      <c r="J67" s="40">
        <f ca="1">IFERROR(__xludf.DUMMYFUNCTION("IF(SUM(COUNTIF(artists!C:C, SPLIT(D67, "",""))) &gt; 0, ""RU"", 0)"),0)</f>
        <v>0</v>
      </c>
      <c r="K67" s="39" t="str">
        <f ca="1">IFERROR(__xludf.DUMMYFUNCTION("IF(SUM(COUNTIF(artists!E:E, SPLIT(D67, "",""))) &gt; 0, ""OTHER"", 0)"),"OTHER")</f>
        <v>OTHER</v>
      </c>
    </row>
    <row r="68" spans="1:11">
      <c r="A68" s="21">
        <v>67</v>
      </c>
      <c r="C68" s="21" t="s">
        <v>804</v>
      </c>
      <c r="D68" s="21" t="s">
        <v>805</v>
      </c>
      <c r="E68" s="21">
        <v>1</v>
      </c>
      <c r="F68" s="21">
        <v>151763</v>
      </c>
      <c r="H68" s="38" t="s">
        <v>806</v>
      </c>
      <c r="I68" s="39" t="str">
        <f ca="1">IFERROR(__xludf.DUMMYFUNCTION("IF(SUM(COUNTIF(artists!A:A, SPLIT(D68, "",""))) &gt; 0, ""UA"", 0)"),"UA")</f>
        <v>UA</v>
      </c>
      <c r="J68" s="40">
        <f ca="1">IFERROR(__xludf.DUMMYFUNCTION("IF(SUM(COUNTIF(artists!C:C, SPLIT(D68, "",""))) &gt; 0, ""RU"", 0)"),0)</f>
        <v>0</v>
      </c>
      <c r="K68" s="39">
        <f ca="1">IFERROR(__xludf.DUMMYFUNCTION("IF(SUM(COUNTIF(artists!E:E, SPLIT(D68, "",""))) &gt; 0, ""OTHER"", 0)"),0)</f>
        <v>0</v>
      </c>
    </row>
    <row r="69" spans="1:11">
      <c r="A69" s="21">
        <v>68</v>
      </c>
      <c r="B69" s="21">
        <v>66</v>
      </c>
      <c r="C69" s="21" t="s">
        <v>545</v>
      </c>
      <c r="D69" s="21" t="s">
        <v>546</v>
      </c>
      <c r="E69" s="21">
        <v>10</v>
      </c>
      <c r="F69" s="21">
        <v>151573</v>
      </c>
      <c r="G69" s="21" t="s">
        <v>807</v>
      </c>
      <c r="H69" s="38" t="s">
        <v>548</v>
      </c>
      <c r="I69" s="39">
        <f ca="1">IFERROR(__xludf.DUMMYFUNCTION("IF(SUM(COUNTIF(artists!A:A, SPLIT(D69, "",""))) &gt; 0, ""UA"", 0)"),0)</f>
        <v>0</v>
      </c>
      <c r="J69" s="40" t="str">
        <f ca="1">IFERROR(__xludf.DUMMYFUNCTION("IF(SUM(COUNTIF(artists!C:C, SPLIT(D69, "",""))) &gt; 0, ""RU"", 0)"),"RU")</f>
        <v>RU</v>
      </c>
      <c r="K69" s="39">
        <f ca="1">IFERROR(__xludf.DUMMYFUNCTION("IF(SUM(COUNTIF(artists!E:E, SPLIT(D69, "",""))) &gt; 0, ""OTHER"", 0)"),0)</f>
        <v>0</v>
      </c>
    </row>
    <row r="70" spans="1:11">
      <c r="A70" s="21">
        <v>69</v>
      </c>
      <c r="B70" s="21">
        <v>61</v>
      </c>
      <c r="C70" s="21" t="s">
        <v>757</v>
      </c>
      <c r="D70" s="21" t="s">
        <v>758</v>
      </c>
      <c r="E70" s="21">
        <v>4</v>
      </c>
      <c r="F70" s="21">
        <v>151515</v>
      </c>
      <c r="G70" s="41">
        <v>-0.2</v>
      </c>
      <c r="H70" s="38" t="s">
        <v>759</v>
      </c>
      <c r="I70" s="39" t="str">
        <f ca="1">IFERROR(__xludf.DUMMYFUNCTION("IF(SUM(COUNTIF(artists!A:A, SPLIT(D70, "",""))) &gt; 0, ""UA"", 0)"),"UA")</f>
        <v>UA</v>
      </c>
      <c r="J70" s="40">
        <f ca="1">IFERROR(__xludf.DUMMYFUNCTION("IF(SUM(COUNTIF(artists!C:C, SPLIT(D70, "",""))) &gt; 0, ""RU"", 0)"),0)</f>
        <v>0</v>
      </c>
      <c r="K70" s="39">
        <f ca="1">IFERROR(__xludf.DUMMYFUNCTION("IF(SUM(COUNTIF(artists!E:E, SPLIT(D70, "",""))) &gt; 0, ""OTHER"", 0)"),0)</f>
        <v>0</v>
      </c>
    </row>
    <row r="71" spans="1:11">
      <c r="A71" s="21">
        <v>70</v>
      </c>
      <c r="B71" s="21">
        <v>87</v>
      </c>
      <c r="C71" s="21" t="s">
        <v>324</v>
      </c>
      <c r="D71" s="21" t="s">
        <v>325</v>
      </c>
      <c r="E71" s="21">
        <v>7</v>
      </c>
      <c r="F71" s="21">
        <v>150870</v>
      </c>
      <c r="G71" s="21" t="s">
        <v>485</v>
      </c>
      <c r="H71" s="38" t="s">
        <v>327</v>
      </c>
      <c r="I71" s="39" t="str">
        <f ca="1">IFERROR(__xludf.DUMMYFUNCTION("IF(SUM(COUNTIF(artists!A:A, SPLIT(D71, "",""))) &gt; 0, ""UA"", 0)"),"UA")</f>
        <v>UA</v>
      </c>
      <c r="J71" s="40">
        <f ca="1">IFERROR(__xludf.DUMMYFUNCTION("IF(SUM(COUNTIF(artists!C:C, SPLIT(D71, "",""))) &gt; 0, ""RU"", 0)"),0)</f>
        <v>0</v>
      </c>
      <c r="K71" s="39">
        <f ca="1">IFERROR(__xludf.DUMMYFUNCTION("IF(SUM(COUNTIF(artists!E:E, SPLIT(D71, "",""))) &gt; 0, ""OTHER"", 0)"),0)</f>
        <v>0</v>
      </c>
    </row>
    <row r="72" spans="1:11">
      <c r="A72" s="21">
        <v>71</v>
      </c>
      <c r="B72" s="21">
        <v>59</v>
      </c>
      <c r="C72" s="21" t="s">
        <v>682</v>
      </c>
      <c r="D72" s="21" t="s">
        <v>125</v>
      </c>
      <c r="E72" s="21">
        <v>18</v>
      </c>
      <c r="F72" s="21">
        <v>149799</v>
      </c>
      <c r="G72" s="21" t="s">
        <v>808</v>
      </c>
      <c r="H72" s="38" t="s">
        <v>684</v>
      </c>
      <c r="I72" s="39">
        <f ca="1">IFERROR(__xludf.DUMMYFUNCTION("IF(SUM(COUNTIF(artists!A:A, SPLIT(D72, "",""))) &gt; 0, ""UA"", 0)"),0)</f>
        <v>0</v>
      </c>
      <c r="J72" s="40" t="str">
        <f ca="1">IFERROR(__xludf.DUMMYFUNCTION("IF(SUM(COUNTIF(artists!C:C, SPLIT(D72, "",""))) &gt; 0, ""RU"", 0)"),"RU")</f>
        <v>RU</v>
      </c>
      <c r="K72" s="39">
        <f ca="1">IFERROR(__xludf.DUMMYFUNCTION("IF(SUM(COUNTIF(artists!E:E, SPLIT(D72, "",""))) &gt; 0, ""OTHER"", 0)"),0)</f>
        <v>0</v>
      </c>
    </row>
    <row r="73" spans="1:11">
      <c r="A73" s="21">
        <v>72</v>
      </c>
      <c r="B73" s="21">
        <v>72</v>
      </c>
      <c r="C73" s="21" t="s">
        <v>690</v>
      </c>
      <c r="D73" s="21" t="s">
        <v>691</v>
      </c>
      <c r="E73" s="21">
        <v>10</v>
      </c>
      <c r="F73" s="21">
        <v>144617</v>
      </c>
      <c r="G73" s="21" t="s">
        <v>809</v>
      </c>
      <c r="H73" s="38" t="s">
        <v>692</v>
      </c>
      <c r="I73" s="39">
        <f ca="1">IFERROR(__xludf.DUMMYFUNCTION("IF(SUM(COUNTIF(artists!A:A, SPLIT(D73, "",""))) &gt; 0, ""UA"", 0)"),0)</f>
        <v>0</v>
      </c>
      <c r="J73" s="40" t="str">
        <f ca="1">IFERROR(__xludf.DUMMYFUNCTION("IF(SUM(COUNTIF(artists!C:C, SPLIT(D73, "",""))) &gt; 0, ""RU"", 0)"),"RU")</f>
        <v>RU</v>
      </c>
      <c r="K73" s="39">
        <f ca="1">IFERROR(__xludf.DUMMYFUNCTION("IF(SUM(COUNTIF(artists!E:E, SPLIT(D73, "",""))) &gt; 0, ""OTHER"", 0)"),0)</f>
        <v>0</v>
      </c>
    </row>
    <row r="74" spans="1:11">
      <c r="A74" s="21">
        <v>73</v>
      </c>
      <c r="C74" s="21" t="s">
        <v>411</v>
      </c>
      <c r="D74" s="21" t="s">
        <v>412</v>
      </c>
      <c r="E74" s="21">
        <v>1</v>
      </c>
      <c r="F74" s="21">
        <v>143722</v>
      </c>
      <c r="H74" s="38" t="s">
        <v>413</v>
      </c>
      <c r="I74" s="39" t="str">
        <f ca="1">IFERROR(__xludf.DUMMYFUNCTION("IF(SUM(COUNTIF(artists!A:A, SPLIT(D74, "",""))) &gt; 0, ""UA"", 0)"),"UA")</f>
        <v>UA</v>
      </c>
      <c r="J74" s="40">
        <f ca="1">IFERROR(__xludf.DUMMYFUNCTION("IF(SUM(COUNTIF(artists!C:C, SPLIT(D74, "",""))) &gt; 0, ""RU"", 0)"),0)</f>
        <v>0</v>
      </c>
      <c r="K74" s="39">
        <f ca="1">IFERROR(__xludf.DUMMYFUNCTION("IF(SUM(COUNTIF(artists!E:E, SPLIT(D74, "",""))) &gt; 0, ""OTHER"", 0)"),0)</f>
        <v>0</v>
      </c>
    </row>
    <row r="75" spans="1:11">
      <c r="A75" s="21">
        <v>74</v>
      </c>
      <c r="B75" s="21">
        <v>58</v>
      </c>
      <c r="C75" s="21" t="s">
        <v>760</v>
      </c>
      <c r="D75" s="21" t="s">
        <v>761</v>
      </c>
      <c r="E75" s="21">
        <v>6</v>
      </c>
      <c r="F75" s="21">
        <v>143440</v>
      </c>
      <c r="G75" s="21" t="s">
        <v>810</v>
      </c>
      <c r="H75" s="38" t="s">
        <v>763</v>
      </c>
      <c r="I75" s="39" t="str">
        <f ca="1">IFERROR(__xludf.DUMMYFUNCTION("IF(SUM(COUNTIF(artists!A:A, SPLIT(D75, "",""))) &gt; 0, ""UA"", 0)"),"UA")</f>
        <v>UA</v>
      </c>
      <c r="J75" s="40">
        <f ca="1">IFERROR(__xludf.DUMMYFUNCTION("IF(SUM(COUNTIF(artists!C:C, SPLIT(D75, "",""))) &gt; 0, ""RU"", 0)"),0)</f>
        <v>0</v>
      </c>
      <c r="K75" s="39">
        <f ca="1">IFERROR(__xludf.DUMMYFUNCTION("IF(SUM(COUNTIF(artists!E:E, SPLIT(D75, "",""))) &gt; 0, ""OTHER"", 0)"),0)</f>
        <v>0</v>
      </c>
    </row>
    <row r="76" spans="1:11">
      <c r="A76" s="21">
        <v>75</v>
      </c>
      <c r="B76" s="21">
        <v>88</v>
      </c>
      <c r="C76" s="21" t="s">
        <v>282</v>
      </c>
      <c r="D76" s="21" t="s">
        <v>85</v>
      </c>
      <c r="E76" s="21">
        <v>7</v>
      </c>
      <c r="F76" s="21">
        <v>140506</v>
      </c>
      <c r="G76" s="21" t="s">
        <v>811</v>
      </c>
      <c r="H76" s="38" t="s">
        <v>283</v>
      </c>
      <c r="I76" s="39" t="str">
        <f ca="1">IFERROR(__xludf.DUMMYFUNCTION("IF(SUM(COUNTIF(artists!A:A, SPLIT(D76, "",""))) &gt; 0, ""UA"", 0)"),"UA")</f>
        <v>UA</v>
      </c>
      <c r="J76" s="40">
        <f ca="1">IFERROR(__xludf.DUMMYFUNCTION("IF(SUM(COUNTIF(artists!C:C, SPLIT(D76, "",""))) &gt; 0, ""RU"", 0)"),0)</f>
        <v>0</v>
      </c>
      <c r="K76" s="39">
        <f ca="1">IFERROR(__xludf.DUMMYFUNCTION("IF(SUM(COUNTIF(artists!E:E, SPLIT(D76, "",""))) &gt; 0, ""OTHER"", 0)"),0)</f>
        <v>0</v>
      </c>
    </row>
    <row r="77" spans="1:11">
      <c r="A77" s="21">
        <v>76</v>
      </c>
      <c r="B77" s="21">
        <v>71</v>
      </c>
      <c r="C77" s="21" t="s">
        <v>700</v>
      </c>
      <c r="D77" s="21" t="s">
        <v>701</v>
      </c>
      <c r="E77" s="21">
        <v>18</v>
      </c>
      <c r="F77" s="21">
        <v>139628</v>
      </c>
      <c r="G77" s="21" t="s">
        <v>812</v>
      </c>
      <c r="H77" s="38" t="s">
        <v>702</v>
      </c>
      <c r="I77" s="39">
        <f ca="1">IFERROR(__xludf.DUMMYFUNCTION("IF(SUM(COUNTIF(artists!A:A, SPLIT(D77, "",""))) &gt; 0, ""UA"", 0)"),0)</f>
        <v>0</v>
      </c>
      <c r="J77" s="40" t="str">
        <f ca="1">IFERROR(__xludf.DUMMYFUNCTION("IF(SUM(COUNTIF(artists!C:C, SPLIT(D77, "",""))) &gt; 0, ""RU"", 0)"),"RU")</f>
        <v>RU</v>
      </c>
      <c r="K77" s="39">
        <f ca="1">IFERROR(__xludf.DUMMYFUNCTION("IF(SUM(COUNTIF(artists!E:E, SPLIT(D77, "",""))) &gt; 0, ""OTHER"", 0)"),0)</f>
        <v>0</v>
      </c>
    </row>
    <row r="78" spans="1:11">
      <c r="A78" s="21">
        <v>77</v>
      </c>
      <c r="B78" s="21">
        <v>80</v>
      </c>
      <c r="C78" s="21" t="s">
        <v>497</v>
      </c>
      <c r="D78" s="21" t="s">
        <v>498</v>
      </c>
      <c r="E78" s="21">
        <v>17</v>
      </c>
      <c r="F78" s="21">
        <v>137422</v>
      </c>
      <c r="G78" s="21" t="s">
        <v>781</v>
      </c>
      <c r="H78" s="38" t="s">
        <v>499</v>
      </c>
      <c r="I78" s="39" t="str">
        <f ca="1">IFERROR(__xludf.DUMMYFUNCTION("IF(SUM(COUNTIF(artists!A:A, SPLIT(D78, "",""))) &gt; 0, ""UA"", 0)"),"UA")</f>
        <v>UA</v>
      </c>
      <c r="J78" s="40">
        <f ca="1">IFERROR(__xludf.DUMMYFUNCTION("IF(SUM(COUNTIF(artists!C:C, SPLIT(D78, "",""))) &gt; 0, ""RU"", 0)"),0)</f>
        <v>0</v>
      </c>
      <c r="K78" s="39">
        <f ca="1">IFERROR(__xludf.DUMMYFUNCTION("IF(SUM(COUNTIF(artists!E:E, SPLIT(D78, "",""))) &gt; 0, ""OTHER"", 0)"),0)</f>
        <v>0</v>
      </c>
    </row>
    <row r="79" spans="1:11">
      <c r="A79" s="21">
        <v>78</v>
      </c>
      <c r="B79" s="21">
        <v>85</v>
      </c>
      <c r="C79" s="21" t="s">
        <v>622</v>
      </c>
      <c r="D79" s="21" t="s">
        <v>108</v>
      </c>
      <c r="E79" s="21">
        <v>7</v>
      </c>
      <c r="F79" s="21">
        <v>137378</v>
      </c>
      <c r="G79" s="21" t="s">
        <v>683</v>
      </c>
      <c r="H79" s="38" t="s">
        <v>623</v>
      </c>
      <c r="I79" s="39" t="str">
        <f ca="1">IFERROR(__xludf.DUMMYFUNCTION("IF(SUM(COUNTIF(artists!A:A, SPLIT(D79, "",""))) &gt; 0, ""UA"", 0)"),"UA")</f>
        <v>UA</v>
      </c>
      <c r="J79" s="40">
        <f ca="1">IFERROR(__xludf.DUMMYFUNCTION("IF(SUM(COUNTIF(artists!C:C, SPLIT(D79, "",""))) &gt; 0, ""RU"", 0)"),0)</f>
        <v>0</v>
      </c>
      <c r="K79" s="39">
        <f ca="1">IFERROR(__xludf.DUMMYFUNCTION("IF(SUM(COUNTIF(artists!E:E, SPLIT(D79, "",""))) &gt; 0, ""OTHER"", 0)"),0)</f>
        <v>0</v>
      </c>
    </row>
    <row r="80" spans="1:11">
      <c r="A80" s="21">
        <v>79</v>
      </c>
      <c r="C80" s="21" t="s">
        <v>512</v>
      </c>
      <c r="D80" s="21" t="s">
        <v>513</v>
      </c>
      <c r="E80" s="21">
        <v>22</v>
      </c>
      <c r="F80" s="21">
        <v>136261</v>
      </c>
      <c r="H80" s="38" t="s">
        <v>514</v>
      </c>
      <c r="I80" s="39">
        <f ca="1">IFERROR(__xludf.DUMMYFUNCTION("IF(SUM(COUNTIF(artists!A:A, SPLIT(D80, "",""))) &gt; 0, ""UA"", 0)"),0)</f>
        <v>0</v>
      </c>
      <c r="J80" s="40">
        <f ca="1">IFERROR(__xludf.DUMMYFUNCTION("IF(SUM(COUNTIF(artists!C:C, SPLIT(D80, "",""))) &gt; 0, ""RU"", 0)"),0)</f>
        <v>0</v>
      </c>
      <c r="K80" s="39" t="str">
        <f ca="1">IFERROR(__xludf.DUMMYFUNCTION("IF(SUM(COUNTIF(artists!E:E, SPLIT(D80, "",""))) &gt; 0, ""OTHER"", 0)"),"OTHER")</f>
        <v>OTHER</v>
      </c>
    </row>
    <row r="81" spans="1:11">
      <c r="A81" s="21">
        <v>80</v>
      </c>
      <c r="B81" s="21">
        <v>99</v>
      </c>
      <c r="C81" s="21" t="s">
        <v>418</v>
      </c>
      <c r="D81" s="21" t="s">
        <v>419</v>
      </c>
      <c r="E81" s="21">
        <v>10</v>
      </c>
      <c r="F81" s="21">
        <v>135129</v>
      </c>
      <c r="G81" s="21" t="s">
        <v>537</v>
      </c>
      <c r="H81" s="38" t="s">
        <v>420</v>
      </c>
      <c r="I81" s="39">
        <f ca="1">IFERROR(__xludf.DUMMYFUNCTION("IF(SUM(COUNTIF(artists!A:A, SPLIT(D81, "",""))) &gt; 0, ""UA"", 0)"),0)</f>
        <v>0</v>
      </c>
      <c r="J81" s="40">
        <f ca="1">IFERROR(__xludf.DUMMYFUNCTION("IF(SUM(COUNTIF(artists!C:C, SPLIT(D81, "",""))) &gt; 0, ""RU"", 0)"),0)</f>
        <v>0</v>
      </c>
      <c r="K81" s="39" t="str">
        <f ca="1">IFERROR(__xludf.DUMMYFUNCTION("IF(SUM(COUNTIF(artists!E:E, SPLIT(D81, "",""))) &gt; 0, ""OTHER"", 0)"),"OTHER")</f>
        <v>OTHER</v>
      </c>
    </row>
    <row r="82" spans="1:11">
      <c r="A82" s="21">
        <v>81</v>
      </c>
      <c r="C82" s="21" t="s">
        <v>258</v>
      </c>
      <c r="D82" s="21" t="s">
        <v>259</v>
      </c>
      <c r="E82" s="21">
        <v>4</v>
      </c>
      <c r="F82" s="21">
        <v>135005</v>
      </c>
      <c r="H82" s="38" t="s">
        <v>260</v>
      </c>
      <c r="I82" s="39" t="str">
        <f ca="1">IFERROR(__xludf.DUMMYFUNCTION("IF(SUM(COUNTIF(artists!A:A, SPLIT(D82, "",""))) &gt; 0, ""UA"", 0)"),"UA")</f>
        <v>UA</v>
      </c>
      <c r="J82" s="40">
        <f ca="1">IFERROR(__xludf.DUMMYFUNCTION("IF(SUM(COUNTIF(artists!C:C, SPLIT(D82, "",""))) &gt; 0, ""RU"", 0)"),0)</f>
        <v>0</v>
      </c>
      <c r="K82" s="39">
        <f ca="1">IFERROR(__xludf.DUMMYFUNCTION("IF(SUM(COUNTIF(artists!E:E, SPLIT(D82, "",""))) &gt; 0, ""OTHER"", 0)"),0)</f>
        <v>0</v>
      </c>
    </row>
    <row r="83" spans="1:11">
      <c r="A83" s="21">
        <v>82</v>
      </c>
      <c r="B83" s="21">
        <v>92</v>
      </c>
      <c r="C83" s="21" t="s">
        <v>765</v>
      </c>
      <c r="D83" s="21" t="s">
        <v>766</v>
      </c>
      <c r="E83" s="21">
        <v>10</v>
      </c>
      <c r="F83" s="21">
        <v>134119</v>
      </c>
      <c r="G83" s="21" t="s">
        <v>105</v>
      </c>
      <c r="H83" s="38" t="s">
        <v>768</v>
      </c>
      <c r="I83" s="39" t="str">
        <f ca="1">IFERROR(__xludf.DUMMYFUNCTION("IF(SUM(COUNTIF(artists!A:A, SPLIT(D83, "",""))) &gt; 0, ""UA"", 0)"),"UA")</f>
        <v>UA</v>
      </c>
      <c r="J83" s="40">
        <f ca="1">IFERROR(__xludf.DUMMYFUNCTION("IF(SUM(COUNTIF(artists!C:C, SPLIT(D83, "",""))) &gt; 0, ""RU"", 0)"),0)</f>
        <v>0</v>
      </c>
      <c r="K83" s="39">
        <f ca="1">IFERROR(__xludf.DUMMYFUNCTION("IF(SUM(COUNTIF(artists!E:E, SPLIT(D83, "",""))) &gt; 0, ""OTHER"", 0)"),0)</f>
        <v>0</v>
      </c>
    </row>
    <row r="84" spans="1:11">
      <c r="A84" s="21">
        <v>83</v>
      </c>
      <c r="B84" s="21">
        <v>90</v>
      </c>
      <c r="C84" s="21" t="s">
        <v>370</v>
      </c>
      <c r="D84" s="21" t="s">
        <v>222</v>
      </c>
      <c r="E84" s="21">
        <v>5</v>
      </c>
      <c r="F84" s="21">
        <v>132077</v>
      </c>
      <c r="G84" s="21" t="s">
        <v>130</v>
      </c>
      <c r="H84" s="38" t="s">
        <v>372</v>
      </c>
      <c r="I84" s="39">
        <f ca="1">IFERROR(__xludf.DUMMYFUNCTION("IF(SUM(COUNTIF(artists!A:A, SPLIT(D84, "",""))) &gt; 0, ""UA"", 0)"),0)</f>
        <v>0</v>
      </c>
      <c r="J84" s="40">
        <f ca="1">IFERROR(__xludf.DUMMYFUNCTION("IF(SUM(COUNTIF(artists!C:C, SPLIT(D84, "",""))) &gt; 0, ""RU"", 0)"),0)</f>
        <v>0</v>
      </c>
      <c r="K84" s="39" t="str">
        <f ca="1">IFERROR(__xludf.DUMMYFUNCTION("IF(SUM(COUNTIF(artists!E:E, SPLIT(D84, "",""))) &gt; 0, ""OTHER"", 0)"),"OTHER")</f>
        <v>OTHER</v>
      </c>
    </row>
    <row r="85" spans="1:11">
      <c r="A85" s="21">
        <v>84</v>
      </c>
      <c r="C85" s="21" t="s">
        <v>309</v>
      </c>
      <c r="D85" s="21" t="s">
        <v>310</v>
      </c>
      <c r="E85" s="21">
        <v>12</v>
      </c>
      <c r="F85" s="21">
        <v>130846</v>
      </c>
      <c r="H85" s="38" t="s">
        <v>312</v>
      </c>
      <c r="I85" s="39">
        <f ca="1">IFERROR(__xludf.DUMMYFUNCTION("IF(SUM(COUNTIF(artists!A:A, SPLIT(D85, "",""))) &gt; 0, ""UA"", 0)"),0)</f>
        <v>0</v>
      </c>
      <c r="J85" s="40">
        <f ca="1">IFERROR(__xludf.DUMMYFUNCTION("IF(SUM(COUNTIF(artists!C:C, SPLIT(D85, "",""))) &gt; 0, ""RU"", 0)"),0)</f>
        <v>0</v>
      </c>
      <c r="K85" s="39" t="str">
        <f ca="1">IFERROR(__xludf.DUMMYFUNCTION("IF(SUM(COUNTIF(artists!E:E, SPLIT(D85, "",""))) &gt; 0, ""OTHER"", 0)"),"OTHER")</f>
        <v>OTHER</v>
      </c>
    </row>
    <row r="86" spans="1:11">
      <c r="A86" s="21">
        <v>85</v>
      </c>
      <c r="C86" s="21" t="s">
        <v>686</v>
      </c>
      <c r="D86" s="21" t="s">
        <v>687</v>
      </c>
      <c r="E86" s="21">
        <v>8</v>
      </c>
      <c r="F86" s="21">
        <v>129142</v>
      </c>
      <c r="H86" s="38" t="s">
        <v>688</v>
      </c>
      <c r="I86" s="39">
        <f ca="1">IFERROR(__xludf.DUMMYFUNCTION("IF(SUM(COUNTIF(artists!A:A, SPLIT(D86, "",""))) &gt; 0, ""UA"", 0)"),0)</f>
        <v>0</v>
      </c>
      <c r="J86" s="40" t="str">
        <f ca="1">IFERROR(__xludf.DUMMYFUNCTION("IF(SUM(COUNTIF(artists!C:C, SPLIT(D86, "",""))) &gt; 0, ""RU"", 0)"),"RU")</f>
        <v>RU</v>
      </c>
      <c r="K86" s="39">
        <f ca="1">IFERROR(__xludf.DUMMYFUNCTION("IF(SUM(COUNTIF(artists!E:E, SPLIT(D86, "",""))) &gt; 0, ""OTHER"", 0)"),0)</f>
        <v>0</v>
      </c>
    </row>
    <row r="87" spans="1:11">
      <c r="A87" s="21">
        <v>86</v>
      </c>
      <c r="B87" s="21">
        <v>84</v>
      </c>
      <c r="C87" s="21" t="s">
        <v>708</v>
      </c>
      <c r="D87" s="21" t="s">
        <v>709</v>
      </c>
      <c r="E87" s="21">
        <v>4</v>
      </c>
      <c r="F87" s="21">
        <v>128696</v>
      </c>
      <c r="G87" s="21" t="s">
        <v>813</v>
      </c>
      <c r="H87" s="38" t="s">
        <v>710</v>
      </c>
      <c r="I87" s="39">
        <f ca="1">IFERROR(__xludf.DUMMYFUNCTION("IF(SUM(COUNTIF(artists!A:A, SPLIT(D87, "",""))) &gt; 0, ""UA"", 0)"),0)</f>
        <v>0</v>
      </c>
      <c r="J87" s="40" t="str">
        <f ca="1">IFERROR(__xludf.DUMMYFUNCTION("IF(SUM(COUNTIF(artists!C:C, SPLIT(D87, "",""))) &gt; 0, ""RU"", 0)"),"RU")</f>
        <v>RU</v>
      </c>
      <c r="K87" s="39">
        <f ca="1">IFERROR(__xludf.DUMMYFUNCTION("IF(SUM(COUNTIF(artists!E:E, SPLIT(D87, "",""))) &gt; 0, ""OTHER"", 0)"),0)</f>
        <v>0</v>
      </c>
    </row>
    <row r="88" spans="1:11">
      <c r="A88" s="21">
        <v>87</v>
      </c>
      <c r="B88" s="21">
        <v>95</v>
      </c>
      <c r="C88" s="21" t="s">
        <v>316</v>
      </c>
      <c r="D88" s="21" t="s">
        <v>317</v>
      </c>
      <c r="E88" s="21">
        <v>11</v>
      </c>
      <c r="F88" s="21">
        <v>128278</v>
      </c>
      <c r="G88" s="21" t="s">
        <v>155</v>
      </c>
      <c r="H88" s="38" t="s">
        <v>319</v>
      </c>
      <c r="I88" s="39" t="str">
        <f ca="1">IFERROR(__xludf.DUMMYFUNCTION("IF(SUM(COUNTIF(artists!A:A, SPLIT(D88, "",""))) &gt; 0, ""UA"", 0)"),"UA")</f>
        <v>UA</v>
      </c>
      <c r="J88" s="40">
        <f ca="1">IFERROR(__xludf.DUMMYFUNCTION("IF(SUM(COUNTIF(artists!C:C, SPLIT(D88, "",""))) &gt; 0, ""RU"", 0)"),0)</f>
        <v>0</v>
      </c>
      <c r="K88" s="39">
        <f ca="1">IFERROR(__xludf.DUMMYFUNCTION("IF(SUM(COUNTIF(artists!E:E, SPLIT(D88, "",""))) &gt; 0, ""OTHER"", 0)"),0)</f>
        <v>0</v>
      </c>
    </row>
    <row r="89" spans="1:11">
      <c r="A89" s="21">
        <v>88</v>
      </c>
      <c r="B89" s="21">
        <v>74</v>
      </c>
      <c r="C89" s="21" t="s">
        <v>814</v>
      </c>
      <c r="D89" s="21" t="s">
        <v>815</v>
      </c>
      <c r="E89" s="21">
        <v>7</v>
      </c>
      <c r="F89" s="21">
        <v>128151</v>
      </c>
      <c r="G89" s="21" t="s">
        <v>816</v>
      </c>
      <c r="H89" s="38" t="s">
        <v>817</v>
      </c>
      <c r="I89" s="39">
        <f ca="1">IFERROR(__xludf.DUMMYFUNCTION("IF(SUM(COUNTIF(artists!A:A, SPLIT(D89, "",""))) &gt; 0, ""UA"", 0)"),0)</f>
        <v>0</v>
      </c>
      <c r="J89" s="40" t="str">
        <f ca="1">IFERROR(__xludf.DUMMYFUNCTION("IF(SUM(COUNTIF(artists!C:C, SPLIT(D89, "",""))) &gt; 0, ""RU"", 0)"),"RU")</f>
        <v>RU</v>
      </c>
      <c r="K89" s="39">
        <f ca="1">IFERROR(__xludf.DUMMYFUNCTION("IF(SUM(COUNTIF(artists!E:E, SPLIT(D89, "",""))) &gt; 0, ""OTHER"", 0)"),0)</f>
        <v>0</v>
      </c>
    </row>
    <row r="90" spans="1:11">
      <c r="A90" s="21">
        <v>89</v>
      </c>
      <c r="C90" s="21" t="s">
        <v>313</v>
      </c>
      <c r="D90" s="21" t="s">
        <v>310</v>
      </c>
      <c r="E90" s="21">
        <v>10</v>
      </c>
      <c r="F90" s="21">
        <v>127711</v>
      </c>
      <c r="H90" s="38" t="s">
        <v>398</v>
      </c>
      <c r="I90" s="39">
        <f ca="1">IFERROR(__xludf.DUMMYFUNCTION("IF(SUM(COUNTIF(artists!A:A, SPLIT(D90, "",""))) &gt; 0, ""UA"", 0)"),0)</f>
        <v>0</v>
      </c>
      <c r="J90" s="40">
        <f ca="1">IFERROR(__xludf.DUMMYFUNCTION("IF(SUM(COUNTIF(artists!C:C, SPLIT(D90, "",""))) &gt; 0, ""RU"", 0)"),0)</f>
        <v>0</v>
      </c>
      <c r="K90" s="39" t="str">
        <f ca="1">IFERROR(__xludf.DUMMYFUNCTION("IF(SUM(COUNTIF(artists!E:E, SPLIT(D90, "",""))) &gt; 0, ""OTHER"", 0)"),"OTHER")</f>
        <v>OTHER</v>
      </c>
    </row>
    <row r="91" spans="1:11">
      <c r="A91" s="21">
        <v>90</v>
      </c>
      <c r="C91" s="21" t="s">
        <v>383</v>
      </c>
      <c r="D91" s="21" t="s">
        <v>384</v>
      </c>
      <c r="E91" s="21">
        <v>7</v>
      </c>
      <c r="F91" s="21">
        <v>127660</v>
      </c>
      <c r="H91" s="38" t="s">
        <v>386</v>
      </c>
      <c r="I91" s="39">
        <f ca="1">IFERROR(__xludf.DUMMYFUNCTION("IF(SUM(COUNTIF(artists!A:A, SPLIT(D91, "",""))) &gt; 0, ""UA"", 0)"),0)</f>
        <v>0</v>
      </c>
      <c r="J91" s="40">
        <f ca="1">IFERROR(__xludf.DUMMYFUNCTION("IF(SUM(COUNTIF(artists!C:C, SPLIT(D91, "",""))) &gt; 0, ""RU"", 0)"),0)</f>
        <v>0</v>
      </c>
      <c r="K91" s="39" t="str">
        <f ca="1">IFERROR(__xludf.DUMMYFUNCTION("IF(SUM(COUNTIF(artists!E:E, SPLIT(D91, "",""))) &gt; 0, ""OTHER"", 0)"),"OTHER")</f>
        <v>OTHER</v>
      </c>
    </row>
    <row r="92" spans="1:11">
      <c r="A92" s="21">
        <v>91</v>
      </c>
      <c r="C92" s="21" t="s">
        <v>818</v>
      </c>
      <c r="D92" s="21" t="s">
        <v>819</v>
      </c>
      <c r="E92" s="21">
        <v>3</v>
      </c>
      <c r="F92" s="21">
        <v>126637</v>
      </c>
      <c r="H92" s="38" t="s">
        <v>820</v>
      </c>
      <c r="I92" s="39">
        <f ca="1">IFERROR(__xludf.DUMMYFUNCTION("IF(SUM(COUNTIF(artists!A:A, SPLIT(D92, "",""))) &gt; 0, ""UA"", 0)"),0)</f>
        <v>0</v>
      </c>
      <c r="J92" s="40" t="str">
        <f ca="1">IFERROR(__xludf.DUMMYFUNCTION("IF(SUM(COUNTIF(artists!C:C, SPLIT(D92, "",""))) &gt; 0, ""RU"", 0)"),"RU")</f>
        <v>RU</v>
      </c>
      <c r="K92" s="39">
        <f ca="1">IFERROR(__xludf.DUMMYFUNCTION("IF(SUM(COUNTIF(artists!E:E, SPLIT(D92, "",""))) &gt; 0, ""OTHER"", 0)"),0)</f>
        <v>0</v>
      </c>
    </row>
    <row r="93" spans="1:11">
      <c r="A93" s="21">
        <v>92</v>
      </c>
      <c r="B93" s="21">
        <v>97</v>
      </c>
      <c r="C93" s="21" t="s">
        <v>358</v>
      </c>
      <c r="D93" s="21" t="s">
        <v>359</v>
      </c>
      <c r="E93" s="21">
        <v>13</v>
      </c>
      <c r="F93" s="21">
        <v>125924</v>
      </c>
      <c r="G93" s="21" t="s">
        <v>656</v>
      </c>
      <c r="H93" s="38" t="s">
        <v>361</v>
      </c>
      <c r="I93" s="39">
        <f ca="1">IFERROR(__xludf.DUMMYFUNCTION("IF(SUM(COUNTIF(artists!A:A, SPLIT(D93, "",""))) &gt; 0, ""UA"", 0)"),0)</f>
        <v>0</v>
      </c>
      <c r="J93" s="40">
        <f ca="1">IFERROR(__xludf.DUMMYFUNCTION("IF(SUM(COUNTIF(artists!C:C, SPLIT(D93, "",""))) &gt; 0, ""RU"", 0)"),0)</f>
        <v>0</v>
      </c>
      <c r="K93" s="39" t="str">
        <f ca="1">IFERROR(__xludf.DUMMYFUNCTION("IF(SUM(COUNTIF(artists!E:E, SPLIT(D93, "",""))) &gt; 0, ""OTHER"", 0)"),"OTHER")</f>
        <v>OTHER</v>
      </c>
    </row>
    <row r="94" spans="1:11">
      <c r="A94" s="21">
        <v>93</v>
      </c>
      <c r="B94" s="21">
        <v>86</v>
      </c>
      <c r="C94" s="21" t="s">
        <v>714</v>
      </c>
      <c r="D94" s="21" t="s">
        <v>715</v>
      </c>
      <c r="E94" s="21">
        <v>2</v>
      </c>
      <c r="F94" s="21">
        <v>124824</v>
      </c>
      <c r="G94" s="21" t="s">
        <v>821</v>
      </c>
      <c r="H94" s="38" t="s">
        <v>716</v>
      </c>
      <c r="I94" s="39" t="str">
        <f ca="1">IFERROR(__xludf.DUMMYFUNCTION("IF(SUM(COUNTIF(artists!A:A, SPLIT(D94, "",""))) &gt; 0, ""UA"", 0)"),"UA")</f>
        <v>UA</v>
      </c>
      <c r="J94" s="40">
        <f ca="1">IFERROR(__xludf.DUMMYFUNCTION("IF(SUM(COUNTIF(artists!C:C, SPLIT(D94, "",""))) &gt; 0, ""RU"", 0)"),0)</f>
        <v>0</v>
      </c>
      <c r="K94" s="39">
        <f ca="1">IFERROR(__xludf.DUMMYFUNCTION("IF(SUM(COUNTIF(artists!E:E, SPLIT(D94, "",""))) &gt; 0, ""OTHER"", 0)"),0)</f>
        <v>0</v>
      </c>
    </row>
    <row r="95" spans="1:11">
      <c r="A95" s="21">
        <v>94</v>
      </c>
      <c r="B95" s="21">
        <v>76</v>
      </c>
      <c r="C95" s="21" t="s">
        <v>534</v>
      </c>
      <c r="D95" s="21" t="s">
        <v>535</v>
      </c>
      <c r="E95" s="21">
        <v>3</v>
      </c>
      <c r="F95" s="21">
        <v>124427</v>
      </c>
      <c r="G95" s="21" t="s">
        <v>822</v>
      </c>
      <c r="H95" s="38" t="s">
        <v>536</v>
      </c>
      <c r="I95" s="39">
        <f ca="1">IFERROR(__xludf.DUMMYFUNCTION("IF(SUM(COUNTIF(artists!A:A, SPLIT(D95, "",""))) &gt; 0, ""UA"", 0)"),0)</f>
        <v>0</v>
      </c>
      <c r="J95" s="40" t="str">
        <f ca="1">IFERROR(__xludf.DUMMYFUNCTION("IF(SUM(COUNTIF(artists!C:C, SPLIT(D95, "",""))) &gt; 0, ""RU"", 0)"),"RU")</f>
        <v>RU</v>
      </c>
      <c r="K95" s="39">
        <f ca="1">IFERROR(__xludf.DUMMYFUNCTION("IF(SUM(COUNTIF(artists!E:E, SPLIT(D95, "",""))) &gt; 0, ""OTHER"", 0)"),0)</f>
        <v>0</v>
      </c>
    </row>
    <row r="96" spans="1:11">
      <c r="A96" s="21">
        <v>95</v>
      </c>
      <c r="C96" s="21" t="s">
        <v>399</v>
      </c>
      <c r="D96" s="21" t="s">
        <v>400</v>
      </c>
      <c r="E96" s="21">
        <v>2</v>
      </c>
      <c r="F96" s="21">
        <v>122885</v>
      </c>
      <c r="H96" s="38" t="s">
        <v>401</v>
      </c>
      <c r="I96" s="39" t="str">
        <f ca="1">IFERROR(__xludf.DUMMYFUNCTION("IF(SUM(COUNTIF(artists!A:A, SPLIT(D96, "",""))) &gt; 0, ""UA"", 0)"),"UA")</f>
        <v>UA</v>
      </c>
      <c r="J96" s="40">
        <f ca="1">IFERROR(__xludf.DUMMYFUNCTION("IF(SUM(COUNTIF(artists!C:C, SPLIT(D96, "",""))) &gt; 0, ""RU"", 0)"),0)</f>
        <v>0</v>
      </c>
      <c r="K96" s="39">
        <f ca="1">IFERROR(__xludf.DUMMYFUNCTION("IF(SUM(COUNTIF(artists!E:E, SPLIT(D96, "",""))) &gt; 0, ""OTHER"", 0)"),0)</f>
        <v>0</v>
      </c>
    </row>
    <row r="97" spans="1:11">
      <c r="A97" s="21">
        <v>96</v>
      </c>
      <c r="C97" s="21" t="s">
        <v>823</v>
      </c>
      <c r="D97" s="21" t="s">
        <v>824</v>
      </c>
      <c r="E97" s="21">
        <v>1</v>
      </c>
      <c r="F97" s="21">
        <v>122317</v>
      </c>
      <c r="H97" s="38" t="s">
        <v>825</v>
      </c>
      <c r="I97" s="39">
        <f ca="1">IFERROR(__xludf.DUMMYFUNCTION("IF(SUM(COUNTIF(artists!A:A, SPLIT(D97, "",""))) &gt; 0, ""UA"", 0)"),0)</f>
        <v>0</v>
      </c>
      <c r="J97" s="40">
        <f ca="1">IFERROR(__xludf.DUMMYFUNCTION("IF(SUM(COUNTIF(artists!C:C, SPLIT(D97, "",""))) &gt; 0, ""RU"", 0)"),0)</f>
        <v>0</v>
      </c>
      <c r="K97" s="39" t="str">
        <f ca="1">IFERROR(__xludf.DUMMYFUNCTION("IF(SUM(COUNTIF(artists!E:E, SPLIT(D97, "",""))) &gt; 0, ""OTHER"", 0)"),"OTHER")</f>
        <v>OTHER</v>
      </c>
    </row>
    <row r="98" spans="1:11">
      <c r="A98" s="21">
        <v>97</v>
      </c>
      <c r="B98" s="21">
        <v>31</v>
      </c>
      <c r="C98" s="21" t="s">
        <v>826</v>
      </c>
      <c r="D98" s="21" t="s">
        <v>827</v>
      </c>
      <c r="E98" s="21">
        <v>5</v>
      </c>
      <c r="F98" s="21">
        <v>122192</v>
      </c>
      <c r="G98" s="21" t="s">
        <v>828</v>
      </c>
      <c r="H98" s="38" t="s">
        <v>829</v>
      </c>
      <c r="I98" s="39" t="str">
        <f ca="1">IFERROR(__xludf.DUMMYFUNCTION("IF(SUM(COUNTIF(artists!A:A, SPLIT(D98, "",""))) &gt; 0, ""UA"", 0)"),"UA")</f>
        <v>UA</v>
      </c>
      <c r="J98" s="40">
        <f ca="1">IFERROR(__xludf.DUMMYFUNCTION("IF(SUM(COUNTIF(artists!C:C, SPLIT(D98, "",""))) &gt; 0, ""RU"", 0)"),0)</f>
        <v>0</v>
      </c>
      <c r="K98" s="39">
        <f ca="1">IFERROR(__xludf.DUMMYFUNCTION("IF(SUM(COUNTIF(artists!E:E, SPLIT(D98, "",""))) &gt; 0, ""OTHER"", 0)"),0)</f>
        <v>0</v>
      </c>
    </row>
    <row r="99" spans="1:11">
      <c r="A99" s="21">
        <v>98</v>
      </c>
      <c r="B99" s="21">
        <v>79</v>
      </c>
      <c r="C99" s="21" t="s">
        <v>830</v>
      </c>
      <c r="D99" s="21" t="s">
        <v>831</v>
      </c>
      <c r="E99" s="21">
        <v>5</v>
      </c>
      <c r="F99" s="21">
        <v>120992</v>
      </c>
      <c r="G99" s="21" t="s">
        <v>832</v>
      </c>
      <c r="H99" s="38" t="s">
        <v>833</v>
      </c>
      <c r="I99" s="39" t="str">
        <f ca="1">IFERROR(__xludf.DUMMYFUNCTION("IF(SUM(COUNTIF(artists!A:A, SPLIT(D99, "",""))) &gt; 0, ""UA"", 0)"),"UA")</f>
        <v>UA</v>
      </c>
      <c r="J99" s="40">
        <f ca="1">IFERROR(__xludf.DUMMYFUNCTION("IF(SUM(COUNTIF(artists!C:C, SPLIT(D99, "",""))) &gt; 0, ""RU"", 0)"),0)</f>
        <v>0</v>
      </c>
      <c r="K99" s="39">
        <f ca="1">IFERROR(__xludf.DUMMYFUNCTION("IF(SUM(COUNTIF(artists!E:E, SPLIT(D99, "",""))) &gt; 0, ""OTHER"", 0)"),0)</f>
        <v>0</v>
      </c>
    </row>
    <row r="100" spans="1:11">
      <c r="A100" s="21">
        <v>99</v>
      </c>
      <c r="C100" s="21" t="s">
        <v>775</v>
      </c>
      <c r="D100" s="21" t="s">
        <v>776</v>
      </c>
      <c r="E100" s="21">
        <v>7</v>
      </c>
      <c r="F100" s="21">
        <v>119522</v>
      </c>
      <c r="H100" s="38" t="s">
        <v>777</v>
      </c>
      <c r="I100" s="39" t="str">
        <f ca="1">IFERROR(__xludf.DUMMYFUNCTION("IF(SUM(COUNTIF(artists!A:A, SPLIT(D100, "",""))) &gt; 0, ""UA"", 0)"),"UA")</f>
        <v>UA</v>
      </c>
      <c r="J100" s="40">
        <f ca="1">IFERROR(__xludf.DUMMYFUNCTION("IF(SUM(COUNTIF(artists!C:C, SPLIT(D100, "",""))) &gt; 0, ""RU"", 0)"),0)</f>
        <v>0</v>
      </c>
      <c r="K100" s="39">
        <f ca="1">IFERROR(__xludf.DUMMYFUNCTION("IF(SUM(COUNTIF(artists!E:E, SPLIT(D100, "",""))) &gt; 0, ""OTHER"", 0)"),0)</f>
        <v>0</v>
      </c>
    </row>
    <row r="101" spans="1:11">
      <c r="A101" s="21">
        <v>100</v>
      </c>
      <c r="B101" s="21">
        <v>96</v>
      </c>
      <c r="C101" s="21" t="s">
        <v>772</v>
      </c>
      <c r="D101" s="21" t="s">
        <v>773</v>
      </c>
      <c r="E101" s="21">
        <v>13</v>
      </c>
      <c r="F101" s="21">
        <v>117287</v>
      </c>
      <c r="G101" s="21" t="s">
        <v>834</v>
      </c>
      <c r="H101" s="38" t="s">
        <v>774</v>
      </c>
      <c r="I101" s="39" t="str">
        <f ca="1">IFERROR(__xludf.DUMMYFUNCTION("IF(SUM(COUNTIF(artists!A:A, SPLIT(D101, "",""))) &gt; 0, ""UA"", 0)"),"UA")</f>
        <v>UA</v>
      </c>
      <c r="J101" s="40">
        <f ca="1">IFERROR(__xludf.DUMMYFUNCTION("IF(SUM(COUNTIF(artists!C:C, SPLIT(D101, "",""))) &gt; 0, ""RU"", 0)"),0)</f>
        <v>0</v>
      </c>
      <c r="K101" s="39">
        <f ca="1">IFERROR(__xludf.DUMMYFUNCTION("IF(SUM(COUNTIF(artists!E:E, SPLIT(D101, "",""))) &gt; 0, ""OTHER"", 0)"),0)</f>
        <v>0</v>
      </c>
    </row>
  </sheetData>
  <conditionalFormatting sqref="I2:K101">
    <cfRule type="expression" dxfId="109" priority="1">
      <formula>AND($I2=0, $J2=0, $K2=0)</formula>
    </cfRule>
    <cfRule type="expression" dxfId="108" priority="2">
      <formula>OR(AND($I2&lt;&gt;0, $J2&lt;&gt;0), AND($I2&lt;&gt;0, $K2&lt;&gt;0), AND($J2&lt;&gt;0, $K2&lt;&gt;0))</formula>
    </cfRule>
  </conditionalFormatting>
  <hyperlinks>
    <hyperlink ref="H2" r:id="rId1" xr:uid="{00000000-0004-0000-0700-000000000000}"/>
    <hyperlink ref="H3" r:id="rId2" xr:uid="{00000000-0004-0000-0700-000001000000}"/>
    <hyperlink ref="H4" r:id="rId3" xr:uid="{00000000-0004-0000-0700-000002000000}"/>
    <hyperlink ref="H5" r:id="rId4" xr:uid="{00000000-0004-0000-0700-000003000000}"/>
    <hyperlink ref="H6" r:id="rId5" xr:uid="{00000000-0004-0000-0700-000004000000}"/>
    <hyperlink ref="H7" r:id="rId6" xr:uid="{00000000-0004-0000-0700-000005000000}"/>
    <hyperlink ref="H8" r:id="rId7" xr:uid="{00000000-0004-0000-0700-000006000000}"/>
    <hyperlink ref="H9" r:id="rId8" xr:uid="{00000000-0004-0000-0700-000007000000}"/>
    <hyperlink ref="H10" r:id="rId9" xr:uid="{00000000-0004-0000-0700-000008000000}"/>
    <hyperlink ref="H11" r:id="rId10" xr:uid="{00000000-0004-0000-0700-000009000000}"/>
    <hyperlink ref="H12" r:id="rId11" xr:uid="{00000000-0004-0000-0700-00000A000000}"/>
    <hyperlink ref="H13" r:id="rId12" xr:uid="{00000000-0004-0000-0700-00000B000000}"/>
    <hyperlink ref="H14" r:id="rId13" xr:uid="{00000000-0004-0000-0700-00000C000000}"/>
    <hyperlink ref="H15" r:id="rId14" xr:uid="{00000000-0004-0000-0700-00000D000000}"/>
    <hyperlink ref="H16" r:id="rId15" xr:uid="{00000000-0004-0000-0700-00000E000000}"/>
    <hyperlink ref="H17" r:id="rId16" xr:uid="{00000000-0004-0000-0700-00000F000000}"/>
    <hyperlink ref="H18" r:id="rId17" xr:uid="{00000000-0004-0000-0700-000010000000}"/>
    <hyperlink ref="H19" r:id="rId18" xr:uid="{00000000-0004-0000-0700-000011000000}"/>
    <hyperlink ref="H20" r:id="rId19" xr:uid="{00000000-0004-0000-0700-000012000000}"/>
    <hyperlink ref="H21" r:id="rId20" xr:uid="{00000000-0004-0000-0700-000013000000}"/>
    <hyperlink ref="H22" r:id="rId21" xr:uid="{00000000-0004-0000-0700-000014000000}"/>
    <hyperlink ref="H23" r:id="rId22" xr:uid="{00000000-0004-0000-0700-000015000000}"/>
    <hyperlink ref="H24" r:id="rId23" xr:uid="{00000000-0004-0000-0700-000016000000}"/>
    <hyperlink ref="H25" r:id="rId24" xr:uid="{00000000-0004-0000-0700-000017000000}"/>
    <hyperlink ref="H26" r:id="rId25" xr:uid="{00000000-0004-0000-0700-000018000000}"/>
    <hyperlink ref="H27" r:id="rId26" xr:uid="{00000000-0004-0000-0700-000019000000}"/>
    <hyperlink ref="H28" r:id="rId27" xr:uid="{00000000-0004-0000-0700-00001A000000}"/>
    <hyperlink ref="H29" r:id="rId28" xr:uid="{00000000-0004-0000-0700-00001B000000}"/>
    <hyperlink ref="H30" r:id="rId29" xr:uid="{00000000-0004-0000-0700-00001C000000}"/>
    <hyperlink ref="H31" r:id="rId30" xr:uid="{00000000-0004-0000-0700-00001D000000}"/>
    <hyperlink ref="H32" r:id="rId31" xr:uid="{00000000-0004-0000-0700-00001E000000}"/>
    <hyperlink ref="H33" r:id="rId32" xr:uid="{00000000-0004-0000-0700-00001F000000}"/>
    <hyperlink ref="H34" r:id="rId33" xr:uid="{00000000-0004-0000-0700-000020000000}"/>
    <hyperlink ref="H35" r:id="rId34" xr:uid="{00000000-0004-0000-0700-000021000000}"/>
    <hyperlink ref="H36" r:id="rId35" xr:uid="{00000000-0004-0000-0700-000022000000}"/>
    <hyperlink ref="H37" r:id="rId36" xr:uid="{00000000-0004-0000-0700-000023000000}"/>
    <hyperlink ref="H38" r:id="rId37" xr:uid="{00000000-0004-0000-0700-000024000000}"/>
    <hyperlink ref="H39" r:id="rId38" xr:uid="{00000000-0004-0000-0700-000025000000}"/>
    <hyperlink ref="H40" r:id="rId39" xr:uid="{00000000-0004-0000-0700-000026000000}"/>
    <hyperlink ref="H41" r:id="rId40" xr:uid="{00000000-0004-0000-0700-000027000000}"/>
    <hyperlink ref="H42" r:id="rId41" xr:uid="{00000000-0004-0000-0700-000028000000}"/>
    <hyperlink ref="H43" r:id="rId42" xr:uid="{00000000-0004-0000-0700-000029000000}"/>
    <hyperlink ref="H44" r:id="rId43" xr:uid="{00000000-0004-0000-0700-00002A000000}"/>
    <hyperlink ref="H45" r:id="rId44" xr:uid="{00000000-0004-0000-0700-00002B000000}"/>
    <hyperlink ref="H46" r:id="rId45" xr:uid="{00000000-0004-0000-0700-00002C000000}"/>
    <hyperlink ref="H47" r:id="rId46" xr:uid="{00000000-0004-0000-0700-00002D000000}"/>
    <hyperlink ref="H48" r:id="rId47" xr:uid="{00000000-0004-0000-0700-00002E000000}"/>
    <hyperlink ref="H49" r:id="rId48" xr:uid="{00000000-0004-0000-0700-00002F000000}"/>
    <hyperlink ref="H50" r:id="rId49" xr:uid="{00000000-0004-0000-0700-000030000000}"/>
    <hyperlink ref="H51" r:id="rId50" xr:uid="{00000000-0004-0000-0700-000031000000}"/>
    <hyperlink ref="H52" r:id="rId51" xr:uid="{00000000-0004-0000-0700-000032000000}"/>
    <hyperlink ref="H53" r:id="rId52" xr:uid="{00000000-0004-0000-0700-000033000000}"/>
    <hyperlink ref="H54" r:id="rId53" xr:uid="{00000000-0004-0000-0700-000034000000}"/>
    <hyperlink ref="H55" r:id="rId54" xr:uid="{00000000-0004-0000-0700-000035000000}"/>
    <hyperlink ref="H56" r:id="rId55" xr:uid="{00000000-0004-0000-0700-000036000000}"/>
    <hyperlink ref="H57" r:id="rId56" xr:uid="{00000000-0004-0000-0700-000037000000}"/>
    <hyperlink ref="H58" r:id="rId57" xr:uid="{00000000-0004-0000-0700-000038000000}"/>
    <hyperlink ref="H59" r:id="rId58" xr:uid="{00000000-0004-0000-0700-000039000000}"/>
    <hyperlink ref="H60" r:id="rId59" xr:uid="{00000000-0004-0000-0700-00003A000000}"/>
    <hyperlink ref="H61" r:id="rId60" xr:uid="{00000000-0004-0000-0700-00003B000000}"/>
    <hyperlink ref="H62" r:id="rId61" xr:uid="{00000000-0004-0000-0700-00003C000000}"/>
    <hyperlink ref="H63" r:id="rId62" xr:uid="{00000000-0004-0000-0700-00003D000000}"/>
    <hyperlink ref="H64" r:id="rId63" xr:uid="{00000000-0004-0000-0700-00003E000000}"/>
    <hyperlink ref="H65" r:id="rId64" xr:uid="{00000000-0004-0000-0700-00003F000000}"/>
    <hyperlink ref="H66" r:id="rId65" xr:uid="{00000000-0004-0000-0700-000040000000}"/>
    <hyperlink ref="H67" r:id="rId66" xr:uid="{00000000-0004-0000-0700-000041000000}"/>
    <hyperlink ref="H68" r:id="rId67" xr:uid="{00000000-0004-0000-0700-000042000000}"/>
    <hyperlink ref="H69" r:id="rId68" xr:uid="{00000000-0004-0000-0700-000043000000}"/>
    <hyperlink ref="H70" r:id="rId69" xr:uid="{00000000-0004-0000-0700-000044000000}"/>
    <hyperlink ref="H71" r:id="rId70" xr:uid="{00000000-0004-0000-0700-000045000000}"/>
    <hyperlink ref="H72" r:id="rId71" xr:uid="{00000000-0004-0000-0700-000046000000}"/>
    <hyperlink ref="H73" r:id="rId72" xr:uid="{00000000-0004-0000-0700-000047000000}"/>
    <hyperlink ref="H74" r:id="rId73" xr:uid="{00000000-0004-0000-0700-000048000000}"/>
    <hyperlink ref="H75" r:id="rId74" xr:uid="{00000000-0004-0000-0700-000049000000}"/>
    <hyperlink ref="H76" r:id="rId75" xr:uid="{00000000-0004-0000-0700-00004A000000}"/>
    <hyperlink ref="H77" r:id="rId76" xr:uid="{00000000-0004-0000-0700-00004B000000}"/>
    <hyperlink ref="H78" r:id="rId77" xr:uid="{00000000-0004-0000-0700-00004C000000}"/>
    <hyperlink ref="H79" r:id="rId78" xr:uid="{00000000-0004-0000-0700-00004D000000}"/>
    <hyperlink ref="H80" r:id="rId79" xr:uid="{00000000-0004-0000-0700-00004E000000}"/>
    <hyperlink ref="H81" r:id="rId80" xr:uid="{00000000-0004-0000-0700-00004F000000}"/>
    <hyperlink ref="H82" r:id="rId81" xr:uid="{00000000-0004-0000-0700-000050000000}"/>
    <hyperlink ref="H83" r:id="rId82" xr:uid="{00000000-0004-0000-0700-000051000000}"/>
    <hyperlink ref="H84" r:id="rId83" xr:uid="{00000000-0004-0000-0700-000052000000}"/>
    <hyperlink ref="H85" r:id="rId84" xr:uid="{00000000-0004-0000-0700-000053000000}"/>
    <hyperlink ref="H86" r:id="rId85" xr:uid="{00000000-0004-0000-0700-000054000000}"/>
    <hyperlink ref="H87" r:id="rId86" xr:uid="{00000000-0004-0000-0700-000055000000}"/>
    <hyperlink ref="H88" r:id="rId87" xr:uid="{00000000-0004-0000-0700-000056000000}"/>
    <hyperlink ref="H89" r:id="rId88" xr:uid="{00000000-0004-0000-0700-000057000000}"/>
    <hyperlink ref="H90" r:id="rId89" xr:uid="{00000000-0004-0000-0700-000058000000}"/>
    <hyperlink ref="H91" r:id="rId90" xr:uid="{00000000-0004-0000-0700-000059000000}"/>
    <hyperlink ref="H92" r:id="rId91" xr:uid="{00000000-0004-0000-0700-00005A000000}"/>
    <hyperlink ref="H93" r:id="rId92" xr:uid="{00000000-0004-0000-0700-00005B000000}"/>
    <hyperlink ref="H94" r:id="rId93" xr:uid="{00000000-0004-0000-0700-00005C000000}"/>
    <hyperlink ref="H95" r:id="rId94" xr:uid="{00000000-0004-0000-0700-00005D000000}"/>
    <hyperlink ref="H96" r:id="rId95" xr:uid="{00000000-0004-0000-0700-00005E000000}"/>
    <hyperlink ref="H97" r:id="rId96" xr:uid="{00000000-0004-0000-0700-00005F000000}"/>
    <hyperlink ref="H98" r:id="rId97" xr:uid="{00000000-0004-0000-0700-000060000000}"/>
    <hyperlink ref="H99" r:id="rId98" xr:uid="{00000000-0004-0000-0700-000061000000}"/>
    <hyperlink ref="H100" r:id="rId99" xr:uid="{00000000-0004-0000-0700-000062000000}"/>
    <hyperlink ref="H101" r:id="rId100" xr:uid="{00000000-0004-0000-0700-000063000000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Аркуш9">
    <tabColor rgb="FF38761D"/>
  </sheetPr>
  <dimension ref="A1:K990"/>
  <sheetViews>
    <sheetView workbookViewId="0"/>
  </sheetViews>
  <sheetFormatPr defaultColWidth="14.44140625" defaultRowHeight="15.75" customHeight="1"/>
  <cols>
    <col min="1" max="1" width="5" customWidth="1"/>
    <col min="2" max="2" width="8.6640625" hidden="1" customWidth="1"/>
    <col min="3" max="3" width="8.6640625" customWidth="1"/>
    <col min="4" max="4" width="14.6640625" customWidth="1"/>
    <col min="5" max="5" width="8.6640625" hidden="1" customWidth="1"/>
    <col min="6" max="6" width="8.88671875" customWidth="1"/>
    <col min="7" max="7" width="13.109375" customWidth="1"/>
    <col min="8" max="8" width="8.6640625" hidden="1" customWidth="1"/>
    <col min="9" max="9" width="10.6640625" customWidth="1"/>
    <col min="10" max="11" width="9.5546875" customWidth="1"/>
    <col min="12" max="26" width="8.6640625" customWidth="1"/>
  </cols>
  <sheetData>
    <row r="1" spans="1:11" ht="14.25" customHeight="1">
      <c r="A1" s="21" t="s">
        <v>69</v>
      </c>
      <c r="B1" s="21" t="s">
        <v>70</v>
      </c>
      <c r="C1" s="21" t="s">
        <v>71</v>
      </c>
      <c r="D1" s="21" t="s">
        <v>72</v>
      </c>
      <c r="E1" s="21" t="s">
        <v>73</v>
      </c>
      <c r="F1" s="21" t="s">
        <v>74</v>
      </c>
      <c r="G1" s="21" t="s">
        <v>75</v>
      </c>
      <c r="H1" s="21" t="s">
        <v>76</v>
      </c>
      <c r="I1" s="37" t="s">
        <v>77</v>
      </c>
      <c r="J1" s="37" t="s">
        <v>78</v>
      </c>
      <c r="K1" s="37" t="s">
        <v>79</v>
      </c>
    </row>
    <row r="2" spans="1:11" ht="14.25" customHeight="1">
      <c r="A2" s="21">
        <v>1</v>
      </c>
      <c r="B2" s="21">
        <v>2</v>
      </c>
      <c r="C2" s="21" t="s">
        <v>124</v>
      </c>
      <c r="D2" s="21" t="s">
        <v>125</v>
      </c>
      <c r="E2" s="21">
        <v>7</v>
      </c>
      <c r="F2" s="21">
        <v>961037</v>
      </c>
      <c r="G2" s="42">
        <v>-0.155</v>
      </c>
      <c r="H2" s="21" t="s">
        <v>127</v>
      </c>
      <c r="I2" s="39">
        <f ca="1">IFERROR(__xludf.DUMMYFUNCTION("IF(SUM(COUNTIF(artists!A:A, SPLIT(D2, "",""))) &gt; 0, ""UA"", 0)"),0)</f>
        <v>0</v>
      </c>
      <c r="J2" s="40" t="str">
        <f ca="1">IFERROR(__xludf.DUMMYFUNCTION("IF(SUM(COUNTIF(artists!C:C, SPLIT(D2, "",""))) &gt; 0, ""RU"", 0)"),"RU")</f>
        <v>RU</v>
      </c>
      <c r="K2" s="39">
        <f ca="1">IFERROR(__xludf.DUMMYFUNCTION("IF(SUM(COUNTIF(artists!E:E, SPLIT(D2, "",""))) &gt; 0, ""OTHER"", 0)"),0)</f>
        <v>0</v>
      </c>
    </row>
    <row r="3" spans="1:11" ht="14.25" customHeight="1">
      <c r="A3" s="21">
        <v>2</v>
      </c>
      <c r="B3" s="21">
        <v>6</v>
      </c>
      <c r="C3" s="21" t="s">
        <v>153</v>
      </c>
      <c r="D3" s="21" t="s">
        <v>154</v>
      </c>
      <c r="E3" s="21">
        <v>4</v>
      </c>
      <c r="F3" s="21">
        <v>947991</v>
      </c>
      <c r="G3" s="42">
        <v>-1.7999999999999999E-2</v>
      </c>
      <c r="H3" s="21" t="s">
        <v>156</v>
      </c>
      <c r="I3" s="39">
        <f ca="1">IFERROR(__xludf.DUMMYFUNCTION("IF(SUM(COUNTIF(artists!A:A, SPLIT(D3, "",""))) &gt; 0, ""UA"", 0)"),0)</f>
        <v>0</v>
      </c>
      <c r="J3" s="40" t="str">
        <f ca="1">IFERROR(__xludf.DUMMYFUNCTION("IF(SUM(COUNTIF(artists!C:C, SPLIT(D3, "",""))) &gt; 0, ""RU"", 0)"),"RU")</f>
        <v>RU</v>
      </c>
      <c r="K3" s="39">
        <f ca="1">IFERROR(__xludf.DUMMYFUNCTION("IF(SUM(COUNTIF(artists!E:E, SPLIT(D3, "",""))) &gt; 0, ""OTHER"", 0)"),0)</f>
        <v>0</v>
      </c>
    </row>
    <row r="4" spans="1:11" ht="14.25" customHeight="1">
      <c r="A4" s="21">
        <v>3</v>
      </c>
      <c r="B4" s="21">
        <v>1</v>
      </c>
      <c r="C4" s="21" t="s">
        <v>88</v>
      </c>
      <c r="D4" s="21" t="s">
        <v>89</v>
      </c>
      <c r="E4" s="21">
        <v>24</v>
      </c>
      <c r="F4" s="21">
        <v>908070</v>
      </c>
      <c r="G4" s="42">
        <v>-0.222</v>
      </c>
      <c r="H4" s="21" t="s">
        <v>90</v>
      </c>
      <c r="I4" s="39" t="str">
        <f ca="1">IFERROR(__xludf.DUMMYFUNCTION("IF(SUM(COUNTIF(artists!A:A, SPLIT(D4, "",""))) &gt; 0, ""UA"", 0)"),"UA")</f>
        <v>UA</v>
      </c>
      <c r="J4" s="40">
        <f ca="1">IFERROR(__xludf.DUMMYFUNCTION("IF(SUM(COUNTIF(artists!C:C, SPLIT(D4, "",""))) &gt; 0, ""RU"", 0)"),0)</f>
        <v>0</v>
      </c>
      <c r="K4" s="39">
        <f ca="1">IFERROR(__xludf.DUMMYFUNCTION("IF(SUM(COUNTIF(artists!E:E, SPLIT(D4, "",""))) &gt; 0, ""OTHER"", 0)"),0)</f>
        <v>0</v>
      </c>
    </row>
    <row r="5" spans="1:11" ht="14.25" customHeight="1">
      <c r="A5" s="21">
        <v>4</v>
      </c>
      <c r="B5" s="21">
        <v>7</v>
      </c>
      <c r="C5" s="21" t="s">
        <v>95</v>
      </c>
      <c r="D5" s="21" t="s">
        <v>96</v>
      </c>
      <c r="E5" s="21">
        <v>9</v>
      </c>
      <c r="F5" s="21">
        <v>897937</v>
      </c>
      <c r="G5" s="43">
        <v>-0.01</v>
      </c>
      <c r="H5" s="21" t="s">
        <v>98</v>
      </c>
      <c r="I5" s="39" t="str">
        <f ca="1">IFERROR(__xludf.DUMMYFUNCTION("IF(SUM(COUNTIF(artists!A:A, SPLIT(D5, "",""))) &gt; 0, ""UA"", 0)"),"UA")</f>
        <v>UA</v>
      </c>
      <c r="J5" s="40">
        <f ca="1">IFERROR(__xludf.DUMMYFUNCTION("IF(SUM(COUNTIF(artists!C:C, SPLIT(D5, "",""))) &gt; 0, ""RU"", 0)"),0)</f>
        <v>0</v>
      </c>
      <c r="K5" s="39">
        <f ca="1">IFERROR(__xludf.DUMMYFUNCTION("IF(SUM(COUNTIF(artists!E:E, SPLIT(D5, "",""))) &gt; 0, ""OTHER"", 0)"),0)</f>
        <v>0</v>
      </c>
    </row>
    <row r="6" spans="1:11" ht="14.25" customHeight="1">
      <c r="A6" s="21">
        <v>5</v>
      </c>
      <c r="B6" s="21">
        <v>3</v>
      </c>
      <c r="C6" s="21" t="s">
        <v>111</v>
      </c>
      <c r="D6" s="21" t="s">
        <v>112</v>
      </c>
      <c r="E6" s="21">
        <v>5</v>
      </c>
      <c r="F6" s="21">
        <v>880999</v>
      </c>
      <c r="G6" s="42">
        <v>-0.223</v>
      </c>
      <c r="H6" s="21" t="s">
        <v>114</v>
      </c>
      <c r="I6" s="39" t="str">
        <f ca="1">IFERROR(__xludf.DUMMYFUNCTION("IF(SUM(COUNTIF(artists!A:A, SPLIT(D6, "",""))) &gt; 0, ""UA"", 0)"),"UA")</f>
        <v>UA</v>
      </c>
      <c r="J6" s="40">
        <f ca="1">IFERROR(__xludf.DUMMYFUNCTION("IF(SUM(COUNTIF(artists!C:C, SPLIT(D6, "",""))) &gt; 0, ""RU"", 0)"),0)</f>
        <v>0</v>
      </c>
      <c r="K6" s="39">
        <f ca="1">IFERROR(__xludf.DUMMYFUNCTION("IF(SUM(COUNTIF(artists!E:E, SPLIT(D6, "",""))) &gt; 0, ""OTHER"", 0)"),0)</f>
        <v>0</v>
      </c>
    </row>
    <row r="7" spans="1:11" ht="14.25" customHeight="1">
      <c r="A7" s="21">
        <v>6</v>
      </c>
      <c r="B7" s="21">
        <v>5</v>
      </c>
      <c r="C7" s="21" t="s">
        <v>121</v>
      </c>
      <c r="D7" s="21" t="s">
        <v>122</v>
      </c>
      <c r="E7" s="21">
        <v>4</v>
      </c>
      <c r="F7" s="21">
        <v>764039</v>
      </c>
      <c r="G7" s="42">
        <v>-0.23599999999999999</v>
      </c>
      <c r="H7" s="21" t="s">
        <v>123</v>
      </c>
      <c r="I7" s="39" t="str">
        <f ca="1">IFERROR(__xludf.DUMMYFUNCTION("IF(SUM(COUNTIF(artists!A:A, SPLIT(D7, "",""))) &gt; 0, ""UA"", 0)"),"UA")</f>
        <v>UA</v>
      </c>
      <c r="J7" s="40">
        <f ca="1">IFERROR(__xludf.DUMMYFUNCTION("IF(SUM(COUNTIF(artists!C:C, SPLIT(D7, "",""))) &gt; 0, ""RU"", 0)"),0)</f>
        <v>0</v>
      </c>
      <c r="K7" s="39">
        <f ca="1">IFERROR(__xludf.DUMMYFUNCTION("IF(SUM(COUNTIF(artists!E:E, SPLIT(D7, "",""))) &gt; 0, ""OTHER"", 0)"),0)</f>
        <v>0</v>
      </c>
    </row>
    <row r="8" spans="1:11" ht="14.25" customHeight="1">
      <c r="A8" s="21">
        <v>7</v>
      </c>
      <c r="B8" s="21">
        <v>4</v>
      </c>
      <c r="C8" s="21" t="s">
        <v>103</v>
      </c>
      <c r="D8" s="21" t="s">
        <v>104</v>
      </c>
      <c r="E8" s="21">
        <v>5</v>
      </c>
      <c r="F8" s="21">
        <v>757239</v>
      </c>
      <c r="G8" s="42">
        <v>-0.24299999999999999</v>
      </c>
      <c r="H8" s="21" t="s">
        <v>106</v>
      </c>
      <c r="I8" s="39" t="str">
        <f ca="1">IFERROR(__xludf.DUMMYFUNCTION("IF(SUM(COUNTIF(artists!A:A, SPLIT(D8, "",""))) &gt; 0, ""UA"", 0)"),"UA")</f>
        <v>UA</v>
      </c>
      <c r="J8" s="40">
        <f ca="1">IFERROR(__xludf.DUMMYFUNCTION("IF(SUM(COUNTIF(artists!C:C, SPLIT(D8, "",""))) &gt; 0, ""RU"", 0)"),0)</f>
        <v>0</v>
      </c>
      <c r="K8" s="39">
        <f ca="1">IFERROR(__xludf.DUMMYFUNCTION("IF(SUM(COUNTIF(artists!E:E, SPLIT(D8, "",""))) &gt; 0, ""OTHER"", 0)"),0)</f>
        <v>0</v>
      </c>
    </row>
    <row r="9" spans="1:11" ht="14.25" customHeight="1">
      <c r="A9" s="21">
        <v>8</v>
      </c>
      <c r="B9" s="21">
        <v>11</v>
      </c>
      <c r="C9" s="21" t="s">
        <v>128</v>
      </c>
      <c r="D9" s="21" t="s">
        <v>129</v>
      </c>
      <c r="E9" s="21">
        <v>32</v>
      </c>
      <c r="F9" s="21">
        <v>682872</v>
      </c>
      <c r="G9" s="42">
        <v>-7.5999999999999998E-2</v>
      </c>
      <c r="H9" s="21" t="s">
        <v>131</v>
      </c>
      <c r="I9" s="39" t="str">
        <f ca="1">IFERROR(__xludf.DUMMYFUNCTION("IF(SUM(COUNTIF(artists!A:A, SPLIT(D9, "",""))) &gt; 0, ""UA"", 0)"),"UA")</f>
        <v>UA</v>
      </c>
      <c r="J9" s="40">
        <f ca="1">IFERROR(__xludf.DUMMYFUNCTION("IF(SUM(COUNTIF(artists!C:C, SPLIT(D9, "",""))) &gt; 0, ""RU"", 0)"),0)</f>
        <v>0</v>
      </c>
      <c r="K9" s="39">
        <f ca="1">IFERROR(__xludf.DUMMYFUNCTION("IF(SUM(COUNTIF(artists!E:E, SPLIT(D9, "",""))) &gt; 0, ""OTHER"", 0)"),0)</f>
        <v>0</v>
      </c>
    </row>
    <row r="10" spans="1:11" ht="14.25" customHeight="1">
      <c r="A10" s="21">
        <v>9</v>
      </c>
      <c r="B10" s="21">
        <v>13</v>
      </c>
      <c r="C10" s="21" t="s">
        <v>84</v>
      </c>
      <c r="D10" s="21" t="s">
        <v>85</v>
      </c>
      <c r="E10" s="21">
        <v>3</v>
      </c>
      <c r="F10" s="21">
        <v>651927</v>
      </c>
      <c r="G10" s="42">
        <v>-5.2999999999999999E-2</v>
      </c>
      <c r="H10" s="21" t="s">
        <v>87</v>
      </c>
      <c r="I10" s="39" t="str">
        <f ca="1">IFERROR(__xludf.DUMMYFUNCTION("IF(SUM(COUNTIF(artists!A:A, SPLIT(D10, "",""))) &gt; 0, ""UA"", 0)"),"UA")</f>
        <v>UA</v>
      </c>
      <c r="J10" s="40">
        <f ca="1">IFERROR(__xludf.DUMMYFUNCTION("IF(SUM(COUNTIF(artists!C:C, SPLIT(D10, "",""))) &gt; 0, ""RU"", 0)"),0)</f>
        <v>0</v>
      </c>
      <c r="K10" s="39">
        <f ca="1">IFERROR(__xludf.DUMMYFUNCTION("IF(SUM(COUNTIF(artists!E:E, SPLIT(D10, "",""))) &gt; 0, ""OTHER"", 0)"),0)</f>
        <v>0</v>
      </c>
    </row>
    <row r="11" spans="1:11" ht="14.25" customHeight="1">
      <c r="A11" s="21">
        <v>10</v>
      </c>
      <c r="B11" s="21">
        <v>15</v>
      </c>
      <c r="C11" s="21" t="s">
        <v>107</v>
      </c>
      <c r="D11" s="21" t="s">
        <v>108</v>
      </c>
      <c r="E11" s="21">
        <v>4</v>
      </c>
      <c r="F11" s="21">
        <v>611920</v>
      </c>
      <c r="G11" s="42">
        <v>-8.1000000000000003E-2</v>
      </c>
      <c r="H11" s="21" t="s">
        <v>110</v>
      </c>
      <c r="I11" s="39" t="str">
        <f ca="1">IFERROR(__xludf.DUMMYFUNCTION("IF(SUM(COUNTIF(artists!A:A, SPLIT(D11, "",""))) &gt; 0, ""UA"", 0)"),"UA")</f>
        <v>UA</v>
      </c>
      <c r="J11" s="40">
        <f ca="1">IFERROR(__xludf.DUMMYFUNCTION("IF(SUM(COUNTIF(artists!C:C, SPLIT(D11, "",""))) &gt; 0, ""RU"", 0)"),0)</f>
        <v>0</v>
      </c>
      <c r="K11" s="39">
        <f ca="1">IFERROR(__xludf.DUMMYFUNCTION("IF(SUM(COUNTIF(artists!E:E, SPLIT(D11, "",""))) &gt; 0, ""OTHER"", 0)"),0)</f>
        <v>0</v>
      </c>
    </row>
    <row r="12" spans="1:11" ht="14.25" customHeight="1">
      <c r="A12" s="21">
        <v>11</v>
      </c>
      <c r="B12" s="21">
        <v>10</v>
      </c>
      <c r="C12" s="21" t="s">
        <v>99</v>
      </c>
      <c r="D12" s="21" t="s">
        <v>100</v>
      </c>
      <c r="E12" s="21">
        <v>6</v>
      </c>
      <c r="F12" s="21">
        <v>609260</v>
      </c>
      <c r="G12" s="42">
        <v>-0.19900000000000001</v>
      </c>
      <c r="H12" s="21" t="s">
        <v>102</v>
      </c>
      <c r="I12" s="39" t="str">
        <f ca="1">IFERROR(__xludf.DUMMYFUNCTION("IF(SUM(COUNTIF(artists!A:A, SPLIT(D12, "",""))) &gt; 0, ""UA"", 0)"),"UA")</f>
        <v>UA</v>
      </c>
      <c r="J12" s="40">
        <f ca="1">IFERROR(__xludf.DUMMYFUNCTION("IF(SUM(COUNTIF(artists!C:C, SPLIT(D12, "",""))) &gt; 0, ""RU"", 0)"),0)</f>
        <v>0</v>
      </c>
      <c r="K12" s="39">
        <f ca="1">IFERROR(__xludf.DUMMYFUNCTION("IF(SUM(COUNTIF(artists!E:E, SPLIT(D12, "",""))) &gt; 0, ""OTHER"", 0)"),0)</f>
        <v>0</v>
      </c>
    </row>
    <row r="13" spans="1:11" ht="14.25" customHeight="1">
      <c r="A13" s="21">
        <v>12</v>
      </c>
      <c r="B13" s="21">
        <v>8</v>
      </c>
      <c r="C13" s="21" t="s">
        <v>221</v>
      </c>
      <c r="D13" s="21" t="s">
        <v>222</v>
      </c>
      <c r="E13" s="21">
        <v>6</v>
      </c>
      <c r="F13" s="21">
        <v>600657</v>
      </c>
      <c r="G13" s="42">
        <v>-0.27700000000000002</v>
      </c>
      <c r="H13" s="21" t="s">
        <v>224</v>
      </c>
      <c r="I13" s="39">
        <f ca="1">IFERROR(__xludf.DUMMYFUNCTION("IF(SUM(COUNTIF(artists!A:A, SPLIT(D13, "",""))) &gt; 0, ""UA"", 0)"),0)</f>
        <v>0</v>
      </c>
      <c r="J13" s="40">
        <f ca="1">IFERROR(__xludf.DUMMYFUNCTION("IF(SUM(COUNTIF(artists!C:C, SPLIT(D13, "",""))) &gt; 0, ""RU"", 0)"),0)</f>
        <v>0</v>
      </c>
      <c r="K13" s="39" t="str">
        <f ca="1">IFERROR(__xludf.DUMMYFUNCTION("IF(SUM(COUNTIF(artists!E:E, SPLIT(D13, "",""))) &gt; 0, ""OTHER"", 0)"),"OTHER")</f>
        <v>OTHER</v>
      </c>
    </row>
    <row r="14" spans="1:11" ht="14.25" customHeight="1">
      <c r="A14" s="21">
        <v>13</v>
      </c>
      <c r="B14" s="21">
        <v>9</v>
      </c>
      <c r="C14" s="21" t="s">
        <v>645</v>
      </c>
      <c r="D14" s="21" t="s">
        <v>352</v>
      </c>
      <c r="E14" s="21">
        <v>49</v>
      </c>
      <c r="F14" s="21">
        <v>594105</v>
      </c>
      <c r="G14" s="43">
        <v>-0.23</v>
      </c>
      <c r="H14" s="21" t="s">
        <v>647</v>
      </c>
      <c r="I14" s="39" t="str">
        <f ca="1">IFERROR(__xludf.DUMMYFUNCTION("IF(SUM(COUNTIF(artists!A:A, SPLIT(D14, "",""))) &gt; 0, ""UA"", 0)"),"UA")</f>
        <v>UA</v>
      </c>
      <c r="J14" s="40">
        <f ca="1">IFERROR(__xludf.DUMMYFUNCTION("IF(SUM(COUNTIF(artists!C:C, SPLIT(D14, "",""))) &gt; 0, ""RU"", 0)"),0)</f>
        <v>0</v>
      </c>
      <c r="K14" s="39">
        <f ca="1">IFERROR(__xludf.DUMMYFUNCTION("IF(SUM(COUNTIF(artists!E:E, SPLIT(D14, "",""))) &gt; 0, ""OTHER"", 0)"),0)</f>
        <v>0</v>
      </c>
    </row>
    <row r="15" spans="1:11" ht="14.25" customHeight="1">
      <c r="A15" s="21">
        <v>14</v>
      </c>
      <c r="B15" s="21">
        <v>16</v>
      </c>
      <c r="C15" s="21" t="s">
        <v>132</v>
      </c>
      <c r="D15" s="21" t="s">
        <v>133</v>
      </c>
      <c r="E15" s="21">
        <v>36</v>
      </c>
      <c r="F15" s="21">
        <v>540917</v>
      </c>
      <c r="G15" s="42">
        <v>-0.17799999999999999</v>
      </c>
      <c r="H15" s="21" t="s">
        <v>135</v>
      </c>
      <c r="I15" s="39" t="str">
        <f ca="1">IFERROR(__xludf.DUMMYFUNCTION("IF(SUM(COUNTIF(artists!A:A, SPLIT(D15, "",""))) &gt; 0, ""UA"", 0)"),"UA")</f>
        <v>UA</v>
      </c>
      <c r="J15" s="40">
        <f ca="1">IFERROR(__xludf.DUMMYFUNCTION("IF(SUM(COUNTIF(artists!C:C, SPLIT(D15, "",""))) &gt; 0, ""RU"", 0)"),0)</f>
        <v>0</v>
      </c>
      <c r="K15" s="39">
        <f ca="1">IFERROR(__xludf.DUMMYFUNCTION("IF(SUM(COUNTIF(artists!E:E, SPLIT(D15, "",""))) &gt; 0, ""OTHER"", 0)"),0)</f>
        <v>0</v>
      </c>
    </row>
    <row r="16" spans="1:11" ht="14.25" customHeight="1">
      <c r="A16" s="21">
        <v>15</v>
      </c>
      <c r="B16" s="21">
        <v>17</v>
      </c>
      <c r="C16" s="21" t="s">
        <v>168</v>
      </c>
      <c r="D16" s="21" t="s">
        <v>137</v>
      </c>
      <c r="E16" s="21">
        <v>27</v>
      </c>
      <c r="F16" s="21">
        <v>537784</v>
      </c>
      <c r="G16" s="43">
        <v>-0.11</v>
      </c>
      <c r="H16" s="21" t="s">
        <v>170</v>
      </c>
      <c r="I16" s="39" t="str">
        <f ca="1">IFERROR(__xludf.DUMMYFUNCTION("IF(SUM(COUNTIF(artists!A:A, SPLIT(D16, "",""))) &gt; 0, ""UA"", 0)"),"UA")</f>
        <v>UA</v>
      </c>
      <c r="J16" s="40">
        <f ca="1">IFERROR(__xludf.DUMMYFUNCTION("IF(SUM(COUNTIF(artists!C:C, SPLIT(D16, "",""))) &gt; 0, ""RU"", 0)"),0)</f>
        <v>0</v>
      </c>
      <c r="K16" s="39">
        <f ca="1">IFERROR(__xludf.DUMMYFUNCTION("IF(SUM(COUNTIF(artists!E:E, SPLIT(D16, "",""))) &gt; 0, ""OTHER"", 0)"),0)</f>
        <v>0</v>
      </c>
    </row>
    <row r="17" spans="1:11" ht="14.25" customHeight="1">
      <c r="A17" s="21">
        <v>16</v>
      </c>
      <c r="B17" s="21">
        <v>12</v>
      </c>
      <c r="C17" s="21" t="s">
        <v>115</v>
      </c>
      <c r="D17" s="21" t="s">
        <v>116</v>
      </c>
      <c r="E17" s="21">
        <v>26</v>
      </c>
      <c r="F17" s="21">
        <v>536020</v>
      </c>
      <c r="G17" s="42">
        <v>-0.245</v>
      </c>
      <c r="H17" s="21" t="s">
        <v>117</v>
      </c>
      <c r="I17" s="39" t="str">
        <f ca="1">IFERROR(__xludf.DUMMYFUNCTION("IF(SUM(COUNTIF(artists!A:A, SPLIT(D17, "",""))) &gt; 0, ""UA"", 0)"),"UA")</f>
        <v>UA</v>
      </c>
      <c r="J17" s="40">
        <f ca="1">IFERROR(__xludf.DUMMYFUNCTION("IF(SUM(COUNTIF(artists!C:C, SPLIT(D17, "",""))) &gt; 0, ""RU"", 0)"),0)</f>
        <v>0</v>
      </c>
      <c r="K17" s="39">
        <f ca="1">IFERROR(__xludf.DUMMYFUNCTION("IF(SUM(COUNTIF(artists!E:E, SPLIT(D17, "",""))) &gt; 0, ""OTHER"", 0)"),0)</f>
        <v>0</v>
      </c>
    </row>
    <row r="18" spans="1:11" ht="14.25" customHeight="1">
      <c r="A18" s="21">
        <v>17</v>
      </c>
      <c r="B18" s="21">
        <v>14</v>
      </c>
      <c r="C18" s="21" t="s">
        <v>145</v>
      </c>
      <c r="D18" s="21" t="s">
        <v>146</v>
      </c>
      <c r="E18" s="21">
        <v>30</v>
      </c>
      <c r="F18" s="21">
        <v>535851</v>
      </c>
      <c r="G18" s="42">
        <v>-0.215</v>
      </c>
      <c r="H18" s="21" t="s">
        <v>148</v>
      </c>
      <c r="I18" s="39" t="str">
        <f ca="1">IFERROR(__xludf.DUMMYFUNCTION("IF(SUM(COUNTIF(artists!A:A, SPLIT(D18, "",""))) &gt; 0, ""UA"", 0)"),"UA")</f>
        <v>UA</v>
      </c>
      <c r="J18" s="40">
        <f ca="1">IFERROR(__xludf.DUMMYFUNCTION("IF(SUM(COUNTIF(artists!C:C, SPLIT(D18, "",""))) &gt; 0, ""RU"", 0)"),0)</f>
        <v>0</v>
      </c>
      <c r="K18" s="39">
        <f ca="1">IFERROR(__xludf.DUMMYFUNCTION("IF(SUM(COUNTIF(artists!E:E, SPLIT(D18, "",""))) &gt; 0, ""OTHER"", 0)"),0)</f>
        <v>0</v>
      </c>
    </row>
    <row r="19" spans="1:11" ht="14.25" customHeight="1">
      <c r="A19" s="21">
        <v>18</v>
      </c>
      <c r="B19" s="21">
        <v>21</v>
      </c>
      <c r="C19" s="21" t="s">
        <v>149</v>
      </c>
      <c r="D19" s="21" t="s">
        <v>150</v>
      </c>
      <c r="E19" s="21">
        <v>29</v>
      </c>
      <c r="F19" s="21">
        <v>470456</v>
      </c>
      <c r="G19" s="42">
        <v>-0.11600000000000001</v>
      </c>
      <c r="H19" s="21" t="s">
        <v>152</v>
      </c>
      <c r="I19" s="39" t="str">
        <f ca="1">IFERROR(__xludf.DUMMYFUNCTION("IF(SUM(COUNTIF(artists!A:A, SPLIT(D19, "",""))) &gt; 0, ""UA"", 0)"),"UA")</f>
        <v>UA</v>
      </c>
      <c r="J19" s="40">
        <f ca="1">IFERROR(__xludf.DUMMYFUNCTION("IF(SUM(COUNTIF(artists!C:C, SPLIT(D19, "",""))) &gt; 0, ""RU"", 0)"),0)</f>
        <v>0</v>
      </c>
      <c r="K19" s="39">
        <f ca="1">IFERROR(__xludf.DUMMYFUNCTION("IF(SUM(COUNTIF(artists!E:E, SPLIT(D19, "",""))) &gt; 0, ""OTHER"", 0)"),0)</f>
        <v>0</v>
      </c>
    </row>
    <row r="20" spans="1:11" ht="14.25" customHeight="1">
      <c r="A20" s="21">
        <v>19</v>
      </c>
      <c r="B20" s="21">
        <v>18</v>
      </c>
      <c r="C20" s="21" t="s">
        <v>171</v>
      </c>
      <c r="D20" s="21" t="s">
        <v>172</v>
      </c>
      <c r="E20" s="21">
        <v>31</v>
      </c>
      <c r="F20" s="21">
        <v>464893</v>
      </c>
      <c r="G20" s="42">
        <v>-0.221</v>
      </c>
      <c r="H20" s="21" t="s">
        <v>174</v>
      </c>
      <c r="I20" s="39">
        <f ca="1">IFERROR(__xludf.DUMMYFUNCTION("IF(SUM(COUNTIF(artists!A:A, SPLIT(D20, "",""))) &gt; 0, ""UA"", 0)"),0)</f>
        <v>0</v>
      </c>
      <c r="J20" s="40" t="str">
        <f ca="1">IFERROR(__xludf.DUMMYFUNCTION("IF(SUM(COUNTIF(artists!C:C, SPLIT(D20, "",""))) &gt; 0, ""RU"", 0)"),"RU")</f>
        <v>RU</v>
      </c>
      <c r="K20" s="39">
        <f ca="1">IFERROR(__xludf.DUMMYFUNCTION("IF(SUM(COUNTIF(artists!E:E, SPLIT(D20, "",""))) &gt; 0, ""OTHER"", 0)"),0)</f>
        <v>0</v>
      </c>
    </row>
    <row r="21" spans="1:11" ht="14.25" customHeight="1">
      <c r="A21" s="21">
        <v>20</v>
      </c>
      <c r="B21" s="21">
        <v>20</v>
      </c>
      <c r="C21" s="21" t="s">
        <v>202</v>
      </c>
      <c r="D21" s="21" t="s">
        <v>835</v>
      </c>
      <c r="E21" s="21">
        <v>26</v>
      </c>
      <c r="F21" s="21">
        <v>437182</v>
      </c>
      <c r="G21" s="42">
        <v>-0.20200000000000001</v>
      </c>
      <c r="H21" s="21" t="s">
        <v>204</v>
      </c>
      <c r="I21" s="39" t="str">
        <f ca="1">IFERROR(__xludf.DUMMYFUNCTION("IF(SUM(COUNTIF(artists!A:A, SPLIT(D21, "",""))) &gt; 0, ""UA"", 0)"),"UA")</f>
        <v>UA</v>
      </c>
      <c r="J21" s="40">
        <f ca="1">IFERROR(__xludf.DUMMYFUNCTION("IF(SUM(COUNTIF(artists!C:C, SPLIT(D21, "",""))) &gt; 0, ""RU"", 0)"),0)</f>
        <v>0</v>
      </c>
      <c r="K21" s="39">
        <f ca="1">IFERROR(__xludf.DUMMYFUNCTION("IF(SUM(COUNTIF(artists!E:E, SPLIT(D21, "",""))) &gt; 0, ""OTHER"", 0)"),0)</f>
        <v>0</v>
      </c>
    </row>
    <row r="22" spans="1:11" ht="14.25" customHeight="1">
      <c r="A22" s="21">
        <v>21</v>
      </c>
      <c r="B22" s="21">
        <v>26</v>
      </c>
      <c r="C22" s="21" t="s">
        <v>160</v>
      </c>
      <c r="D22" s="21" t="s">
        <v>161</v>
      </c>
      <c r="E22" s="21">
        <v>30</v>
      </c>
      <c r="F22" s="21">
        <v>394845</v>
      </c>
      <c r="G22" s="42">
        <v>-0.107</v>
      </c>
      <c r="H22" s="21" t="s">
        <v>163</v>
      </c>
      <c r="I22" s="39" t="str">
        <f ca="1">IFERROR(__xludf.DUMMYFUNCTION("IF(SUM(COUNTIF(artists!A:A, SPLIT(D22, "",""))) &gt; 0, ""UA"", 0)"),"UA")</f>
        <v>UA</v>
      </c>
      <c r="J22" s="40">
        <f ca="1">IFERROR(__xludf.DUMMYFUNCTION("IF(SUM(COUNTIF(artists!C:C, SPLIT(D22, "",""))) &gt; 0, ""RU"", 0)"),0)</f>
        <v>0</v>
      </c>
      <c r="K22" s="39">
        <f ca="1">IFERROR(__xludf.DUMMYFUNCTION("IF(SUM(COUNTIF(artists!E:E, SPLIT(D22, "",""))) &gt; 0, ""OTHER"", 0)"),0)</f>
        <v>0</v>
      </c>
    </row>
    <row r="23" spans="1:11" ht="14.25" customHeight="1">
      <c r="A23" s="21">
        <v>22</v>
      </c>
      <c r="C23" s="21" t="s">
        <v>290</v>
      </c>
      <c r="D23" s="21" t="s">
        <v>291</v>
      </c>
      <c r="E23" s="21">
        <v>1</v>
      </c>
      <c r="F23" s="21">
        <v>390816</v>
      </c>
      <c r="H23" s="21" t="s">
        <v>293</v>
      </c>
      <c r="I23" s="39" t="str">
        <f ca="1">IFERROR(__xludf.DUMMYFUNCTION("IF(SUM(COUNTIF(artists!A:A, SPLIT(D23, "",""))) &gt; 0, ""UA"", 0)"),"UA")</f>
        <v>UA</v>
      </c>
      <c r="J23" s="40">
        <f ca="1">IFERROR(__xludf.DUMMYFUNCTION("IF(SUM(COUNTIF(artists!C:C, SPLIT(D23, "",""))) &gt; 0, ""RU"", 0)"),0)</f>
        <v>0</v>
      </c>
      <c r="K23" s="39">
        <f ca="1">IFERROR(__xludf.DUMMYFUNCTION("IF(SUM(COUNTIF(artists!E:E, SPLIT(D23, "",""))) &gt; 0, ""OTHER"", 0)"),0)</f>
        <v>0</v>
      </c>
    </row>
    <row r="24" spans="1:11" ht="14.25" customHeight="1">
      <c r="A24" s="21">
        <v>23</v>
      </c>
      <c r="B24" s="21">
        <v>22</v>
      </c>
      <c r="C24" s="21" t="s">
        <v>175</v>
      </c>
      <c r="D24" s="21" t="s">
        <v>89</v>
      </c>
      <c r="E24" s="21">
        <v>36</v>
      </c>
      <c r="F24" s="21">
        <v>380037</v>
      </c>
      <c r="G24" s="42">
        <v>-0.246</v>
      </c>
      <c r="H24" s="21" t="s">
        <v>177</v>
      </c>
      <c r="I24" s="39" t="str">
        <f ca="1">IFERROR(__xludf.DUMMYFUNCTION("IF(SUM(COUNTIF(artists!A:A, SPLIT(D24, "",""))) &gt; 0, ""UA"", 0)"),"UA")</f>
        <v>UA</v>
      </c>
      <c r="J24" s="40">
        <f ca="1">IFERROR(__xludf.DUMMYFUNCTION("IF(SUM(COUNTIF(artists!C:C, SPLIT(D24, "",""))) &gt; 0, ""RU"", 0)"),0)</f>
        <v>0</v>
      </c>
      <c r="K24" s="39">
        <f ca="1">IFERROR(__xludf.DUMMYFUNCTION("IF(SUM(COUNTIF(artists!E:E, SPLIT(D24, "",""))) &gt; 0, ""OTHER"", 0)"),0)</f>
        <v>0</v>
      </c>
    </row>
    <row r="25" spans="1:11" ht="14.25" customHeight="1">
      <c r="A25" s="21">
        <v>24</v>
      </c>
      <c r="B25" s="21">
        <v>24</v>
      </c>
      <c r="C25" s="21" t="s">
        <v>194</v>
      </c>
      <c r="D25" s="21" t="s">
        <v>195</v>
      </c>
      <c r="E25" s="21">
        <v>39</v>
      </c>
      <c r="F25" s="21">
        <v>378125</v>
      </c>
      <c r="G25" s="42">
        <v>-0.19400000000000001</v>
      </c>
      <c r="H25" s="21" t="s">
        <v>197</v>
      </c>
      <c r="I25" s="39" t="str">
        <f ca="1">IFERROR(__xludf.DUMMYFUNCTION("IF(SUM(COUNTIF(artists!A:A, SPLIT(D25, "",""))) &gt; 0, ""UA"", 0)"),"UA")</f>
        <v>UA</v>
      </c>
      <c r="J25" s="40">
        <f ca="1">IFERROR(__xludf.DUMMYFUNCTION("IF(SUM(COUNTIF(artists!C:C, SPLIT(D25, "",""))) &gt; 0, ""RU"", 0)"),0)</f>
        <v>0</v>
      </c>
      <c r="K25" s="39">
        <f ca="1">IFERROR(__xludf.DUMMYFUNCTION("IF(SUM(COUNTIF(artists!E:E, SPLIT(D25, "",""))) &gt; 0, ""OTHER"", 0)"),0)</f>
        <v>0</v>
      </c>
    </row>
    <row r="26" spans="1:11" ht="14.25" customHeight="1">
      <c r="A26" s="21">
        <v>25</v>
      </c>
      <c r="B26" s="21">
        <v>25</v>
      </c>
      <c r="C26" s="21" t="s">
        <v>186</v>
      </c>
      <c r="D26" s="21" t="s">
        <v>187</v>
      </c>
      <c r="E26" s="21">
        <v>40</v>
      </c>
      <c r="F26" s="21">
        <v>372612</v>
      </c>
      <c r="G26" s="42">
        <v>-0.17399999999999999</v>
      </c>
      <c r="H26" s="21" t="s">
        <v>189</v>
      </c>
      <c r="I26" s="39" t="str">
        <f ca="1">IFERROR(__xludf.DUMMYFUNCTION("IF(SUM(COUNTIF(artists!A:A, SPLIT(D26, "",""))) &gt; 0, ""UA"", 0)"),"UA")</f>
        <v>UA</v>
      </c>
      <c r="J26" s="40">
        <f ca="1">IFERROR(__xludf.DUMMYFUNCTION("IF(SUM(COUNTIF(artists!C:C, SPLIT(D26, "",""))) &gt; 0, ""RU"", 0)"),0)</f>
        <v>0</v>
      </c>
      <c r="K26" s="39">
        <f ca="1">IFERROR(__xludf.DUMMYFUNCTION("IF(SUM(COUNTIF(artists!E:E, SPLIT(D26, "",""))) &gt; 0, ""OTHER"", 0)"),0)</f>
        <v>0</v>
      </c>
    </row>
    <row r="27" spans="1:11" ht="14.25" customHeight="1">
      <c r="A27" s="21">
        <v>26</v>
      </c>
      <c r="B27" s="21">
        <v>23</v>
      </c>
      <c r="C27" s="21" t="s">
        <v>237</v>
      </c>
      <c r="D27" s="21" t="s">
        <v>238</v>
      </c>
      <c r="E27" s="21">
        <v>5</v>
      </c>
      <c r="F27" s="21">
        <v>348284</v>
      </c>
      <c r="G27" s="42">
        <v>-0.307</v>
      </c>
      <c r="H27" s="21" t="s">
        <v>240</v>
      </c>
      <c r="I27" s="39" t="str">
        <f ca="1">IFERROR(__xludf.DUMMYFUNCTION("IF(SUM(COUNTIF(artists!A:A, SPLIT(D27, "",""))) &gt; 0, ""UA"", 0)"),"UA")</f>
        <v>UA</v>
      </c>
      <c r="J27" s="40">
        <f ca="1">IFERROR(__xludf.DUMMYFUNCTION("IF(SUM(COUNTIF(artists!C:C, SPLIT(D27, "",""))) &gt; 0, ""RU"", 0)"),0)</f>
        <v>0</v>
      </c>
      <c r="K27" s="39">
        <f ca="1">IFERROR(__xludf.DUMMYFUNCTION("IF(SUM(COUNTIF(artists!E:E, SPLIT(D27, "",""))) &gt; 0, ""OTHER"", 0)"),0)</f>
        <v>0</v>
      </c>
    </row>
    <row r="28" spans="1:11" ht="14.25" customHeight="1">
      <c r="A28" s="21">
        <v>27</v>
      </c>
      <c r="B28" s="21">
        <v>30</v>
      </c>
      <c r="C28" s="21" t="s">
        <v>277</v>
      </c>
      <c r="D28" s="21" t="s">
        <v>125</v>
      </c>
      <c r="E28" s="21">
        <v>3</v>
      </c>
      <c r="F28" s="21">
        <v>338372</v>
      </c>
      <c r="G28" s="42">
        <v>-9.5000000000000001E-2</v>
      </c>
      <c r="H28" s="21" t="s">
        <v>279</v>
      </c>
      <c r="I28" s="39">
        <f ca="1">IFERROR(__xludf.DUMMYFUNCTION("IF(SUM(COUNTIF(artists!A:A, SPLIT(D28, "",""))) &gt; 0, ""UA"", 0)"),0)</f>
        <v>0</v>
      </c>
      <c r="J28" s="40" t="str">
        <f ca="1">IFERROR(__xludf.DUMMYFUNCTION("IF(SUM(COUNTIF(artists!C:C, SPLIT(D28, "",""))) &gt; 0, ""RU"", 0)"),"RU")</f>
        <v>RU</v>
      </c>
      <c r="K28" s="39">
        <f ca="1">IFERROR(__xludf.DUMMYFUNCTION("IF(SUM(COUNTIF(artists!E:E, SPLIT(D28, "",""))) &gt; 0, ""OTHER"", 0)"),0)</f>
        <v>0</v>
      </c>
    </row>
    <row r="29" spans="1:11" ht="14.25" customHeight="1">
      <c r="A29" s="21">
        <v>28</v>
      </c>
      <c r="B29" s="21">
        <v>19</v>
      </c>
      <c r="C29" s="21" t="s">
        <v>182</v>
      </c>
      <c r="D29" s="21" t="s">
        <v>183</v>
      </c>
      <c r="E29" s="21">
        <v>32</v>
      </c>
      <c r="F29" s="21">
        <v>325207</v>
      </c>
      <c r="G29" s="42">
        <v>-0.433</v>
      </c>
      <c r="H29" s="21" t="s">
        <v>185</v>
      </c>
      <c r="I29" s="39" t="str">
        <f ca="1">IFERROR(__xludf.DUMMYFUNCTION("IF(SUM(COUNTIF(artists!A:A, SPLIT(D29, "",""))) &gt; 0, ""UA"", 0)"),"UA")</f>
        <v>UA</v>
      </c>
      <c r="J29" s="40">
        <f ca="1">IFERROR(__xludf.DUMMYFUNCTION("IF(SUM(COUNTIF(artists!C:C, SPLIT(D29, "",""))) &gt; 0, ""RU"", 0)"),0)</f>
        <v>0</v>
      </c>
      <c r="K29" s="39">
        <f ca="1">IFERROR(__xludf.DUMMYFUNCTION("IF(SUM(COUNTIF(artists!E:E, SPLIT(D29, "",""))) &gt; 0, ""OTHER"", 0)"),0)</f>
        <v>0</v>
      </c>
    </row>
    <row r="30" spans="1:11" ht="14.25" customHeight="1">
      <c r="A30" s="21">
        <v>29</v>
      </c>
      <c r="B30" s="21">
        <v>28</v>
      </c>
      <c r="C30" s="21" t="s">
        <v>294</v>
      </c>
      <c r="D30" s="21" t="s">
        <v>295</v>
      </c>
      <c r="E30" s="21">
        <v>8</v>
      </c>
      <c r="F30" s="21">
        <v>320726</v>
      </c>
      <c r="G30" s="42">
        <v>-0.23799999999999999</v>
      </c>
      <c r="H30" s="21" t="s">
        <v>297</v>
      </c>
      <c r="I30" s="39">
        <f ca="1">IFERROR(__xludf.DUMMYFUNCTION("IF(SUM(COUNTIF(artists!A:A, SPLIT(D30, "",""))) &gt; 0, ""UA"", 0)"),0)</f>
        <v>0</v>
      </c>
      <c r="J30" s="40" t="str">
        <f ca="1">IFERROR(__xludf.DUMMYFUNCTION("IF(SUM(COUNTIF(artists!C:C, SPLIT(D30, "",""))) &gt; 0, ""RU"", 0)"),"RU")</f>
        <v>RU</v>
      </c>
      <c r="K30" s="39">
        <f ca="1">IFERROR(__xludf.DUMMYFUNCTION("IF(SUM(COUNTIF(artists!E:E, SPLIT(D30, "",""))) &gt; 0, ""OTHER"", 0)"),0)</f>
        <v>0</v>
      </c>
    </row>
    <row r="31" spans="1:11" ht="14.25" customHeight="1">
      <c r="A31" s="21">
        <v>30</v>
      </c>
      <c r="B31" s="21">
        <v>37</v>
      </c>
      <c r="C31" s="21" t="s">
        <v>653</v>
      </c>
      <c r="D31" s="21" t="s">
        <v>85</v>
      </c>
      <c r="E31" s="21">
        <v>12</v>
      </c>
      <c r="F31" s="21">
        <v>320532</v>
      </c>
      <c r="G31" s="42">
        <v>-8.9999999999999993E-3</v>
      </c>
      <c r="H31" s="21" t="s">
        <v>655</v>
      </c>
      <c r="I31" s="39" t="str">
        <f ca="1">IFERROR(__xludf.DUMMYFUNCTION("IF(SUM(COUNTIF(artists!A:A, SPLIT(D31, "",""))) &gt; 0, ""UA"", 0)"),"UA")</f>
        <v>UA</v>
      </c>
      <c r="J31" s="40">
        <f ca="1">IFERROR(__xludf.DUMMYFUNCTION("IF(SUM(COUNTIF(artists!C:C, SPLIT(D31, "",""))) &gt; 0, ""RU"", 0)"),0)</f>
        <v>0</v>
      </c>
      <c r="K31" s="39">
        <f ca="1">IFERROR(__xludf.DUMMYFUNCTION("IF(SUM(COUNTIF(artists!E:E, SPLIT(D31, "",""))) &gt; 0, ""OTHER"", 0)"),0)</f>
        <v>0</v>
      </c>
    </row>
    <row r="32" spans="1:11" ht="14.25" customHeight="1">
      <c r="A32" s="21">
        <v>31</v>
      </c>
      <c r="B32" s="21">
        <v>86</v>
      </c>
      <c r="C32" s="21" t="s">
        <v>826</v>
      </c>
      <c r="D32" s="21" t="s">
        <v>827</v>
      </c>
      <c r="E32" s="21">
        <v>4</v>
      </c>
      <c r="F32" s="21">
        <v>318866</v>
      </c>
      <c r="G32" s="42">
        <v>0.63300000000000001</v>
      </c>
      <c r="H32" s="21" t="s">
        <v>829</v>
      </c>
      <c r="I32" s="39" t="str">
        <f ca="1">IFERROR(__xludf.DUMMYFUNCTION("IF(SUM(COUNTIF(artists!A:A, SPLIT(D32, "",""))) &gt; 0, ""UA"", 0)"),"UA")</f>
        <v>UA</v>
      </c>
      <c r="J32" s="40">
        <f ca="1">IFERROR(__xludf.DUMMYFUNCTION("IF(SUM(COUNTIF(artists!C:C, SPLIT(D32, "",""))) &gt; 0, ""RU"", 0)"),0)</f>
        <v>0</v>
      </c>
      <c r="K32" s="39">
        <f ca="1">IFERROR(__xludf.DUMMYFUNCTION("IF(SUM(COUNTIF(artists!E:E, SPLIT(D32, "",""))) &gt; 0, ""OTHER"", 0)"),0)</f>
        <v>0</v>
      </c>
    </row>
    <row r="33" spans="1:11" ht="14.25" customHeight="1">
      <c r="A33" s="21">
        <v>32</v>
      </c>
      <c r="B33" s="21">
        <v>29</v>
      </c>
      <c r="C33" s="21" t="s">
        <v>286</v>
      </c>
      <c r="D33" s="21" t="s">
        <v>287</v>
      </c>
      <c r="E33" s="21">
        <v>11</v>
      </c>
      <c r="F33" s="21">
        <v>318729</v>
      </c>
      <c r="G33" s="42">
        <v>-0.16700000000000001</v>
      </c>
      <c r="H33" s="21" t="s">
        <v>289</v>
      </c>
      <c r="I33" s="39">
        <f ca="1">IFERROR(__xludf.DUMMYFUNCTION("IF(SUM(COUNTIF(artists!A:A, SPLIT(D33, "",""))) &gt; 0, ""UA"", 0)"),0)</f>
        <v>0</v>
      </c>
      <c r="J33" s="40" t="str">
        <f ca="1">IFERROR(__xludf.DUMMYFUNCTION("IF(SUM(COUNTIF(artists!C:C, SPLIT(D33, "",""))) &gt; 0, ""RU"", 0)"),"RU")</f>
        <v>RU</v>
      </c>
      <c r="K33" s="39">
        <f ca="1">IFERROR(__xludf.DUMMYFUNCTION("IF(SUM(COUNTIF(artists!E:E, SPLIT(D33, "",""))) &gt; 0, ""OTHER"", 0)"),0)</f>
        <v>0</v>
      </c>
    </row>
    <row r="34" spans="1:11" ht="14.25" customHeight="1">
      <c r="A34" s="21">
        <v>33</v>
      </c>
      <c r="B34" s="21">
        <v>27</v>
      </c>
      <c r="C34" s="21" t="s">
        <v>261</v>
      </c>
      <c r="D34" s="21" t="s">
        <v>262</v>
      </c>
      <c r="E34" s="21">
        <v>6</v>
      </c>
      <c r="F34" s="21">
        <v>313955</v>
      </c>
      <c r="G34" s="42">
        <v>-0.28699999999999998</v>
      </c>
      <c r="H34" s="21" t="s">
        <v>263</v>
      </c>
      <c r="I34" s="39" t="str">
        <f ca="1">IFERROR(__xludf.DUMMYFUNCTION("IF(SUM(COUNTIF(artists!A:A, SPLIT(D34, "",""))) &gt; 0, ""UA"", 0)"),"UA")</f>
        <v>UA</v>
      </c>
      <c r="J34" s="40">
        <f ca="1">IFERROR(__xludf.DUMMYFUNCTION("IF(SUM(COUNTIF(artists!C:C, SPLIT(D34, "",""))) &gt; 0, ""RU"", 0)"),0)</f>
        <v>0</v>
      </c>
      <c r="K34" s="39">
        <f ca="1">IFERROR(__xludf.DUMMYFUNCTION("IF(SUM(COUNTIF(artists!E:E, SPLIT(D34, "",""))) &gt; 0, ""OTHER"", 0)"),0)</f>
        <v>0</v>
      </c>
    </row>
    <row r="35" spans="1:11" ht="14.25" customHeight="1">
      <c r="A35" s="21">
        <v>34</v>
      </c>
      <c r="B35" s="21">
        <v>32</v>
      </c>
      <c r="C35" s="21" t="s">
        <v>178</v>
      </c>
      <c r="D35" s="21" t="s">
        <v>179</v>
      </c>
      <c r="E35" s="21">
        <v>40</v>
      </c>
      <c r="F35" s="21">
        <v>292137</v>
      </c>
      <c r="G35" s="42">
        <v>-0.20200000000000001</v>
      </c>
      <c r="H35" s="21" t="s">
        <v>181</v>
      </c>
      <c r="I35" s="39" t="str">
        <f ca="1">IFERROR(__xludf.DUMMYFUNCTION("IF(SUM(COUNTIF(artists!A:A, SPLIT(D35, "",""))) &gt; 0, ""UA"", 0)"),"UA")</f>
        <v>UA</v>
      </c>
      <c r="J35" s="40">
        <f ca="1">IFERROR(__xludf.DUMMYFUNCTION("IF(SUM(COUNTIF(artists!C:C, SPLIT(D35, "",""))) &gt; 0, ""RU"", 0)"),0)</f>
        <v>0</v>
      </c>
      <c r="K35" s="39">
        <f ca="1">IFERROR(__xludf.DUMMYFUNCTION("IF(SUM(COUNTIF(artists!E:E, SPLIT(D35, "",""))) &gt; 0, ""OTHER"", 0)"),0)</f>
        <v>0</v>
      </c>
    </row>
    <row r="36" spans="1:11" ht="14.25" customHeight="1">
      <c r="A36" s="21">
        <v>35</v>
      </c>
      <c r="B36" s="21">
        <v>34</v>
      </c>
      <c r="C36" s="21" t="s">
        <v>198</v>
      </c>
      <c r="D36" s="21" t="s">
        <v>199</v>
      </c>
      <c r="E36" s="21">
        <v>17</v>
      </c>
      <c r="F36" s="21">
        <v>289727</v>
      </c>
      <c r="G36" s="42">
        <v>-0.16800000000000001</v>
      </c>
      <c r="H36" s="21" t="s">
        <v>201</v>
      </c>
      <c r="I36" s="39" t="str">
        <f ca="1">IFERROR(__xludf.DUMMYFUNCTION("IF(SUM(COUNTIF(artists!A:A, SPLIT(D36, "",""))) &gt; 0, ""UA"", 0)"),"UA")</f>
        <v>UA</v>
      </c>
      <c r="J36" s="40">
        <f ca="1">IFERROR(__xludf.DUMMYFUNCTION("IF(SUM(COUNTIF(artists!C:C, SPLIT(D36, "",""))) &gt; 0, ""RU"", 0)"),0)</f>
        <v>0</v>
      </c>
      <c r="K36" s="39">
        <f ca="1">IFERROR(__xludf.DUMMYFUNCTION("IF(SUM(COUNTIF(artists!E:E, SPLIT(D36, "",""))) &gt; 0, ""OTHER"", 0)"),0)</f>
        <v>0</v>
      </c>
    </row>
    <row r="37" spans="1:11" ht="14.25" customHeight="1">
      <c r="A37" s="21">
        <v>36</v>
      </c>
      <c r="C37" s="21" t="s">
        <v>836</v>
      </c>
      <c r="D37" s="21" t="s">
        <v>837</v>
      </c>
      <c r="E37" s="21">
        <v>3</v>
      </c>
      <c r="F37" s="21">
        <v>285242</v>
      </c>
      <c r="H37" s="21" t="s">
        <v>838</v>
      </c>
      <c r="I37" s="39" t="str">
        <f ca="1">IFERROR(__xludf.DUMMYFUNCTION("IF(SUM(COUNTIF(artists!A:A, SPLIT(D37, "",""))) &gt; 0, ""UA"", 0)"),"UA")</f>
        <v>UA</v>
      </c>
      <c r="J37" s="40">
        <f ca="1">IFERROR(__xludf.DUMMYFUNCTION("IF(SUM(COUNTIF(artists!C:C, SPLIT(D37, "",""))) &gt; 0, ""RU"", 0)"),0)</f>
        <v>0</v>
      </c>
      <c r="K37" s="39">
        <f ca="1">IFERROR(__xludf.DUMMYFUNCTION("IF(SUM(COUNTIF(artists!E:E, SPLIT(D37, "",""))) &gt; 0, ""OTHER"", 0)"),0)</f>
        <v>0</v>
      </c>
    </row>
    <row r="38" spans="1:11" ht="14.25" customHeight="1">
      <c r="A38" s="21">
        <v>37</v>
      </c>
      <c r="B38" s="21">
        <v>38</v>
      </c>
      <c r="C38" s="21" t="s">
        <v>209</v>
      </c>
      <c r="D38" s="21" t="s">
        <v>210</v>
      </c>
      <c r="E38" s="21">
        <v>29</v>
      </c>
      <c r="F38" s="21">
        <v>280163</v>
      </c>
      <c r="G38" s="42">
        <v>-0.13100000000000001</v>
      </c>
      <c r="H38" s="21" t="s">
        <v>212</v>
      </c>
      <c r="I38" s="39" t="str">
        <f ca="1">IFERROR(__xludf.DUMMYFUNCTION("IF(SUM(COUNTIF(artists!A:A, SPLIT(D38, "",""))) &gt; 0, ""UA"", 0)"),"UA")</f>
        <v>UA</v>
      </c>
      <c r="J38" s="40">
        <f ca="1">IFERROR(__xludf.DUMMYFUNCTION("IF(SUM(COUNTIF(artists!C:C, SPLIT(D38, "",""))) &gt; 0, ""RU"", 0)"),0)</f>
        <v>0</v>
      </c>
      <c r="K38" s="39">
        <f ca="1">IFERROR(__xludf.DUMMYFUNCTION("IF(SUM(COUNTIF(artists!E:E, SPLIT(D38, "",""))) &gt; 0, ""OTHER"", 0)"),0)</f>
        <v>0</v>
      </c>
    </row>
    <row r="39" spans="1:11" ht="14.25" customHeight="1">
      <c r="A39" s="21">
        <v>38</v>
      </c>
      <c r="B39" s="21">
        <v>96</v>
      </c>
      <c r="C39" s="21" t="s">
        <v>839</v>
      </c>
      <c r="D39" s="21" t="s">
        <v>837</v>
      </c>
      <c r="E39" s="21">
        <v>17</v>
      </c>
      <c r="F39" s="21">
        <v>279038</v>
      </c>
      <c r="G39" s="42">
        <v>0.51200000000000001</v>
      </c>
      <c r="H39" s="21" t="s">
        <v>840</v>
      </c>
      <c r="I39" s="39" t="str">
        <f ca="1">IFERROR(__xludf.DUMMYFUNCTION("IF(SUM(COUNTIF(artists!A:A, SPLIT(D39, "",""))) &gt; 0, ""UA"", 0)"),"UA")</f>
        <v>UA</v>
      </c>
      <c r="J39" s="40">
        <f ca="1">IFERROR(__xludf.DUMMYFUNCTION("IF(SUM(COUNTIF(artists!C:C, SPLIT(D39, "",""))) &gt; 0, ""RU"", 0)"),0)</f>
        <v>0</v>
      </c>
      <c r="K39" s="39">
        <f ca="1">IFERROR(__xludf.DUMMYFUNCTION("IF(SUM(COUNTIF(artists!E:E, SPLIT(D39, "",""))) &gt; 0, ""OTHER"", 0)"),0)</f>
        <v>0</v>
      </c>
    </row>
    <row r="40" spans="1:11" ht="14.25" customHeight="1">
      <c r="A40" s="21">
        <v>39</v>
      </c>
      <c r="B40" s="21">
        <v>40</v>
      </c>
      <c r="C40" s="21" t="s">
        <v>229</v>
      </c>
      <c r="D40" s="21" t="s">
        <v>230</v>
      </c>
      <c r="E40" s="21">
        <v>43</v>
      </c>
      <c r="F40" s="21">
        <v>271397</v>
      </c>
      <c r="G40" s="42">
        <v>-0.11799999999999999</v>
      </c>
      <c r="H40" s="21" t="s">
        <v>232</v>
      </c>
      <c r="I40" s="39" t="str">
        <f ca="1">IFERROR(__xludf.DUMMYFUNCTION("IF(SUM(COUNTIF(artists!A:A, SPLIT(D40, "",""))) &gt; 0, ""UA"", 0)"),"UA")</f>
        <v>UA</v>
      </c>
      <c r="J40" s="40">
        <f ca="1">IFERROR(__xludf.DUMMYFUNCTION("IF(SUM(COUNTIF(artists!C:C, SPLIT(D40, "",""))) &gt; 0, ""RU"", 0)"),0)</f>
        <v>0</v>
      </c>
      <c r="K40" s="39">
        <f ca="1">IFERROR(__xludf.DUMMYFUNCTION("IF(SUM(COUNTIF(artists!E:E, SPLIT(D40, "",""))) &gt; 0, ""OTHER"", 0)"),0)</f>
        <v>0</v>
      </c>
    </row>
    <row r="41" spans="1:11" ht="14.25" customHeight="1">
      <c r="A41" s="21">
        <v>40</v>
      </c>
      <c r="B41" s="21">
        <v>42</v>
      </c>
      <c r="C41" s="21" t="s">
        <v>164</v>
      </c>
      <c r="D41" s="21" t="s">
        <v>165</v>
      </c>
      <c r="E41" s="21">
        <v>3</v>
      </c>
      <c r="F41" s="21">
        <v>267225</v>
      </c>
      <c r="G41" s="42">
        <v>-0.11600000000000001</v>
      </c>
      <c r="H41" s="21" t="s">
        <v>167</v>
      </c>
      <c r="I41" s="39" t="str">
        <f ca="1">IFERROR(__xludf.DUMMYFUNCTION("IF(SUM(COUNTIF(artists!A:A, SPLIT(D41, "",""))) &gt; 0, ""UA"", 0)"),"UA")</f>
        <v>UA</v>
      </c>
      <c r="J41" s="40">
        <f ca="1">IFERROR(__xludf.DUMMYFUNCTION("IF(SUM(COUNTIF(artists!C:C, SPLIT(D41, "",""))) &gt; 0, ""RU"", 0)"),0)</f>
        <v>0</v>
      </c>
      <c r="K41" s="39">
        <f ca="1">IFERROR(__xludf.DUMMYFUNCTION("IF(SUM(COUNTIF(artists!E:E, SPLIT(D41, "",""))) &gt; 0, ""OTHER"", 0)"),0)</f>
        <v>0</v>
      </c>
    </row>
    <row r="42" spans="1:11" ht="14.25" customHeight="1">
      <c r="A42" s="21">
        <v>41</v>
      </c>
      <c r="B42" s="21">
        <v>39</v>
      </c>
      <c r="C42" s="21" t="s">
        <v>351</v>
      </c>
      <c r="D42" s="21" t="s">
        <v>352</v>
      </c>
      <c r="E42" s="21">
        <v>12</v>
      </c>
      <c r="F42" s="21">
        <v>267180</v>
      </c>
      <c r="G42" s="42">
        <v>-0.16700000000000001</v>
      </c>
      <c r="H42" s="21" t="s">
        <v>354</v>
      </c>
      <c r="I42" s="39" t="str">
        <f ca="1">IFERROR(__xludf.DUMMYFUNCTION("IF(SUM(COUNTIF(artists!A:A, SPLIT(D42, "",""))) &gt; 0, ""UA"", 0)"),"UA")</f>
        <v>UA</v>
      </c>
      <c r="J42" s="40">
        <f ca="1">IFERROR(__xludf.DUMMYFUNCTION("IF(SUM(COUNTIF(artists!C:C, SPLIT(D42, "",""))) &gt; 0, ""RU"", 0)"),0)</f>
        <v>0</v>
      </c>
      <c r="K42" s="39">
        <f ca="1">IFERROR(__xludf.DUMMYFUNCTION("IF(SUM(COUNTIF(artists!E:E, SPLIT(D42, "",""))) &gt; 0, ""OTHER"", 0)"),0)</f>
        <v>0</v>
      </c>
    </row>
    <row r="43" spans="1:11" ht="14.25" customHeight="1">
      <c r="A43" s="21">
        <v>42</v>
      </c>
      <c r="B43" s="21">
        <v>48</v>
      </c>
      <c r="C43" s="21" t="s">
        <v>841</v>
      </c>
      <c r="D43" s="21" t="s">
        <v>842</v>
      </c>
      <c r="E43" s="21">
        <v>41</v>
      </c>
      <c r="F43" s="21">
        <v>257469</v>
      </c>
      <c r="G43" s="42">
        <v>-8.1000000000000003E-2</v>
      </c>
      <c r="H43" s="21" t="s">
        <v>843</v>
      </c>
      <c r="I43" s="39">
        <f ca="1">IFERROR(__xludf.DUMMYFUNCTION("IF(SUM(COUNTIF(artists!A:A, SPLIT(D43, "",""))) &gt; 0, ""UA"", 0)"),0)</f>
        <v>0</v>
      </c>
      <c r="J43" s="40">
        <f ca="1">IFERROR(__xludf.DUMMYFUNCTION("IF(SUM(COUNTIF(artists!C:C, SPLIT(D43, "",""))) &gt; 0, ""RU"", 0)"),0)</f>
        <v>0</v>
      </c>
      <c r="K43" s="39" t="str">
        <f ca="1">IFERROR(__xludf.DUMMYFUNCTION("IF(SUM(COUNTIF(artists!E:E, SPLIT(D43, "",""))) &gt; 0, ""OTHER"", 0)"),"OTHER")</f>
        <v>OTHER</v>
      </c>
    </row>
    <row r="44" spans="1:11" ht="14.25" customHeight="1">
      <c r="A44" s="21">
        <v>43</v>
      </c>
      <c r="B44" s="21">
        <v>44</v>
      </c>
      <c r="C44" s="21" t="s">
        <v>251</v>
      </c>
      <c r="D44" s="21" t="s">
        <v>133</v>
      </c>
      <c r="E44" s="21">
        <v>21</v>
      </c>
      <c r="F44" s="21">
        <v>250620</v>
      </c>
      <c r="G44" s="42">
        <v>-0.16500000000000001</v>
      </c>
      <c r="H44" s="21" t="s">
        <v>252</v>
      </c>
      <c r="I44" s="39" t="str">
        <f ca="1">IFERROR(__xludf.DUMMYFUNCTION("IF(SUM(COUNTIF(artists!A:A, SPLIT(D44, "",""))) &gt; 0, ""UA"", 0)"),"UA")</f>
        <v>UA</v>
      </c>
      <c r="J44" s="40">
        <f ca="1">IFERROR(__xludf.DUMMYFUNCTION("IF(SUM(COUNTIF(artists!C:C, SPLIT(D44, "",""))) &gt; 0, ""RU"", 0)"),0)</f>
        <v>0</v>
      </c>
      <c r="K44" s="39">
        <f ca="1">IFERROR(__xludf.DUMMYFUNCTION("IF(SUM(COUNTIF(artists!E:E, SPLIT(D44, "",""))) &gt; 0, ""OTHER"", 0)"),0)</f>
        <v>0</v>
      </c>
    </row>
    <row r="45" spans="1:11" ht="14.25" customHeight="1">
      <c r="A45" s="21">
        <v>44</v>
      </c>
      <c r="B45" s="21">
        <v>36</v>
      </c>
      <c r="C45" s="21" t="s">
        <v>253</v>
      </c>
      <c r="D45" s="21" t="s">
        <v>89</v>
      </c>
      <c r="E45" s="21">
        <v>45</v>
      </c>
      <c r="F45" s="21">
        <v>249466</v>
      </c>
      <c r="G45" s="43">
        <v>-0.23</v>
      </c>
      <c r="H45" s="21" t="s">
        <v>254</v>
      </c>
      <c r="I45" s="39" t="str">
        <f ca="1">IFERROR(__xludf.DUMMYFUNCTION("IF(SUM(COUNTIF(artists!A:A, SPLIT(D45, "",""))) &gt; 0, ""UA"", 0)"),"UA")</f>
        <v>UA</v>
      </c>
      <c r="J45" s="40">
        <f ca="1">IFERROR(__xludf.DUMMYFUNCTION("IF(SUM(COUNTIF(artists!C:C, SPLIT(D45, "",""))) &gt; 0, ""RU"", 0)"),0)</f>
        <v>0</v>
      </c>
      <c r="K45" s="39">
        <f ca="1">IFERROR(__xludf.DUMMYFUNCTION("IF(SUM(COUNTIF(artists!E:E, SPLIT(D45, "",""))) &gt; 0, ""OTHER"", 0)"),0)</f>
        <v>0</v>
      </c>
    </row>
    <row r="46" spans="1:11" ht="14.25" customHeight="1">
      <c r="A46" s="21">
        <v>45</v>
      </c>
      <c r="B46" s="21">
        <v>46</v>
      </c>
      <c r="C46" s="21" t="s">
        <v>190</v>
      </c>
      <c r="D46" s="21" t="s">
        <v>191</v>
      </c>
      <c r="E46" s="21">
        <v>11</v>
      </c>
      <c r="F46" s="21">
        <v>248307</v>
      </c>
      <c r="G46" s="42">
        <v>-0.122</v>
      </c>
      <c r="H46" s="21" t="s">
        <v>193</v>
      </c>
      <c r="I46" s="39" t="str">
        <f ca="1">IFERROR(__xludf.DUMMYFUNCTION("IF(SUM(COUNTIF(artists!A:A, SPLIT(D46, "",""))) &gt; 0, ""UA"", 0)"),"UA")</f>
        <v>UA</v>
      </c>
      <c r="J46" s="40">
        <f ca="1">IFERROR(__xludf.DUMMYFUNCTION("IF(SUM(COUNTIF(artists!C:C, SPLIT(D46, "",""))) &gt; 0, ""RU"", 0)"),0)</f>
        <v>0</v>
      </c>
      <c r="K46" s="39">
        <f ca="1">IFERROR(__xludf.DUMMYFUNCTION("IF(SUM(COUNTIF(artists!E:E, SPLIT(D46, "",""))) &gt; 0, ""OTHER"", 0)"),0)</f>
        <v>0</v>
      </c>
    </row>
    <row r="47" spans="1:11" ht="14.25" customHeight="1">
      <c r="A47" s="21">
        <v>46</v>
      </c>
      <c r="B47" s="21">
        <v>43</v>
      </c>
      <c r="C47" s="21" t="s">
        <v>136</v>
      </c>
      <c r="D47" s="21" t="s">
        <v>137</v>
      </c>
      <c r="E47" s="21">
        <v>2</v>
      </c>
      <c r="F47" s="21">
        <v>238232</v>
      </c>
      <c r="G47" s="42">
        <v>-0.20799999999999999</v>
      </c>
      <c r="H47" s="21" t="s">
        <v>138</v>
      </c>
      <c r="I47" s="39" t="str">
        <f ca="1">IFERROR(__xludf.DUMMYFUNCTION("IF(SUM(COUNTIF(artists!A:A, SPLIT(D47, "",""))) &gt; 0, ""UA"", 0)"),"UA")</f>
        <v>UA</v>
      </c>
      <c r="J47" s="40">
        <f ca="1">IFERROR(__xludf.DUMMYFUNCTION("IF(SUM(COUNTIF(artists!C:C, SPLIT(D47, "",""))) &gt; 0, ""RU"", 0)"),0)</f>
        <v>0</v>
      </c>
      <c r="K47" s="39">
        <f ca="1">IFERROR(__xludf.DUMMYFUNCTION("IF(SUM(COUNTIF(artists!E:E, SPLIT(D47, "",""))) &gt; 0, ""OTHER"", 0)"),0)</f>
        <v>0</v>
      </c>
    </row>
    <row r="48" spans="1:11" ht="14.25" customHeight="1">
      <c r="A48" s="21">
        <v>47</v>
      </c>
      <c r="B48" s="21">
        <v>45</v>
      </c>
      <c r="C48" s="21" t="s">
        <v>247</v>
      </c>
      <c r="D48" s="21" t="s">
        <v>454</v>
      </c>
      <c r="E48" s="21">
        <v>13</v>
      </c>
      <c r="F48" s="21">
        <v>237223</v>
      </c>
      <c r="G48" s="42">
        <v>-0.20300000000000001</v>
      </c>
      <c r="H48" s="21" t="s">
        <v>250</v>
      </c>
      <c r="I48" s="39" t="str">
        <f ca="1">IFERROR(__xludf.DUMMYFUNCTION("IF(SUM(COUNTIF(artists!A:A, SPLIT(D48, "",""))) &gt; 0, ""UA"", 0)"),"UA")</f>
        <v>UA</v>
      </c>
      <c r="J48" s="40">
        <f ca="1">IFERROR(__xludf.DUMMYFUNCTION("IF(SUM(COUNTIF(artists!C:C, SPLIT(D48, "",""))) &gt; 0, ""RU"", 0)"),0)</f>
        <v>0</v>
      </c>
      <c r="K48" s="39">
        <f ca="1">IFERROR(__xludf.DUMMYFUNCTION("IF(SUM(COUNTIF(artists!E:E, SPLIT(D48, "",""))) &gt; 0, ""OTHER"", 0)"),0)</f>
        <v>0</v>
      </c>
    </row>
    <row r="49" spans="1:11" ht="14.25" customHeight="1">
      <c r="A49" s="21">
        <v>48</v>
      </c>
      <c r="B49" s="21">
        <v>62</v>
      </c>
      <c r="C49" s="21" t="s">
        <v>264</v>
      </c>
      <c r="D49" s="21" t="s">
        <v>265</v>
      </c>
      <c r="E49" s="21">
        <v>14</v>
      </c>
      <c r="F49" s="21">
        <v>228439</v>
      </c>
      <c r="G49" s="42">
        <v>-7.0000000000000001E-3</v>
      </c>
      <c r="H49" s="21" t="s">
        <v>267</v>
      </c>
      <c r="I49" s="39">
        <f ca="1">IFERROR(__xludf.DUMMYFUNCTION("IF(SUM(COUNTIF(artists!A:A, SPLIT(D49, "",""))) &gt; 0, ""UA"", 0)"),0)</f>
        <v>0</v>
      </c>
      <c r="J49" s="40">
        <f ca="1">IFERROR(__xludf.DUMMYFUNCTION("IF(SUM(COUNTIF(artists!C:C, SPLIT(D49, "",""))) &gt; 0, ""RU"", 0)"),0)</f>
        <v>0</v>
      </c>
      <c r="K49" s="39" t="str">
        <f ca="1">IFERROR(__xludf.DUMMYFUNCTION("IF(SUM(COUNTIF(artists!E:E, SPLIT(D49, "",""))) &gt; 0, ""OTHER"", 0)"),"OTHER")</f>
        <v>OTHER</v>
      </c>
    </row>
    <row r="50" spans="1:11" ht="14.25" customHeight="1">
      <c r="A50" s="21">
        <v>49</v>
      </c>
      <c r="B50" s="21">
        <v>53</v>
      </c>
      <c r="C50" s="21" t="s">
        <v>589</v>
      </c>
      <c r="D50" s="21" t="s">
        <v>590</v>
      </c>
      <c r="E50" s="21">
        <v>23</v>
      </c>
      <c r="F50" s="21">
        <v>220957</v>
      </c>
      <c r="G50" s="42">
        <v>-0.14499999999999999</v>
      </c>
      <c r="H50" s="21" t="s">
        <v>591</v>
      </c>
      <c r="I50" s="39" t="str">
        <f ca="1">IFERROR(__xludf.DUMMYFUNCTION("IF(SUM(COUNTIF(artists!A:A, SPLIT(D50, "",""))) &gt; 0, ""UA"", 0)"),"UA")</f>
        <v>UA</v>
      </c>
      <c r="J50" s="40">
        <f ca="1">IFERROR(__xludf.DUMMYFUNCTION("IF(SUM(COUNTIF(artists!C:C, SPLIT(D50, "",""))) &gt; 0, ""RU"", 0)"),0)</f>
        <v>0</v>
      </c>
      <c r="K50" s="39">
        <f ca="1">IFERROR(__xludf.DUMMYFUNCTION("IF(SUM(COUNTIF(artists!E:E, SPLIT(D50, "",""))) &gt; 0, ""OTHER"", 0)"),0)</f>
        <v>0</v>
      </c>
    </row>
    <row r="51" spans="1:11" ht="14.25" customHeight="1">
      <c r="A51" s="21">
        <v>50</v>
      </c>
      <c r="B51" s="21">
        <v>55</v>
      </c>
      <c r="C51" s="21" t="s">
        <v>844</v>
      </c>
      <c r="D51" s="21" t="s">
        <v>457</v>
      </c>
      <c r="E51" s="21">
        <v>16</v>
      </c>
      <c r="F51" s="21">
        <v>215849</v>
      </c>
      <c r="G51" s="42">
        <v>-0.14099999999999999</v>
      </c>
      <c r="H51" s="21" t="s">
        <v>459</v>
      </c>
      <c r="I51" s="39">
        <f ca="1">IFERROR(__xludf.DUMMYFUNCTION("IF(SUM(COUNTIF(artists!A:A, SPLIT(D51, "",""))) &gt; 0, ""UA"", 0)"),0)</f>
        <v>0</v>
      </c>
      <c r="J51" s="40">
        <f ca="1">IFERROR(__xludf.DUMMYFUNCTION("IF(SUM(COUNTIF(artists!C:C, SPLIT(D51, "",""))) &gt; 0, ""RU"", 0)"),0)</f>
        <v>0</v>
      </c>
      <c r="K51" s="39" t="str">
        <f ca="1">IFERROR(__xludf.DUMMYFUNCTION("IF(SUM(COUNTIF(artists!E:E, SPLIT(D51, "",""))) &gt; 0, ""OTHER"", 0)"),"OTHER")</f>
        <v>OTHER</v>
      </c>
    </row>
    <row r="52" spans="1:11" ht="14.25" customHeight="1">
      <c r="A52" s="21">
        <v>51</v>
      </c>
      <c r="B52" s="21">
        <v>59</v>
      </c>
      <c r="C52" s="21" t="s">
        <v>298</v>
      </c>
      <c r="D52" s="21" t="s">
        <v>299</v>
      </c>
      <c r="E52" s="21">
        <v>13</v>
      </c>
      <c r="F52" s="21">
        <v>215755</v>
      </c>
      <c r="G52" s="42">
        <v>-0.10199999999999999</v>
      </c>
      <c r="H52" s="21" t="s">
        <v>300</v>
      </c>
      <c r="I52" s="39">
        <f ca="1">IFERROR(__xludf.DUMMYFUNCTION("IF(SUM(COUNTIF(artists!A:A, SPLIT(D52, "",""))) &gt; 0, ""UA"", 0)"),0)</f>
        <v>0</v>
      </c>
      <c r="J52" s="40">
        <f ca="1">IFERROR(__xludf.DUMMYFUNCTION("IF(SUM(COUNTIF(artists!C:C, SPLIT(D52, "",""))) &gt; 0, ""RU"", 0)"),0)</f>
        <v>0</v>
      </c>
      <c r="K52" s="39" t="str">
        <f ca="1">IFERROR(__xludf.DUMMYFUNCTION("IF(SUM(COUNTIF(artists!E:E, SPLIT(D52, "",""))) &gt; 0, ""OTHER"", 0)"),"OTHER")</f>
        <v>OTHER</v>
      </c>
    </row>
    <row r="53" spans="1:11" ht="14.25" customHeight="1">
      <c r="A53" s="21">
        <v>52</v>
      </c>
      <c r="B53" s="21">
        <v>57</v>
      </c>
      <c r="C53" s="21" t="s">
        <v>339</v>
      </c>
      <c r="D53" s="21" t="s">
        <v>340</v>
      </c>
      <c r="E53" s="21">
        <v>12</v>
      </c>
      <c r="F53" s="21">
        <v>212645</v>
      </c>
      <c r="G53" s="42">
        <v>-0.14099999999999999</v>
      </c>
      <c r="H53" s="21" t="s">
        <v>342</v>
      </c>
      <c r="I53" s="39" t="str">
        <f ca="1">IFERROR(__xludf.DUMMYFUNCTION("IF(SUM(COUNTIF(artists!A:A, SPLIT(D53, "",""))) &gt; 0, ""UA"", 0)"),"UA")</f>
        <v>UA</v>
      </c>
      <c r="J53" s="40">
        <f ca="1">IFERROR(__xludf.DUMMYFUNCTION("IF(SUM(COUNTIF(artists!C:C, SPLIT(D53, "",""))) &gt; 0, ""RU"", 0)"),0)</f>
        <v>0</v>
      </c>
      <c r="K53" s="39">
        <f ca="1">IFERROR(__xludf.DUMMYFUNCTION("IF(SUM(COUNTIF(artists!E:E, SPLIT(D53, "",""))) &gt; 0, ""OTHER"", 0)"),0)</f>
        <v>0</v>
      </c>
    </row>
    <row r="54" spans="1:11" ht="14.25" customHeight="1">
      <c r="A54" s="21">
        <v>53</v>
      </c>
      <c r="B54" s="21">
        <v>51</v>
      </c>
      <c r="C54" s="21" t="s">
        <v>508</v>
      </c>
      <c r="D54" s="21" t="s">
        <v>509</v>
      </c>
      <c r="E54" s="21">
        <v>17</v>
      </c>
      <c r="F54" s="21">
        <v>212048</v>
      </c>
      <c r="G54" s="42">
        <v>-0.191</v>
      </c>
      <c r="H54" s="21" t="s">
        <v>510</v>
      </c>
      <c r="I54" s="39">
        <f ca="1">IFERROR(__xludf.DUMMYFUNCTION("IF(SUM(COUNTIF(artists!A:A, SPLIT(D54, "",""))) &gt; 0, ""UA"", 0)"),0)</f>
        <v>0</v>
      </c>
      <c r="J54" s="40" t="str">
        <f ca="1">IFERROR(__xludf.DUMMYFUNCTION("IF(SUM(COUNTIF(artists!C:C, SPLIT(D54, "",""))) &gt; 0, ""RU"", 0)"),"RU")</f>
        <v>RU</v>
      </c>
      <c r="K54" s="39">
        <f ca="1">IFERROR(__xludf.DUMMYFUNCTION("IF(SUM(COUNTIF(artists!E:E, SPLIT(D54, "",""))) &gt; 0, ""OTHER"", 0)"),0)</f>
        <v>0</v>
      </c>
    </row>
    <row r="55" spans="1:11" ht="14.25" customHeight="1">
      <c r="A55" s="21">
        <v>54</v>
      </c>
      <c r="B55" s="21">
        <v>47</v>
      </c>
      <c r="C55" s="21" t="s">
        <v>500</v>
      </c>
      <c r="D55" s="21" t="s">
        <v>501</v>
      </c>
      <c r="E55" s="21">
        <v>15</v>
      </c>
      <c r="F55" s="21">
        <v>210928</v>
      </c>
      <c r="G55" s="42">
        <v>-0.253</v>
      </c>
      <c r="H55" s="21" t="s">
        <v>503</v>
      </c>
      <c r="I55" s="39">
        <f ca="1">IFERROR(__xludf.DUMMYFUNCTION("IF(SUM(COUNTIF(artists!A:A, SPLIT(D55, "",""))) &gt; 0, ""UA"", 0)"),0)</f>
        <v>0</v>
      </c>
      <c r="J55" s="40" t="str">
        <f ca="1">IFERROR(__xludf.DUMMYFUNCTION("IF(SUM(COUNTIF(artists!C:C, SPLIT(D55, "",""))) &gt; 0, ""RU"", 0)"),"RU")</f>
        <v>RU</v>
      </c>
      <c r="K55" s="39">
        <f ca="1">IFERROR(__xludf.DUMMYFUNCTION("IF(SUM(COUNTIF(artists!E:E, SPLIT(D55, "",""))) &gt; 0, ""OTHER"", 0)"),0)</f>
        <v>0</v>
      </c>
    </row>
    <row r="56" spans="1:11" ht="14.25" customHeight="1">
      <c r="A56" s="21">
        <v>55</v>
      </c>
      <c r="B56" s="21">
        <v>58</v>
      </c>
      <c r="C56" s="21" t="s">
        <v>667</v>
      </c>
      <c r="D56" s="21" t="s">
        <v>668</v>
      </c>
      <c r="E56" s="21">
        <v>17</v>
      </c>
      <c r="F56" s="21">
        <v>208297</v>
      </c>
      <c r="G56" s="42">
        <v>-0.153</v>
      </c>
      <c r="H56" s="21" t="s">
        <v>669</v>
      </c>
      <c r="I56" s="39">
        <f ca="1">IFERROR(__xludf.DUMMYFUNCTION("IF(SUM(COUNTIF(artists!A:A, SPLIT(D56, "",""))) &gt; 0, ""UA"", 0)"),0)</f>
        <v>0</v>
      </c>
      <c r="J56" s="40" t="str">
        <f ca="1">IFERROR(__xludf.DUMMYFUNCTION("IF(SUM(COUNTIF(artists!C:C, SPLIT(D56, "",""))) &gt; 0, ""RU"", 0)"),"RU")</f>
        <v>RU</v>
      </c>
      <c r="K56" s="39">
        <f ca="1">IFERROR(__xludf.DUMMYFUNCTION("IF(SUM(COUNTIF(artists!E:E, SPLIT(D56, "",""))) &gt; 0, ""OTHER"", 0)"),0)</f>
        <v>0</v>
      </c>
    </row>
    <row r="57" spans="1:11" ht="14.25" customHeight="1">
      <c r="A57" s="21">
        <v>56</v>
      </c>
      <c r="B57" s="21">
        <v>68</v>
      </c>
      <c r="C57" s="21" t="s">
        <v>244</v>
      </c>
      <c r="D57" s="21" t="s">
        <v>161</v>
      </c>
      <c r="E57" s="21">
        <v>5</v>
      </c>
      <c r="F57" s="21">
        <v>200338</v>
      </c>
      <c r="G57" s="42">
        <v>-8.7999999999999995E-2</v>
      </c>
      <c r="H57" s="21" t="s">
        <v>246</v>
      </c>
      <c r="I57" s="39" t="str">
        <f ca="1">IFERROR(__xludf.DUMMYFUNCTION("IF(SUM(COUNTIF(artists!A:A, SPLIT(D57, "",""))) &gt; 0, ""UA"", 0)"),"UA")</f>
        <v>UA</v>
      </c>
      <c r="J57" s="40">
        <f ca="1">IFERROR(__xludf.DUMMYFUNCTION("IF(SUM(COUNTIF(artists!C:C, SPLIT(D57, "",""))) &gt; 0, ""RU"", 0)"),0)</f>
        <v>0</v>
      </c>
      <c r="K57" s="39">
        <f ca="1">IFERROR(__xludf.DUMMYFUNCTION("IF(SUM(COUNTIF(artists!E:E, SPLIT(D57, "",""))) &gt; 0, ""OTHER"", 0)"),0)</f>
        <v>0</v>
      </c>
    </row>
    <row r="58" spans="1:11" ht="14.25" customHeight="1">
      <c r="A58" s="21">
        <v>57</v>
      </c>
      <c r="B58" s="21">
        <v>66</v>
      </c>
      <c r="C58" s="21" t="s">
        <v>742</v>
      </c>
      <c r="D58" s="21" t="s">
        <v>743</v>
      </c>
      <c r="E58" s="21">
        <v>18</v>
      </c>
      <c r="F58" s="21">
        <v>194868</v>
      </c>
      <c r="G58" s="43">
        <v>-0.13</v>
      </c>
      <c r="H58" s="21" t="s">
        <v>744</v>
      </c>
      <c r="I58" s="39">
        <f ca="1">IFERROR(__xludf.DUMMYFUNCTION("IF(SUM(COUNTIF(artists!A:A, SPLIT(D58, "",""))) &gt; 0, ""UA"", 0)"),0)</f>
        <v>0</v>
      </c>
      <c r="J58" s="40" t="str">
        <f ca="1">IFERROR(__xludf.DUMMYFUNCTION("IF(SUM(COUNTIF(artists!C:C, SPLIT(D58, "",""))) &gt; 0, ""RU"", 0)"),"RU")</f>
        <v>RU</v>
      </c>
      <c r="K58" s="39">
        <f ca="1">IFERROR(__xludf.DUMMYFUNCTION("IF(SUM(COUNTIF(artists!E:E, SPLIT(D58, "",""))) &gt; 0, ""OTHER"", 0)"),0)</f>
        <v>0</v>
      </c>
    </row>
    <row r="59" spans="1:11" ht="14.25" customHeight="1">
      <c r="A59" s="21">
        <v>58</v>
      </c>
      <c r="B59" s="21">
        <v>41</v>
      </c>
      <c r="C59" s="21" t="s">
        <v>760</v>
      </c>
      <c r="D59" s="21" t="s">
        <v>761</v>
      </c>
      <c r="E59" s="21">
        <v>5</v>
      </c>
      <c r="F59" s="21">
        <v>191826</v>
      </c>
      <c r="G59" s="42">
        <v>-0.373</v>
      </c>
      <c r="H59" s="21" t="s">
        <v>763</v>
      </c>
      <c r="I59" s="39" t="str">
        <f ca="1">IFERROR(__xludf.DUMMYFUNCTION("IF(SUM(COUNTIF(artists!A:A, SPLIT(D59, "",""))) &gt; 0, ""UA"", 0)"),"UA")</f>
        <v>UA</v>
      </c>
      <c r="J59" s="40">
        <f ca="1">IFERROR(__xludf.DUMMYFUNCTION("IF(SUM(COUNTIF(artists!C:C, SPLIT(D59, "",""))) &gt; 0, ""RU"", 0)"),0)</f>
        <v>0</v>
      </c>
      <c r="K59" s="39">
        <f ca="1">IFERROR(__xludf.DUMMYFUNCTION("IF(SUM(COUNTIF(artists!E:E, SPLIT(D59, "",""))) &gt; 0, ""OTHER"", 0)"),0)</f>
        <v>0</v>
      </c>
    </row>
    <row r="60" spans="1:11" ht="14.25" customHeight="1">
      <c r="A60" s="21">
        <v>59</v>
      </c>
      <c r="B60" s="21">
        <v>52</v>
      </c>
      <c r="C60" s="21" t="s">
        <v>682</v>
      </c>
      <c r="D60" s="21" t="s">
        <v>125</v>
      </c>
      <c r="E60" s="21">
        <v>17</v>
      </c>
      <c r="F60" s="21">
        <v>191373</v>
      </c>
      <c r="G60" s="42">
        <v>-0.26700000000000002</v>
      </c>
      <c r="H60" s="21" t="s">
        <v>684</v>
      </c>
      <c r="I60" s="39">
        <f ca="1">IFERROR(__xludf.DUMMYFUNCTION("IF(SUM(COUNTIF(artists!A:A, SPLIT(D60, "",""))) &gt; 0, ""UA"", 0)"),0)</f>
        <v>0</v>
      </c>
      <c r="J60" s="40" t="str">
        <f ca="1">IFERROR(__xludf.DUMMYFUNCTION("IF(SUM(COUNTIF(artists!C:C, SPLIT(D60, "",""))) &gt; 0, ""RU"", 0)"),"RU")</f>
        <v>RU</v>
      </c>
      <c r="K60" s="39">
        <f ca="1">IFERROR(__xludf.DUMMYFUNCTION("IF(SUM(COUNTIF(artists!E:E, SPLIT(D60, "",""))) &gt; 0, ""OTHER"", 0)"),0)</f>
        <v>0</v>
      </c>
    </row>
    <row r="61" spans="1:11" ht="14.25" customHeight="1">
      <c r="A61" s="21">
        <v>60</v>
      </c>
      <c r="B61" s="21">
        <v>83</v>
      </c>
      <c r="C61" s="21" t="s">
        <v>402</v>
      </c>
      <c r="D61" s="21" t="s">
        <v>403</v>
      </c>
      <c r="E61" s="21">
        <v>8</v>
      </c>
      <c r="F61" s="21">
        <v>190251</v>
      </c>
      <c r="G61" s="42">
        <v>-3.4000000000000002E-2</v>
      </c>
      <c r="H61" s="21" t="s">
        <v>404</v>
      </c>
      <c r="I61" s="39">
        <f ca="1">IFERROR(__xludf.DUMMYFUNCTION("IF(SUM(COUNTIF(artists!A:A, SPLIT(D61, "",""))) &gt; 0, ""UA"", 0)"),0)</f>
        <v>0</v>
      </c>
      <c r="J61" s="40">
        <f ca="1">IFERROR(__xludf.DUMMYFUNCTION("IF(SUM(COUNTIF(artists!C:C, SPLIT(D61, "",""))) &gt; 0, ""RU"", 0)"),0)</f>
        <v>0</v>
      </c>
      <c r="K61" s="39" t="str">
        <f ca="1">IFERROR(__xludf.DUMMYFUNCTION("IF(SUM(COUNTIF(artists!E:E, SPLIT(D61, "",""))) &gt; 0, ""OTHER"", 0)"),"OTHER")</f>
        <v>OTHER</v>
      </c>
    </row>
    <row r="62" spans="1:11" ht="14.25" customHeight="1">
      <c r="A62" s="21">
        <v>61</v>
      </c>
      <c r="B62" s="21">
        <v>63</v>
      </c>
      <c r="C62" s="21" t="s">
        <v>757</v>
      </c>
      <c r="D62" s="21" t="s">
        <v>758</v>
      </c>
      <c r="E62" s="21">
        <v>3</v>
      </c>
      <c r="F62" s="21">
        <v>189364</v>
      </c>
      <c r="G62" s="42">
        <v>-0.17100000000000001</v>
      </c>
      <c r="H62" s="21" t="s">
        <v>759</v>
      </c>
      <c r="I62" s="39" t="str">
        <f ca="1">IFERROR(__xludf.DUMMYFUNCTION("IF(SUM(COUNTIF(artists!A:A, SPLIT(D62, "",""))) &gt; 0, ""UA"", 0)"),"UA")</f>
        <v>UA</v>
      </c>
      <c r="J62" s="40">
        <f ca="1">IFERROR(__xludf.DUMMYFUNCTION("IF(SUM(COUNTIF(artists!C:C, SPLIT(D62, "",""))) &gt; 0, ""RU"", 0)"),0)</f>
        <v>0</v>
      </c>
      <c r="K62" s="39">
        <f ca="1">IFERROR(__xludf.DUMMYFUNCTION("IF(SUM(COUNTIF(artists!E:E, SPLIT(D62, "",""))) &gt; 0, ""OTHER"", 0)"),0)</f>
        <v>0</v>
      </c>
    </row>
    <row r="63" spans="1:11" ht="14.25" customHeight="1">
      <c r="A63" s="21">
        <v>62</v>
      </c>
      <c r="B63" s="21">
        <v>78</v>
      </c>
      <c r="C63" s="21" t="s">
        <v>373</v>
      </c>
      <c r="D63" s="21" t="s">
        <v>172</v>
      </c>
      <c r="E63" s="21">
        <v>12</v>
      </c>
      <c r="F63" s="21">
        <v>186996</v>
      </c>
      <c r="G63" s="42">
        <v>-8.8999999999999996E-2</v>
      </c>
      <c r="H63" s="21" t="s">
        <v>375</v>
      </c>
      <c r="I63" s="39">
        <f ca="1">IFERROR(__xludf.DUMMYFUNCTION("IF(SUM(COUNTIF(artists!A:A, SPLIT(D63, "",""))) &gt; 0, ""UA"", 0)"),0)</f>
        <v>0</v>
      </c>
      <c r="J63" s="40" t="str">
        <f ca="1">IFERROR(__xludf.DUMMYFUNCTION("IF(SUM(COUNTIF(artists!C:C, SPLIT(D63, "",""))) &gt; 0, ""RU"", 0)"),"RU")</f>
        <v>RU</v>
      </c>
      <c r="K63" s="39">
        <f ca="1">IFERROR(__xludf.DUMMYFUNCTION("IF(SUM(COUNTIF(artists!E:E, SPLIT(D63, "",""))) &gt; 0, ""OTHER"", 0)"),0)</f>
        <v>0</v>
      </c>
    </row>
    <row r="64" spans="1:11" ht="14.25" customHeight="1">
      <c r="A64" s="21">
        <v>63</v>
      </c>
      <c r="C64" s="21" t="s">
        <v>845</v>
      </c>
      <c r="D64" s="21" t="s">
        <v>846</v>
      </c>
      <c r="E64" s="21">
        <v>4</v>
      </c>
      <c r="F64" s="21">
        <v>186839</v>
      </c>
      <c r="H64" s="21" t="s">
        <v>847</v>
      </c>
      <c r="I64" s="39" t="str">
        <f ca="1">IFERROR(__xludf.DUMMYFUNCTION("IF(SUM(COUNTIF(artists!A:A, SPLIT(D64, "",""))) &gt; 0, ""UA"", 0)"),"UA")</f>
        <v>UA</v>
      </c>
      <c r="J64" s="40">
        <f ca="1">IFERROR(__xludf.DUMMYFUNCTION("IF(SUM(COUNTIF(artists!C:C, SPLIT(D64, "",""))) &gt; 0, ""RU"", 0)"),0)</f>
        <v>0</v>
      </c>
      <c r="K64" s="39">
        <f ca="1">IFERROR(__xludf.DUMMYFUNCTION("IF(SUM(COUNTIF(artists!E:E, SPLIT(D64, "",""))) &gt; 0, ""OTHER"", 0)"),0)</f>
        <v>0</v>
      </c>
    </row>
    <row r="65" spans="1:11" ht="14.25" customHeight="1">
      <c r="A65" s="21">
        <v>64</v>
      </c>
      <c r="B65" s="21">
        <v>85</v>
      </c>
      <c r="C65" s="21" t="s">
        <v>482</v>
      </c>
      <c r="D65" s="21" t="s">
        <v>210</v>
      </c>
      <c r="E65" s="21">
        <v>15</v>
      </c>
      <c r="F65" s="21">
        <v>183106</v>
      </c>
      <c r="G65" s="42">
        <v>-6.5000000000000002E-2</v>
      </c>
      <c r="H65" s="21" t="s">
        <v>484</v>
      </c>
      <c r="I65" s="39" t="str">
        <f ca="1">IFERROR(__xludf.DUMMYFUNCTION("IF(SUM(COUNTIF(artists!A:A, SPLIT(D65, "",""))) &gt; 0, ""UA"", 0)"),"UA")</f>
        <v>UA</v>
      </c>
      <c r="J65" s="40">
        <f ca="1">IFERROR(__xludf.DUMMYFUNCTION("IF(SUM(COUNTIF(artists!C:C, SPLIT(D65, "",""))) &gt; 0, ""RU"", 0)"),0)</f>
        <v>0</v>
      </c>
      <c r="K65" s="39">
        <f ca="1">IFERROR(__xludf.DUMMYFUNCTION("IF(SUM(COUNTIF(artists!E:E, SPLIT(D65, "",""))) &gt; 0, ""OTHER"", 0)"),0)</f>
        <v>0</v>
      </c>
    </row>
    <row r="66" spans="1:11" ht="14.25" customHeight="1">
      <c r="A66" s="21">
        <v>65</v>
      </c>
      <c r="C66" s="21" t="s">
        <v>848</v>
      </c>
      <c r="D66" s="21" t="s">
        <v>183</v>
      </c>
      <c r="E66" s="21">
        <v>2</v>
      </c>
      <c r="F66" s="21">
        <v>181749</v>
      </c>
      <c r="H66" s="21" t="s">
        <v>849</v>
      </c>
      <c r="I66" s="39" t="str">
        <f ca="1">IFERROR(__xludf.DUMMYFUNCTION("IF(SUM(COUNTIF(artists!A:A, SPLIT(D66, "",""))) &gt; 0, ""UA"", 0)"),"UA")</f>
        <v>UA</v>
      </c>
      <c r="J66" s="40">
        <f ca="1">IFERROR(__xludf.DUMMYFUNCTION("IF(SUM(COUNTIF(artists!C:C, SPLIT(D66, "",""))) &gt; 0, ""RU"", 0)"),0)</f>
        <v>0</v>
      </c>
      <c r="K66" s="39">
        <f ca="1">IFERROR(__xludf.DUMMYFUNCTION("IF(SUM(COUNTIF(artists!E:E, SPLIT(D66, "",""))) &gt; 0, ""OTHER"", 0)"),0)</f>
        <v>0</v>
      </c>
    </row>
    <row r="67" spans="1:11" ht="14.25" customHeight="1">
      <c r="A67" s="21">
        <v>66</v>
      </c>
      <c r="B67" s="21">
        <v>74</v>
      </c>
      <c r="C67" s="21" t="s">
        <v>545</v>
      </c>
      <c r="D67" s="21" t="s">
        <v>546</v>
      </c>
      <c r="E67" s="21">
        <v>9</v>
      </c>
      <c r="F67" s="21">
        <v>180582</v>
      </c>
      <c r="G67" s="42">
        <v>-0.157</v>
      </c>
      <c r="H67" s="21" t="s">
        <v>548</v>
      </c>
      <c r="I67" s="39">
        <f ca="1">IFERROR(__xludf.DUMMYFUNCTION("IF(SUM(COUNTIF(artists!A:A, SPLIT(D67, "",""))) &gt; 0, ""UA"", 0)"),0)</f>
        <v>0</v>
      </c>
      <c r="J67" s="40" t="str">
        <f ca="1">IFERROR(__xludf.DUMMYFUNCTION("IF(SUM(COUNTIF(artists!C:C, SPLIT(D67, "",""))) &gt; 0, ""RU"", 0)"),"RU")</f>
        <v>RU</v>
      </c>
      <c r="K67" s="39">
        <f ca="1">IFERROR(__xludf.DUMMYFUNCTION("IF(SUM(COUNTIF(artists!E:E, SPLIT(D67, "",""))) &gt; 0, ""OTHER"", 0)"),0)</f>
        <v>0</v>
      </c>
    </row>
    <row r="68" spans="1:11" ht="14.25" customHeight="1">
      <c r="A68" s="21">
        <v>67</v>
      </c>
      <c r="B68" s="21">
        <v>71</v>
      </c>
      <c r="C68" s="21" t="s">
        <v>527</v>
      </c>
      <c r="D68" s="21" t="s">
        <v>528</v>
      </c>
      <c r="E68" s="21">
        <v>15</v>
      </c>
      <c r="F68" s="21">
        <v>180571</v>
      </c>
      <c r="G68" s="42">
        <v>-0.16600000000000001</v>
      </c>
      <c r="H68" s="21" t="s">
        <v>529</v>
      </c>
      <c r="I68" s="39" t="str">
        <f ca="1">IFERROR(__xludf.DUMMYFUNCTION("IF(SUM(COUNTIF(artists!A:A, SPLIT(D68, "",""))) &gt; 0, ""UA"", 0)"),"UA")</f>
        <v>UA</v>
      </c>
      <c r="J68" s="40">
        <f ca="1">IFERROR(__xludf.DUMMYFUNCTION("IF(SUM(COUNTIF(artists!C:C, SPLIT(D68, "",""))) &gt; 0, ""RU"", 0)"),0)</f>
        <v>0</v>
      </c>
      <c r="K68" s="39">
        <f ca="1">IFERROR(__xludf.DUMMYFUNCTION("IF(SUM(COUNTIF(artists!E:E, SPLIT(D68, "",""))) &gt; 0, ""OTHER"", 0)"),0)</f>
        <v>0</v>
      </c>
    </row>
    <row r="69" spans="1:11" ht="14.25" customHeight="1">
      <c r="A69" s="21">
        <v>68</v>
      </c>
      <c r="B69" s="21">
        <v>75</v>
      </c>
      <c r="C69" s="21" t="s">
        <v>524</v>
      </c>
      <c r="D69" s="21" t="s">
        <v>525</v>
      </c>
      <c r="E69" s="21">
        <v>20</v>
      </c>
      <c r="F69" s="21">
        <v>180543</v>
      </c>
      <c r="G69" s="43">
        <v>-0.14000000000000001</v>
      </c>
      <c r="H69" s="21" t="s">
        <v>526</v>
      </c>
      <c r="I69" s="39" t="str">
        <f ca="1">IFERROR(__xludf.DUMMYFUNCTION("IF(SUM(COUNTIF(artists!A:A, SPLIT(D69, "",""))) &gt; 0, ""UA"", 0)"),"UA")</f>
        <v>UA</v>
      </c>
      <c r="J69" s="40">
        <f ca="1">IFERROR(__xludf.DUMMYFUNCTION("IF(SUM(COUNTIF(artists!C:C, SPLIT(D69, "",""))) &gt; 0, ""RU"", 0)"),0)</f>
        <v>0</v>
      </c>
      <c r="K69" s="39">
        <f ca="1">IFERROR(__xludf.DUMMYFUNCTION("IF(SUM(COUNTIF(artists!E:E, SPLIT(D69, "",""))) &gt; 0, ""OTHER"", 0)"),0)</f>
        <v>0</v>
      </c>
    </row>
    <row r="70" spans="1:11" ht="14.25" customHeight="1">
      <c r="A70" s="21">
        <v>69</v>
      </c>
      <c r="B70" s="21">
        <v>84</v>
      </c>
      <c r="C70" s="21" t="s">
        <v>602</v>
      </c>
      <c r="D70" s="21" t="s">
        <v>299</v>
      </c>
      <c r="E70" s="21">
        <v>17</v>
      </c>
      <c r="F70" s="21">
        <v>178296</v>
      </c>
      <c r="G70" s="42">
        <v>-9.4E-2</v>
      </c>
      <c r="H70" s="21" t="s">
        <v>604</v>
      </c>
      <c r="I70" s="39">
        <f ca="1">IFERROR(__xludf.DUMMYFUNCTION("IF(SUM(COUNTIF(artists!A:A, SPLIT(D70, "",""))) &gt; 0, ""UA"", 0)"),0)</f>
        <v>0</v>
      </c>
      <c r="J70" s="40">
        <f ca="1">IFERROR(__xludf.DUMMYFUNCTION("IF(SUM(COUNTIF(artists!C:C, SPLIT(D70, "",""))) &gt; 0, ""RU"", 0)"),0)</f>
        <v>0</v>
      </c>
      <c r="K70" s="39" t="str">
        <f ca="1">IFERROR(__xludf.DUMMYFUNCTION("IF(SUM(COUNTIF(artists!E:E, SPLIT(D70, "",""))) &gt; 0, ""OTHER"", 0)"),"OTHER")</f>
        <v>OTHER</v>
      </c>
    </row>
    <row r="71" spans="1:11" ht="14.25" customHeight="1">
      <c r="A71" s="21">
        <v>70</v>
      </c>
      <c r="C71" s="21" t="s">
        <v>845</v>
      </c>
      <c r="D71" s="21" t="s">
        <v>850</v>
      </c>
      <c r="E71" s="21">
        <v>1</v>
      </c>
      <c r="F71" s="21">
        <v>177900</v>
      </c>
      <c r="H71" s="21" t="s">
        <v>851</v>
      </c>
      <c r="I71" s="39" t="str">
        <f ca="1">IFERROR(__xludf.DUMMYFUNCTION("IF(SUM(COUNTIF(artists!A:A, SPLIT(D71, "",""))) &gt; 0, ""UA"", 0)"),"UA")</f>
        <v>UA</v>
      </c>
      <c r="J71" s="40">
        <f ca="1">IFERROR(__xludf.DUMMYFUNCTION("IF(SUM(COUNTIF(artists!C:C, SPLIT(D71, "",""))) &gt; 0, ""RU"", 0)"),0)</f>
        <v>0</v>
      </c>
      <c r="K71" s="39">
        <f ca="1">IFERROR(__xludf.DUMMYFUNCTION("IF(SUM(COUNTIF(artists!E:E, SPLIT(D71, "",""))) &gt; 0, ""OTHER"", 0)"),0)</f>
        <v>0</v>
      </c>
    </row>
    <row r="72" spans="1:11" ht="14.25" customHeight="1">
      <c r="A72" s="21">
        <v>71</v>
      </c>
      <c r="B72" s="21">
        <v>65</v>
      </c>
      <c r="C72" s="21" t="s">
        <v>700</v>
      </c>
      <c r="D72" s="21" t="s">
        <v>701</v>
      </c>
      <c r="E72" s="21">
        <v>17</v>
      </c>
      <c r="F72" s="21">
        <v>173340</v>
      </c>
      <c r="G72" s="42">
        <v>-0.22800000000000001</v>
      </c>
      <c r="H72" s="21" t="s">
        <v>702</v>
      </c>
      <c r="I72" s="39">
        <f ca="1">IFERROR(__xludf.DUMMYFUNCTION("IF(SUM(COUNTIF(artists!A:A, SPLIT(D72, "",""))) &gt; 0, ""UA"", 0)"),0)</f>
        <v>0</v>
      </c>
      <c r="J72" s="40" t="str">
        <f ca="1">IFERROR(__xludf.DUMMYFUNCTION("IF(SUM(COUNTIF(artists!C:C, SPLIT(D72, "",""))) &gt; 0, ""RU"", 0)"),"RU")</f>
        <v>RU</v>
      </c>
      <c r="K72" s="39">
        <f ca="1">IFERROR(__xludf.DUMMYFUNCTION("IF(SUM(COUNTIF(artists!E:E, SPLIT(D72, "",""))) &gt; 0, ""OTHER"", 0)"),0)</f>
        <v>0</v>
      </c>
    </row>
    <row r="73" spans="1:11" ht="14.25" customHeight="1">
      <c r="A73" s="21">
        <v>72</v>
      </c>
      <c r="B73" s="21">
        <v>95</v>
      </c>
      <c r="C73" s="21" t="s">
        <v>690</v>
      </c>
      <c r="D73" s="21" t="s">
        <v>691</v>
      </c>
      <c r="E73" s="21">
        <v>9</v>
      </c>
      <c r="F73" s="21">
        <v>171172</v>
      </c>
      <c r="G73" s="42">
        <v>-7.3999999999999996E-2</v>
      </c>
      <c r="H73" s="21" t="s">
        <v>692</v>
      </c>
      <c r="I73" s="39">
        <f ca="1">IFERROR(__xludf.DUMMYFUNCTION("IF(SUM(COUNTIF(artists!A:A, SPLIT(D73, "",""))) &gt; 0, ""UA"", 0)"),0)</f>
        <v>0</v>
      </c>
      <c r="J73" s="40" t="str">
        <f ca="1">IFERROR(__xludf.DUMMYFUNCTION("IF(SUM(COUNTIF(artists!C:C, SPLIT(D73, "",""))) &gt; 0, ""RU"", 0)"),"RU")</f>
        <v>RU</v>
      </c>
      <c r="K73" s="39">
        <f ca="1">IFERROR(__xludf.DUMMYFUNCTION("IF(SUM(COUNTIF(artists!E:E, SPLIT(D73, "",""))) &gt; 0, ""OTHER"", 0)"),0)</f>
        <v>0</v>
      </c>
    </row>
    <row r="74" spans="1:11" ht="14.25" customHeight="1">
      <c r="A74" s="21">
        <v>73</v>
      </c>
      <c r="C74" s="21" t="s">
        <v>605</v>
      </c>
      <c r="D74" s="21" t="s">
        <v>299</v>
      </c>
      <c r="E74" s="21">
        <v>16</v>
      </c>
      <c r="F74" s="21">
        <v>166557</v>
      </c>
      <c r="H74" s="21" t="s">
        <v>607</v>
      </c>
      <c r="I74" s="39">
        <f ca="1">IFERROR(__xludf.DUMMYFUNCTION("IF(SUM(COUNTIF(artists!A:A, SPLIT(D74, "",""))) &gt; 0, ""UA"", 0)"),0)</f>
        <v>0</v>
      </c>
      <c r="J74" s="40">
        <f ca="1">IFERROR(__xludf.DUMMYFUNCTION("IF(SUM(COUNTIF(artists!C:C, SPLIT(D74, "",""))) &gt; 0, ""RU"", 0)"),0)</f>
        <v>0</v>
      </c>
      <c r="K74" s="39" t="str">
        <f ca="1">IFERROR(__xludf.DUMMYFUNCTION("IF(SUM(COUNTIF(artists!E:E, SPLIT(D74, "",""))) &gt; 0, ""OTHER"", 0)"),"OTHER")</f>
        <v>OTHER</v>
      </c>
    </row>
    <row r="75" spans="1:11" ht="14.25" customHeight="1">
      <c r="A75" s="21">
        <v>74</v>
      </c>
      <c r="B75" s="21">
        <v>76</v>
      </c>
      <c r="C75" s="21" t="s">
        <v>814</v>
      </c>
      <c r="D75" s="21" t="s">
        <v>815</v>
      </c>
      <c r="E75" s="21">
        <v>6</v>
      </c>
      <c r="F75" s="21">
        <v>165066</v>
      </c>
      <c r="G75" s="43">
        <v>-0.21</v>
      </c>
      <c r="H75" s="21" t="s">
        <v>817</v>
      </c>
      <c r="I75" s="39">
        <f ca="1">IFERROR(__xludf.DUMMYFUNCTION("IF(SUM(COUNTIF(artists!A:A, SPLIT(D75, "",""))) &gt; 0, ""UA"", 0)"),0)</f>
        <v>0</v>
      </c>
      <c r="J75" s="40" t="str">
        <f ca="1">IFERROR(__xludf.DUMMYFUNCTION("IF(SUM(COUNTIF(artists!C:C, SPLIT(D75, "",""))) &gt; 0, ""RU"", 0)"),"RU")</f>
        <v>RU</v>
      </c>
      <c r="K75" s="39">
        <f ca="1">IFERROR(__xludf.DUMMYFUNCTION("IF(SUM(COUNTIF(artists!E:E, SPLIT(D75, "",""))) &gt; 0, ""OTHER"", 0)"),0)</f>
        <v>0</v>
      </c>
    </row>
    <row r="76" spans="1:11" ht="14.25" customHeight="1">
      <c r="A76" s="21">
        <v>75</v>
      </c>
      <c r="C76" s="21" t="s">
        <v>852</v>
      </c>
      <c r="D76" s="21" t="s">
        <v>853</v>
      </c>
      <c r="E76" s="21">
        <v>2</v>
      </c>
      <c r="F76" s="21">
        <v>164995</v>
      </c>
      <c r="H76" s="21" t="s">
        <v>854</v>
      </c>
      <c r="I76" s="39" t="str">
        <f ca="1">IFERROR(__xludf.DUMMYFUNCTION("IF(SUM(COUNTIF(artists!A:A, SPLIT(D76, "",""))) &gt; 0, ""UA"", 0)"),"UA")</f>
        <v>UA</v>
      </c>
      <c r="J76" s="40">
        <f ca="1">IFERROR(__xludf.DUMMYFUNCTION("IF(SUM(COUNTIF(artists!C:C, SPLIT(D76, "",""))) &gt; 0, ""RU"", 0)"),0)</f>
        <v>0</v>
      </c>
      <c r="K76" s="39">
        <f ca="1">IFERROR(__xludf.DUMMYFUNCTION("IF(SUM(COUNTIF(artists!E:E, SPLIT(D76, "",""))) &gt; 0, ""OTHER"", 0)"),0)</f>
        <v>0</v>
      </c>
    </row>
    <row r="77" spans="1:11" ht="14.25" customHeight="1">
      <c r="A77" s="21">
        <v>76</v>
      </c>
      <c r="B77" s="21">
        <v>92</v>
      </c>
      <c r="C77" s="21" t="s">
        <v>534</v>
      </c>
      <c r="D77" s="21" t="s">
        <v>535</v>
      </c>
      <c r="E77" s="21">
        <v>2</v>
      </c>
      <c r="F77" s="21">
        <v>164073</v>
      </c>
      <c r="G77" s="42">
        <v>-0.129</v>
      </c>
      <c r="H77" s="21" t="s">
        <v>536</v>
      </c>
      <c r="I77" s="39">
        <f ca="1">IFERROR(__xludf.DUMMYFUNCTION("IF(SUM(COUNTIF(artists!A:A, SPLIT(D77, "",""))) &gt; 0, ""UA"", 0)"),0)</f>
        <v>0</v>
      </c>
      <c r="J77" s="40" t="str">
        <f ca="1">IFERROR(__xludf.DUMMYFUNCTION("IF(SUM(COUNTIF(artists!C:C, SPLIT(D77, "",""))) &gt; 0, ""RU"", 0)"),"RU")</f>
        <v>RU</v>
      </c>
      <c r="K77" s="39">
        <f ca="1">IFERROR(__xludf.DUMMYFUNCTION("IF(SUM(COUNTIF(artists!E:E, SPLIT(D77, "",""))) &gt; 0, ""OTHER"", 0)"),0)</f>
        <v>0</v>
      </c>
    </row>
    <row r="78" spans="1:11" ht="14.25" customHeight="1">
      <c r="A78" s="21">
        <v>77</v>
      </c>
      <c r="B78" s="21">
        <v>94</v>
      </c>
      <c r="C78" s="21" t="s">
        <v>855</v>
      </c>
      <c r="D78" s="21" t="s">
        <v>856</v>
      </c>
      <c r="E78" s="21">
        <v>2</v>
      </c>
      <c r="F78" s="21">
        <v>161605</v>
      </c>
      <c r="G78" s="42">
        <v>-0.128</v>
      </c>
      <c r="H78" s="21" t="s">
        <v>857</v>
      </c>
      <c r="I78" s="39" t="str">
        <f ca="1">IFERROR(__xludf.DUMMYFUNCTION("IF(SUM(COUNTIF(artists!A:A, SPLIT(D78, "",""))) &gt; 0, ""UA"", 0)"),"UA")</f>
        <v>UA</v>
      </c>
      <c r="J78" s="40">
        <f ca="1">IFERROR(__xludf.DUMMYFUNCTION("IF(SUM(COUNTIF(artists!C:C, SPLIT(D78, "",""))) &gt; 0, ""RU"", 0)"),0)</f>
        <v>0</v>
      </c>
      <c r="K78" s="39">
        <f ca="1">IFERROR(__xludf.DUMMYFUNCTION("IF(SUM(COUNTIF(artists!E:E, SPLIT(D78, "",""))) &gt; 0, ""OTHER"", 0)"),0)</f>
        <v>0</v>
      </c>
    </row>
    <row r="79" spans="1:11" ht="14.25" customHeight="1">
      <c r="A79" s="21">
        <v>78</v>
      </c>
      <c r="C79" s="21" t="s">
        <v>852</v>
      </c>
      <c r="D79" s="21" t="s">
        <v>858</v>
      </c>
      <c r="E79" s="21">
        <v>6</v>
      </c>
      <c r="F79" s="21">
        <v>159493</v>
      </c>
      <c r="H79" s="21" t="s">
        <v>859</v>
      </c>
      <c r="I79" s="39" t="str">
        <f ca="1">IFERROR(__xludf.DUMMYFUNCTION("IF(SUM(COUNTIF(artists!A:A, SPLIT(D79, "",""))) &gt; 0, ""UA"", 0)"),"UA")</f>
        <v>UA</v>
      </c>
      <c r="J79" s="40">
        <f ca="1">IFERROR(__xludf.DUMMYFUNCTION("IF(SUM(COUNTIF(artists!C:C, SPLIT(D79, "",""))) &gt; 0, ""RU"", 0)"),0)</f>
        <v>0</v>
      </c>
      <c r="K79" s="39">
        <f ca="1">IFERROR(__xludf.DUMMYFUNCTION("IF(SUM(COUNTIF(artists!E:E, SPLIT(D79, "",""))) &gt; 0, ""OTHER"", 0)"),0)</f>
        <v>0</v>
      </c>
    </row>
    <row r="80" spans="1:11" ht="14.25" customHeight="1">
      <c r="A80" s="21">
        <v>79</v>
      </c>
      <c r="B80" s="21">
        <v>87</v>
      </c>
      <c r="C80" s="21" t="s">
        <v>830</v>
      </c>
      <c r="D80" s="21" t="s">
        <v>831</v>
      </c>
      <c r="E80" s="21">
        <v>4</v>
      </c>
      <c r="F80" s="21">
        <v>155767</v>
      </c>
      <c r="G80" s="43">
        <v>-0.19</v>
      </c>
      <c r="H80" s="21" t="s">
        <v>833</v>
      </c>
      <c r="I80" s="39" t="str">
        <f ca="1">IFERROR(__xludf.DUMMYFUNCTION("IF(SUM(COUNTIF(artists!A:A, SPLIT(D80, "",""))) &gt; 0, ""UA"", 0)"),"UA")</f>
        <v>UA</v>
      </c>
      <c r="J80" s="40">
        <f ca="1">IFERROR(__xludf.DUMMYFUNCTION("IF(SUM(COUNTIF(artists!C:C, SPLIT(D80, "",""))) &gt; 0, ""RU"", 0)"),0)</f>
        <v>0</v>
      </c>
      <c r="K80" s="39">
        <f ca="1">IFERROR(__xludf.DUMMYFUNCTION("IF(SUM(COUNTIF(artists!E:E, SPLIT(D80, "",""))) &gt; 0, ""OTHER"", 0)"),0)</f>
        <v>0</v>
      </c>
    </row>
    <row r="81" spans="1:11" ht="14.25" customHeight="1">
      <c r="A81" s="21">
        <v>80</v>
      </c>
      <c r="B81" s="21">
        <v>82</v>
      </c>
      <c r="C81" s="21" t="s">
        <v>497</v>
      </c>
      <c r="D81" s="21" t="s">
        <v>860</v>
      </c>
      <c r="E81" s="21">
        <v>16</v>
      </c>
      <c r="F81" s="21">
        <v>153222</v>
      </c>
      <c r="G81" s="42">
        <v>-0.222</v>
      </c>
      <c r="H81" s="21" t="s">
        <v>499</v>
      </c>
      <c r="I81" s="39" t="str">
        <f ca="1">IFERROR(__xludf.DUMMYFUNCTION("IF(SUM(COUNTIF(artists!A:A, SPLIT(D81, "",""))) &gt; 0, ""UA"", 0)"),"UA")</f>
        <v>UA</v>
      </c>
      <c r="J81" s="40">
        <f ca="1">IFERROR(__xludf.DUMMYFUNCTION("IF(SUM(COUNTIF(artists!C:C, SPLIT(D81, "",""))) &gt; 0, ""RU"", 0)"),0)</f>
        <v>0</v>
      </c>
      <c r="K81" s="39">
        <f ca="1">IFERROR(__xludf.DUMMYFUNCTION("IF(SUM(COUNTIF(artists!E:E, SPLIT(D81, "",""))) &gt; 0, ""OTHER"", 0)"),0)</f>
        <v>0</v>
      </c>
    </row>
    <row r="82" spans="1:11" ht="14.25" customHeight="1">
      <c r="A82" s="21">
        <v>81</v>
      </c>
      <c r="C82" s="21" t="s">
        <v>320</v>
      </c>
      <c r="D82" s="21" t="s">
        <v>321</v>
      </c>
      <c r="E82" s="21">
        <v>7</v>
      </c>
      <c r="F82" s="21">
        <v>152748</v>
      </c>
      <c r="H82" s="21" t="s">
        <v>323</v>
      </c>
      <c r="I82" s="39">
        <f ca="1">IFERROR(__xludf.DUMMYFUNCTION("IF(SUM(COUNTIF(artists!A:A, SPLIT(D82, "",""))) &gt; 0, ""UA"", 0)"),0)</f>
        <v>0</v>
      </c>
      <c r="J82" s="40">
        <f ca="1">IFERROR(__xludf.DUMMYFUNCTION("IF(SUM(COUNTIF(artists!C:C, SPLIT(D82, "",""))) &gt; 0, ""RU"", 0)"),0)</f>
        <v>0</v>
      </c>
      <c r="K82" s="39" t="str">
        <f ca="1">IFERROR(__xludf.DUMMYFUNCTION("IF(SUM(COUNTIF(artists!E:E, SPLIT(D82, "",""))) &gt; 0, ""OTHER"", 0)"),"OTHER")</f>
        <v>OTHER</v>
      </c>
    </row>
    <row r="83" spans="1:11" ht="14.25" customHeight="1">
      <c r="A83" s="21">
        <v>82</v>
      </c>
      <c r="C83" s="21" t="s">
        <v>306</v>
      </c>
      <c r="D83" s="21" t="s">
        <v>307</v>
      </c>
      <c r="E83" s="21">
        <v>2</v>
      </c>
      <c r="F83" s="21">
        <v>148884</v>
      </c>
      <c r="H83" s="21" t="s">
        <v>308</v>
      </c>
      <c r="I83" s="39">
        <f ca="1">IFERROR(__xludf.DUMMYFUNCTION("IF(SUM(COUNTIF(artists!A:A, SPLIT(D83, "",""))) &gt; 0, ""UA"", 0)"),0)</f>
        <v>0</v>
      </c>
      <c r="J83" s="40">
        <f ca="1">IFERROR(__xludf.DUMMYFUNCTION("IF(SUM(COUNTIF(artists!C:C, SPLIT(D83, "",""))) &gt; 0, ""RU"", 0)"),0)</f>
        <v>0</v>
      </c>
      <c r="K83" s="39" t="str">
        <f ca="1">IFERROR(__xludf.DUMMYFUNCTION("IF(SUM(COUNTIF(artists!E:E, SPLIT(D83, "",""))) &gt; 0, ""OTHER"", 0)"),"OTHER")</f>
        <v>OTHER</v>
      </c>
    </row>
    <row r="84" spans="1:11" ht="14.25" customHeight="1">
      <c r="A84" s="21">
        <v>83</v>
      </c>
      <c r="B84" s="21">
        <v>93</v>
      </c>
      <c r="C84" s="21" t="s">
        <v>268</v>
      </c>
      <c r="D84" s="21" t="s">
        <v>466</v>
      </c>
      <c r="E84" s="21">
        <v>9</v>
      </c>
      <c r="F84" s="21">
        <v>148815</v>
      </c>
      <c r="G84" s="42">
        <v>-0.19700000000000001</v>
      </c>
      <c r="H84" s="21" t="s">
        <v>270</v>
      </c>
      <c r="I84" s="39" t="str">
        <f ca="1">IFERROR(__xludf.DUMMYFUNCTION("IF(SUM(COUNTIF(artists!A:A, SPLIT(D84, "",""))) &gt; 0, ""UA"", 0)"),"UA")</f>
        <v>UA</v>
      </c>
      <c r="J84" s="40">
        <f ca="1">IFERROR(__xludf.DUMMYFUNCTION("IF(SUM(COUNTIF(artists!C:C, SPLIT(D84, "",""))) &gt; 0, ""RU"", 0)"),0)</f>
        <v>0</v>
      </c>
      <c r="K84" s="39">
        <f ca="1">IFERROR(__xludf.DUMMYFUNCTION("IF(SUM(COUNTIF(artists!E:E, SPLIT(D84, "",""))) &gt; 0, ""OTHER"", 0)"),0)</f>
        <v>0</v>
      </c>
    </row>
    <row r="85" spans="1:11" ht="14.25" customHeight="1">
      <c r="A85" s="21">
        <v>84</v>
      </c>
      <c r="B85" s="21">
        <v>81</v>
      </c>
      <c r="C85" s="21" t="s">
        <v>708</v>
      </c>
      <c r="D85" s="21" t="s">
        <v>709</v>
      </c>
      <c r="E85" s="21">
        <v>3</v>
      </c>
      <c r="F85" s="21">
        <v>148668</v>
      </c>
      <c r="G85" s="42">
        <v>-0.246</v>
      </c>
      <c r="H85" s="21" t="s">
        <v>710</v>
      </c>
      <c r="I85" s="39">
        <f ca="1">IFERROR(__xludf.DUMMYFUNCTION("IF(SUM(COUNTIF(artists!A:A, SPLIT(D85, "",""))) &gt; 0, ""UA"", 0)"),0)</f>
        <v>0</v>
      </c>
      <c r="J85" s="40" t="str">
        <f ca="1">IFERROR(__xludf.DUMMYFUNCTION("IF(SUM(COUNTIF(artists!C:C, SPLIT(D85, "",""))) &gt; 0, ""RU"", 0)"),"RU")</f>
        <v>RU</v>
      </c>
      <c r="K85" s="39">
        <f ca="1">IFERROR(__xludf.DUMMYFUNCTION("IF(SUM(COUNTIF(artists!E:E, SPLIT(D85, "",""))) &gt; 0, ""OTHER"", 0)"),0)</f>
        <v>0</v>
      </c>
    </row>
    <row r="86" spans="1:11" ht="14.25" customHeight="1">
      <c r="A86" s="21">
        <v>85</v>
      </c>
      <c r="B86" s="21">
        <v>98</v>
      </c>
      <c r="C86" s="21" t="s">
        <v>622</v>
      </c>
      <c r="D86" s="21" t="s">
        <v>108</v>
      </c>
      <c r="E86" s="21">
        <v>6</v>
      </c>
      <c r="F86" s="21">
        <v>148291</v>
      </c>
      <c r="G86" s="42">
        <v>-0.192</v>
      </c>
      <c r="H86" s="21" t="s">
        <v>623</v>
      </c>
      <c r="I86" s="39" t="str">
        <f ca="1">IFERROR(__xludf.DUMMYFUNCTION("IF(SUM(COUNTIF(artists!A:A, SPLIT(D86, "",""))) &gt; 0, ""UA"", 0)"),"UA")</f>
        <v>UA</v>
      </c>
      <c r="J86" s="40">
        <f ca="1">IFERROR(__xludf.DUMMYFUNCTION("IF(SUM(COUNTIF(artists!C:C, SPLIT(D86, "",""))) &gt; 0, ""RU"", 0)"),0)</f>
        <v>0</v>
      </c>
      <c r="K86" s="39">
        <f ca="1">IFERROR(__xludf.DUMMYFUNCTION("IF(SUM(COUNTIF(artists!E:E, SPLIT(D86, "",""))) &gt; 0, ""OTHER"", 0)"),0)</f>
        <v>0</v>
      </c>
    </row>
    <row r="87" spans="1:11" ht="14.25" customHeight="1">
      <c r="A87" s="21">
        <v>86</v>
      </c>
      <c r="C87" s="21" t="s">
        <v>714</v>
      </c>
      <c r="D87" s="21" t="s">
        <v>715</v>
      </c>
      <c r="E87" s="21">
        <v>1</v>
      </c>
      <c r="F87" s="21">
        <v>145647</v>
      </c>
      <c r="H87" s="21" t="s">
        <v>716</v>
      </c>
      <c r="I87" s="39" t="str">
        <f ca="1">IFERROR(__xludf.DUMMYFUNCTION("IF(SUM(COUNTIF(artists!A:A, SPLIT(D87, "",""))) &gt; 0, ""UA"", 0)"),"UA")</f>
        <v>UA</v>
      </c>
      <c r="J87" s="40">
        <f ca="1">IFERROR(__xludf.DUMMYFUNCTION("IF(SUM(COUNTIF(artists!C:C, SPLIT(D87, "",""))) &gt; 0, ""RU"", 0)"),0)</f>
        <v>0</v>
      </c>
      <c r="K87" s="39">
        <f ca="1">IFERROR(__xludf.DUMMYFUNCTION("IF(SUM(COUNTIF(artists!E:E, SPLIT(D87, "",""))) &gt; 0, ""OTHER"", 0)"),0)</f>
        <v>0</v>
      </c>
    </row>
    <row r="88" spans="1:11" ht="14.25" customHeight="1">
      <c r="A88" s="21">
        <v>87</v>
      </c>
      <c r="B88" s="21">
        <v>99</v>
      </c>
      <c r="C88" s="21" t="s">
        <v>861</v>
      </c>
      <c r="D88" s="21" t="s">
        <v>862</v>
      </c>
      <c r="E88" s="21">
        <v>6</v>
      </c>
      <c r="F88" s="21">
        <v>144227</v>
      </c>
      <c r="G88" s="42">
        <v>-0.20899999999999999</v>
      </c>
      <c r="H88" s="21" t="s">
        <v>327</v>
      </c>
      <c r="I88" s="39" t="str">
        <f ca="1">IFERROR(__xludf.DUMMYFUNCTION("IF(SUM(COUNTIF(artists!A:A, SPLIT(D88, "",""))) &gt; 0, ""UA"", 0)"),"UA")</f>
        <v>UA</v>
      </c>
      <c r="J88" s="40">
        <f ca="1">IFERROR(__xludf.DUMMYFUNCTION("IF(SUM(COUNTIF(artists!C:C, SPLIT(D88, "",""))) &gt; 0, ""RU"", 0)"),0)</f>
        <v>0</v>
      </c>
      <c r="K88" s="39">
        <f ca="1">IFERROR(__xludf.DUMMYFUNCTION("IF(SUM(COUNTIF(artists!E:E, SPLIT(D88, "",""))) &gt; 0, ""OTHER"", 0)"),0)</f>
        <v>0</v>
      </c>
    </row>
    <row r="89" spans="1:11" ht="14.25" customHeight="1">
      <c r="A89" s="21">
        <v>88</v>
      </c>
      <c r="C89" s="21" t="s">
        <v>282</v>
      </c>
      <c r="D89" s="21" t="s">
        <v>85</v>
      </c>
      <c r="E89" s="21">
        <v>6</v>
      </c>
      <c r="F89" s="21">
        <v>138896</v>
      </c>
      <c r="H89" s="21" t="s">
        <v>283</v>
      </c>
      <c r="I89" s="39" t="str">
        <f ca="1">IFERROR(__xludf.DUMMYFUNCTION("IF(SUM(COUNTIF(artists!A:A, SPLIT(D89, "",""))) &gt; 0, ""UA"", 0)"),"UA")</f>
        <v>UA</v>
      </c>
      <c r="J89" s="40">
        <f ca="1">IFERROR(__xludf.DUMMYFUNCTION("IF(SUM(COUNTIF(artists!C:C, SPLIT(D89, "",""))) &gt; 0, ""RU"", 0)"),0)</f>
        <v>0</v>
      </c>
      <c r="K89" s="39">
        <f ca="1">IFERROR(__xludf.DUMMYFUNCTION("IF(SUM(COUNTIF(artists!E:E, SPLIT(D89, "",""))) &gt; 0, ""OTHER"", 0)"),0)</f>
        <v>0</v>
      </c>
    </row>
    <row r="90" spans="1:11" ht="14.25" customHeight="1">
      <c r="A90" s="21">
        <v>89</v>
      </c>
      <c r="B90" s="21">
        <v>35</v>
      </c>
      <c r="C90" s="21" t="s">
        <v>863</v>
      </c>
      <c r="D90" s="21" t="s">
        <v>864</v>
      </c>
      <c r="E90" s="21">
        <v>7</v>
      </c>
      <c r="F90" s="21">
        <v>138865</v>
      </c>
      <c r="G90" s="42">
        <v>-0.57299999999999995</v>
      </c>
      <c r="H90" s="21" t="s">
        <v>865</v>
      </c>
      <c r="I90" s="39" t="str">
        <f ca="1">IFERROR(__xludf.DUMMYFUNCTION("IF(SUM(COUNTIF(artists!A:A, SPLIT(D90, "",""))) &gt; 0, ""UA"", 0)"),"UA")</f>
        <v>UA</v>
      </c>
      <c r="J90" s="40">
        <f ca="1">IFERROR(__xludf.DUMMYFUNCTION("IF(SUM(COUNTIF(artists!C:C, SPLIT(D90, "",""))) &gt; 0, ""RU"", 0)"),0)</f>
        <v>0</v>
      </c>
      <c r="K90" s="39">
        <f ca="1">IFERROR(__xludf.DUMMYFUNCTION("IF(SUM(COUNTIF(artists!E:E, SPLIT(D90, "",""))) &gt; 0, ""OTHER"", 0)"),0)</f>
        <v>0</v>
      </c>
    </row>
    <row r="91" spans="1:11" ht="14.25" customHeight="1">
      <c r="A91" s="21">
        <v>90</v>
      </c>
      <c r="C91" s="21" t="s">
        <v>370</v>
      </c>
      <c r="D91" s="21" t="s">
        <v>222</v>
      </c>
      <c r="E91" s="21">
        <v>4</v>
      </c>
      <c r="F91" s="21">
        <v>138377</v>
      </c>
      <c r="H91" s="21" t="s">
        <v>372</v>
      </c>
      <c r="I91" s="39">
        <f ca="1">IFERROR(__xludf.DUMMYFUNCTION("IF(SUM(COUNTIF(artists!A:A, SPLIT(D91, "",""))) &gt; 0, ""UA"", 0)"),0)</f>
        <v>0</v>
      </c>
      <c r="J91" s="40">
        <f ca="1">IFERROR(__xludf.DUMMYFUNCTION("IF(SUM(COUNTIF(artists!C:C, SPLIT(D91, "",""))) &gt; 0, ""RU"", 0)"),0)</f>
        <v>0</v>
      </c>
      <c r="K91" s="39" t="str">
        <f ca="1">IFERROR(__xludf.DUMMYFUNCTION("IF(SUM(COUNTIF(artists!E:E, SPLIT(D91, "",""))) &gt; 0, ""OTHER"", 0)"),"OTHER")</f>
        <v>OTHER</v>
      </c>
    </row>
    <row r="92" spans="1:11" ht="14.25" customHeight="1">
      <c r="A92" s="21">
        <v>91</v>
      </c>
      <c r="C92" s="21" t="s">
        <v>866</v>
      </c>
      <c r="D92" s="21" t="s">
        <v>463</v>
      </c>
      <c r="E92" s="21">
        <v>1</v>
      </c>
      <c r="F92" s="21">
        <v>137851</v>
      </c>
      <c r="H92" s="21" t="s">
        <v>867</v>
      </c>
      <c r="I92" s="39" t="str">
        <f ca="1">IFERROR(__xludf.DUMMYFUNCTION("IF(SUM(COUNTIF(artists!A:A, SPLIT(D92, "",""))) &gt; 0, ""UA"", 0)"),"UA")</f>
        <v>UA</v>
      </c>
      <c r="J92" s="40">
        <f ca="1">IFERROR(__xludf.DUMMYFUNCTION("IF(SUM(COUNTIF(artists!C:C, SPLIT(D92, "",""))) &gt; 0, ""RU"", 0)"),0)</f>
        <v>0</v>
      </c>
      <c r="K92" s="39">
        <f ca="1">IFERROR(__xludf.DUMMYFUNCTION("IF(SUM(COUNTIF(artists!E:E, SPLIT(D92, "",""))) &gt; 0, ""OTHER"", 0)"),0)</f>
        <v>0</v>
      </c>
    </row>
    <row r="93" spans="1:11" ht="14.25" customHeight="1">
      <c r="A93" s="21">
        <v>92</v>
      </c>
      <c r="C93" s="21" t="s">
        <v>765</v>
      </c>
      <c r="D93" s="21" t="s">
        <v>766</v>
      </c>
      <c r="E93" s="21">
        <v>9</v>
      </c>
      <c r="F93" s="21">
        <v>137201</v>
      </c>
      <c r="H93" s="21" t="s">
        <v>768</v>
      </c>
      <c r="I93" s="39" t="str">
        <f ca="1">IFERROR(__xludf.DUMMYFUNCTION("IF(SUM(COUNTIF(artists!A:A, SPLIT(D93, "",""))) &gt; 0, ""UA"", 0)"),"UA")</f>
        <v>UA</v>
      </c>
      <c r="J93" s="40">
        <f ca="1">IFERROR(__xludf.DUMMYFUNCTION("IF(SUM(COUNTIF(artists!C:C, SPLIT(D93, "",""))) &gt; 0, ""RU"", 0)"),0)</f>
        <v>0</v>
      </c>
      <c r="K93" s="39">
        <f ca="1">IFERROR(__xludf.DUMMYFUNCTION("IF(SUM(COUNTIF(artists!E:E, SPLIT(D93, "",""))) &gt; 0, ""OTHER"", 0)"),0)</f>
        <v>0</v>
      </c>
    </row>
    <row r="94" spans="1:11" ht="14.25" customHeight="1">
      <c r="A94" s="21">
        <v>93</v>
      </c>
      <c r="B94" s="21">
        <v>91</v>
      </c>
      <c r="C94" s="21" t="s">
        <v>868</v>
      </c>
      <c r="D94" s="21" t="s">
        <v>869</v>
      </c>
      <c r="E94" s="21">
        <v>20</v>
      </c>
      <c r="F94" s="21">
        <v>137126</v>
      </c>
      <c r="G94" s="42">
        <v>-0.27500000000000002</v>
      </c>
      <c r="H94" s="21" t="s">
        <v>870</v>
      </c>
      <c r="I94" s="39">
        <f ca="1">IFERROR(__xludf.DUMMYFUNCTION("IF(SUM(COUNTIF(artists!A:A, SPLIT(D94, "",""))) &gt; 0, ""UA"", 0)"),0)</f>
        <v>0</v>
      </c>
      <c r="J94" s="40" t="str">
        <f ca="1">IFERROR(__xludf.DUMMYFUNCTION("IF(SUM(COUNTIF(artists!C:C, SPLIT(D94, "",""))) &gt; 0, ""RU"", 0)"),"RU")</f>
        <v>RU</v>
      </c>
      <c r="K94" s="39">
        <f ca="1">IFERROR(__xludf.DUMMYFUNCTION("IF(SUM(COUNTIF(artists!E:E, SPLIT(D94, "",""))) &gt; 0, ""OTHER"", 0)"),0)</f>
        <v>0</v>
      </c>
    </row>
    <row r="95" spans="1:11" ht="14.25" customHeight="1">
      <c r="A95" s="21">
        <v>94</v>
      </c>
      <c r="C95" s="21" t="s">
        <v>871</v>
      </c>
      <c r="D95" s="21" t="s">
        <v>872</v>
      </c>
      <c r="E95" s="21">
        <v>3</v>
      </c>
      <c r="F95" s="21">
        <v>136273</v>
      </c>
      <c r="H95" s="21" t="s">
        <v>873</v>
      </c>
      <c r="I95" s="39" t="str">
        <f ca="1">IFERROR(__xludf.DUMMYFUNCTION("IF(SUM(COUNTIF(artists!A:A, SPLIT(D95, "",""))) &gt; 0, ""UA"", 0)"),"UA")</f>
        <v>UA</v>
      </c>
      <c r="J95" s="40">
        <f ca="1">IFERROR(__xludf.DUMMYFUNCTION("IF(SUM(COUNTIF(artists!C:C, SPLIT(D95, "",""))) &gt; 0, ""RU"", 0)"),0)</f>
        <v>0</v>
      </c>
      <c r="K95" s="39">
        <f ca="1">IFERROR(__xludf.DUMMYFUNCTION("IF(SUM(COUNTIF(artists!E:E, SPLIT(D95, "",""))) &gt; 0, ""OTHER"", 0)"),0)</f>
        <v>0</v>
      </c>
    </row>
    <row r="96" spans="1:11" ht="14.25" customHeight="1">
      <c r="A96" s="21">
        <v>95</v>
      </c>
      <c r="B96" s="21">
        <v>77</v>
      </c>
      <c r="C96" s="21" t="s">
        <v>316</v>
      </c>
      <c r="D96" s="21" t="s">
        <v>317</v>
      </c>
      <c r="E96" s="21">
        <v>10</v>
      </c>
      <c r="F96" s="21">
        <v>136184</v>
      </c>
      <c r="G96" s="42">
        <v>-0.34399999999999997</v>
      </c>
      <c r="H96" s="21" t="s">
        <v>319</v>
      </c>
      <c r="I96" s="39" t="str">
        <f ca="1">IFERROR(__xludf.DUMMYFUNCTION("IF(SUM(COUNTIF(artists!A:A, SPLIT(D96, "",""))) &gt; 0, ""UA"", 0)"),"UA")</f>
        <v>UA</v>
      </c>
      <c r="J96" s="40">
        <f ca="1">IFERROR(__xludf.DUMMYFUNCTION("IF(SUM(COUNTIF(artists!C:C, SPLIT(D96, "",""))) &gt; 0, ""RU"", 0)"),0)</f>
        <v>0</v>
      </c>
      <c r="K96" s="39">
        <f ca="1">IFERROR(__xludf.DUMMYFUNCTION("IF(SUM(COUNTIF(artists!E:E, SPLIT(D96, "",""))) &gt; 0, ""OTHER"", 0)"),0)</f>
        <v>0</v>
      </c>
    </row>
    <row r="97" spans="1:11" ht="14.25" customHeight="1">
      <c r="A97" s="21">
        <v>96</v>
      </c>
      <c r="C97" s="21" t="s">
        <v>772</v>
      </c>
      <c r="D97" s="21" t="s">
        <v>773</v>
      </c>
      <c r="E97" s="21">
        <v>12</v>
      </c>
      <c r="F97" s="21">
        <v>135989</v>
      </c>
      <c r="H97" s="21" t="s">
        <v>774</v>
      </c>
      <c r="I97" s="39" t="str">
        <f ca="1">IFERROR(__xludf.DUMMYFUNCTION("IF(SUM(COUNTIF(artists!A:A, SPLIT(D97, "",""))) &gt; 0, ""UA"", 0)"),"UA")</f>
        <v>UA</v>
      </c>
      <c r="J97" s="40">
        <f ca="1">IFERROR(__xludf.DUMMYFUNCTION("IF(SUM(COUNTIF(artists!C:C, SPLIT(D97, "",""))) &gt; 0, ""RU"", 0)"),0)</f>
        <v>0</v>
      </c>
      <c r="K97" s="39">
        <f ca="1">IFERROR(__xludf.DUMMYFUNCTION("IF(SUM(COUNTIF(artists!E:E, SPLIT(D97, "",""))) &gt; 0, ""OTHER"", 0)"),0)</f>
        <v>0</v>
      </c>
    </row>
    <row r="98" spans="1:11" ht="14.25" customHeight="1">
      <c r="A98" s="21">
        <v>97</v>
      </c>
      <c r="C98" s="21" t="s">
        <v>358</v>
      </c>
      <c r="D98" s="21" t="s">
        <v>359</v>
      </c>
      <c r="E98" s="21">
        <v>12</v>
      </c>
      <c r="F98" s="21">
        <v>135833</v>
      </c>
      <c r="H98" s="21" t="s">
        <v>361</v>
      </c>
      <c r="I98" s="39">
        <f ca="1">IFERROR(__xludf.DUMMYFUNCTION("IF(SUM(COUNTIF(artists!A:A, SPLIT(D98, "",""))) &gt; 0, ""UA"", 0)"),0)</f>
        <v>0</v>
      </c>
      <c r="J98" s="40">
        <f ca="1">IFERROR(__xludf.DUMMYFUNCTION("IF(SUM(COUNTIF(artists!C:C, SPLIT(D98, "",""))) &gt; 0, ""RU"", 0)"),0)</f>
        <v>0</v>
      </c>
      <c r="K98" s="39" t="str">
        <f ca="1">IFERROR(__xludf.DUMMYFUNCTION("IF(SUM(COUNTIF(artists!E:E, SPLIT(D98, "",""))) &gt; 0, ""OTHER"", 0)"),"OTHER")</f>
        <v>OTHER</v>
      </c>
    </row>
    <row r="99" spans="1:11" ht="14.25" customHeight="1">
      <c r="A99" s="21">
        <v>98</v>
      </c>
      <c r="C99" s="21" t="s">
        <v>720</v>
      </c>
      <c r="D99" s="21" t="s">
        <v>721</v>
      </c>
      <c r="E99" s="21">
        <v>3</v>
      </c>
      <c r="F99" s="21">
        <v>135311</v>
      </c>
      <c r="H99" s="21" t="s">
        <v>722</v>
      </c>
      <c r="I99" s="39" t="str">
        <f ca="1">IFERROR(__xludf.DUMMYFUNCTION("IF(SUM(COUNTIF(artists!A:A, SPLIT(D99, "",""))) &gt; 0, ""UA"", 0)"),"UA")</f>
        <v>UA</v>
      </c>
      <c r="J99" s="40">
        <f ca="1">IFERROR(__xludf.DUMMYFUNCTION("IF(SUM(COUNTIF(artists!C:C, SPLIT(D99, "",""))) &gt; 0, ""RU"", 0)"),0)</f>
        <v>0</v>
      </c>
      <c r="K99" s="39">
        <f ca="1">IFERROR(__xludf.DUMMYFUNCTION("IF(SUM(COUNTIF(artists!E:E, SPLIT(D99, "",""))) &gt; 0, ""OTHER"", 0)"),0)</f>
        <v>0</v>
      </c>
    </row>
    <row r="100" spans="1:11" ht="14.25" customHeight="1">
      <c r="A100" s="21">
        <v>99</v>
      </c>
      <c r="C100" s="21" t="s">
        <v>418</v>
      </c>
      <c r="D100" s="21" t="s">
        <v>419</v>
      </c>
      <c r="E100" s="21">
        <v>9</v>
      </c>
      <c r="F100" s="21">
        <v>135244</v>
      </c>
      <c r="H100" s="21" t="s">
        <v>420</v>
      </c>
      <c r="I100" s="39">
        <f ca="1">IFERROR(__xludf.DUMMYFUNCTION("IF(SUM(COUNTIF(artists!A:A, SPLIT(D100, "",""))) &gt; 0, ""UA"", 0)"),0)</f>
        <v>0</v>
      </c>
      <c r="J100" s="40">
        <f ca="1">IFERROR(__xludf.DUMMYFUNCTION("IF(SUM(COUNTIF(artists!C:C, SPLIT(D100, "",""))) &gt; 0, ""RU"", 0)"),0)</f>
        <v>0</v>
      </c>
      <c r="K100" s="39" t="str">
        <f ca="1">IFERROR(__xludf.DUMMYFUNCTION("IF(SUM(COUNTIF(artists!E:E, SPLIT(D100, "",""))) &gt; 0, ""OTHER"", 0)"),"OTHER")</f>
        <v>OTHER</v>
      </c>
    </row>
    <row r="101" spans="1:11" ht="14.25" customHeight="1">
      <c r="A101" s="21">
        <v>100</v>
      </c>
      <c r="C101" s="21" t="s">
        <v>874</v>
      </c>
      <c r="D101" s="21" t="s">
        <v>108</v>
      </c>
      <c r="E101" s="21">
        <v>17</v>
      </c>
      <c r="F101" s="21">
        <v>134885</v>
      </c>
      <c r="H101" s="21" t="s">
        <v>875</v>
      </c>
      <c r="I101" s="39" t="str">
        <f ca="1">IFERROR(__xludf.DUMMYFUNCTION("IF(SUM(COUNTIF(artists!A:A, SPLIT(D101, "",""))) &gt; 0, ""UA"", 0)"),"UA")</f>
        <v>UA</v>
      </c>
      <c r="J101" s="40">
        <f ca="1">IFERROR(__xludf.DUMMYFUNCTION("IF(SUM(COUNTIF(artists!C:C, SPLIT(D101, "",""))) &gt; 0, ""RU"", 0)"),0)</f>
        <v>0</v>
      </c>
      <c r="K101" s="39">
        <f ca="1">IFERROR(__xludf.DUMMYFUNCTION("IF(SUM(COUNTIF(artists!E:E, SPLIT(D101, "",""))) &gt; 0, ""OTHER"", 0)"),0)</f>
        <v>0</v>
      </c>
    </row>
    <row r="102" spans="1:11" ht="14.25" customHeight="1">
      <c r="I102" s="19"/>
      <c r="J102" s="10"/>
      <c r="K102" s="19"/>
    </row>
    <row r="103" spans="1:11" ht="14.25" customHeight="1">
      <c r="I103" s="19"/>
      <c r="J103" s="19"/>
      <c r="K103" s="10"/>
    </row>
    <row r="104" spans="1:11" ht="14.25" customHeight="1">
      <c r="I104" s="19"/>
      <c r="J104" s="19"/>
      <c r="K104" s="10"/>
    </row>
    <row r="105" spans="1:11" ht="14.25" customHeight="1">
      <c r="I105" s="19"/>
      <c r="J105" s="19"/>
      <c r="K105" s="10"/>
    </row>
    <row r="106" spans="1:11" ht="14.25" customHeight="1">
      <c r="I106" s="19"/>
      <c r="J106" s="19"/>
      <c r="K106" s="10"/>
    </row>
    <row r="107" spans="1:11" ht="14.25" customHeight="1">
      <c r="I107" s="10"/>
      <c r="J107" s="19"/>
      <c r="K107" s="19"/>
    </row>
    <row r="108" spans="1:11" ht="14.25" customHeight="1">
      <c r="I108" s="19"/>
      <c r="J108" s="19"/>
      <c r="K108" s="10"/>
    </row>
    <row r="109" spans="1:11" ht="14.25" customHeight="1">
      <c r="I109" s="19"/>
      <c r="J109" s="19"/>
      <c r="K109" s="10"/>
    </row>
    <row r="110" spans="1:11" ht="14.25" customHeight="1">
      <c r="I110" s="19"/>
      <c r="J110" s="19"/>
      <c r="K110" s="10"/>
    </row>
    <row r="111" spans="1:11" ht="14.25" customHeight="1">
      <c r="I111" s="10"/>
      <c r="J111" s="19"/>
      <c r="K111" s="19"/>
    </row>
    <row r="112" spans="1:11" ht="14.25" customHeight="1">
      <c r="I112" s="19"/>
      <c r="J112" s="19"/>
      <c r="K112" s="10"/>
    </row>
    <row r="113" spans="9:11" ht="14.25" customHeight="1">
      <c r="I113" s="19"/>
      <c r="J113" s="10"/>
      <c r="K113" s="19"/>
    </row>
    <row r="114" spans="9:11" ht="14.25" customHeight="1">
      <c r="I114" s="19"/>
      <c r="J114" s="10"/>
      <c r="K114" s="19"/>
    </row>
    <row r="115" spans="9:11" ht="14.25" customHeight="1">
      <c r="I115" s="19"/>
      <c r="J115" s="10"/>
      <c r="K115" s="19"/>
    </row>
    <row r="116" spans="9:11" ht="14.25" customHeight="1">
      <c r="I116" s="19"/>
      <c r="J116" s="10"/>
      <c r="K116" s="19"/>
    </row>
    <row r="117" spans="9:11" ht="14.25" customHeight="1">
      <c r="I117" s="10"/>
      <c r="J117" s="19"/>
      <c r="K117" s="19"/>
    </row>
    <row r="118" spans="9:11" ht="14.25" customHeight="1">
      <c r="I118" s="19"/>
      <c r="J118" s="19"/>
      <c r="K118" s="10"/>
    </row>
    <row r="119" spans="9:11" ht="14.25" customHeight="1">
      <c r="I119" s="19"/>
      <c r="J119" s="10"/>
      <c r="K119" s="19"/>
    </row>
    <row r="120" spans="9:11" ht="14.25" customHeight="1">
      <c r="I120" s="19"/>
      <c r="J120" s="19"/>
      <c r="K120" s="10"/>
    </row>
    <row r="121" spans="9:11" ht="14.25" customHeight="1">
      <c r="I121" s="19"/>
      <c r="J121" s="10"/>
      <c r="K121" s="19"/>
    </row>
    <row r="122" spans="9:11" ht="14.25" customHeight="1">
      <c r="I122" s="19"/>
      <c r="J122" s="10"/>
      <c r="K122" s="19"/>
    </row>
    <row r="123" spans="9:11" ht="14.25" customHeight="1">
      <c r="I123" s="19"/>
      <c r="J123" s="19"/>
      <c r="K123" s="10"/>
    </row>
    <row r="124" spans="9:11" ht="14.25" customHeight="1">
      <c r="I124" s="10"/>
      <c r="J124" s="19"/>
      <c r="K124" s="19"/>
    </row>
    <row r="125" spans="9:11" ht="14.25" customHeight="1">
      <c r="I125" s="10"/>
      <c r="J125" s="19"/>
      <c r="K125" s="19"/>
    </row>
    <row r="126" spans="9:11" ht="14.25" customHeight="1">
      <c r="I126" s="19"/>
      <c r="J126" s="10"/>
      <c r="K126" s="19"/>
    </row>
    <row r="127" spans="9:11" ht="14.25" customHeight="1">
      <c r="I127" s="10"/>
      <c r="J127" s="19"/>
      <c r="K127" s="19"/>
    </row>
    <row r="128" spans="9:11" ht="14.25" customHeight="1">
      <c r="I128" s="19"/>
      <c r="J128" s="19"/>
      <c r="K128" s="10"/>
    </row>
    <row r="129" spans="9:11" ht="14.25" customHeight="1">
      <c r="I129" s="19"/>
      <c r="J129" s="10"/>
      <c r="K129" s="19"/>
    </row>
    <row r="130" spans="9:11" ht="14.25" customHeight="1">
      <c r="I130" s="19"/>
      <c r="J130" s="10"/>
      <c r="K130" s="19"/>
    </row>
    <row r="131" spans="9:11" ht="14.25" customHeight="1">
      <c r="I131" s="19"/>
      <c r="J131" s="19"/>
      <c r="K131" s="10"/>
    </row>
    <row r="132" spans="9:11" ht="14.25" customHeight="1">
      <c r="I132" s="10"/>
      <c r="J132" s="19"/>
      <c r="K132" s="19"/>
    </row>
    <row r="133" spans="9:11" ht="14.25" customHeight="1">
      <c r="I133" s="19"/>
      <c r="J133" s="19"/>
      <c r="K133" s="10"/>
    </row>
    <row r="134" spans="9:11" ht="14.25" customHeight="1">
      <c r="I134" s="19"/>
      <c r="J134" s="10"/>
      <c r="K134" s="19"/>
    </row>
    <row r="135" spans="9:11" ht="14.25" customHeight="1">
      <c r="I135" s="10"/>
      <c r="J135" s="19"/>
      <c r="K135" s="19"/>
    </row>
    <row r="136" spans="9:11" ht="14.25" customHeight="1">
      <c r="I136" s="10"/>
      <c r="J136" s="19"/>
      <c r="K136" s="19"/>
    </row>
    <row r="137" spans="9:11" ht="14.25" customHeight="1">
      <c r="I137" s="19"/>
      <c r="J137" s="19"/>
      <c r="K137" s="10"/>
    </row>
    <row r="138" spans="9:11" ht="14.25" customHeight="1">
      <c r="I138" s="19"/>
      <c r="J138" s="10"/>
      <c r="K138" s="19"/>
    </row>
    <row r="139" spans="9:11" ht="14.25" customHeight="1">
      <c r="I139" s="10"/>
      <c r="J139" s="19"/>
      <c r="K139" s="19"/>
    </row>
    <row r="140" spans="9:11" ht="14.25" customHeight="1">
      <c r="I140" s="19"/>
      <c r="J140" s="19"/>
      <c r="K140" s="10"/>
    </row>
    <row r="141" spans="9:11" ht="14.25" customHeight="1">
      <c r="I141" s="19"/>
      <c r="J141" s="10"/>
      <c r="K141" s="19"/>
    </row>
    <row r="142" spans="9:11" ht="14.25" customHeight="1">
      <c r="I142" s="19"/>
      <c r="J142" s="10"/>
      <c r="K142" s="19"/>
    </row>
    <row r="143" spans="9:11" ht="14.25" customHeight="1">
      <c r="I143" s="19"/>
      <c r="J143" s="19"/>
      <c r="K143" s="10"/>
    </row>
    <row r="144" spans="9:11" ht="14.25" customHeight="1">
      <c r="I144" s="19"/>
      <c r="J144" s="10"/>
      <c r="K144" s="19"/>
    </row>
    <row r="145" spans="9:11" ht="14.25" customHeight="1">
      <c r="I145" s="19"/>
      <c r="J145" s="19"/>
      <c r="K145" s="10"/>
    </row>
    <row r="146" spans="9:11" ht="14.25" customHeight="1">
      <c r="I146" s="19"/>
      <c r="J146" s="19"/>
      <c r="K146" s="10"/>
    </row>
    <row r="147" spans="9:11" ht="14.25" customHeight="1">
      <c r="I147" s="10"/>
      <c r="J147" s="19"/>
      <c r="K147" s="19"/>
    </row>
    <row r="148" spans="9:11" ht="14.25" customHeight="1">
      <c r="I148" s="19"/>
      <c r="J148" s="10"/>
      <c r="K148" s="19"/>
    </row>
    <row r="149" spans="9:11" ht="14.25" customHeight="1">
      <c r="I149" s="10"/>
      <c r="J149" s="19"/>
      <c r="K149" s="19"/>
    </row>
    <row r="150" spans="9:11" ht="14.25" customHeight="1">
      <c r="I150" s="10"/>
      <c r="J150" s="19"/>
      <c r="K150" s="19"/>
    </row>
    <row r="151" spans="9:11" ht="14.25" customHeight="1">
      <c r="I151" s="10"/>
      <c r="J151" s="19"/>
      <c r="K151" s="19"/>
    </row>
    <row r="152" spans="9:11" ht="14.25" customHeight="1">
      <c r="I152" s="10"/>
      <c r="J152" s="19"/>
      <c r="K152" s="19"/>
    </row>
    <row r="153" spans="9:11" ht="14.25" customHeight="1">
      <c r="I153" s="10"/>
      <c r="J153" s="19"/>
      <c r="K153" s="19"/>
    </row>
    <row r="154" spans="9:11" ht="14.25" customHeight="1">
      <c r="I154" s="19"/>
      <c r="J154" s="10"/>
      <c r="K154" s="19"/>
    </row>
    <row r="155" spans="9:11" ht="14.25" customHeight="1">
      <c r="I155" s="19"/>
      <c r="J155" s="10"/>
      <c r="K155" s="19"/>
    </row>
    <row r="156" spans="9:11" ht="14.25" customHeight="1">
      <c r="I156" s="19"/>
      <c r="J156" s="10"/>
      <c r="K156" s="19"/>
    </row>
    <row r="157" spans="9:11" ht="14.25" customHeight="1">
      <c r="I157" s="19"/>
      <c r="J157" s="19"/>
      <c r="K157" s="10"/>
    </row>
    <row r="158" spans="9:11" ht="14.25" customHeight="1">
      <c r="I158" s="19"/>
      <c r="J158" s="19"/>
      <c r="K158" s="10"/>
    </row>
    <row r="159" spans="9:11" ht="14.25" customHeight="1">
      <c r="I159" s="19"/>
      <c r="J159" s="10"/>
      <c r="K159" s="19"/>
    </row>
    <row r="160" spans="9:11" ht="14.25" customHeight="1">
      <c r="I160" s="19"/>
      <c r="J160" s="10"/>
      <c r="K160" s="19"/>
    </row>
    <row r="161" spans="9:11" ht="14.25" customHeight="1">
      <c r="I161" s="10"/>
      <c r="J161" s="19"/>
      <c r="K161" s="19"/>
    </row>
    <row r="162" spans="9:11" ht="14.25" customHeight="1">
      <c r="I162" s="10"/>
      <c r="J162" s="19"/>
      <c r="K162" s="19"/>
    </row>
    <row r="163" spans="9:11" ht="14.25" customHeight="1">
      <c r="I163" s="19"/>
      <c r="J163" s="19"/>
      <c r="K163" s="10"/>
    </row>
    <row r="164" spans="9:11" ht="14.25" customHeight="1">
      <c r="I164" s="19"/>
      <c r="J164" s="10"/>
      <c r="K164" s="19"/>
    </row>
    <row r="165" spans="9:11" ht="14.25" customHeight="1">
      <c r="I165" s="10"/>
      <c r="J165" s="19"/>
      <c r="K165" s="19"/>
    </row>
    <row r="166" spans="9:11" ht="14.25" customHeight="1">
      <c r="I166" s="19"/>
      <c r="J166" s="10"/>
      <c r="K166" s="19"/>
    </row>
    <row r="167" spans="9:11" ht="14.25" customHeight="1">
      <c r="I167" s="10"/>
      <c r="J167" s="19"/>
      <c r="K167" s="19"/>
    </row>
    <row r="168" spans="9:11" ht="14.25" customHeight="1">
      <c r="I168" s="10"/>
      <c r="J168" s="19"/>
      <c r="K168" s="19"/>
    </row>
    <row r="169" spans="9:11" ht="14.25" customHeight="1">
      <c r="I169" s="10"/>
      <c r="J169" s="19"/>
      <c r="K169" s="19"/>
    </row>
    <row r="170" spans="9:11" ht="14.25" customHeight="1">
      <c r="I170" s="10"/>
      <c r="J170" s="19"/>
      <c r="K170" s="19"/>
    </row>
    <row r="171" spans="9:11" ht="14.25" customHeight="1">
      <c r="I171" s="10"/>
      <c r="J171" s="19"/>
      <c r="K171" s="19"/>
    </row>
    <row r="172" spans="9:11" ht="14.25" customHeight="1">
      <c r="I172" s="10"/>
      <c r="J172" s="19"/>
      <c r="K172" s="19"/>
    </row>
    <row r="173" spans="9:11" ht="14.25" customHeight="1">
      <c r="I173" s="10"/>
      <c r="J173" s="19"/>
      <c r="K173" s="19"/>
    </row>
    <row r="174" spans="9:11" ht="14.25" customHeight="1">
      <c r="I174" s="19"/>
      <c r="J174" s="10"/>
      <c r="K174" s="19"/>
    </row>
    <row r="175" spans="9:11" ht="14.25" customHeight="1">
      <c r="I175" s="19"/>
      <c r="J175" s="10"/>
      <c r="K175" s="19"/>
    </row>
    <row r="176" spans="9:11" ht="14.25" customHeight="1">
      <c r="I176" s="19"/>
      <c r="J176" s="10"/>
      <c r="K176" s="19"/>
    </row>
    <row r="177" spans="9:11" ht="14.25" customHeight="1">
      <c r="I177" s="19"/>
      <c r="J177" s="10"/>
      <c r="K177" s="19"/>
    </row>
    <row r="178" spans="9:11" ht="14.25" customHeight="1">
      <c r="I178" s="19"/>
      <c r="J178" s="10"/>
      <c r="K178" s="19"/>
    </row>
    <row r="179" spans="9:11" ht="14.25" customHeight="1">
      <c r="I179" s="10"/>
      <c r="J179" s="19"/>
      <c r="K179" s="19"/>
    </row>
    <row r="180" spans="9:11" ht="14.25" customHeight="1">
      <c r="I180" s="19"/>
      <c r="J180" s="10"/>
      <c r="K180" s="19"/>
    </row>
    <row r="181" spans="9:11" ht="14.25" customHeight="1">
      <c r="I181" s="19"/>
      <c r="J181" s="10"/>
      <c r="K181" s="19"/>
    </row>
    <row r="182" spans="9:11" ht="14.25" customHeight="1">
      <c r="I182" s="10"/>
      <c r="J182" s="19"/>
      <c r="K182" s="19"/>
    </row>
    <row r="183" spans="9:11" ht="14.25" customHeight="1">
      <c r="I183" s="19"/>
      <c r="J183" s="19"/>
      <c r="K183" s="10"/>
    </row>
    <row r="184" spans="9:11" ht="14.25" customHeight="1">
      <c r="I184" s="19"/>
      <c r="J184" s="19"/>
      <c r="K184" s="10"/>
    </row>
    <row r="185" spans="9:11" ht="14.25" customHeight="1">
      <c r="I185" s="19"/>
      <c r="J185" s="19"/>
      <c r="K185" s="10"/>
    </row>
    <row r="186" spans="9:11" ht="14.25" customHeight="1">
      <c r="I186" s="10"/>
      <c r="J186" s="19"/>
      <c r="K186" s="19"/>
    </row>
    <row r="187" spans="9:11" ht="14.25" customHeight="1">
      <c r="I187" s="10"/>
      <c r="J187" s="19"/>
      <c r="K187" s="19"/>
    </row>
    <row r="188" spans="9:11" ht="14.25" customHeight="1">
      <c r="I188" s="19"/>
      <c r="J188" s="10"/>
      <c r="K188" s="19"/>
    </row>
    <row r="189" spans="9:11" ht="14.25" customHeight="1">
      <c r="I189" s="19"/>
      <c r="J189" s="10"/>
      <c r="K189" s="19"/>
    </row>
    <row r="190" spans="9:11" ht="14.25" customHeight="1">
      <c r="I190" s="19"/>
      <c r="J190" s="19"/>
      <c r="K190" s="10"/>
    </row>
    <row r="191" spans="9:11" ht="14.25" customHeight="1">
      <c r="I191" s="19"/>
      <c r="J191" s="10"/>
      <c r="K191" s="19"/>
    </row>
    <row r="192" spans="9:11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</sheetData>
  <conditionalFormatting sqref="I2:K101">
    <cfRule type="expression" dxfId="107" priority="1">
      <formula>AND($I2=0, $J2=0, $K2=0)</formula>
    </cfRule>
    <cfRule type="expression" dxfId="106" priority="2">
      <formula>OR(AND($I2&lt;&gt;0, $J2&lt;&gt;0), AND($I2&lt;&gt;0, $K2&lt;&gt;0), AND($J2&lt;&gt;0, $K2&lt;&gt;0))</formula>
    </cfRule>
  </conditionalFormatting>
  <pageMargins left="0.75" right="0.75" top="1" bottom="1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62</vt:i4>
      </vt:variant>
    </vt:vector>
  </HeadingPairs>
  <TitlesOfParts>
    <vt:vector size="62" baseType="lpstr">
      <vt:lpstr>all data</vt:lpstr>
      <vt:lpstr>artists</vt:lpstr>
      <vt:lpstr>23week8</vt:lpstr>
      <vt:lpstr>23week7</vt:lpstr>
      <vt:lpstr>23week6</vt:lpstr>
      <vt:lpstr>23week5</vt:lpstr>
      <vt:lpstr>23week4</vt:lpstr>
      <vt:lpstr>23week3</vt:lpstr>
      <vt:lpstr>23week2</vt:lpstr>
      <vt:lpstr>23week1</vt:lpstr>
      <vt:lpstr>week52</vt:lpstr>
      <vt:lpstr>week51</vt:lpstr>
      <vt:lpstr>week50</vt:lpstr>
      <vt:lpstr>week49</vt:lpstr>
      <vt:lpstr>week48</vt:lpstr>
      <vt:lpstr>week47</vt:lpstr>
      <vt:lpstr>week46</vt:lpstr>
      <vt:lpstr>week45</vt:lpstr>
      <vt:lpstr>week44</vt:lpstr>
      <vt:lpstr>week43</vt:lpstr>
      <vt:lpstr>week42</vt:lpstr>
      <vt:lpstr>week41</vt:lpstr>
      <vt:lpstr>week40</vt:lpstr>
      <vt:lpstr>week39</vt:lpstr>
      <vt:lpstr>week38</vt:lpstr>
      <vt:lpstr>week37</vt:lpstr>
      <vt:lpstr>week36</vt:lpstr>
      <vt:lpstr>week35</vt:lpstr>
      <vt:lpstr>week34</vt:lpstr>
      <vt:lpstr>week33</vt:lpstr>
      <vt:lpstr>week32</vt:lpstr>
      <vt:lpstr>week31</vt:lpstr>
      <vt:lpstr>week30</vt:lpstr>
      <vt:lpstr>week29</vt:lpstr>
      <vt:lpstr>week28</vt:lpstr>
      <vt:lpstr>week27</vt:lpstr>
      <vt:lpstr>week26</vt:lpstr>
      <vt:lpstr>week25</vt:lpstr>
      <vt:lpstr>week24</vt:lpstr>
      <vt:lpstr>week23</vt:lpstr>
      <vt:lpstr>week22</vt:lpstr>
      <vt:lpstr>week21</vt:lpstr>
      <vt:lpstr>week20</vt:lpstr>
      <vt:lpstr>week19</vt:lpstr>
      <vt:lpstr>week18</vt:lpstr>
      <vt:lpstr>week17</vt:lpstr>
      <vt:lpstr>week16</vt:lpstr>
      <vt:lpstr>week15</vt:lpstr>
      <vt:lpstr>week14</vt:lpstr>
      <vt:lpstr>week13</vt:lpstr>
      <vt:lpstr>week12</vt:lpstr>
      <vt:lpstr>week11</vt:lpstr>
      <vt:lpstr>week10</vt:lpstr>
      <vt:lpstr>week9</vt:lpstr>
      <vt:lpstr>week8</vt:lpstr>
      <vt:lpstr>week7</vt:lpstr>
      <vt:lpstr>week6</vt:lpstr>
      <vt:lpstr>week5</vt:lpstr>
      <vt:lpstr>week4</vt:lpstr>
      <vt:lpstr>week3</vt:lpstr>
      <vt:lpstr>week2</vt:lpstr>
      <vt:lpstr>week1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Oleh Hebura</cp:lastModifiedBy>
  <dcterms:modified xsi:type="dcterms:W3CDTF">2023-04-29T10:36:02Z</dcterms:modified>
</cp:coreProperties>
</file>