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xr:revisionPtr revIDLastSave="0" documentId="8_{F0111A07-5157-442F-826D-7F65E7BB7B49}" xr6:coauthVersionLast="47" xr6:coauthVersionMax="47" xr10:uidLastSave="{00000000-0000-0000-0000-000000000000}"/>
  <bookViews>
    <workbookView xWindow="240" yWindow="15" windowWidth="16095" windowHeight="9660" firstSheet="1" activeTab="1" xr2:uid="{00000000-000D-0000-FFFF-FFFF00000000}"/>
  </bookViews>
  <sheets>
    <sheet name="PARAMETRES" sheetId="1" r:id="rId1"/>
    <sheet name="DATA" sheetId="2" r:id="rId2"/>
    <sheet name="CALCULS" sheetId="3" r:id="rId3"/>
    <sheet name="DASHBOARD" sheetId="4" r:id="rId4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3" l="1"/>
  <c r="N52" i="3"/>
  <c r="N59" i="3"/>
  <c r="A59" i="3"/>
  <c r="N58" i="3"/>
  <c r="A58" i="3"/>
  <c r="N57" i="3"/>
  <c r="A57" i="3"/>
  <c r="N56" i="3"/>
  <c r="A56" i="3"/>
  <c r="N55" i="3"/>
  <c r="A55" i="3"/>
  <c r="N54" i="3"/>
  <c r="A54" i="3"/>
  <c r="N53" i="3"/>
  <c r="A53" i="3"/>
  <c r="A52" i="3"/>
  <c r="N51" i="3"/>
  <c r="A51" i="3"/>
  <c r="N50" i="3"/>
  <c r="A50" i="3"/>
  <c r="N49" i="3"/>
  <c r="A49" i="3"/>
  <c r="N48" i="3"/>
  <c r="A48" i="3"/>
  <c r="N47" i="3"/>
  <c r="A47" i="3"/>
  <c r="N46" i="3"/>
  <c r="A46" i="3"/>
  <c r="A45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B3" i="3"/>
  <c r="C6" i="4" s="1"/>
  <c r="B2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O10" i="3" s="1"/>
  <c r="O46" i="3" l="1"/>
  <c r="O58" i="3"/>
  <c r="O59" i="3"/>
  <c r="O47" i="3"/>
  <c r="O48" i="3"/>
  <c r="O49" i="3"/>
  <c r="O50" i="3"/>
  <c r="O51" i="3"/>
  <c r="O52" i="3"/>
  <c r="O53" i="3"/>
  <c r="O54" i="3"/>
  <c r="O55" i="3"/>
  <c r="O56" i="3"/>
  <c r="O57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B6" i="4"/>
  <c r="B4" i="3"/>
  <c r="D6" i="4" s="1"/>
  <c r="AX10" i="3"/>
  <c r="AW10" i="3"/>
  <c r="AV10" i="3"/>
  <c r="AR10" i="3"/>
  <c r="AQ10" i="3"/>
  <c r="AM10" i="3"/>
  <c r="AL10" i="3"/>
  <c r="AK10" i="3"/>
  <c r="AG10" i="3"/>
  <c r="AF10" i="3"/>
  <c r="F10" i="3"/>
  <c r="C10" i="3"/>
  <c r="B10" i="3"/>
  <c r="AX11" i="3"/>
  <c r="AW11" i="3"/>
  <c r="AV11" i="3"/>
  <c r="AR11" i="3"/>
  <c r="AQ11" i="3"/>
  <c r="AM11" i="3"/>
  <c r="AL11" i="3"/>
  <c r="AK11" i="3"/>
  <c r="AG11" i="3"/>
  <c r="AF11" i="3"/>
  <c r="F11" i="3"/>
  <c r="C11" i="3"/>
  <c r="B11" i="3"/>
  <c r="AX12" i="3"/>
  <c r="AW12" i="3"/>
  <c r="AV12" i="3"/>
  <c r="AR12" i="3"/>
  <c r="AQ12" i="3"/>
  <c r="AM12" i="3"/>
  <c r="AL12" i="3"/>
  <c r="AK12" i="3"/>
  <c r="AG12" i="3"/>
  <c r="AF12" i="3"/>
  <c r="F12" i="3"/>
  <c r="C12" i="3"/>
  <c r="B12" i="3"/>
  <c r="AX13" i="3"/>
  <c r="AW13" i="3"/>
  <c r="AV13" i="3"/>
  <c r="AR13" i="3"/>
  <c r="AQ13" i="3"/>
  <c r="AM13" i="3"/>
  <c r="AL13" i="3"/>
  <c r="AK13" i="3"/>
  <c r="AG13" i="3"/>
  <c r="AF13" i="3"/>
  <c r="F13" i="3"/>
  <c r="C13" i="3"/>
  <c r="B13" i="3"/>
  <c r="AX14" i="3"/>
  <c r="AW14" i="3"/>
  <c r="AV14" i="3"/>
  <c r="AR14" i="3"/>
  <c r="AQ14" i="3"/>
  <c r="AM14" i="3"/>
  <c r="AL14" i="3"/>
  <c r="AK14" i="3"/>
  <c r="AG14" i="3"/>
  <c r="AF14" i="3"/>
  <c r="F14" i="3"/>
  <c r="C14" i="3"/>
  <c r="B14" i="3"/>
  <c r="AX15" i="3"/>
  <c r="AW15" i="3"/>
  <c r="AV15" i="3"/>
  <c r="AR15" i="3"/>
  <c r="AQ15" i="3"/>
  <c r="AM15" i="3"/>
  <c r="AL15" i="3"/>
  <c r="AK15" i="3"/>
  <c r="AG15" i="3"/>
  <c r="AF15" i="3"/>
  <c r="F15" i="3"/>
  <c r="C15" i="3"/>
  <c r="B15" i="3"/>
  <c r="AX16" i="3"/>
  <c r="AW16" i="3"/>
  <c r="AV16" i="3"/>
  <c r="AR16" i="3"/>
  <c r="AQ16" i="3"/>
  <c r="AM16" i="3"/>
  <c r="AL16" i="3"/>
  <c r="AK16" i="3"/>
  <c r="AG16" i="3"/>
  <c r="AF16" i="3"/>
  <c r="F16" i="3"/>
  <c r="C16" i="3"/>
  <c r="B16" i="3"/>
  <c r="AX17" i="3"/>
  <c r="AW17" i="3"/>
  <c r="AV17" i="3"/>
  <c r="AR17" i="3"/>
  <c r="AQ17" i="3"/>
  <c r="AM17" i="3"/>
  <c r="AL17" i="3"/>
  <c r="AK17" i="3"/>
  <c r="AG17" i="3"/>
  <c r="AF17" i="3"/>
  <c r="F17" i="3"/>
  <c r="C17" i="3"/>
  <c r="B17" i="3"/>
  <c r="AX18" i="3"/>
  <c r="AW18" i="3"/>
  <c r="AV18" i="3"/>
  <c r="AR18" i="3"/>
  <c r="AQ18" i="3"/>
  <c r="AM18" i="3"/>
  <c r="AL18" i="3"/>
  <c r="AK18" i="3"/>
  <c r="AG18" i="3"/>
  <c r="AF18" i="3"/>
  <c r="F18" i="3"/>
  <c r="C18" i="3"/>
  <c r="B18" i="3"/>
  <c r="AX19" i="3"/>
  <c r="AW19" i="3"/>
  <c r="AV19" i="3"/>
  <c r="AR19" i="3"/>
  <c r="AQ19" i="3"/>
  <c r="AM19" i="3"/>
  <c r="AL19" i="3"/>
  <c r="AK19" i="3"/>
  <c r="AG19" i="3"/>
  <c r="AF19" i="3"/>
  <c r="F19" i="3"/>
  <c r="C19" i="3"/>
  <c r="B19" i="3"/>
  <c r="AX20" i="3"/>
  <c r="AW20" i="3"/>
  <c r="AV20" i="3"/>
  <c r="AR20" i="3"/>
  <c r="AQ20" i="3"/>
  <c r="AM20" i="3"/>
  <c r="AL20" i="3"/>
  <c r="AK20" i="3"/>
  <c r="AG20" i="3"/>
  <c r="AF20" i="3"/>
  <c r="F20" i="3"/>
  <c r="C20" i="3"/>
  <c r="B20" i="3"/>
  <c r="AX21" i="3"/>
  <c r="AW21" i="3"/>
  <c r="AV21" i="3"/>
  <c r="AR21" i="3"/>
  <c r="AQ21" i="3"/>
  <c r="AM21" i="3"/>
  <c r="AL21" i="3"/>
  <c r="AK21" i="3"/>
  <c r="AG21" i="3"/>
  <c r="AF21" i="3"/>
  <c r="F21" i="3"/>
  <c r="C21" i="3"/>
  <c r="B21" i="3"/>
  <c r="AX22" i="3"/>
  <c r="AW22" i="3"/>
  <c r="AV22" i="3"/>
  <c r="AR22" i="3"/>
  <c r="AQ22" i="3"/>
  <c r="AM22" i="3"/>
  <c r="AL22" i="3"/>
  <c r="AK22" i="3"/>
  <c r="AG22" i="3"/>
  <c r="AF22" i="3"/>
  <c r="F22" i="3"/>
  <c r="C22" i="3"/>
  <c r="B22" i="3"/>
  <c r="AX23" i="3"/>
  <c r="AW23" i="3"/>
  <c r="AV23" i="3"/>
  <c r="AR23" i="3"/>
  <c r="AQ23" i="3"/>
  <c r="AM23" i="3"/>
  <c r="AL23" i="3"/>
  <c r="AK23" i="3"/>
  <c r="AG23" i="3"/>
  <c r="AF23" i="3"/>
  <c r="F23" i="3"/>
  <c r="C23" i="3"/>
  <c r="B23" i="3"/>
  <c r="AX24" i="3"/>
  <c r="AW24" i="3"/>
  <c r="AV24" i="3"/>
  <c r="AR24" i="3"/>
  <c r="AQ24" i="3"/>
  <c r="AM24" i="3"/>
  <c r="AL24" i="3"/>
  <c r="AK24" i="3"/>
  <c r="AG24" i="3"/>
  <c r="AF24" i="3"/>
  <c r="F24" i="3"/>
  <c r="C24" i="3"/>
  <c r="B24" i="3"/>
  <c r="AX25" i="3"/>
  <c r="AW25" i="3"/>
  <c r="AV25" i="3"/>
  <c r="AR25" i="3"/>
  <c r="AQ25" i="3"/>
  <c r="AM25" i="3"/>
  <c r="AL25" i="3"/>
  <c r="AK25" i="3"/>
  <c r="AG25" i="3"/>
  <c r="AF25" i="3"/>
  <c r="F25" i="3"/>
  <c r="C25" i="3"/>
  <c r="B25" i="3"/>
  <c r="AX26" i="3"/>
  <c r="AW26" i="3"/>
  <c r="AV26" i="3"/>
  <c r="AR26" i="3"/>
  <c r="AQ26" i="3"/>
  <c r="AM26" i="3"/>
  <c r="AL26" i="3"/>
  <c r="AK26" i="3"/>
  <c r="AG26" i="3"/>
  <c r="AF26" i="3"/>
  <c r="F26" i="3"/>
  <c r="C26" i="3"/>
  <c r="B26" i="3"/>
  <c r="AX27" i="3"/>
  <c r="AW27" i="3"/>
  <c r="AV27" i="3"/>
  <c r="AR27" i="3"/>
  <c r="AQ27" i="3"/>
  <c r="AM27" i="3"/>
  <c r="AL27" i="3"/>
  <c r="AK27" i="3"/>
  <c r="AG27" i="3"/>
  <c r="AF27" i="3"/>
  <c r="F27" i="3"/>
  <c r="C27" i="3"/>
  <c r="B27" i="3"/>
  <c r="AX28" i="3"/>
  <c r="AW28" i="3"/>
  <c r="AV28" i="3"/>
  <c r="AR28" i="3"/>
  <c r="AQ28" i="3"/>
  <c r="AM28" i="3"/>
  <c r="AL28" i="3"/>
  <c r="AK28" i="3"/>
  <c r="AG28" i="3"/>
  <c r="AF28" i="3"/>
  <c r="F28" i="3"/>
  <c r="C28" i="3"/>
  <c r="B28" i="3"/>
  <c r="AX29" i="3"/>
  <c r="AW29" i="3"/>
  <c r="AV29" i="3"/>
  <c r="AR29" i="3"/>
  <c r="AQ29" i="3"/>
  <c r="AM29" i="3"/>
  <c r="AL29" i="3"/>
  <c r="AK29" i="3"/>
  <c r="AG29" i="3"/>
  <c r="AF29" i="3"/>
  <c r="F29" i="3"/>
  <c r="C29" i="3"/>
  <c r="B29" i="3"/>
  <c r="AX30" i="3"/>
  <c r="AW30" i="3"/>
  <c r="AV30" i="3"/>
  <c r="AR30" i="3"/>
  <c r="AQ30" i="3"/>
  <c r="AM30" i="3"/>
  <c r="AL30" i="3"/>
  <c r="AK30" i="3"/>
  <c r="AG30" i="3"/>
  <c r="AF30" i="3"/>
  <c r="F30" i="3"/>
  <c r="C30" i="3"/>
  <c r="B30" i="3"/>
  <c r="AX31" i="3"/>
  <c r="AW31" i="3"/>
  <c r="AV31" i="3"/>
  <c r="AR31" i="3"/>
  <c r="AQ31" i="3"/>
  <c r="AM31" i="3"/>
  <c r="AL31" i="3"/>
  <c r="AK31" i="3"/>
  <c r="AG31" i="3"/>
  <c r="AF31" i="3"/>
  <c r="F31" i="3"/>
  <c r="C31" i="3"/>
  <c r="B31" i="3"/>
  <c r="AX32" i="3"/>
  <c r="AW32" i="3"/>
  <c r="AV32" i="3"/>
  <c r="AR32" i="3"/>
  <c r="AQ32" i="3"/>
  <c r="AM32" i="3"/>
  <c r="AL32" i="3"/>
  <c r="AK32" i="3"/>
  <c r="AG32" i="3"/>
  <c r="AF32" i="3"/>
  <c r="F32" i="3"/>
  <c r="C32" i="3"/>
  <c r="B32" i="3"/>
  <c r="AX33" i="3"/>
  <c r="AW33" i="3"/>
  <c r="AV33" i="3"/>
  <c r="AR33" i="3"/>
  <c r="AQ33" i="3"/>
  <c r="AM33" i="3"/>
  <c r="AL33" i="3"/>
  <c r="AK33" i="3"/>
  <c r="AG33" i="3"/>
  <c r="AF33" i="3"/>
  <c r="F33" i="3"/>
  <c r="C33" i="3"/>
  <c r="B33" i="3"/>
  <c r="AX34" i="3"/>
  <c r="AW34" i="3"/>
  <c r="AV34" i="3"/>
  <c r="AR34" i="3"/>
  <c r="AQ34" i="3"/>
  <c r="AM34" i="3"/>
  <c r="AL34" i="3"/>
  <c r="AK34" i="3"/>
  <c r="AG34" i="3"/>
  <c r="AF34" i="3"/>
  <c r="F34" i="3"/>
  <c r="C34" i="3"/>
  <c r="B34" i="3"/>
  <c r="AX35" i="3"/>
  <c r="AW35" i="3"/>
  <c r="AV35" i="3"/>
  <c r="AR35" i="3"/>
  <c r="AQ35" i="3"/>
  <c r="AM35" i="3"/>
  <c r="AL35" i="3"/>
  <c r="AK35" i="3"/>
  <c r="AG35" i="3"/>
  <c r="AF35" i="3"/>
  <c r="F35" i="3"/>
  <c r="C35" i="3"/>
  <c r="B35" i="3"/>
  <c r="AX36" i="3"/>
  <c r="AW36" i="3"/>
  <c r="AV36" i="3"/>
  <c r="AR36" i="3"/>
  <c r="AQ36" i="3"/>
  <c r="AM36" i="3"/>
  <c r="AL36" i="3"/>
  <c r="AK36" i="3"/>
  <c r="AG36" i="3"/>
  <c r="AF36" i="3"/>
  <c r="F36" i="3"/>
  <c r="C36" i="3"/>
  <c r="B36" i="3"/>
  <c r="AX37" i="3"/>
  <c r="AW37" i="3"/>
  <c r="AV37" i="3"/>
  <c r="AR37" i="3"/>
  <c r="AQ37" i="3"/>
  <c r="AM37" i="3"/>
  <c r="AL37" i="3"/>
  <c r="AK37" i="3"/>
  <c r="AG37" i="3"/>
  <c r="AF37" i="3"/>
  <c r="F37" i="3"/>
  <c r="C37" i="3"/>
  <c r="B37" i="3"/>
  <c r="AX38" i="3"/>
  <c r="AW38" i="3"/>
  <c r="AV38" i="3"/>
  <c r="AR38" i="3"/>
  <c r="AQ38" i="3"/>
  <c r="AM38" i="3"/>
  <c r="AL38" i="3"/>
  <c r="AK38" i="3"/>
  <c r="AG38" i="3"/>
  <c r="AF38" i="3"/>
  <c r="F38" i="3"/>
  <c r="C38" i="3"/>
  <c r="B38" i="3"/>
  <c r="AX39" i="3"/>
  <c r="AW39" i="3"/>
  <c r="AV39" i="3"/>
  <c r="AR39" i="3"/>
  <c r="AQ39" i="3"/>
  <c r="AM39" i="3"/>
  <c r="AL39" i="3"/>
  <c r="AK39" i="3"/>
  <c r="AG39" i="3"/>
  <c r="AF39" i="3"/>
  <c r="F39" i="3"/>
  <c r="C39" i="3"/>
  <c r="B39" i="3"/>
  <c r="AX40" i="3"/>
  <c r="AW40" i="3"/>
  <c r="AV40" i="3"/>
  <c r="AR40" i="3"/>
  <c r="AQ40" i="3"/>
  <c r="AM40" i="3"/>
  <c r="AL40" i="3"/>
  <c r="AK40" i="3"/>
  <c r="AG40" i="3"/>
  <c r="AF40" i="3"/>
  <c r="F40" i="3"/>
  <c r="C40" i="3"/>
  <c r="B40" i="3"/>
  <c r="AX41" i="3"/>
  <c r="AW41" i="3"/>
  <c r="AV41" i="3"/>
  <c r="AR41" i="3"/>
  <c r="AQ41" i="3"/>
  <c r="AM41" i="3"/>
  <c r="AL41" i="3"/>
  <c r="AK41" i="3"/>
  <c r="AG41" i="3"/>
  <c r="AF41" i="3"/>
  <c r="F41" i="3"/>
  <c r="C41" i="3"/>
  <c r="B41" i="3"/>
  <c r="AX42" i="3"/>
  <c r="AW42" i="3"/>
  <c r="AV42" i="3"/>
  <c r="AR42" i="3"/>
  <c r="AQ42" i="3"/>
  <c r="AM42" i="3"/>
  <c r="AL42" i="3"/>
  <c r="AK42" i="3"/>
  <c r="AG42" i="3"/>
  <c r="AF42" i="3"/>
  <c r="F42" i="3"/>
  <c r="C42" i="3"/>
  <c r="B42" i="3"/>
  <c r="AX43" i="3"/>
  <c r="AW43" i="3"/>
  <c r="AV43" i="3"/>
  <c r="AR43" i="3"/>
  <c r="AQ43" i="3"/>
  <c r="AM43" i="3"/>
  <c r="AL43" i="3"/>
  <c r="AK43" i="3"/>
  <c r="AG43" i="3"/>
  <c r="AF43" i="3"/>
  <c r="F43" i="3"/>
  <c r="C43" i="3"/>
  <c r="B43" i="3"/>
  <c r="AX44" i="3"/>
  <c r="AW44" i="3"/>
  <c r="AV44" i="3"/>
  <c r="AR44" i="3"/>
  <c r="AQ44" i="3"/>
  <c r="AM44" i="3"/>
  <c r="AL44" i="3"/>
  <c r="AK44" i="3"/>
  <c r="AG44" i="3"/>
  <c r="AF44" i="3"/>
  <c r="F44" i="3"/>
  <c r="C44" i="3"/>
  <c r="B44" i="3"/>
  <c r="AX45" i="3"/>
  <c r="AW45" i="3"/>
  <c r="AV45" i="3"/>
  <c r="AR45" i="3"/>
  <c r="AQ45" i="3"/>
  <c r="AM45" i="3"/>
  <c r="AL45" i="3"/>
  <c r="AK45" i="3"/>
  <c r="AG45" i="3"/>
  <c r="AF45" i="3"/>
  <c r="F45" i="3"/>
  <c r="C45" i="3"/>
  <c r="B45" i="3"/>
  <c r="AX46" i="3"/>
  <c r="AW46" i="3"/>
  <c r="AV46" i="3"/>
  <c r="AR46" i="3"/>
  <c r="AQ46" i="3"/>
  <c r="AM46" i="3"/>
  <c r="AL46" i="3"/>
  <c r="AK46" i="3"/>
  <c r="AG46" i="3"/>
  <c r="AF46" i="3"/>
  <c r="F46" i="3"/>
  <c r="C46" i="3"/>
  <c r="B46" i="3"/>
  <c r="AX47" i="3"/>
  <c r="AW47" i="3"/>
  <c r="AV47" i="3"/>
  <c r="AR47" i="3"/>
  <c r="AQ47" i="3"/>
  <c r="AM47" i="3"/>
  <c r="AL47" i="3"/>
  <c r="AK47" i="3"/>
  <c r="AG47" i="3"/>
  <c r="AF47" i="3"/>
  <c r="F47" i="3"/>
  <c r="C47" i="3"/>
  <c r="B47" i="3"/>
  <c r="AX48" i="3"/>
  <c r="AW48" i="3"/>
  <c r="AV48" i="3"/>
  <c r="AR48" i="3"/>
  <c r="AQ48" i="3"/>
  <c r="AM48" i="3"/>
  <c r="AL48" i="3"/>
  <c r="AK48" i="3"/>
  <c r="AG48" i="3"/>
  <c r="AF48" i="3"/>
  <c r="F48" i="3"/>
  <c r="C48" i="3"/>
  <c r="B48" i="3"/>
  <c r="AX49" i="3"/>
  <c r="AW49" i="3"/>
  <c r="AV49" i="3"/>
  <c r="AR49" i="3"/>
  <c r="AQ49" i="3"/>
  <c r="AM49" i="3"/>
  <c r="AL49" i="3"/>
  <c r="AK49" i="3"/>
  <c r="AG49" i="3"/>
  <c r="AF49" i="3"/>
  <c r="F49" i="3"/>
  <c r="C49" i="3"/>
  <c r="B49" i="3"/>
  <c r="AX50" i="3"/>
  <c r="AW50" i="3"/>
  <c r="AV50" i="3"/>
  <c r="AR50" i="3"/>
  <c r="AQ50" i="3"/>
  <c r="AM50" i="3"/>
  <c r="AL50" i="3"/>
  <c r="AK50" i="3"/>
  <c r="AG50" i="3"/>
  <c r="AF50" i="3"/>
  <c r="F50" i="3"/>
  <c r="C50" i="3"/>
  <c r="B50" i="3"/>
  <c r="AX51" i="3"/>
  <c r="AW51" i="3"/>
  <c r="AV51" i="3"/>
  <c r="AR51" i="3"/>
  <c r="AQ51" i="3"/>
  <c r="AM51" i="3"/>
  <c r="AL51" i="3"/>
  <c r="AK51" i="3"/>
  <c r="AG51" i="3"/>
  <c r="AF51" i="3"/>
  <c r="F51" i="3"/>
  <c r="C51" i="3"/>
  <c r="B51" i="3"/>
  <c r="AX52" i="3"/>
  <c r="AW52" i="3"/>
  <c r="AV52" i="3"/>
  <c r="AR52" i="3"/>
  <c r="AQ52" i="3"/>
  <c r="AM52" i="3"/>
  <c r="AL52" i="3"/>
  <c r="AK52" i="3"/>
  <c r="AG52" i="3"/>
  <c r="AF52" i="3"/>
  <c r="F52" i="3"/>
  <c r="C52" i="3"/>
  <c r="B52" i="3"/>
  <c r="AX53" i="3"/>
  <c r="AW53" i="3"/>
  <c r="AV53" i="3"/>
  <c r="AR53" i="3"/>
  <c r="AQ53" i="3"/>
  <c r="AM53" i="3"/>
  <c r="AL53" i="3"/>
  <c r="AK53" i="3"/>
  <c r="AG53" i="3"/>
  <c r="AF53" i="3"/>
  <c r="F53" i="3"/>
  <c r="C53" i="3"/>
  <c r="B53" i="3"/>
  <c r="AX54" i="3"/>
  <c r="AW54" i="3"/>
  <c r="AV54" i="3"/>
  <c r="AR54" i="3"/>
  <c r="AQ54" i="3"/>
  <c r="AM54" i="3"/>
  <c r="AL54" i="3"/>
  <c r="AK54" i="3"/>
  <c r="AG54" i="3"/>
  <c r="AF54" i="3"/>
  <c r="F54" i="3"/>
  <c r="C54" i="3"/>
  <c r="B54" i="3"/>
  <c r="AX55" i="3"/>
  <c r="AW55" i="3"/>
  <c r="AV55" i="3"/>
  <c r="AR55" i="3"/>
  <c r="AQ55" i="3"/>
  <c r="AM55" i="3"/>
  <c r="AL55" i="3"/>
  <c r="AK55" i="3"/>
  <c r="AG55" i="3"/>
  <c r="AF55" i="3"/>
  <c r="F55" i="3"/>
  <c r="C55" i="3"/>
  <c r="B55" i="3"/>
  <c r="AX56" i="3"/>
  <c r="AW56" i="3"/>
  <c r="AV56" i="3"/>
  <c r="AR56" i="3"/>
  <c r="AQ56" i="3"/>
  <c r="AM56" i="3"/>
  <c r="AL56" i="3"/>
  <c r="AK56" i="3"/>
  <c r="AG56" i="3"/>
  <c r="AF56" i="3"/>
  <c r="F56" i="3"/>
  <c r="C56" i="3"/>
  <c r="B56" i="3"/>
  <c r="AX57" i="3"/>
  <c r="AW57" i="3"/>
  <c r="AV57" i="3"/>
  <c r="AR57" i="3"/>
  <c r="AQ57" i="3"/>
  <c r="AM57" i="3"/>
  <c r="AL57" i="3"/>
  <c r="AK57" i="3"/>
  <c r="AG57" i="3"/>
  <c r="AF57" i="3"/>
  <c r="F57" i="3"/>
  <c r="C57" i="3"/>
  <c r="B57" i="3"/>
  <c r="AX58" i="3"/>
  <c r="AW58" i="3"/>
  <c r="AV58" i="3"/>
  <c r="AR58" i="3"/>
  <c r="AQ58" i="3"/>
  <c r="AM58" i="3"/>
  <c r="AL58" i="3"/>
  <c r="AK58" i="3"/>
  <c r="AG58" i="3"/>
  <c r="AF58" i="3"/>
  <c r="F58" i="3"/>
  <c r="C58" i="3"/>
  <c r="B58" i="3"/>
  <c r="AX59" i="3"/>
  <c r="AW59" i="3"/>
  <c r="AV59" i="3"/>
  <c r="AR59" i="3"/>
  <c r="AQ59" i="3"/>
  <c r="AM59" i="3"/>
  <c r="AL59" i="3"/>
  <c r="AK59" i="3"/>
  <c r="AG59" i="3"/>
  <c r="AF59" i="3"/>
  <c r="F59" i="3"/>
  <c r="C59" i="3"/>
  <c r="B59" i="3"/>
  <c r="L14" i="3" l="1"/>
  <c r="L59" i="3"/>
  <c r="E59" i="3"/>
  <c r="D59" i="3"/>
  <c r="AO59" i="3"/>
  <c r="AN59" i="3"/>
  <c r="AJ59" i="3"/>
  <c r="AI59" i="3"/>
  <c r="AH59" i="3"/>
  <c r="AZ59" i="3"/>
  <c r="AY59" i="3"/>
  <c r="AU59" i="3"/>
  <c r="AT59" i="3"/>
  <c r="AS59" i="3"/>
  <c r="L58" i="3"/>
  <c r="E58" i="3"/>
  <c r="D58" i="3"/>
  <c r="AO58" i="3"/>
  <c r="AN58" i="3"/>
  <c r="AJ58" i="3"/>
  <c r="AI58" i="3"/>
  <c r="AH58" i="3"/>
  <c r="AZ58" i="3"/>
  <c r="AY58" i="3"/>
  <c r="AU58" i="3"/>
  <c r="AT58" i="3"/>
  <c r="AS58" i="3"/>
  <c r="L57" i="3"/>
  <c r="E57" i="3"/>
  <c r="D57" i="3"/>
  <c r="AO57" i="3"/>
  <c r="AN57" i="3"/>
  <c r="AJ57" i="3"/>
  <c r="AI57" i="3"/>
  <c r="AH57" i="3"/>
  <c r="AZ57" i="3"/>
  <c r="AY57" i="3"/>
  <c r="AU57" i="3"/>
  <c r="AT57" i="3"/>
  <c r="AS57" i="3"/>
  <c r="L56" i="3"/>
  <c r="E56" i="3"/>
  <c r="D56" i="3"/>
  <c r="AO56" i="3"/>
  <c r="AN56" i="3"/>
  <c r="AJ56" i="3"/>
  <c r="AI56" i="3"/>
  <c r="AH56" i="3"/>
  <c r="AZ56" i="3"/>
  <c r="AY56" i="3"/>
  <c r="AU56" i="3"/>
  <c r="AT56" i="3"/>
  <c r="AS56" i="3"/>
  <c r="L55" i="3"/>
  <c r="E55" i="3"/>
  <c r="D55" i="3"/>
  <c r="AO55" i="3"/>
  <c r="AN55" i="3"/>
  <c r="AJ55" i="3"/>
  <c r="AI55" i="3"/>
  <c r="AH55" i="3"/>
  <c r="AZ55" i="3"/>
  <c r="AY55" i="3"/>
  <c r="AU55" i="3"/>
  <c r="AT55" i="3"/>
  <c r="AS55" i="3"/>
  <c r="L54" i="3"/>
  <c r="E54" i="3"/>
  <c r="D54" i="3"/>
  <c r="AO54" i="3"/>
  <c r="AN54" i="3"/>
  <c r="AJ54" i="3"/>
  <c r="AI54" i="3"/>
  <c r="AH54" i="3"/>
  <c r="AZ54" i="3"/>
  <c r="AY54" i="3"/>
  <c r="AU54" i="3"/>
  <c r="AT54" i="3"/>
  <c r="AS54" i="3"/>
  <c r="L53" i="3"/>
  <c r="E53" i="3"/>
  <c r="D53" i="3"/>
  <c r="AO53" i="3"/>
  <c r="AN53" i="3"/>
  <c r="AJ53" i="3"/>
  <c r="AI53" i="3"/>
  <c r="AH53" i="3"/>
  <c r="AZ53" i="3"/>
  <c r="AY53" i="3"/>
  <c r="AU53" i="3"/>
  <c r="AT53" i="3"/>
  <c r="AS53" i="3"/>
  <c r="L52" i="3"/>
  <c r="E52" i="3"/>
  <c r="D52" i="3"/>
  <c r="AO52" i="3"/>
  <c r="AN52" i="3"/>
  <c r="AJ52" i="3"/>
  <c r="AI52" i="3"/>
  <c r="AH52" i="3"/>
  <c r="AZ52" i="3"/>
  <c r="AY52" i="3"/>
  <c r="AU52" i="3"/>
  <c r="AT52" i="3"/>
  <c r="AS52" i="3"/>
  <c r="L51" i="3"/>
  <c r="E51" i="3"/>
  <c r="D51" i="3"/>
  <c r="AO51" i="3"/>
  <c r="AN51" i="3"/>
  <c r="AJ51" i="3"/>
  <c r="AI51" i="3"/>
  <c r="AH51" i="3"/>
  <c r="AZ51" i="3"/>
  <c r="AY51" i="3"/>
  <c r="AU51" i="3"/>
  <c r="AT51" i="3"/>
  <c r="AS51" i="3"/>
  <c r="L50" i="3"/>
  <c r="E50" i="3"/>
  <c r="D50" i="3"/>
  <c r="AO50" i="3"/>
  <c r="AN50" i="3"/>
  <c r="AJ50" i="3"/>
  <c r="AI50" i="3"/>
  <c r="AH50" i="3"/>
  <c r="AZ50" i="3"/>
  <c r="AY50" i="3"/>
  <c r="AU50" i="3"/>
  <c r="AT50" i="3"/>
  <c r="AS50" i="3"/>
  <c r="L49" i="3"/>
  <c r="E49" i="3"/>
  <c r="D49" i="3"/>
  <c r="AO49" i="3"/>
  <c r="AN49" i="3"/>
  <c r="AJ49" i="3"/>
  <c r="AI49" i="3"/>
  <c r="AH49" i="3"/>
  <c r="AZ49" i="3"/>
  <c r="AY49" i="3"/>
  <c r="AU49" i="3"/>
  <c r="AT49" i="3"/>
  <c r="AS49" i="3"/>
  <c r="L48" i="3"/>
  <c r="E48" i="3"/>
  <c r="D48" i="3"/>
  <c r="AO48" i="3"/>
  <c r="AN48" i="3"/>
  <c r="AJ48" i="3"/>
  <c r="AI48" i="3"/>
  <c r="AH48" i="3"/>
  <c r="AZ48" i="3"/>
  <c r="AY48" i="3"/>
  <c r="AU48" i="3"/>
  <c r="AT48" i="3"/>
  <c r="AS48" i="3"/>
  <c r="L47" i="3"/>
  <c r="E47" i="3"/>
  <c r="D47" i="3"/>
  <c r="AO47" i="3"/>
  <c r="AN47" i="3"/>
  <c r="AJ47" i="3"/>
  <c r="AI47" i="3"/>
  <c r="AH47" i="3"/>
  <c r="AZ47" i="3"/>
  <c r="AY47" i="3"/>
  <c r="AU47" i="3"/>
  <c r="AT47" i="3"/>
  <c r="AS47" i="3"/>
  <c r="L46" i="3"/>
  <c r="E46" i="3"/>
  <c r="D46" i="3"/>
  <c r="AO46" i="3"/>
  <c r="AN46" i="3"/>
  <c r="AJ46" i="3"/>
  <c r="AI46" i="3"/>
  <c r="AH46" i="3"/>
  <c r="AZ46" i="3"/>
  <c r="AY46" i="3"/>
  <c r="AU46" i="3"/>
  <c r="AT46" i="3"/>
  <c r="AS46" i="3"/>
  <c r="L45" i="3"/>
  <c r="E45" i="3"/>
  <c r="D45" i="3"/>
  <c r="AO45" i="3"/>
  <c r="AN45" i="3"/>
  <c r="AJ45" i="3"/>
  <c r="AI45" i="3"/>
  <c r="AH45" i="3"/>
  <c r="AZ45" i="3"/>
  <c r="AY45" i="3"/>
  <c r="AU45" i="3"/>
  <c r="AT45" i="3"/>
  <c r="AS45" i="3"/>
  <c r="L44" i="3"/>
  <c r="D44" i="3"/>
  <c r="E44" i="3" s="1"/>
  <c r="AN44" i="3"/>
  <c r="AO44" i="3" s="1"/>
  <c r="AI44" i="3"/>
  <c r="AH44" i="3"/>
  <c r="AJ44" i="3" s="1"/>
  <c r="AY44" i="3"/>
  <c r="AZ44" i="3" s="1"/>
  <c r="AT44" i="3"/>
  <c r="AS44" i="3"/>
  <c r="AU44" i="3" s="1"/>
  <c r="L43" i="3"/>
  <c r="D43" i="3"/>
  <c r="E43" i="3" s="1"/>
  <c r="AN43" i="3"/>
  <c r="AO43" i="3" s="1"/>
  <c r="AI43" i="3"/>
  <c r="AH43" i="3"/>
  <c r="AJ43" i="3" s="1"/>
  <c r="AZ43" i="3"/>
  <c r="AY43" i="3"/>
  <c r="AU43" i="3"/>
  <c r="AT43" i="3"/>
  <c r="AS43" i="3"/>
  <c r="L42" i="3"/>
  <c r="D42" i="3"/>
  <c r="E42" i="3" s="1"/>
  <c r="AN42" i="3"/>
  <c r="AO42" i="3" s="1"/>
  <c r="AI42" i="3"/>
  <c r="AH42" i="3"/>
  <c r="AJ42" i="3" s="1"/>
  <c r="AY42" i="3"/>
  <c r="AZ42" i="3" s="1"/>
  <c r="AT42" i="3"/>
  <c r="AS42" i="3"/>
  <c r="AU42" i="3" s="1"/>
  <c r="L41" i="3"/>
  <c r="E41" i="3"/>
  <c r="D41" i="3"/>
  <c r="AO41" i="3"/>
  <c r="AN41" i="3"/>
  <c r="AJ41" i="3"/>
  <c r="AI41" i="3"/>
  <c r="AH41" i="3"/>
  <c r="AZ41" i="3"/>
  <c r="AY41" i="3"/>
  <c r="AU41" i="3"/>
  <c r="AT41" i="3"/>
  <c r="AS41" i="3"/>
  <c r="L40" i="3"/>
  <c r="E40" i="3"/>
  <c r="D40" i="3"/>
  <c r="AO40" i="3"/>
  <c r="AN40" i="3"/>
  <c r="AJ40" i="3"/>
  <c r="AI40" i="3"/>
  <c r="AH40" i="3"/>
  <c r="AZ40" i="3"/>
  <c r="AY40" i="3"/>
  <c r="AU40" i="3"/>
  <c r="AT40" i="3"/>
  <c r="AS40" i="3"/>
  <c r="L39" i="3"/>
  <c r="E39" i="3"/>
  <c r="D39" i="3"/>
  <c r="AO39" i="3"/>
  <c r="AN39" i="3"/>
  <c r="AJ39" i="3"/>
  <c r="AI39" i="3"/>
  <c r="AH39" i="3"/>
  <c r="AZ39" i="3"/>
  <c r="AY39" i="3"/>
  <c r="AU39" i="3"/>
  <c r="AT39" i="3"/>
  <c r="AS39" i="3"/>
  <c r="L38" i="3"/>
  <c r="D38" i="3"/>
  <c r="E38" i="3" s="1"/>
  <c r="AO38" i="3"/>
  <c r="AN38" i="3"/>
  <c r="AJ38" i="3"/>
  <c r="AI38" i="3"/>
  <c r="AH38" i="3"/>
  <c r="AY38" i="3"/>
  <c r="AZ38" i="3" s="1"/>
  <c r="AT38" i="3"/>
  <c r="AS38" i="3"/>
  <c r="AU38" i="3" s="1"/>
  <c r="L37" i="3"/>
  <c r="D37" i="3"/>
  <c r="E37" i="3" s="1"/>
  <c r="AO37" i="3"/>
  <c r="AN37" i="3"/>
  <c r="AJ37" i="3"/>
  <c r="AI37" i="3"/>
  <c r="AH37" i="3"/>
  <c r="AY37" i="3"/>
  <c r="AZ37" i="3" s="1"/>
  <c r="AT37" i="3"/>
  <c r="AS37" i="3"/>
  <c r="AU37" i="3" s="1"/>
  <c r="L36" i="3"/>
  <c r="D36" i="3"/>
  <c r="E36" i="3" s="1"/>
  <c r="AO36" i="3"/>
  <c r="AN36" i="3"/>
  <c r="AJ36" i="3"/>
  <c r="AI36" i="3"/>
  <c r="AH36" i="3"/>
  <c r="AY36" i="3"/>
  <c r="AZ36" i="3" s="1"/>
  <c r="AT36" i="3"/>
  <c r="AS36" i="3"/>
  <c r="AU36" i="3" s="1"/>
  <c r="L35" i="3"/>
  <c r="E35" i="3"/>
  <c r="D35" i="3"/>
  <c r="AO35" i="3"/>
  <c r="AN35" i="3"/>
  <c r="AJ35" i="3"/>
  <c r="AI35" i="3"/>
  <c r="AH35" i="3"/>
  <c r="AZ35" i="3"/>
  <c r="AY35" i="3"/>
  <c r="AU35" i="3"/>
  <c r="AT35" i="3"/>
  <c r="AS35" i="3"/>
  <c r="L34" i="3"/>
  <c r="E34" i="3"/>
  <c r="D34" i="3"/>
  <c r="AO34" i="3"/>
  <c r="AN34" i="3"/>
  <c r="AJ34" i="3"/>
  <c r="AI34" i="3"/>
  <c r="AH34" i="3"/>
  <c r="AZ34" i="3"/>
  <c r="AY34" i="3"/>
  <c r="AU34" i="3"/>
  <c r="AT34" i="3"/>
  <c r="AS34" i="3"/>
  <c r="L33" i="3"/>
  <c r="E33" i="3"/>
  <c r="D33" i="3"/>
  <c r="AO33" i="3"/>
  <c r="AN33" i="3"/>
  <c r="AJ33" i="3"/>
  <c r="AI33" i="3"/>
  <c r="AH33" i="3"/>
  <c r="AZ33" i="3"/>
  <c r="AY33" i="3"/>
  <c r="AU33" i="3"/>
  <c r="AT33" i="3"/>
  <c r="AS33" i="3"/>
  <c r="L32" i="3"/>
  <c r="E32" i="3"/>
  <c r="D32" i="3"/>
  <c r="AO32" i="3"/>
  <c r="AN32" i="3"/>
  <c r="AJ32" i="3"/>
  <c r="AI32" i="3"/>
  <c r="AH32" i="3"/>
  <c r="AZ32" i="3"/>
  <c r="AY32" i="3"/>
  <c r="AU32" i="3"/>
  <c r="AT32" i="3"/>
  <c r="AS32" i="3"/>
  <c r="L31" i="3"/>
  <c r="D31" i="3"/>
  <c r="E31" i="3" s="1"/>
  <c r="BB12" i="3"/>
  <c r="AN31" i="3"/>
  <c r="AO31" i="3" s="1"/>
  <c r="AI31" i="3"/>
  <c r="AH31" i="3"/>
  <c r="AJ31" i="3" s="1"/>
  <c r="BC12" i="3"/>
  <c r="BJ12" i="3"/>
  <c r="BK12" i="3"/>
  <c r="BL12" i="3"/>
  <c r="BF12" i="3"/>
  <c r="AZ31" i="3"/>
  <c r="AY31" i="3"/>
  <c r="AU31" i="3"/>
  <c r="AT31" i="3"/>
  <c r="AS31" i="3"/>
  <c r="BG12" i="3"/>
  <c r="BM12" i="3"/>
  <c r="BN12" i="3"/>
  <c r="BO12" i="3"/>
  <c r="L30" i="3"/>
  <c r="D30" i="3"/>
  <c r="E30" i="3" s="1"/>
  <c r="AN30" i="3"/>
  <c r="AO30" i="3" s="1"/>
  <c r="AI30" i="3"/>
  <c r="AH30" i="3"/>
  <c r="AJ30" i="3" s="1"/>
  <c r="AY30" i="3"/>
  <c r="AZ30" i="3" s="1"/>
  <c r="AT30" i="3"/>
  <c r="AS30" i="3"/>
  <c r="AU30" i="3" s="1"/>
  <c r="L29" i="3"/>
  <c r="D29" i="3"/>
  <c r="E29" i="3" s="1"/>
  <c r="AN29" i="3"/>
  <c r="AO29" i="3" s="1"/>
  <c r="AI29" i="3"/>
  <c r="AH29" i="3"/>
  <c r="AJ29" i="3" s="1"/>
  <c r="AZ29" i="3"/>
  <c r="AY29" i="3"/>
  <c r="AU29" i="3"/>
  <c r="AT29" i="3"/>
  <c r="AS29" i="3"/>
  <c r="L28" i="3"/>
  <c r="D28" i="3"/>
  <c r="E28" i="3" s="1"/>
  <c r="AN28" i="3"/>
  <c r="AO28" i="3" s="1"/>
  <c r="AI28" i="3"/>
  <c r="AH28" i="3"/>
  <c r="AJ28" i="3" s="1"/>
  <c r="AY28" i="3"/>
  <c r="AZ28" i="3" s="1"/>
  <c r="AT28" i="3"/>
  <c r="AS28" i="3"/>
  <c r="AU28" i="3" s="1"/>
  <c r="L27" i="3"/>
  <c r="E27" i="3"/>
  <c r="D27" i="3"/>
  <c r="AO27" i="3"/>
  <c r="AN27" i="3"/>
  <c r="AJ27" i="3"/>
  <c r="AI27" i="3"/>
  <c r="AH27" i="3"/>
  <c r="AZ27" i="3"/>
  <c r="AY27" i="3"/>
  <c r="AU27" i="3"/>
  <c r="AT27" i="3"/>
  <c r="AS27" i="3"/>
  <c r="L26" i="3"/>
  <c r="E26" i="3"/>
  <c r="D26" i="3"/>
  <c r="AO26" i="3"/>
  <c r="AN26" i="3"/>
  <c r="AJ26" i="3"/>
  <c r="AI26" i="3"/>
  <c r="AH26" i="3"/>
  <c r="AZ26" i="3"/>
  <c r="AY26" i="3"/>
  <c r="AU26" i="3"/>
  <c r="AT26" i="3"/>
  <c r="AS26" i="3"/>
  <c r="D25" i="3"/>
  <c r="E25" i="3" s="1"/>
  <c r="AO25" i="3"/>
  <c r="AN25" i="3"/>
  <c r="AJ25" i="3"/>
  <c r="AI25" i="3"/>
  <c r="AH25" i="3"/>
  <c r="AY25" i="3"/>
  <c r="AZ25" i="3" s="1"/>
  <c r="AT25" i="3"/>
  <c r="AS25" i="3"/>
  <c r="AU25" i="3" s="1"/>
  <c r="E24" i="3"/>
  <c r="D24" i="3"/>
  <c r="BB11" i="3"/>
  <c r="AO24" i="3"/>
  <c r="AN24" i="3"/>
  <c r="AJ24" i="3"/>
  <c r="AI24" i="3"/>
  <c r="AH24" i="3"/>
  <c r="BC11" i="3"/>
  <c r="BJ11" i="3"/>
  <c r="BK11" i="3"/>
  <c r="BL11" i="3"/>
  <c r="BF11" i="3"/>
  <c r="AZ24" i="3"/>
  <c r="AY24" i="3"/>
  <c r="AU24" i="3"/>
  <c r="AT24" i="3"/>
  <c r="AS24" i="3"/>
  <c r="BG11" i="3"/>
  <c r="BM11" i="3"/>
  <c r="BN11" i="3"/>
  <c r="BO11" i="3"/>
  <c r="D23" i="3"/>
  <c r="E23" i="3" s="1"/>
  <c r="AO23" i="3"/>
  <c r="AN23" i="3"/>
  <c r="AJ23" i="3"/>
  <c r="AI23" i="3"/>
  <c r="AH23" i="3"/>
  <c r="AY23" i="3"/>
  <c r="AZ23" i="3" s="1"/>
  <c r="AT23" i="3"/>
  <c r="AS23" i="3"/>
  <c r="AU23" i="3" s="1"/>
  <c r="E22" i="3"/>
  <c r="D22" i="3"/>
  <c r="AO22" i="3"/>
  <c r="AN22" i="3"/>
  <c r="AJ22" i="3"/>
  <c r="AI22" i="3"/>
  <c r="AH22" i="3"/>
  <c r="AZ22" i="3"/>
  <c r="AY22" i="3"/>
  <c r="AU22" i="3"/>
  <c r="AT22" i="3"/>
  <c r="AS22" i="3"/>
  <c r="D21" i="3"/>
  <c r="E21" i="3" s="1"/>
  <c r="AO21" i="3"/>
  <c r="AN21" i="3"/>
  <c r="AJ21" i="3"/>
  <c r="AI21" i="3"/>
  <c r="AH21" i="3"/>
  <c r="AY21" i="3"/>
  <c r="AZ21" i="3" s="1"/>
  <c r="AT21" i="3"/>
  <c r="AS21" i="3"/>
  <c r="AU21" i="3" s="1"/>
  <c r="L20" i="3"/>
  <c r="E20" i="3"/>
  <c r="D20" i="3"/>
  <c r="AO20" i="3"/>
  <c r="AN20" i="3"/>
  <c r="AJ20" i="3"/>
  <c r="AI20" i="3"/>
  <c r="AH20" i="3"/>
  <c r="AZ20" i="3"/>
  <c r="AY20" i="3"/>
  <c r="AU20" i="3"/>
  <c r="AT20" i="3"/>
  <c r="AS20" i="3"/>
  <c r="L19" i="3"/>
  <c r="D19" i="3"/>
  <c r="E19" i="3" s="1"/>
  <c r="AN19" i="3"/>
  <c r="AO19" i="3" s="1"/>
  <c r="AI19" i="3"/>
  <c r="AH19" i="3"/>
  <c r="AJ19" i="3" s="1"/>
  <c r="AY19" i="3"/>
  <c r="AZ19" i="3" s="1"/>
  <c r="AT19" i="3"/>
  <c r="AS19" i="3"/>
  <c r="AU19" i="3" s="1"/>
  <c r="L18" i="3"/>
  <c r="E18" i="3"/>
  <c r="D18" i="3"/>
  <c r="AO18" i="3"/>
  <c r="AN18" i="3"/>
  <c r="AJ18" i="3"/>
  <c r="AI18" i="3"/>
  <c r="AH18" i="3"/>
  <c r="AZ18" i="3"/>
  <c r="AY18" i="3"/>
  <c r="AU18" i="3"/>
  <c r="AT18" i="3"/>
  <c r="AS18" i="3"/>
  <c r="L17" i="3"/>
  <c r="D17" i="3"/>
  <c r="E17" i="3" s="1"/>
  <c r="AN17" i="3"/>
  <c r="AO17" i="3" s="1"/>
  <c r="AI17" i="3"/>
  <c r="AH17" i="3"/>
  <c r="AJ17" i="3" s="1"/>
  <c r="AZ17" i="3"/>
  <c r="AY17" i="3"/>
  <c r="AU17" i="3"/>
  <c r="AT17" i="3"/>
  <c r="AS17" i="3"/>
  <c r="L16" i="3"/>
  <c r="E16" i="3"/>
  <c r="D16" i="3"/>
  <c r="AO16" i="3"/>
  <c r="AN16" i="3"/>
  <c r="AJ16" i="3"/>
  <c r="AI16" i="3"/>
  <c r="AH16" i="3"/>
  <c r="AZ16" i="3"/>
  <c r="AY16" i="3"/>
  <c r="AU16" i="3"/>
  <c r="AT16" i="3"/>
  <c r="AS16" i="3"/>
  <c r="L15" i="3"/>
  <c r="E15" i="3"/>
  <c r="D15" i="3"/>
  <c r="AO15" i="3"/>
  <c r="AN15" i="3"/>
  <c r="AJ15" i="3"/>
  <c r="AI15" i="3"/>
  <c r="AH15" i="3"/>
  <c r="AZ15" i="3"/>
  <c r="AY15" i="3"/>
  <c r="AU15" i="3"/>
  <c r="AT15" i="3"/>
  <c r="AS15" i="3"/>
  <c r="E14" i="3"/>
  <c r="D14" i="3"/>
  <c r="AO14" i="3"/>
  <c r="AN14" i="3"/>
  <c r="AJ14" i="3"/>
  <c r="AI14" i="3"/>
  <c r="AH14" i="3"/>
  <c r="AZ14" i="3"/>
  <c r="AY14" i="3"/>
  <c r="AU14" i="3"/>
  <c r="AT14" i="3"/>
  <c r="AS14" i="3"/>
  <c r="L13" i="3"/>
  <c r="D13" i="3"/>
  <c r="E13" i="3" s="1"/>
  <c r="AN13" i="3"/>
  <c r="AO13" i="3" s="1"/>
  <c r="AI13" i="3"/>
  <c r="AH13" i="3"/>
  <c r="AJ13" i="3" s="1"/>
  <c r="AZ13" i="3"/>
  <c r="AY13" i="3"/>
  <c r="AU13" i="3"/>
  <c r="AT13" i="3"/>
  <c r="AS13" i="3"/>
  <c r="L12" i="3"/>
  <c r="E12" i="3"/>
  <c r="D12" i="3"/>
  <c r="AO12" i="3"/>
  <c r="AN12" i="3"/>
  <c r="AJ12" i="3"/>
  <c r="AI12" i="3"/>
  <c r="AH12" i="3"/>
  <c r="AZ12" i="3"/>
  <c r="AY12" i="3"/>
  <c r="AU12" i="3"/>
  <c r="AT12" i="3"/>
  <c r="AS12" i="3"/>
  <c r="L11" i="3"/>
  <c r="D11" i="3"/>
  <c r="E11" i="3" s="1"/>
  <c r="AN11" i="3"/>
  <c r="AO11" i="3" s="1"/>
  <c r="AI11" i="3"/>
  <c r="AH11" i="3"/>
  <c r="AJ11" i="3" s="1"/>
  <c r="AZ11" i="3"/>
  <c r="AY11" i="3"/>
  <c r="AU11" i="3"/>
  <c r="AT11" i="3"/>
  <c r="AS11" i="3"/>
  <c r="L10" i="3"/>
  <c r="D10" i="3"/>
  <c r="E10" i="3" s="1"/>
  <c r="H14" i="3" s="1"/>
  <c r="I14" i="3" s="1"/>
  <c r="K14" i="3" s="1"/>
  <c r="K21" i="3" s="1"/>
  <c r="BB10" i="3"/>
  <c r="BC10" i="3"/>
  <c r="AN10" i="3"/>
  <c r="AO10" i="3" s="1"/>
  <c r="AI10" i="3"/>
  <c r="AH10" i="3"/>
  <c r="AJ10" i="3" s="1"/>
  <c r="BJ10" i="3"/>
  <c r="BK10" i="3"/>
  <c r="BL10" i="3"/>
  <c r="BF10" i="3"/>
  <c r="BG10" i="3"/>
  <c r="AZ10" i="3"/>
  <c r="AY10" i="3"/>
  <c r="AU10" i="3"/>
  <c r="AT10" i="3"/>
  <c r="AS10" i="3"/>
  <c r="BM10" i="3"/>
  <c r="BN10" i="3"/>
  <c r="BO10" i="3"/>
  <c r="P59" i="3"/>
  <c r="R59" i="3" s="1"/>
  <c r="P58" i="3"/>
  <c r="R58" i="3" s="1"/>
  <c r="P57" i="3"/>
  <c r="R57" i="3" s="1"/>
  <c r="P56" i="3"/>
  <c r="R56" i="3" s="1"/>
  <c r="P55" i="3"/>
  <c r="R55" i="3" s="1"/>
  <c r="P54" i="3"/>
  <c r="R54" i="3" s="1"/>
  <c r="P53" i="3"/>
  <c r="R53" i="3" s="1"/>
  <c r="P52" i="3"/>
  <c r="R52" i="3" s="1"/>
  <c r="P51" i="3"/>
  <c r="R51" i="3" s="1"/>
  <c r="P50" i="3"/>
  <c r="R50" i="3" s="1"/>
  <c r="P49" i="3"/>
  <c r="R49" i="3" s="1"/>
  <c r="P48" i="3"/>
  <c r="R48" i="3" s="1"/>
  <c r="P47" i="3"/>
  <c r="R47" i="3" s="1"/>
  <c r="P46" i="3"/>
  <c r="R46" i="3" s="1"/>
  <c r="P45" i="3"/>
  <c r="R45" i="3" s="1"/>
  <c r="P44" i="3"/>
  <c r="R44" i="3" s="1"/>
  <c r="P43" i="3"/>
  <c r="R43" i="3" s="1"/>
  <c r="P42" i="3"/>
  <c r="R42" i="3" s="1"/>
  <c r="P41" i="3"/>
  <c r="R41" i="3" s="1"/>
  <c r="P40" i="3"/>
  <c r="R40" i="3" s="1"/>
  <c r="P39" i="3"/>
  <c r="R39" i="3" s="1"/>
  <c r="P38" i="3"/>
  <c r="R38" i="3" s="1"/>
  <c r="P37" i="3"/>
  <c r="R37" i="3" s="1"/>
  <c r="P36" i="3"/>
  <c r="R36" i="3" s="1"/>
  <c r="P35" i="3"/>
  <c r="R35" i="3" s="1"/>
  <c r="P34" i="3"/>
  <c r="R34" i="3" s="1"/>
  <c r="P33" i="3"/>
  <c r="R33" i="3" s="1"/>
  <c r="P32" i="3"/>
  <c r="R32" i="3" s="1"/>
  <c r="P31" i="3"/>
  <c r="P30" i="3"/>
  <c r="P29" i="3"/>
  <c r="P28" i="3"/>
  <c r="P27" i="3"/>
  <c r="P26" i="3"/>
  <c r="P25" i="3"/>
  <c r="P24" i="3"/>
  <c r="P23" i="3"/>
  <c r="P22" i="3"/>
  <c r="P21" i="3"/>
  <c r="R21" i="3" s="1"/>
  <c r="P20" i="3"/>
  <c r="R20" i="3" s="1"/>
  <c r="P19" i="3"/>
  <c r="R19" i="3" s="1"/>
  <c r="P18" i="3"/>
  <c r="R18" i="3" s="1"/>
  <c r="P17" i="3"/>
  <c r="R17" i="3" s="1"/>
  <c r="P16" i="3"/>
  <c r="R16" i="3" s="1"/>
  <c r="P15" i="3"/>
  <c r="R15" i="3" s="1"/>
  <c r="P14" i="3"/>
  <c r="R14" i="3" s="1"/>
  <c r="P13" i="3"/>
  <c r="R13" i="3" s="1"/>
  <c r="P12" i="3"/>
  <c r="R12" i="3" s="1"/>
  <c r="P11" i="3"/>
  <c r="R11" i="3" s="1"/>
  <c r="P10" i="3"/>
  <c r="R10" i="3" s="1"/>
  <c r="T10" i="3" l="1"/>
  <c r="S10" i="3"/>
  <c r="T11" i="3"/>
  <c r="S11" i="3"/>
  <c r="T12" i="3"/>
  <c r="S12" i="3"/>
  <c r="T13" i="3"/>
  <c r="S13" i="3"/>
  <c r="T14" i="3"/>
  <c r="S14" i="3"/>
  <c r="T15" i="3"/>
  <c r="S15" i="3"/>
  <c r="T16" i="3"/>
  <c r="S16" i="3"/>
  <c r="T17" i="3"/>
  <c r="S17" i="3"/>
  <c r="T18" i="3"/>
  <c r="S18" i="3"/>
  <c r="T19" i="3"/>
  <c r="S19" i="3"/>
  <c r="T20" i="3"/>
  <c r="S20" i="3"/>
  <c r="T21" i="3"/>
  <c r="S21" i="3"/>
  <c r="T22" i="3"/>
  <c r="S22" i="3"/>
  <c r="T23" i="3"/>
  <c r="S23" i="3"/>
  <c r="T24" i="3"/>
  <c r="S24" i="3"/>
  <c r="T25" i="3"/>
  <c r="S25" i="3"/>
  <c r="T26" i="3"/>
  <c r="S26" i="3"/>
  <c r="T27" i="3"/>
  <c r="S27" i="3"/>
  <c r="T28" i="3"/>
  <c r="S28" i="3"/>
  <c r="T29" i="3"/>
  <c r="S29" i="3"/>
  <c r="T30" i="3"/>
  <c r="S30" i="3"/>
  <c r="T31" i="3"/>
  <c r="S31" i="3"/>
  <c r="T32" i="3"/>
  <c r="S32" i="3"/>
  <c r="T33" i="3"/>
  <c r="S33" i="3"/>
  <c r="T34" i="3"/>
  <c r="S34" i="3"/>
  <c r="T35" i="3"/>
  <c r="S35" i="3"/>
  <c r="T36" i="3"/>
  <c r="S36" i="3"/>
  <c r="T37" i="3"/>
  <c r="S37" i="3"/>
  <c r="T38" i="3"/>
  <c r="S38" i="3"/>
  <c r="T39" i="3"/>
  <c r="S39" i="3"/>
  <c r="T40" i="3"/>
  <c r="S40" i="3"/>
  <c r="T41" i="3"/>
  <c r="S41" i="3"/>
  <c r="T42" i="3"/>
  <c r="S42" i="3"/>
  <c r="T43" i="3"/>
  <c r="S43" i="3"/>
  <c r="T44" i="3"/>
  <c r="S44" i="3"/>
  <c r="T45" i="3"/>
  <c r="S45" i="3"/>
  <c r="T46" i="3"/>
  <c r="S46" i="3"/>
  <c r="T47" i="3"/>
  <c r="S47" i="3"/>
  <c r="T48" i="3"/>
  <c r="S48" i="3"/>
  <c r="T49" i="3"/>
  <c r="S49" i="3"/>
  <c r="T50" i="3"/>
  <c r="S50" i="3"/>
  <c r="T51" i="3"/>
  <c r="S51" i="3"/>
  <c r="T52" i="3"/>
  <c r="S52" i="3"/>
  <c r="T53" i="3"/>
  <c r="S53" i="3"/>
  <c r="T54" i="3"/>
  <c r="S54" i="3"/>
  <c r="T55" i="3"/>
  <c r="S55" i="3"/>
  <c r="T56" i="3"/>
  <c r="S56" i="3"/>
  <c r="T57" i="3"/>
  <c r="S57" i="3"/>
  <c r="T58" i="3"/>
  <c r="S58" i="3"/>
  <c r="T59" i="3"/>
  <c r="S59" i="3"/>
  <c r="CH14" i="3"/>
  <c r="CI14" i="3" s="1"/>
  <c r="CH13" i="3"/>
  <c r="CI13" i="3" s="1"/>
  <c r="CH12" i="3"/>
  <c r="CI12" i="3" s="1"/>
  <c r="CH11" i="3"/>
  <c r="CI11" i="3" s="1"/>
  <c r="CH10" i="3"/>
  <c r="CI10" i="3" s="1"/>
  <c r="DT14" i="3"/>
  <c r="DU14" i="3" s="1"/>
  <c r="DT13" i="3"/>
  <c r="DU13" i="3" s="1"/>
  <c r="DT12" i="3"/>
  <c r="DU12" i="3" s="1"/>
  <c r="DT11" i="3"/>
  <c r="DU11" i="3" s="1"/>
  <c r="DT10" i="3"/>
  <c r="DU10" i="3" s="1"/>
  <c r="BH10" i="3"/>
  <c r="BI10" i="3" s="1"/>
  <c r="CB14" i="3"/>
  <c r="CC14" i="3" s="1"/>
  <c r="CB13" i="3"/>
  <c r="CC13" i="3" s="1"/>
  <c r="CB12" i="3"/>
  <c r="CC12" i="3" s="1"/>
  <c r="CB11" i="3"/>
  <c r="CC11" i="3" s="1"/>
  <c r="CB10" i="3"/>
  <c r="CC10" i="3" s="1"/>
  <c r="DN14" i="3"/>
  <c r="DO14" i="3" s="1"/>
  <c r="DN13" i="3"/>
  <c r="DO13" i="3" s="1"/>
  <c r="DN12" i="3"/>
  <c r="DO12" i="3" s="1"/>
  <c r="DN11" i="3"/>
  <c r="DO11" i="3" s="1"/>
  <c r="DN10" i="3"/>
  <c r="DO10" i="3" s="1"/>
  <c r="BD10" i="3"/>
  <c r="BE10" i="3" s="1"/>
  <c r="H13" i="3"/>
  <c r="I13" i="3" s="1"/>
  <c r="K13" i="3" s="1"/>
  <c r="H12" i="3"/>
  <c r="I12" i="3" s="1"/>
  <c r="K12" i="3" s="1"/>
  <c r="H11" i="3"/>
  <c r="I11" i="3" s="1"/>
  <c r="H10" i="3"/>
  <c r="I10" i="3" s="1"/>
  <c r="BH11" i="3"/>
  <c r="BI11" i="3" s="1"/>
  <c r="BD11" i="3"/>
  <c r="BE11" i="3" s="1"/>
  <c r="BH12" i="3"/>
  <c r="BI12" i="3" s="1"/>
  <c r="BD12" i="3"/>
  <c r="BE12" i="3" s="1"/>
  <c r="K10" i="3" l="1"/>
  <c r="K25" i="3" s="1"/>
  <c r="K11" i="3"/>
  <c r="K24" i="3" s="1"/>
  <c r="K23" i="3"/>
  <c r="K22" i="3"/>
  <c r="DQ10" i="3"/>
  <c r="DQ25" i="3" s="1"/>
  <c r="DP10" i="3"/>
  <c r="DP25" i="3" s="1"/>
  <c r="DQ11" i="3"/>
  <c r="DQ24" i="3" s="1"/>
  <c r="DP11" i="3"/>
  <c r="DP24" i="3" s="1"/>
  <c r="DQ12" i="3"/>
  <c r="DQ23" i="3" s="1"/>
  <c r="DP12" i="3"/>
  <c r="DP23" i="3" s="1"/>
  <c r="DQ13" i="3"/>
  <c r="DQ22" i="3" s="1"/>
  <c r="DP13" i="3"/>
  <c r="DP22" i="3" s="1"/>
  <c r="DQ14" i="3"/>
  <c r="DQ21" i="3" s="1"/>
  <c r="DP14" i="3"/>
  <c r="DP21" i="3" s="1"/>
  <c r="CE10" i="3"/>
  <c r="CE25" i="3" s="1"/>
  <c r="CD10" i="3"/>
  <c r="CD25" i="3" s="1"/>
  <c r="CF25" i="3" s="1"/>
  <c r="CE11" i="3"/>
  <c r="CE24" i="3" s="1"/>
  <c r="CD11" i="3"/>
  <c r="CD24" i="3" s="1"/>
  <c r="CF24" i="3" s="1"/>
  <c r="CE12" i="3"/>
  <c r="CE23" i="3" s="1"/>
  <c r="CD12" i="3"/>
  <c r="CD23" i="3" s="1"/>
  <c r="CF23" i="3" s="1"/>
  <c r="CE13" i="3"/>
  <c r="CE22" i="3" s="1"/>
  <c r="CD13" i="3"/>
  <c r="CD22" i="3" s="1"/>
  <c r="CF22" i="3" s="1"/>
  <c r="CE14" i="3"/>
  <c r="CE21" i="3" s="1"/>
  <c r="CD14" i="3"/>
  <c r="CD21" i="3" s="1"/>
  <c r="CF21" i="3" s="1"/>
  <c r="DW10" i="3"/>
  <c r="DW25" i="3" s="1"/>
  <c r="DV10" i="3"/>
  <c r="DV25" i="3" s="1"/>
  <c r="DW11" i="3"/>
  <c r="DW24" i="3" s="1"/>
  <c r="DV11" i="3"/>
  <c r="DV24" i="3" s="1"/>
  <c r="DW12" i="3"/>
  <c r="DW23" i="3" s="1"/>
  <c r="DV12" i="3"/>
  <c r="DV23" i="3" s="1"/>
  <c r="DW13" i="3"/>
  <c r="DW22" i="3" s="1"/>
  <c r="DV13" i="3"/>
  <c r="DV22" i="3" s="1"/>
  <c r="DW14" i="3"/>
  <c r="DW21" i="3" s="1"/>
  <c r="DV14" i="3"/>
  <c r="DV21" i="3" s="1"/>
  <c r="CK10" i="3"/>
  <c r="CK25" i="3" s="1"/>
  <c r="CJ10" i="3"/>
  <c r="CJ25" i="3" s="1"/>
  <c r="CL25" i="3" s="1"/>
  <c r="CK11" i="3"/>
  <c r="CK24" i="3" s="1"/>
  <c r="CJ11" i="3"/>
  <c r="CJ24" i="3" s="1"/>
  <c r="CL24" i="3" s="1"/>
  <c r="CK12" i="3"/>
  <c r="CK23" i="3" s="1"/>
  <c r="CJ12" i="3"/>
  <c r="CJ23" i="3" s="1"/>
  <c r="CL23" i="3" s="1"/>
  <c r="CK13" i="3"/>
  <c r="CK22" i="3" s="1"/>
  <c r="CJ13" i="3"/>
  <c r="CJ22" i="3" s="1"/>
  <c r="CL22" i="3" s="1"/>
  <c r="CK14" i="3"/>
  <c r="CK21" i="3" s="1"/>
  <c r="CJ14" i="3"/>
  <c r="CJ21" i="3" s="1"/>
  <c r="CL21" i="3" s="1"/>
  <c r="Y59" i="3"/>
  <c r="V59" i="3"/>
  <c r="U59" i="3"/>
  <c r="Y58" i="3"/>
  <c r="V58" i="3"/>
  <c r="U58" i="3"/>
  <c r="Y57" i="3"/>
  <c r="V57" i="3"/>
  <c r="U57" i="3"/>
  <c r="Y56" i="3"/>
  <c r="V56" i="3"/>
  <c r="U56" i="3"/>
  <c r="Y55" i="3"/>
  <c r="V55" i="3"/>
  <c r="U55" i="3"/>
  <c r="Y54" i="3"/>
  <c r="V54" i="3"/>
  <c r="U54" i="3"/>
  <c r="Y53" i="3"/>
  <c r="V53" i="3"/>
  <c r="U53" i="3"/>
  <c r="Y52" i="3"/>
  <c r="V52" i="3"/>
  <c r="U52" i="3"/>
  <c r="Y51" i="3"/>
  <c r="V51" i="3"/>
  <c r="U51" i="3"/>
  <c r="Y50" i="3"/>
  <c r="V50" i="3"/>
  <c r="U50" i="3"/>
  <c r="Y49" i="3"/>
  <c r="V49" i="3"/>
  <c r="U49" i="3"/>
  <c r="Y48" i="3"/>
  <c r="V48" i="3"/>
  <c r="U48" i="3"/>
  <c r="Y47" i="3"/>
  <c r="V47" i="3"/>
  <c r="U47" i="3"/>
  <c r="Y46" i="3"/>
  <c r="V46" i="3"/>
  <c r="U46" i="3"/>
  <c r="Y45" i="3"/>
  <c r="V45" i="3"/>
  <c r="U45" i="3"/>
  <c r="Y44" i="3"/>
  <c r="V44" i="3"/>
  <c r="U44" i="3"/>
  <c r="Y43" i="3"/>
  <c r="V43" i="3"/>
  <c r="U43" i="3"/>
  <c r="Y42" i="3"/>
  <c r="V42" i="3"/>
  <c r="U42" i="3"/>
  <c r="Y41" i="3"/>
  <c r="V41" i="3"/>
  <c r="U41" i="3"/>
  <c r="Y40" i="3"/>
  <c r="V40" i="3"/>
  <c r="U40" i="3"/>
  <c r="Y39" i="3"/>
  <c r="V39" i="3"/>
  <c r="U39" i="3"/>
  <c r="Y38" i="3"/>
  <c r="V38" i="3"/>
  <c r="U38" i="3"/>
  <c r="Y37" i="3"/>
  <c r="V37" i="3"/>
  <c r="U37" i="3"/>
  <c r="Y36" i="3"/>
  <c r="V36" i="3"/>
  <c r="U36" i="3"/>
  <c r="Y35" i="3"/>
  <c r="V35" i="3"/>
  <c r="U35" i="3"/>
  <c r="Y34" i="3"/>
  <c r="V34" i="3"/>
  <c r="U34" i="3"/>
  <c r="Y33" i="3"/>
  <c r="V33" i="3"/>
  <c r="U33" i="3"/>
  <c r="Y32" i="3"/>
  <c r="V32" i="3"/>
  <c r="U32" i="3"/>
  <c r="Y31" i="3"/>
  <c r="U31" i="3"/>
  <c r="V31" i="3" s="1"/>
  <c r="Y30" i="3"/>
  <c r="U30" i="3"/>
  <c r="V30" i="3" s="1"/>
  <c r="Y29" i="3"/>
  <c r="U29" i="3"/>
  <c r="V29" i="3" s="1"/>
  <c r="Y28" i="3"/>
  <c r="U28" i="3"/>
  <c r="V28" i="3" s="1"/>
  <c r="Y27" i="3"/>
  <c r="U27" i="3"/>
  <c r="V27" i="3" s="1"/>
  <c r="Y26" i="3"/>
  <c r="U26" i="3"/>
  <c r="V26" i="3" s="1"/>
  <c r="Y25" i="3"/>
  <c r="U25" i="3"/>
  <c r="V25" i="3" s="1"/>
  <c r="Y24" i="3"/>
  <c r="U24" i="3"/>
  <c r="V24" i="3" s="1"/>
  <c r="Y23" i="3"/>
  <c r="U23" i="3"/>
  <c r="V23" i="3" s="1"/>
  <c r="Y22" i="3"/>
  <c r="U22" i="3"/>
  <c r="V22" i="3" s="1"/>
  <c r="Y21" i="3"/>
  <c r="U21" i="3"/>
  <c r="V21" i="3" s="1"/>
  <c r="Y20" i="3"/>
  <c r="U20" i="3"/>
  <c r="V20" i="3" s="1"/>
  <c r="Y19" i="3"/>
  <c r="U19" i="3"/>
  <c r="V19" i="3" s="1"/>
  <c r="Y18" i="3"/>
  <c r="U18" i="3"/>
  <c r="V18" i="3" s="1"/>
  <c r="Y17" i="3"/>
  <c r="U17" i="3"/>
  <c r="V17" i="3" s="1"/>
  <c r="Y16" i="3"/>
  <c r="U16" i="3"/>
  <c r="V16" i="3" s="1"/>
  <c r="Y15" i="3"/>
  <c r="U15" i="3"/>
  <c r="V15" i="3" s="1"/>
  <c r="Y14" i="3"/>
  <c r="U14" i="3"/>
  <c r="V14" i="3" s="1"/>
  <c r="Y13" i="3"/>
  <c r="U13" i="3"/>
  <c r="V13" i="3" s="1"/>
  <c r="Y12" i="3"/>
  <c r="U12" i="3"/>
  <c r="V12" i="3" s="1"/>
  <c r="Y11" i="3"/>
  <c r="U11" i="3"/>
  <c r="V11" i="3" s="1"/>
  <c r="Y10" i="3"/>
  <c r="U10" i="3"/>
  <c r="V10" i="3" s="1"/>
  <c r="AA14" i="3" l="1"/>
  <c r="AB14" i="3" s="1"/>
  <c r="AA13" i="3"/>
  <c r="AB13" i="3" s="1"/>
  <c r="AA12" i="3"/>
  <c r="AB12" i="3" s="1"/>
  <c r="AA11" i="3"/>
  <c r="AB11" i="3" s="1"/>
  <c r="AA10" i="3"/>
  <c r="AB10" i="3" s="1"/>
  <c r="AD10" i="3" l="1"/>
  <c r="AD25" i="3" s="1"/>
  <c r="AC10" i="3"/>
  <c r="AC25" i="3" s="1"/>
  <c r="AE25" i="3" s="1"/>
  <c r="AD11" i="3"/>
  <c r="AD24" i="3" s="1"/>
  <c r="AC11" i="3"/>
  <c r="AC24" i="3" s="1"/>
  <c r="AE24" i="3" s="1"/>
  <c r="AD12" i="3"/>
  <c r="AD23" i="3" s="1"/>
  <c r="AC12" i="3"/>
  <c r="AC23" i="3" s="1"/>
  <c r="AE23" i="3" s="1"/>
  <c r="AD13" i="3"/>
  <c r="AD22" i="3" s="1"/>
  <c r="AC13" i="3"/>
  <c r="AC22" i="3" s="1"/>
  <c r="AE22" i="3" s="1"/>
  <c r="AD14" i="3"/>
  <c r="AD21" i="3" s="1"/>
  <c r="AC14" i="3"/>
  <c r="AC21" i="3" s="1"/>
  <c r="AE21" i="3" s="1"/>
  <c r="J10" i="3"/>
  <c r="J25" i="3"/>
  <c r="L25" i="3" s="1"/>
  <c r="J14" i="3" l="1"/>
  <c r="J21" i="3"/>
  <c r="L21" i="3" s="1"/>
  <c r="J13" i="3"/>
  <c r="J22" i="3"/>
  <c r="L22" i="3"/>
  <c r="J12" i="3"/>
  <c r="J23" i="3"/>
  <c r="L23" i="3"/>
  <c r="J11" i="3" s="1"/>
  <c r="J24" i="3" s="1"/>
  <c r="L24" i="3" s="1"/>
</calcChain>
</file>

<file path=xl/sharedStrings.xml><?xml version="1.0" encoding="utf-8"?>
<sst xmlns="http://schemas.openxmlformats.org/spreadsheetml/2006/main" count="835" uniqueCount="148">
  <si>
    <t>HÉROS</t>
  </si>
  <si>
    <t>RÔLE</t>
  </si>
  <si>
    <t>Son Goku Super Sayen</t>
  </si>
  <si>
    <t>Attaquant</t>
  </si>
  <si>
    <t>Piccolo</t>
  </si>
  <si>
    <t>Dabra</t>
  </si>
  <si>
    <t>Kale</t>
  </si>
  <si>
    <t>Son Goku Mini</t>
  </si>
  <si>
    <t>Bojack</t>
  </si>
  <si>
    <t>Gamma 1 et 2</t>
  </si>
  <si>
    <t>C-18</t>
  </si>
  <si>
    <t>Son Goku Sayen 3</t>
  </si>
  <si>
    <t>Broly</t>
  </si>
  <si>
    <t>Super Uub</t>
  </si>
  <si>
    <t>Trunks Jeune</t>
  </si>
  <si>
    <t>Toppo</t>
  </si>
  <si>
    <t>Vegito</t>
  </si>
  <si>
    <t>Vegeta Sayen</t>
  </si>
  <si>
    <t>Défenseur</t>
  </si>
  <si>
    <t>Zamasu</t>
  </si>
  <si>
    <t>Baby Juvénile</t>
  </si>
  <si>
    <t>Caulifla Sayen 2</t>
  </si>
  <si>
    <t>Cooler</t>
  </si>
  <si>
    <t>Cell</t>
  </si>
  <si>
    <t>Vegeta 4</t>
  </si>
  <si>
    <t>Buu</t>
  </si>
  <si>
    <t>Soutien</t>
  </si>
  <si>
    <t>Krillin</t>
  </si>
  <si>
    <t>Son Gohan Petit</t>
  </si>
  <si>
    <t>Frieza 1</t>
  </si>
  <si>
    <t>C-17</t>
  </si>
  <si>
    <t>Gotenks</t>
  </si>
  <si>
    <t>Hit</t>
  </si>
  <si>
    <t>Ultimate Gohan</t>
  </si>
  <si>
    <t>Gogeta 4</t>
  </si>
  <si>
    <t>Janemba</t>
  </si>
  <si>
    <t>Jiren</t>
  </si>
  <si>
    <t>Kefla</t>
  </si>
  <si>
    <t>Bardock</t>
  </si>
  <si>
    <t>Date</t>
  </si>
  <si>
    <t>Heure</t>
  </si>
  <si>
    <t>Résultat</t>
  </si>
  <si>
    <t>Xhelo</t>
  </si>
  <si>
    <t>J9</t>
  </si>
  <si>
    <t>X_K</t>
  </si>
  <si>
    <t>X_D</t>
  </si>
  <si>
    <t>X_A</t>
  </si>
  <si>
    <t>J_K</t>
  </si>
  <si>
    <t>J_D</t>
  </si>
  <si>
    <t>J_A</t>
  </si>
  <si>
    <t>DUO</t>
  </si>
  <si>
    <t>VICTOIRE</t>
  </si>
  <si>
    <t>Broly + Cooler</t>
  </si>
  <si>
    <t>DÉFAITE</t>
  </si>
  <si>
    <t>Broly + Trunks Jeune</t>
  </si>
  <si>
    <t>Buu + Trunks Jeune</t>
  </si>
  <si>
    <t>Broly + Gotenks</t>
  </si>
  <si>
    <t>C-18 + Gotenks</t>
  </si>
  <si>
    <t>Vegeta 4 + Trunks Jeune</t>
  </si>
  <si>
    <t>Buu + Cooler</t>
  </si>
  <si>
    <t>Cell + Trunks Jeune</t>
  </si>
  <si>
    <t>Son Goku Super Sayen + Cooler</t>
  </si>
  <si>
    <t>cell</t>
  </si>
  <si>
    <t>Gotenks + Broly</t>
  </si>
  <si>
    <t>Broly + Ultimate Gohan</t>
  </si>
  <si>
    <t>Cooler + Trunks Jeune</t>
  </si>
  <si>
    <t>ultimate Gohan</t>
  </si>
  <si>
    <t>Kale + Hit</t>
  </si>
  <si>
    <t>Kale + Cooler</t>
  </si>
  <si>
    <t>DEFAITE</t>
  </si>
  <si>
    <t>Broly + Hit</t>
  </si>
  <si>
    <t>Broly + Zamasu</t>
  </si>
  <si>
    <t>Bardock + Trunks Jeune</t>
  </si>
  <si>
    <t>Broly + Trunks jeune</t>
  </si>
  <si>
    <t>son Goku Super Sayen + Trunks Jeune</t>
  </si>
  <si>
    <t xml:space="preserve">Son Goku </t>
  </si>
  <si>
    <t>son Goku  + Trunks Jeune</t>
  </si>
  <si>
    <t>C18</t>
  </si>
  <si>
    <t>C18 + Vegeta 4</t>
  </si>
  <si>
    <t>C18 + Ultimate Gohan</t>
  </si>
  <si>
    <t>Vegeta 4 + Vegito</t>
  </si>
  <si>
    <t>Bardock + Vegito</t>
  </si>
  <si>
    <t>100 ème match!</t>
  </si>
  <si>
    <t>et une win !</t>
  </si>
  <si>
    <t>Bardock + Vegeta 4</t>
  </si>
  <si>
    <t>Broly + Vegeta 4</t>
  </si>
  <si>
    <t>son Goku Super Sayen + Hit</t>
  </si>
  <si>
    <t>Piccolo+vegeta 4</t>
  </si>
  <si>
    <t>Bardock + Kefla</t>
  </si>
  <si>
    <t>Bardock + Gotenks</t>
  </si>
  <si>
    <t>C17</t>
  </si>
  <si>
    <t>C17 + Vegeta 4</t>
  </si>
  <si>
    <t>KPI</t>
  </si>
  <si>
    <t>VAL</t>
  </si>
  <si>
    <t>HERO_REF</t>
  </si>
  <si>
    <t>WINS</t>
  </si>
  <si>
    <t>PLAYED</t>
  </si>
  <si>
    <t>RATE</t>
  </si>
  <si>
    <t>SCORE</t>
  </si>
  <si>
    <t>ROLE</t>
  </si>
  <si>
    <t>RANK</t>
  </si>
  <si>
    <t>SSCORE</t>
  </si>
  <si>
    <t>SNAME</t>
  </si>
  <si>
    <t>DNAME</t>
  </si>
  <si>
    <t>SRATE</t>
  </si>
  <si>
    <t>DEFEATS</t>
  </si>
  <si>
    <t>DUO_REF</t>
  </si>
  <si>
    <t>XW</t>
  </si>
  <si>
    <t>XP</t>
  </si>
  <si>
    <t>XR</t>
  </si>
  <si>
    <t>XL</t>
  </si>
  <si>
    <t>XS</t>
  </si>
  <si>
    <t>XK</t>
  </si>
  <si>
    <t>XD</t>
  </si>
  <si>
    <t>XA</t>
  </si>
  <si>
    <t>XKDAR</t>
  </si>
  <si>
    <t>XKDAS</t>
  </si>
  <si>
    <t>JW</t>
  </si>
  <si>
    <t>JP</t>
  </si>
  <si>
    <t>JR</t>
  </si>
  <si>
    <t>JL</t>
  </si>
  <si>
    <t>JS</t>
  </si>
  <si>
    <t>JK</t>
  </si>
  <si>
    <t>JD</t>
  </si>
  <si>
    <t>JA</t>
  </si>
  <si>
    <t>JKDAR</t>
  </si>
  <si>
    <t>JKDAS</t>
  </si>
  <si>
    <t>XRW</t>
  </si>
  <si>
    <t>XRP</t>
  </si>
  <si>
    <t>XR_RATE</t>
  </si>
  <si>
    <t>XR_LOSS</t>
  </si>
  <si>
    <t>JRW</t>
  </si>
  <si>
    <t>JRP</t>
  </si>
  <si>
    <t>JR_RATE</t>
  </si>
  <si>
    <t>JR_LOSS</t>
  </si>
  <si>
    <t>XKA</t>
  </si>
  <si>
    <t>XDA</t>
  </si>
  <si>
    <t>XAA</t>
  </si>
  <si>
    <t>JKA</t>
  </si>
  <si>
    <t>JDA</t>
  </si>
  <si>
    <t>JAA</t>
  </si>
  <si>
    <t>STATISTIQUES MOBA</t>
  </si>
  <si>
    <t>NOUVEAU MATCH +</t>
  </si>
  <si>
    <t>Dashboard v28 // Ultimate Performance Analysis</t>
  </si>
  <si>
    <t>MATCHS</t>
  </si>
  <si>
    <t>VICTOIRES</t>
  </si>
  <si>
    <t>WINRATE</t>
  </si>
  <si>
    <t>STATISTIQUES DE COMBAT (PERFORMANCE KDA)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</si>
</sst>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4"/>
      <color rgb="FFF9FAFB"/>
      <name val="Segoe UI"/>
      <family val="2"/>
    </font>
    <font>
      <b/>
      <sz val="12"/>
      <color rgb="FFFFFFFF"/>
      <name val="Segoe UI"/>
      <family val="2"/>
    </font>
    <font>
      <sz val="10"/>
      <color rgb="FF3B82F6"/>
      <name val="Segoe UI"/>
      <family val="2"/>
    </font>
    <font>
      <sz val="10"/>
      <color rgb="FF9CA3AF"/>
      <name val="Segoe UI"/>
      <family val="2"/>
    </font>
    <font>
      <b/>
      <sz val="26"/>
      <color rgb="FFF9FAFB"/>
      <name val="Segoe UI"/>
      <family val="2"/>
    </font>
    <font>
      <b/>
      <sz val="26"/>
      <color rgb="FF10B981"/>
      <name val="Segoe UI"/>
      <family val="2"/>
    </font>
    <font>
      <b/>
      <sz val="16"/>
      <color rgb="FFF59E0B"/>
      <name val="Segoe U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  <scheme val="minor"/>
    </font>
    <font>
      <sz val="11"/>
      <color rgb="FF7050B4"/>
      <name val="Calibri"/>
      <family val="2"/>
      <scheme val="minor"/>
    </font>
    <font>
      <sz val="11"/>
      <color rgb="FF7050B4"/>
      <name val="Calibri"/>
      <scheme val="minor"/>
    </font>
    <font>
      <sz val="11"/>
      <color rgb="FF000000"/>
      <name val="Calibri"/>
      <charset val="1"/>
    </font>
    <font>
      <sz val="11"/>
      <color rgb="FF7030A0"/>
      <name val="Calibri"/>
      <scheme val="minor"/>
    </font>
    <font>
      <sz val="11"/>
      <color rgb="FF6C2E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121212"/>
      </left>
      <right style="thin">
        <color rgb="FF121212"/>
      </right>
      <top style="thin">
        <color rgb="FF121212"/>
      </top>
      <bottom style="thin">
        <color rgb="FF12121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4" borderId="0" xfId="0" applyFill="1"/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 vertical="top"/>
    </xf>
    <xf numFmtId="9" fontId="8" fillId="4" borderId="0" xfId="0" applyNumberFormat="1" applyFont="1" applyFill="1" applyAlignment="1">
      <alignment horizontal="left" vertical="top"/>
    </xf>
    <xf numFmtId="0" fontId="10" fillId="6" borderId="0" xfId="0" applyFont="1" applyFill="1" applyBorder="1" applyAlignment="1"/>
    <xf numFmtId="14" fontId="10" fillId="6" borderId="0" xfId="0" applyNumberFormat="1" applyFont="1" applyFill="1" applyBorder="1" applyAlignment="1"/>
    <xf numFmtId="20" fontId="10" fillId="6" borderId="0" xfId="0" applyNumberFormat="1" applyFont="1" applyFill="1" applyBorder="1" applyAlignment="1"/>
    <xf numFmtId="0" fontId="10" fillId="0" borderId="0" xfId="0" applyFont="1" applyBorder="1" applyAlignment="1"/>
    <xf numFmtId="14" fontId="10" fillId="0" borderId="0" xfId="0" applyNumberFormat="1" applyFont="1" applyBorder="1" applyAlignment="1"/>
    <xf numFmtId="20" fontId="10" fillId="0" borderId="0" xfId="0" applyNumberFormat="1" applyFont="1" applyBorder="1" applyAlignment="1"/>
    <xf numFmtId="14" fontId="0" fillId="0" borderId="0" xfId="0" applyNumberFormat="1"/>
    <xf numFmtId="20" fontId="0" fillId="0" borderId="0" xfId="0" applyNumberFormat="1"/>
    <xf numFmtId="0" fontId="11" fillId="6" borderId="0" xfId="0" applyFont="1" applyFill="1" applyBorder="1" applyAlignment="1"/>
    <xf numFmtId="0" fontId="11" fillId="0" borderId="0" xfId="0" applyFont="1" applyBorder="1" applyAlignment="1"/>
    <xf numFmtId="0" fontId="12" fillId="0" borderId="0" xfId="0" applyFont="1"/>
    <xf numFmtId="0" fontId="13" fillId="0" borderId="0" xfId="0" applyFont="1"/>
    <xf numFmtId="0" fontId="14" fillId="6" borderId="0" xfId="0" applyFont="1" applyFill="1" applyBorder="1" applyAlignment="1"/>
    <xf numFmtId="0" fontId="14" fillId="0" borderId="0" xfId="0" applyFont="1" applyBorder="1" applyAlignme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3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top"/>
    </xf>
    <xf numFmtId="0" fontId="4" fillId="5" borderId="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Top Héros (Global)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</c:v>
          </c:tx>
          <c:spPr>
            <a:solidFill>
              <a:srgbClr val="3B82F6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CALCULS!$J$21:$J$25</c:f>
              <c:strCache>
                <c:ptCount val="5"/>
                <c:pt idx="0">
                  <c:v>Zamasu (9V - 0,142857142857143D)</c:v>
                </c:pt>
                <c:pt idx="1">
                  <c:v>Cooler (18V - 8D)</c:v>
                </c:pt>
                <c:pt idx="2">
                  <c:v>Bardock (24V - 7D)</c:v>
                </c:pt>
                <c:pt idx="3">
                  <c:v>Vegito (24V - 0,225806451612903D)</c:v>
                </c:pt>
                <c:pt idx="4">
                  <c:v>Son Goku Super Sayen (6V - 1D)</c:v>
                </c:pt>
              </c:strCache>
            </c:strRef>
          </c:cat>
          <c:val>
            <c:numRef>
              <c:f>CALCULS!$K$21:$K$25</c:f>
              <c:numCache>
                <c:formatCode>General</c:formatCode>
                <c:ptCount val="5"/>
                <c:pt idx="0">
                  <c:v>0.69230769230769229</c:v>
                </c:pt>
                <c:pt idx="1">
                  <c:v>0.69230769230769229</c:v>
                </c:pt>
                <c:pt idx="2">
                  <c:v>0.77419354838709675</c:v>
                </c:pt>
                <c:pt idx="3">
                  <c:v>0.8</c:v>
                </c:pt>
                <c:pt idx="4">
                  <c:v>0.8571428571428571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0-4DA5-BED9-60AA906F7A8B}"/>
            </c:ext>
          </c:extLst>
        </c:ser>
        <c:ser>
          <c:idx val="1"/>
          <c:order val="1"/>
          <c:tx>
            <c:v>Loss</c:v>
          </c:tx>
          <c:spPr>
            <a:solidFill>
              <a:srgbClr val="EF4444"/>
            </a:solidFill>
            <a:ln>
              <a:noFill/>
            </a:ln>
          </c:spPr>
          <c:invertIfNegative val="0"/>
          <c:cat>
            <c:strRef>
              <c:f>CALCULS!$J$21:$J$25</c:f>
              <c:strCache>
                <c:ptCount val="5"/>
                <c:pt idx="0">
                  <c:v>Zamasu (9V - 0,142857142857143D)</c:v>
                </c:pt>
                <c:pt idx="1">
                  <c:v>Cooler (18V - 8D)</c:v>
                </c:pt>
                <c:pt idx="2">
                  <c:v>Bardock (24V - 7D)</c:v>
                </c:pt>
                <c:pt idx="3">
                  <c:v>Vegito (24V - 0,225806451612903D)</c:v>
                </c:pt>
                <c:pt idx="4">
                  <c:v>Son Goku Super Sayen (6V - 1D)</c:v>
                </c:pt>
              </c:strCache>
            </c:strRef>
          </c:cat>
          <c:val>
            <c:numRef>
              <c:f>CALCULS!$L$21:$L$25</c:f>
              <c:numCache>
                <c:formatCode>General</c:formatCode>
                <c:ptCount val="5"/>
                <c:pt idx="0">
                  <c:v>0.30769230769230771</c:v>
                </c:pt>
                <c:pt idx="1">
                  <c:v>0.30769230769230771</c:v>
                </c:pt>
                <c:pt idx="2">
                  <c:v>0.22580645161290325</c:v>
                </c:pt>
                <c:pt idx="3">
                  <c:v>0.19999999999999996</c:v>
                </c:pt>
                <c:pt idx="4">
                  <c:v>0.1428571428571429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0-4DA5-BED9-60AA906F7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 baseline="0">
                <a:solidFill>
                  <a:srgbClr val="9CA3AF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Top Duos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</c:v>
          </c:tx>
          <c:spPr>
            <a:solidFill>
              <a:srgbClr val="10B981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CALCULS!$AC$21:$AC$25</c:f>
              <c:strCache>
                <c:ptCount val="5"/>
                <c:pt idx="0">
                  <c:v>Broly + Hit (8V - 3D)</c:v>
                </c:pt>
                <c:pt idx="1">
                  <c:v>Bardock + Vegito (22V - 3D)</c:v>
                </c:pt>
                <c:pt idx="2">
                  <c:v>C18 + Vegeta 4 (1V - 0D)</c:v>
                </c:pt>
                <c:pt idx="3">
                  <c:v>Cooler + Trunks Jeune (4V - 0D)</c:v>
                </c:pt>
                <c:pt idx="4">
                  <c:v>Son Goku Super Sayen + Cooler (5V - 0D)</c:v>
                </c:pt>
              </c:strCache>
            </c:strRef>
          </c:cat>
          <c:val>
            <c:numRef>
              <c:f>CALCULS!$AD$21:$AD$25</c:f>
              <c:numCache>
                <c:formatCode>General</c:formatCode>
                <c:ptCount val="5"/>
                <c:pt idx="0">
                  <c:v>0.72727272727272729</c:v>
                </c:pt>
                <c:pt idx="1">
                  <c:v>0.88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6E7-A9AA-714E614D1B60}"/>
            </c:ext>
          </c:extLst>
        </c:ser>
        <c:ser>
          <c:idx val="1"/>
          <c:order val="1"/>
          <c:tx>
            <c:v>Loss</c:v>
          </c:tx>
          <c:spPr>
            <a:solidFill>
              <a:srgbClr val="EF4444"/>
            </a:solidFill>
            <a:ln>
              <a:noFill/>
            </a:ln>
          </c:spPr>
          <c:invertIfNegative val="0"/>
          <c:cat>
            <c:strRef>
              <c:f>CALCULS!$AC$21:$AC$25</c:f>
              <c:strCache>
                <c:ptCount val="5"/>
                <c:pt idx="0">
                  <c:v>Broly + Hit (8V - 3D)</c:v>
                </c:pt>
                <c:pt idx="1">
                  <c:v>Bardock + Vegito (22V - 3D)</c:v>
                </c:pt>
                <c:pt idx="2">
                  <c:v>C18 + Vegeta 4 (1V - 0D)</c:v>
                </c:pt>
                <c:pt idx="3">
                  <c:v>Cooler + Trunks Jeune (4V - 0D)</c:v>
                </c:pt>
                <c:pt idx="4">
                  <c:v>Son Goku Super Sayen + Cooler (5V - 0D)</c:v>
                </c:pt>
              </c:strCache>
            </c:strRef>
          </c:cat>
          <c:val>
            <c:numRef>
              <c:f>CALCULS!$AE$21:$AE$25</c:f>
              <c:numCache>
                <c:formatCode>General</c:formatCode>
                <c:ptCount val="5"/>
                <c:pt idx="0">
                  <c:v>0.27272727272727271</c:v>
                </c:pt>
                <c:pt idx="1">
                  <c:v>0.12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B-46E7-A9AA-714E614D1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 baseline="0">
                <a:solidFill>
                  <a:srgbClr val="9CA3AF"/>
                </a:solidFill>
                <a:latin typeface="Segoe U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Top Xhelo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</c:v>
          </c:tx>
          <c:spPr>
            <a:solidFill>
              <a:srgbClr val="06B6D4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CALCULS!$CD$21:$CD$25</c:f>
              <c:strCache>
                <c:ptCount val="5"/>
                <c:pt idx="0">
                  <c:v>Kale (7V - 4D)</c:v>
                </c:pt>
                <c:pt idx="1">
                  <c:v>Cell (4V - 2D)</c:v>
                </c:pt>
                <c:pt idx="2">
                  <c:v>Bardock (24V - 7D)</c:v>
                </c:pt>
                <c:pt idx="3">
                  <c:v>Son Goku Super Sayen (6V - 1D)</c:v>
                </c:pt>
                <c:pt idx="4">
                  <c:v>Cooler (4V - 0D)</c:v>
                </c:pt>
              </c:strCache>
            </c:strRef>
          </c:cat>
          <c:val>
            <c:numRef>
              <c:f>CALCULS!$CE$21:$CE$25</c:f>
              <c:numCache>
                <c:formatCode>General</c:formatCode>
                <c:ptCount val="5"/>
                <c:pt idx="0">
                  <c:v>0.63636363636363635</c:v>
                </c:pt>
                <c:pt idx="1">
                  <c:v>0.66666666666666663</c:v>
                </c:pt>
                <c:pt idx="2">
                  <c:v>0.77419354838709675</c:v>
                </c:pt>
                <c:pt idx="3">
                  <c:v>0.8571428571428571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E-4D4A-926B-0B8CB6AA4AB1}"/>
            </c:ext>
          </c:extLst>
        </c:ser>
        <c:ser>
          <c:idx val="1"/>
          <c:order val="1"/>
          <c:tx>
            <c:v>Loss</c:v>
          </c:tx>
          <c:spPr>
            <a:solidFill>
              <a:srgbClr val="EF4444"/>
            </a:solidFill>
            <a:ln>
              <a:noFill/>
            </a:ln>
          </c:spPr>
          <c:invertIfNegative val="0"/>
          <c:cat>
            <c:strRef>
              <c:f>CALCULS!$CD$21:$CD$25</c:f>
              <c:strCache>
                <c:ptCount val="5"/>
                <c:pt idx="0">
                  <c:v>Kale (7V - 4D)</c:v>
                </c:pt>
                <c:pt idx="1">
                  <c:v>Cell (4V - 2D)</c:v>
                </c:pt>
                <c:pt idx="2">
                  <c:v>Bardock (24V - 7D)</c:v>
                </c:pt>
                <c:pt idx="3">
                  <c:v>Son Goku Super Sayen (6V - 1D)</c:v>
                </c:pt>
                <c:pt idx="4">
                  <c:v>Cooler (4V - 0D)</c:v>
                </c:pt>
              </c:strCache>
            </c:strRef>
          </c:cat>
          <c:val>
            <c:numRef>
              <c:f>CALCULS!$CF$21:$CF$25</c:f>
              <c:numCache>
                <c:formatCode>General</c:formatCode>
                <c:ptCount val="5"/>
                <c:pt idx="0">
                  <c:v>0.36363636363636365</c:v>
                </c:pt>
                <c:pt idx="1">
                  <c:v>0.33333333333333337</c:v>
                </c:pt>
                <c:pt idx="2">
                  <c:v>0.22580645161290325</c:v>
                </c:pt>
                <c:pt idx="3">
                  <c:v>0.1428571428571429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E-4D4A-926B-0B8CB6AA4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 baseline="0">
                <a:solidFill>
                  <a:srgbClr val="9CA3AF"/>
                </a:solidFill>
                <a:latin typeface="Segoe U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Top J9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</c:v>
          </c:tx>
          <c:spPr>
            <a:solidFill>
              <a:srgbClr val="8B5CF6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CALCULS!$CJ$21:$CJ$25</c:f>
              <c:strCache>
                <c:ptCount val="5"/>
                <c:pt idx="0">
                  <c:v>Trunks Jeune (20V - 15D)</c:v>
                </c:pt>
                <c:pt idx="1">
                  <c:v>Cooler (14V - 8D)</c:v>
                </c:pt>
                <c:pt idx="2">
                  <c:v>Hit (13V - 7D)</c:v>
                </c:pt>
                <c:pt idx="3">
                  <c:v>Zamasu (9V - 4D)</c:v>
                </c:pt>
                <c:pt idx="4">
                  <c:v>Vegito (24V - 6D)</c:v>
                </c:pt>
              </c:strCache>
            </c:strRef>
          </c:cat>
          <c:val>
            <c:numRef>
              <c:f>CALCULS!$CK$21:$CK$25</c:f>
              <c:numCache>
                <c:formatCode>General</c:formatCode>
                <c:ptCount val="5"/>
                <c:pt idx="0">
                  <c:v>0.5714285714285714</c:v>
                </c:pt>
                <c:pt idx="1">
                  <c:v>0.63636363636363635</c:v>
                </c:pt>
                <c:pt idx="2">
                  <c:v>0.65</c:v>
                </c:pt>
                <c:pt idx="3">
                  <c:v>0.69230769230769229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A-4452-81FF-F553ABE7F702}"/>
            </c:ext>
          </c:extLst>
        </c:ser>
        <c:ser>
          <c:idx val="1"/>
          <c:order val="1"/>
          <c:tx>
            <c:v>Loss</c:v>
          </c:tx>
          <c:spPr>
            <a:solidFill>
              <a:srgbClr val="EF4444"/>
            </a:solidFill>
            <a:ln>
              <a:noFill/>
            </a:ln>
          </c:spPr>
          <c:invertIfNegative val="0"/>
          <c:cat>
            <c:strRef>
              <c:f>CALCULS!$CJ$21:$CJ$25</c:f>
              <c:strCache>
                <c:ptCount val="5"/>
                <c:pt idx="0">
                  <c:v>Trunks Jeune (20V - 15D)</c:v>
                </c:pt>
                <c:pt idx="1">
                  <c:v>Cooler (14V - 8D)</c:v>
                </c:pt>
                <c:pt idx="2">
                  <c:v>Hit (13V - 7D)</c:v>
                </c:pt>
                <c:pt idx="3">
                  <c:v>Zamasu (9V - 4D)</c:v>
                </c:pt>
                <c:pt idx="4">
                  <c:v>Vegito (24V - 6D)</c:v>
                </c:pt>
              </c:strCache>
            </c:strRef>
          </c:cat>
          <c:val>
            <c:numRef>
              <c:f>CALCULS!$CL$21:$CL$25</c:f>
              <c:numCache>
                <c:formatCode>General</c:formatCode>
                <c:ptCount val="5"/>
                <c:pt idx="0">
                  <c:v>0.4285714285714286</c:v>
                </c:pt>
                <c:pt idx="1">
                  <c:v>0.36363636363636365</c:v>
                </c:pt>
                <c:pt idx="2">
                  <c:v>0.35</c:v>
                </c:pt>
                <c:pt idx="3">
                  <c:v>0.30769230769230771</c:v>
                </c:pt>
                <c:pt idx="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A-4452-81FF-F553ABE7F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 baseline="0">
                <a:solidFill>
                  <a:srgbClr val="9CA3AF"/>
                </a:solidFill>
                <a:latin typeface="Segoe U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Rôles Xhelo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</c:v>
          </c:tx>
          <c:spPr>
            <a:solidFill>
              <a:srgbClr val="06B6D4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CALCULS!$BD$10:$BD$12</c:f>
              <c:numCache>
                <c:formatCode>General</c:formatCode>
                <c:ptCount val="3"/>
                <c:pt idx="0">
                  <c:v>0.59223300970873782</c:v>
                </c:pt>
                <c:pt idx="1">
                  <c:v>0.72916666666666663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2-4102-8AA0-0E85D3E81A25}"/>
            </c:ext>
          </c:extLst>
        </c:ser>
        <c:ser>
          <c:idx val="1"/>
          <c:order val="1"/>
          <c:tx>
            <c:v>Loss</c:v>
          </c:tx>
          <c:spPr>
            <a:solidFill>
              <a:srgbClr val="EF4444"/>
            </a:solidFill>
            <a:ln>
              <a:noFill/>
            </a:ln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CALCULS!$BE$10:$BE$12</c:f>
              <c:numCache>
                <c:formatCode>General</c:formatCode>
                <c:ptCount val="3"/>
                <c:pt idx="0">
                  <c:v>0.40776699029126218</c:v>
                </c:pt>
                <c:pt idx="1">
                  <c:v>0.27083333333333337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2-4102-8AA0-0E85D3E81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 baseline="0">
                <a:solidFill>
                  <a:srgbClr val="9CA3AF"/>
                </a:solidFill>
                <a:latin typeface="Segoe U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Rôles J9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</c:v>
          </c:tx>
          <c:spPr>
            <a:solidFill>
              <a:srgbClr val="8B5CF6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  <a:latin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CALCULS!$BH$10:$BH$12</c:f>
              <c:numCache>
                <c:formatCode>General</c:formatCode>
                <c:ptCount val="3"/>
                <c:pt idx="0">
                  <c:v>0.65217391304347827</c:v>
                </c:pt>
                <c:pt idx="1">
                  <c:v>0.62790697674418605</c:v>
                </c:pt>
                <c:pt idx="2">
                  <c:v>0.56140350877192979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9-43ED-A656-E854B6BC4EC8}"/>
            </c:ext>
          </c:extLst>
        </c:ser>
        <c:ser>
          <c:idx val="1"/>
          <c:order val="1"/>
          <c:tx>
            <c:v>Loss</c:v>
          </c:tx>
          <c:spPr>
            <a:solidFill>
              <a:srgbClr val="EF4444"/>
            </a:solidFill>
            <a:ln>
              <a:noFill/>
            </a:ln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CALCULS!$BI$10:$BI$12</c:f>
              <c:numCache>
                <c:formatCode>General</c:formatCode>
                <c:ptCount val="3"/>
                <c:pt idx="0">
                  <c:v>0.34782608695652173</c:v>
                </c:pt>
                <c:pt idx="1">
                  <c:v>0.37209302325581395</c:v>
                </c:pt>
                <c:pt idx="2">
                  <c:v>0.43859649122807021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C9-43ED-A656-E854B6BC4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="1" baseline="0">
                <a:solidFill>
                  <a:srgbClr val="9CA3AF"/>
                </a:solidFill>
                <a:latin typeface="Segoe UI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Xhelo - KDA par Rôle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Kills</c:v>
          </c:tx>
          <c:spPr>
            <a:solidFill>
              <a:srgbClr val="10B981"/>
            </a:solidFill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CALCULS!$BJ$10:$BJ$12</c:f>
              <c:numCache>
                <c:formatCode>General</c:formatCode>
                <c:ptCount val="3"/>
                <c:pt idx="0">
                  <c:v>4.5048543689320386</c:v>
                </c:pt>
                <c:pt idx="1">
                  <c:v>2.2708333333333335</c:v>
                </c:pt>
                <c:pt idx="2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0-4F8A-BB97-AB130580781C}"/>
            </c:ext>
          </c:extLst>
        </c:ser>
        <c:ser>
          <c:idx val="1"/>
          <c:order val="1"/>
          <c:tx>
            <c:v>Deaths</c:v>
          </c:tx>
          <c:spPr>
            <a:solidFill>
              <a:srgbClr val="EF4444"/>
            </a:solidFill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CALCULS!$BK$10:$BK$12</c:f>
              <c:numCache>
                <c:formatCode>General</c:formatCode>
                <c:ptCount val="3"/>
                <c:pt idx="0">
                  <c:v>3.3592233009708736</c:v>
                </c:pt>
                <c:pt idx="1">
                  <c:v>1.7916666666666667</c:v>
                </c:pt>
                <c:pt idx="2">
                  <c:v>1.2142857142857142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0-4F8A-BB97-AB130580781C}"/>
            </c:ext>
          </c:extLst>
        </c:ser>
        <c:ser>
          <c:idx val="2"/>
          <c:order val="2"/>
          <c:tx>
            <c:v>Assists</c:v>
          </c:tx>
          <c:spPr>
            <a:solidFill>
              <a:srgbClr val="06B6D4"/>
            </a:solidFill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CALCULS!$BL$10:$BL$12</c:f>
              <c:numCache>
                <c:formatCode>General</c:formatCode>
                <c:ptCount val="3"/>
                <c:pt idx="0">
                  <c:v>4.0873786407766994</c:v>
                </c:pt>
                <c:pt idx="1">
                  <c:v>5.5</c:v>
                </c:pt>
                <c:pt idx="2">
                  <c:v>2.9285714285714284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10-4F8A-BB97-AB1305807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rgbClr val="FFFFFF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9CA3AF"/>
                </a:solidFill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FFFFF"/>
                </a:solidFill>
                <a:latin typeface="Segoe UI"/>
              </a:defRPr>
            </a:pPr>
            <a:r>
              <a:rPr lang="en-US" sz="1200" baseline="0">
                <a:solidFill>
                  <a:srgbClr val="FFFFFF"/>
                </a:solidFill>
                <a:latin typeface="Segoe UI"/>
              </a:rPr>
              <a:t>J9 - KDA par Rôle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Kills</c:v>
          </c:tx>
          <c:spPr>
            <a:solidFill>
              <a:srgbClr val="10B981"/>
            </a:solidFill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CALCULS!$BM$10:$BM$12</c:f>
              <c:numCache>
                <c:formatCode>General</c:formatCode>
                <c:ptCount val="3"/>
                <c:pt idx="0">
                  <c:v>5.4637681159420293</c:v>
                </c:pt>
                <c:pt idx="1">
                  <c:v>2.5813953488372094</c:v>
                </c:pt>
                <c:pt idx="2">
                  <c:v>2.3333333333333335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0-4EA2-B575-FBB54464DE5D}"/>
            </c:ext>
          </c:extLst>
        </c:ser>
        <c:ser>
          <c:idx val="1"/>
          <c:order val="1"/>
          <c:tx>
            <c:v>Deaths</c:v>
          </c:tx>
          <c:spPr>
            <a:solidFill>
              <a:srgbClr val="EF4444"/>
            </a:solidFill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CALCULS!$BN$10:$BN$12</c:f>
              <c:numCache>
                <c:formatCode>General</c:formatCode>
                <c:ptCount val="3"/>
                <c:pt idx="0">
                  <c:v>1.8695652173913044</c:v>
                </c:pt>
                <c:pt idx="1">
                  <c:v>2.5813953488372094</c:v>
                </c:pt>
                <c:pt idx="2">
                  <c:v>2.1754385964912282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0-4EA2-B575-FBB54464DE5D}"/>
            </c:ext>
          </c:extLst>
        </c:ser>
        <c:ser>
          <c:idx val="2"/>
          <c:order val="2"/>
          <c:tx>
            <c:v>Assists</c:v>
          </c:tx>
          <c:spPr>
            <a:solidFill>
              <a:srgbClr val="06B6D4"/>
            </a:solidFill>
          </c:spPr>
          <c:invertIfNegative val="0"/>
          <c:cat>
            <c:strRef>
              <c:f>CALCULS!$BA$10:$BA$12</c:f>
              <c:strCache>
                <c:ptCount val="3"/>
                <c:pt idx="0">
                  <c:v>Attaquant</c:v>
                </c:pt>
                <c:pt idx="1">
                  <c:v>Défenseur</c:v>
                </c:pt>
                <c:pt idx="2">
                  <c:v>Soutien</c:v>
                </c:pt>
              </c:strCache>
            </c:strRef>
          </c:cat>
          <c:val>
            <c:numRef>
              <c:f>CALCULS!$BO$10:$BO$12</c:f>
              <c:numCache>
                <c:formatCode>General</c:formatCode>
                <c:ptCount val="3"/>
                <c:pt idx="0">
                  <c:v>2.7536231884057969</c:v>
                </c:pt>
                <c:pt idx="1">
                  <c:v>5.4186046511627906</c:v>
                </c:pt>
                <c:pt idx="2">
                  <c:v>4.0350877192982457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0-4EA2-B575-FBB54464D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rgbClr val="FFFFFF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9CA3AF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59E0B"/>
                </a:solidFill>
                <a:latin typeface="Segoe UI"/>
              </a:defRPr>
            </a:pPr>
            <a:r>
              <a:rPr lang="en-US" sz="1200" baseline="0">
                <a:solidFill>
                  <a:srgbClr val="F59E0B"/>
                </a:solidFill>
                <a:latin typeface="Segoe UI"/>
              </a:rPr>
              <a:t>Xhelo - Top 5 KDA (Héros)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invertIfNegative val="0"/>
          <c:cat>
            <c:strRef>
              <c:f>CALCULS!$DP$21:$DP$25</c:f>
              <c:strCache>
                <c:ptCount val="5"/>
                <c:pt idx="0">
                  <c:v>Vegeta 4 (0.3)</c:v>
                </c:pt>
                <c:pt idx="1">
                  <c:v>Kale (0.4)</c:v>
                </c:pt>
                <c:pt idx="2">
                  <c:v>Cooler (0.4)</c:v>
                </c:pt>
                <c:pt idx="3">
                  <c:v>Piccolo (0.5)</c:v>
                </c:pt>
                <c:pt idx="4">
                  <c:v>Bardock (0.5)</c:v>
                </c:pt>
              </c:strCache>
            </c:strRef>
          </c:cat>
          <c:val>
            <c:numRef>
              <c:f>CALCULS!$DQ$21:$DQ$25</c:f>
              <c:numCache>
                <c:formatCode>General</c:formatCode>
                <c:ptCount val="5"/>
                <c:pt idx="0">
                  <c:v>3.0588235294117645</c:v>
                </c:pt>
                <c:pt idx="1">
                  <c:v>3.5151515151515151</c:v>
                </c:pt>
                <c:pt idx="2">
                  <c:v>3.8888888888888888</c:v>
                </c:pt>
                <c:pt idx="3">
                  <c:v>4.666666666666667</c:v>
                </c:pt>
                <c:pt idx="4">
                  <c:v>5.2653061224489797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8-44A1-B932-97C21AC29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90001"/>
        <c:axId val="50090002"/>
      </c:barChart>
      <c:catAx>
        <c:axId val="50090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rgbClr val="FFFFFF"/>
                </a:solidFill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solidFill>
                  <a:srgbClr val="F59E0B"/>
                </a:solidFill>
                <a:latin typeface="Segoe UI"/>
              </a:defRPr>
            </a:pPr>
            <a:r>
              <a:rPr lang="en-US" sz="1200" baseline="0">
                <a:solidFill>
                  <a:srgbClr val="F59E0B"/>
                </a:solidFill>
                <a:latin typeface="Segoe UI"/>
              </a:rPr>
              <a:t>J9 - Top 5 KDA (Héros)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59E0B"/>
            </a:solidFill>
            <a:ln>
              <a:noFill/>
            </a:ln>
          </c:spPr>
          <c:invertIfNegative val="0"/>
          <c:cat>
            <c:strRef>
              <c:f>CALCULS!$DV$21:$DV$25</c:f>
              <c:strCache>
                <c:ptCount val="5"/>
                <c:pt idx="0">
                  <c:v>Zamasu (0.3)</c:v>
                </c:pt>
                <c:pt idx="1">
                  <c:v>Vegeta 4 (0.3)</c:v>
                </c:pt>
                <c:pt idx="2">
                  <c:v>Hit (0.4)</c:v>
                </c:pt>
                <c:pt idx="3">
                  <c:v>Vegito (0.6)</c:v>
                </c:pt>
                <c:pt idx="4">
                  <c:v>Kefla (0.6)</c:v>
                </c:pt>
              </c:strCache>
            </c:strRef>
          </c:cat>
          <c:val>
            <c:numRef>
              <c:f>CALCULS!$DW$21:$DW$25</c:f>
              <c:numCache>
                <c:formatCode>General</c:formatCode>
                <c:ptCount val="5"/>
                <c:pt idx="0">
                  <c:v>3.36</c:v>
                </c:pt>
                <c:pt idx="1">
                  <c:v>3.4090909090909092</c:v>
                </c:pt>
                <c:pt idx="2">
                  <c:v>4.4473684210526319</c:v>
                </c:pt>
                <c:pt idx="3">
                  <c:v>5.8909090909090907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5-4A5C-879A-F8CF6BD0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100001"/>
        <c:axId val="50100002"/>
      </c:barChart>
      <c:catAx>
        <c:axId val="501000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>
                <a:solidFill>
                  <a:srgbClr val="FFFFFF"/>
                </a:solidFill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5</xdr:col>
      <xdr:colOff>38100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8</xdr:row>
      <xdr:rowOff>114300</xdr:rowOff>
    </xdr:from>
    <xdr:to>
      <xdr:col>11</xdr:col>
      <xdr:colOff>733425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5</xdr:col>
      <xdr:colOff>38100</xdr:colOff>
      <xdr:row>41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485775</xdr:colOff>
      <xdr:row>25</xdr:row>
      <xdr:rowOff>9525</xdr:rowOff>
    </xdr:from>
    <xdr:to>
      <xdr:col>12</xdr:col>
      <xdr:colOff>38100</xdr:colOff>
      <xdr:row>41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  <a:ext uri="{147F2762-F138-4A5C-976F-8EAC2B608ADB}">
              <a16:predDERef xmlns:a16="http://schemas.microsoft.com/office/drawing/2014/main" pre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5</xdr:col>
      <xdr:colOff>38100</xdr:colOff>
      <xdr:row>58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485775</xdr:colOff>
      <xdr:row>41</xdr:row>
      <xdr:rowOff>228600</xdr:rowOff>
    </xdr:from>
    <xdr:to>
      <xdr:col>12</xdr:col>
      <xdr:colOff>38100</xdr:colOff>
      <xdr:row>58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  <a:ext uri="{147F2762-F138-4A5C-976F-8EAC2B608ADB}">
              <a16:predDERef xmlns:a16="http://schemas.microsoft.com/office/drawing/2014/main" pre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95250</xdr:colOff>
      <xdr:row>61</xdr:row>
      <xdr:rowOff>9525</xdr:rowOff>
    </xdr:from>
    <xdr:to>
      <xdr:col>4</xdr:col>
      <xdr:colOff>133350</xdr:colOff>
      <xdr:row>75</xdr:row>
      <xdr:rowOff>104775</xdr:rowOff>
    </xdr:to>
    <xdr:graphicFrame macro="">
      <xdr:nvGraphicFramePr>
        <xdr:cNvPr id="18" name="Chart 7">
          <a:extLst>
            <a:ext uri="{FF2B5EF4-FFF2-40B4-BE49-F238E27FC236}">
              <a16:creationId xmlns:a16="http://schemas.microsoft.com/office/drawing/2014/main" id="{00000000-0008-0000-0300-000008000000}"/>
            </a:ext>
            <a:ext uri="{147F2762-F138-4A5C-976F-8EAC2B608ADB}">
              <a16:predDERef xmlns:a16="http://schemas.microsoft.com/office/drawing/2014/main" pre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66675</xdr:colOff>
      <xdr:row>60</xdr:row>
      <xdr:rowOff>238125</xdr:rowOff>
    </xdr:from>
    <xdr:to>
      <xdr:col>14</xdr:col>
      <xdr:colOff>95250</xdr:colOff>
      <xdr:row>75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78</xdr:row>
      <xdr:rowOff>0</xdr:rowOff>
    </xdr:from>
    <xdr:to>
      <xdr:col>5</xdr:col>
      <xdr:colOff>38100</xdr:colOff>
      <xdr:row>94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  <a:ext uri="{147F2762-F138-4A5C-976F-8EAC2B608ADB}">
              <a16:predDERef xmlns:a16="http://schemas.microsoft.com/office/drawing/2014/main" pre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78</xdr:row>
      <xdr:rowOff>0</xdr:rowOff>
    </xdr:from>
    <xdr:to>
      <xdr:col>14</xdr:col>
      <xdr:colOff>28575</xdr:colOff>
      <xdr:row>94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  <a:ext uri="{147F2762-F138-4A5C-976F-8EAC2B608ADB}">
              <a16:predDERef xmlns:a16="http://schemas.microsoft.com/office/drawing/2014/main" pre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</xdr:col>
      <xdr:colOff>1476375</xdr:colOff>
      <xdr:row>1</xdr:row>
      <xdr:rowOff>104775</xdr:rowOff>
    </xdr:from>
    <xdr:to>
      <xdr:col>8</xdr:col>
      <xdr:colOff>400050</xdr:colOff>
      <xdr:row>8</xdr:row>
      <xdr:rowOff>38100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D669BE45-31D3-40CC-A08B-42659BDEF290}"/>
            </a:ext>
            <a:ext uri="{147F2762-F138-4A5C-976F-8EAC2B608ADB}">
              <a16:predDERef xmlns:a16="http://schemas.microsoft.com/office/drawing/2014/main" pre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419600" y="352425"/>
          <a:ext cx="3695700" cy="19240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9</xdr:row>
      <xdr:rowOff>9525</xdr:rowOff>
    </xdr:from>
    <xdr:to>
      <xdr:col>22</xdr:col>
      <xdr:colOff>323850</xdr:colOff>
      <xdr:row>23</xdr:row>
      <xdr:rowOff>57150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C0F2A2B1-E614-4AC3-A1E0-96425F2CBAAF}"/>
            </a:ext>
            <a:ext uri="{147F2762-F138-4A5C-976F-8EAC2B608ADB}">
              <a16:predDERef xmlns:a16="http://schemas.microsoft.com/office/drawing/2014/main" pred="{D669BE45-31D3-40CC-A08B-42659BDEF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39500" y="2495550"/>
          <a:ext cx="6286500" cy="3514725"/>
        </a:xfrm>
        <a:prstGeom prst="rect">
          <a:avLst/>
        </a:prstGeom>
      </xdr:spPr>
    </xdr:pic>
    <xdr:clientData/>
  </xdr:twoCellAnchor>
  <xdr:twoCellAnchor editAs="oneCell">
    <xdr:from>
      <xdr:col>11</xdr:col>
      <xdr:colOff>733425</xdr:colOff>
      <xdr:row>25</xdr:row>
      <xdr:rowOff>114300</xdr:rowOff>
    </xdr:from>
    <xdr:to>
      <xdr:col>21</xdr:col>
      <xdr:colOff>495300</xdr:colOff>
      <xdr:row>39</xdr:row>
      <xdr:rowOff>38100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48D596E6-A793-4A6B-BE7F-813B62938C05}"/>
            </a:ext>
            <a:ext uri="{147F2762-F138-4A5C-976F-8EAC2B608ADB}">
              <a16:predDERef xmlns:a16="http://schemas.microsoft.com/office/drawing/2014/main" pred="{C0F2A2B1-E614-4AC3-A1E0-96425F2C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91850" y="65627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12</xdr:col>
      <xdr:colOff>600075</xdr:colOff>
      <xdr:row>40</xdr:row>
      <xdr:rowOff>171450</xdr:rowOff>
    </xdr:from>
    <xdr:to>
      <xdr:col>21</xdr:col>
      <xdr:colOff>304800</xdr:colOff>
      <xdr:row>58</xdr:row>
      <xdr:rowOff>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84CD5CEE-3853-8738-B453-A67915D7FCAF}"/>
            </a:ext>
            <a:ext uri="{147F2762-F138-4A5C-976F-8EAC2B608ADB}">
              <a16:predDERef xmlns:a16="http://schemas.microsoft.com/office/drawing/2014/main" pred="{48D596E6-A793-4A6B-BE7F-813B62938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706225" y="10334625"/>
          <a:ext cx="5191125" cy="42862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ata" displayName="TableData" ref="A1:L170" totalsRowShown="0">
  <autoFilter ref="A1:L170" xr:uid="{00000000-0009-0000-0100-000001000000}"/>
  <tableColumns count="12">
    <tableColumn id="1" xr3:uid="{00000000-0010-0000-0000-000001000000}" name="Date"/>
    <tableColumn id="2" xr3:uid="{00000000-0010-0000-0000-000002000000}" name="Heure"/>
    <tableColumn id="3" xr3:uid="{00000000-0010-0000-0000-000003000000}" name="Résultat"/>
    <tableColumn id="4" xr3:uid="{00000000-0010-0000-0000-000004000000}" name="Xhelo"/>
    <tableColumn id="5" xr3:uid="{00000000-0010-0000-0000-000005000000}" name="J9"/>
    <tableColumn id="6" xr3:uid="{00000000-0010-0000-0000-000006000000}" name="X_K"/>
    <tableColumn id="7" xr3:uid="{00000000-0010-0000-0000-000007000000}" name="X_D"/>
    <tableColumn id="8" xr3:uid="{00000000-0010-0000-0000-000008000000}" name="X_A"/>
    <tableColumn id="9" xr3:uid="{00000000-0010-0000-0000-000009000000}" name="J_K"/>
    <tableColumn id="10" xr3:uid="{00000000-0010-0000-0000-00000A000000}" name="J_D"/>
    <tableColumn id="11" xr3:uid="{00000000-0010-0000-0000-00000B000000}" name="J_A"/>
    <tableColumn id="12" xr3:uid="{00000000-0010-0000-0000-00000C000000}" name="DU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opLeftCell="A7" workbookViewId="0">
      <selection activeCell="A36" sqref="A36"/>
    </sheetView>
  </sheetViews>
  <sheetFormatPr defaultRowHeight="15"/>
  <cols>
    <col min="1" max="1" width="14.7109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s="2" t="s">
        <v>6</v>
      </c>
      <c r="B5" s="2" t="s">
        <v>3</v>
      </c>
    </row>
    <row r="6" spans="1:2">
      <c r="A6" s="2" t="s">
        <v>7</v>
      </c>
      <c r="B6" s="2" t="s">
        <v>3</v>
      </c>
    </row>
    <row r="7" spans="1:2">
      <c r="A7" s="2" t="s">
        <v>8</v>
      </c>
      <c r="B7" s="2" t="s">
        <v>3</v>
      </c>
    </row>
    <row r="8" spans="1:2">
      <c r="A8" s="2" t="s">
        <v>9</v>
      </c>
      <c r="B8" s="2" t="s">
        <v>3</v>
      </c>
    </row>
    <row r="9" spans="1:2">
      <c r="A9" s="2" t="s">
        <v>10</v>
      </c>
      <c r="B9" s="2" t="s">
        <v>3</v>
      </c>
    </row>
    <row r="10" spans="1:2">
      <c r="A10" s="2" t="s">
        <v>11</v>
      </c>
      <c r="B10" s="2" t="s">
        <v>3</v>
      </c>
    </row>
    <row r="11" spans="1:2">
      <c r="A11" s="2" t="s">
        <v>12</v>
      </c>
      <c r="B11" s="2" t="s">
        <v>3</v>
      </c>
    </row>
    <row r="12" spans="1:2">
      <c r="A12" s="2" t="s">
        <v>13</v>
      </c>
      <c r="B12" s="2" t="s">
        <v>3</v>
      </c>
    </row>
    <row r="13" spans="1:2">
      <c r="A13" s="2" t="s">
        <v>14</v>
      </c>
      <c r="B13" s="2" t="s">
        <v>3</v>
      </c>
    </row>
    <row r="14" spans="1:2">
      <c r="A14" s="2" t="s">
        <v>15</v>
      </c>
      <c r="B14" s="2" t="s">
        <v>3</v>
      </c>
    </row>
    <row r="15" spans="1:2">
      <c r="A15" s="2" t="s">
        <v>16</v>
      </c>
      <c r="B15" s="2" t="s">
        <v>3</v>
      </c>
    </row>
    <row r="16" spans="1:2">
      <c r="A16" s="2" t="s">
        <v>17</v>
      </c>
      <c r="B16" s="2" t="s">
        <v>18</v>
      </c>
    </row>
    <row r="17" spans="1:2">
      <c r="A17" s="2" t="s">
        <v>19</v>
      </c>
      <c r="B17" s="2" t="s">
        <v>18</v>
      </c>
    </row>
    <row r="18" spans="1:2">
      <c r="A18" s="2" t="s">
        <v>20</v>
      </c>
      <c r="B18" s="2" t="s">
        <v>18</v>
      </c>
    </row>
    <row r="19" spans="1:2">
      <c r="A19" s="2" t="s">
        <v>21</v>
      </c>
      <c r="B19" s="2" t="s">
        <v>18</v>
      </c>
    </row>
    <row r="20" spans="1:2">
      <c r="A20" s="2" t="s">
        <v>22</v>
      </c>
      <c r="B20" s="2" t="s">
        <v>18</v>
      </c>
    </row>
    <row r="21" spans="1:2">
      <c r="A21" s="2" t="s">
        <v>23</v>
      </c>
      <c r="B21" s="2" t="s">
        <v>18</v>
      </c>
    </row>
    <row r="22" spans="1:2">
      <c r="A22" s="2" t="s">
        <v>24</v>
      </c>
      <c r="B22" s="2" t="s">
        <v>18</v>
      </c>
    </row>
    <row r="23" spans="1:2">
      <c r="A23" s="2" t="s">
        <v>25</v>
      </c>
      <c r="B23" s="2" t="s">
        <v>26</v>
      </c>
    </row>
    <row r="24" spans="1:2">
      <c r="A24" s="2" t="s">
        <v>27</v>
      </c>
      <c r="B24" s="2" t="s">
        <v>26</v>
      </c>
    </row>
    <row r="25" spans="1:2">
      <c r="A25" s="2" t="s">
        <v>28</v>
      </c>
      <c r="B25" s="2" t="s">
        <v>26</v>
      </c>
    </row>
    <row r="26" spans="1:2">
      <c r="A26" s="2" t="s">
        <v>29</v>
      </c>
      <c r="B26" s="2" t="s">
        <v>26</v>
      </c>
    </row>
    <row r="27" spans="1:2">
      <c r="A27" s="2" t="s">
        <v>30</v>
      </c>
      <c r="B27" s="2" t="s">
        <v>26</v>
      </c>
    </row>
    <row r="28" spans="1:2">
      <c r="A28" s="2" t="s">
        <v>31</v>
      </c>
      <c r="B28" s="2" t="s">
        <v>26</v>
      </c>
    </row>
    <row r="29" spans="1:2">
      <c r="A29" s="2" t="s">
        <v>32</v>
      </c>
      <c r="B29" s="2" t="s">
        <v>26</v>
      </c>
    </row>
    <row r="30" spans="1:2">
      <c r="A30" s="2" t="s">
        <v>33</v>
      </c>
      <c r="B30" s="2" t="s">
        <v>26</v>
      </c>
    </row>
    <row r="31" spans="1:2">
      <c r="A31" s="2" t="s">
        <v>34</v>
      </c>
      <c r="B31" s="2" t="s">
        <v>3</v>
      </c>
    </row>
    <row r="32" spans="1:2">
      <c r="A32" s="2" t="s">
        <v>35</v>
      </c>
      <c r="B32" s="2" t="s">
        <v>3</v>
      </c>
    </row>
    <row r="33" spans="1:2">
      <c r="A33" s="2" t="s">
        <v>36</v>
      </c>
      <c r="B33" s="2" t="s">
        <v>3</v>
      </c>
    </row>
    <row r="34" spans="1:2">
      <c r="A34" s="2" t="s">
        <v>37</v>
      </c>
      <c r="B34" s="2" t="s">
        <v>3</v>
      </c>
    </row>
    <row r="35" spans="1:2">
      <c r="A35" s="2" t="s">
        <v>38</v>
      </c>
      <c r="B35" s="2" t="s">
        <v>18</v>
      </c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B82F6"/>
  </sheetPr>
  <dimension ref="A1:O170"/>
  <sheetViews>
    <sheetView tabSelected="1" topLeftCell="A142" workbookViewId="0">
      <selection activeCell="E167" sqref="E167"/>
    </sheetView>
  </sheetViews>
  <sheetFormatPr defaultRowHeight="15"/>
  <cols>
    <col min="1" max="2" width="12.7109375" customWidth="1"/>
    <col min="3" max="3" width="15.7109375" customWidth="1"/>
    <col min="4" max="4" width="22.140625" customWidth="1"/>
    <col min="5" max="5" width="15.7109375" customWidth="1"/>
    <col min="6" max="10" width="6.7109375" customWidth="1"/>
    <col min="11" max="11" width="7.7109375" customWidth="1"/>
    <col min="12" max="12" width="35.28515625" customWidth="1"/>
    <col min="14" max="14" width="15" bestFit="1" customWidth="1"/>
    <col min="15" max="15" width="11.28515625" bestFit="1" customWidth="1"/>
  </cols>
  <sheetData>
    <row r="1" spans="1:1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>
      <c r="A2" s="8">
        <v>46036</v>
      </c>
      <c r="B2" s="9">
        <v>0.90555555555555556</v>
      </c>
      <c r="C2" s="15" t="s">
        <v>51</v>
      </c>
      <c r="D2" s="7" t="s">
        <v>12</v>
      </c>
      <c r="E2" s="7" t="s">
        <v>22</v>
      </c>
      <c r="F2" s="7">
        <v>5</v>
      </c>
      <c r="G2" s="7">
        <v>2</v>
      </c>
      <c r="H2" s="7">
        <v>8</v>
      </c>
      <c r="I2" s="7">
        <v>3</v>
      </c>
      <c r="J2" s="7">
        <v>1</v>
      </c>
      <c r="K2" s="7">
        <v>10</v>
      </c>
      <c r="L2" s="7" t="s">
        <v>52</v>
      </c>
    </row>
    <row r="3" spans="1:12">
      <c r="A3" s="11">
        <v>46036</v>
      </c>
      <c r="B3" s="12">
        <v>0.89861111111111114</v>
      </c>
      <c r="C3" s="16" t="s">
        <v>51</v>
      </c>
      <c r="D3" s="10" t="s">
        <v>12</v>
      </c>
      <c r="E3" s="10" t="s">
        <v>22</v>
      </c>
      <c r="F3" s="10">
        <v>7</v>
      </c>
      <c r="G3" s="10">
        <v>0</v>
      </c>
      <c r="H3" s="10">
        <v>7</v>
      </c>
      <c r="I3" s="10">
        <v>5</v>
      </c>
      <c r="J3" s="10">
        <v>0</v>
      </c>
      <c r="K3" s="10">
        <v>5</v>
      </c>
      <c r="L3" s="10" t="s">
        <v>52</v>
      </c>
    </row>
    <row r="4" spans="1:12">
      <c r="A4" s="8">
        <v>46036</v>
      </c>
      <c r="B4" s="9">
        <v>0.89027777777777772</v>
      </c>
      <c r="C4" s="19" t="s">
        <v>53</v>
      </c>
      <c r="D4" s="7" t="s">
        <v>12</v>
      </c>
      <c r="E4" s="7" t="s">
        <v>14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 t="s">
        <v>54</v>
      </c>
    </row>
    <row r="5" spans="1:12">
      <c r="A5" s="11">
        <v>46036</v>
      </c>
      <c r="B5" s="12">
        <v>0.88055555555555554</v>
      </c>
      <c r="C5" s="20" t="s">
        <v>53</v>
      </c>
      <c r="D5" s="10" t="s">
        <v>25</v>
      </c>
      <c r="E5" s="10" t="s">
        <v>14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 t="s">
        <v>55</v>
      </c>
    </row>
    <row r="6" spans="1:12">
      <c r="A6" s="8">
        <v>46036</v>
      </c>
      <c r="B6" s="9">
        <v>0.87083333333333335</v>
      </c>
      <c r="C6" s="19" t="s">
        <v>53</v>
      </c>
      <c r="D6" s="7" t="s">
        <v>12</v>
      </c>
      <c r="E6" s="7" t="s">
        <v>31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 t="s">
        <v>56</v>
      </c>
    </row>
    <row r="7" spans="1:12">
      <c r="A7" s="11">
        <v>46036</v>
      </c>
      <c r="B7" s="12">
        <v>0.86111111111111116</v>
      </c>
      <c r="C7" s="20" t="s">
        <v>53</v>
      </c>
      <c r="D7" s="10" t="s">
        <v>10</v>
      </c>
      <c r="E7" s="10" t="s">
        <v>31</v>
      </c>
      <c r="F7" s="10">
        <v>4</v>
      </c>
      <c r="G7" s="10">
        <v>8</v>
      </c>
      <c r="H7" s="10">
        <v>3</v>
      </c>
      <c r="I7" s="10">
        <v>1</v>
      </c>
      <c r="J7" s="10">
        <v>3</v>
      </c>
      <c r="K7" s="10">
        <v>3</v>
      </c>
      <c r="L7" s="10" t="s">
        <v>57</v>
      </c>
    </row>
    <row r="8" spans="1:12">
      <c r="A8" s="8">
        <v>46036</v>
      </c>
      <c r="B8" s="9">
        <v>0.74444444444444446</v>
      </c>
      <c r="C8" s="19" t="s">
        <v>53</v>
      </c>
      <c r="D8" s="7" t="s">
        <v>25</v>
      </c>
      <c r="E8" s="7" t="s">
        <v>14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 t="s">
        <v>55</v>
      </c>
    </row>
    <row r="9" spans="1:12">
      <c r="A9" s="11">
        <v>46036</v>
      </c>
      <c r="B9" s="12">
        <v>0.74305555555555558</v>
      </c>
      <c r="C9" s="16" t="s">
        <v>51</v>
      </c>
      <c r="D9" s="10" t="s">
        <v>24</v>
      </c>
      <c r="E9" s="10" t="s">
        <v>14</v>
      </c>
      <c r="F9" s="10">
        <v>7</v>
      </c>
      <c r="G9" s="10">
        <v>0</v>
      </c>
      <c r="H9" s="10">
        <v>5</v>
      </c>
      <c r="I9" s="10">
        <v>6</v>
      </c>
      <c r="J9" s="10">
        <v>1</v>
      </c>
      <c r="K9" s="10">
        <v>5</v>
      </c>
      <c r="L9" s="10" t="s">
        <v>58</v>
      </c>
    </row>
    <row r="10" spans="1:12">
      <c r="A10" s="8">
        <v>46036</v>
      </c>
      <c r="B10" s="9">
        <v>0.7319444444444444</v>
      </c>
      <c r="C10" s="15" t="s">
        <v>51</v>
      </c>
      <c r="D10" s="7" t="s">
        <v>12</v>
      </c>
      <c r="E10" s="7" t="s">
        <v>22</v>
      </c>
      <c r="F10" s="7">
        <v>9</v>
      </c>
      <c r="G10" s="7">
        <v>5</v>
      </c>
      <c r="H10" s="7">
        <v>0</v>
      </c>
      <c r="I10" s="7">
        <v>1</v>
      </c>
      <c r="J10" s="7">
        <v>6</v>
      </c>
      <c r="K10" s="7">
        <v>4</v>
      </c>
      <c r="L10" s="7" t="s">
        <v>52</v>
      </c>
    </row>
    <row r="11" spans="1:12">
      <c r="A11" s="11">
        <v>46036</v>
      </c>
      <c r="B11" s="12">
        <v>0.72291666666666665</v>
      </c>
      <c r="C11" s="16" t="s">
        <v>51</v>
      </c>
      <c r="D11" s="10" t="s">
        <v>12</v>
      </c>
      <c r="E11" s="10" t="s">
        <v>31</v>
      </c>
      <c r="F11" s="10">
        <v>5</v>
      </c>
      <c r="G11" s="10">
        <v>7</v>
      </c>
      <c r="H11" s="10">
        <v>8</v>
      </c>
      <c r="I11" s="10">
        <v>5</v>
      </c>
      <c r="J11" s="10">
        <v>4</v>
      </c>
      <c r="K11" s="10">
        <v>7</v>
      </c>
      <c r="L11" s="10" t="s">
        <v>56</v>
      </c>
    </row>
    <row r="12" spans="1:12">
      <c r="A12" s="8">
        <v>46036</v>
      </c>
      <c r="B12" s="9">
        <v>0.70416666666666672</v>
      </c>
      <c r="C12" s="15" t="s">
        <v>51</v>
      </c>
      <c r="D12" s="7" t="s">
        <v>25</v>
      </c>
      <c r="E12" s="7" t="s">
        <v>14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 t="s">
        <v>55</v>
      </c>
    </row>
    <row r="13" spans="1:12">
      <c r="A13" s="11">
        <v>46036</v>
      </c>
      <c r="B13" s="12">
        <v>0.69861111111111107</v>
      </c>
      <c r="C13" s="16" t="s">
        <v>51</v>
      </c>
      <c r="D13" s="10" t="s">
        <v>12</v>
      </c>
      <c r="E13" s="10" t="s">
        <v>31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 t="s">
        <v>56</v>
      </c>
    </row>
    <row r="14" spans="1:12">
      <c r="A14" s="8">
        <v>46036</v>
      </c>
      <c r="B14" s="9">
        <v>0.68819444444444444</v>
      </c>
      <c r="C14" s="15" t="s">
        <v>51</v>
      </c>
      <c r="D14" s="7" t="s">
        <v>12</v>
      </c>
      <c r="E14" s="7" t="s">
        <v>31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 t="s">
        <v>56</v>
      </c>
    </row>
    <row r="15" spans="1:12">
      <c r="A15" s="11">
        <v>46036</v>
      </c>
      <c r="B15" s="12">
        <v>0.67569444444444449</v>
      </c>
      <c r="C15" s="20" t="s">
        <v>53</v>
      </c>
      <c r="D15" s="10" t="s">
        <v>25</v>
      </c>
      <c r="E15" s="10" t="s">
        <v>14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 t="s">
        <v>55</v>
      </c>
    </row>
    <row r="16" spans="1:12">
      <c r="A16" s="8">
        <v>46036</v>
      </c>
      <c r="B16" s="9">
        <v>0.66874999999999996</v>
      </c>
      <c r="C16" s="15" t="s">
        <v>51</v>
      </c>
      <c r="D16" s="7" t="s">
        <v>25</v>
      </c>
      <c r="E16" s="7" t="s">
        <v>14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 t="s">
        <v>55</v>
      </c>
    </row>
    <row r="17" spans="1:12">
      <c r="A17" s="11">
        <v>46036</v>
      </c>
      <c r="B17" s="12">
        <v>0.65625</v>
      </c>
      <c r="C17" s="16" t="s">
        <v>51</v>
      </c>
      <c r="D17" s="10" t="s">
        <v>12</v>
      </c>
      <c r="E17" s="10" t="s">
        <v>31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 t="s">
        <v>56</v>
      </c>
    </row>
    <row r="18" spans="1:12">
      <c r="A18" s="8">
        <v>46036</v>
      </c>
      <c r="B18" s="9">
        <v>0.6479166666666667</v>
      </c>
      <c r="C18" s="15" t="s">
        <v>51</v>
      </c>
      <c r="D18" s="7" t="s">
        <v>12</v>
      </c>
      <c r="E18" s="7" t="s">
        <v>31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 t="s">
        <v>56</v>
      </c>
    </row>
    <row r="19" spans="1:12">
      <c r="A19" s="11">
        <v>46036</v>
      </c>
      <c r="B19" s="12">
        <v>0.63958333333333328</v>
      </c>
      <c r="C19" s="16" t="s">
        <v>51</v>
      </c>
      <c r="D19" s="10" t="s">
        <v>25</v>
      </c>
      <c r="E19" s="10" t="s">
        <v>14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 t="s">
        <v>55</v>
      </c>
    </row>
    <row r="20" spans="1:12">
      <c r="A20" s="8">
        <v>46036</v>
      </c>
      <c r="B20" s="9">
        <v>0.6333333333333333</v>
      </c>
      <c r="C20" s="19" t="s">
        <v>53</v>
      </c>
      <c r="D20" s="7" t="s">
        <v>25</v>
      </c>
      <c r="E20" s="7" t="s">
        <v>22</v>
      </c>
      <c r="F20" s="7">
        <v>0</v>
      </c>
      <c r="G20" s="7">
        <v>5</v>
      </c>
      <c r="H20" s="7">
        <v>5</v>
      </c>
      <c r="I20" s="7">
        <v>0</v>
      </c>
      <c r="J20" s="7">
        <v>5</v>
      </c>
      <c r="K20" s="7">
        <v>8</v>
      </c>
      <c r="L20" s="7" t="s">
        <v>59</v>
      </c>
    </row>
    <row r="21" spans="1:12">
      <c r="A21" s="11">
        <v>46036</v>
      </c>
      <c r="B21" s="12">
        <v>0.62569444444444444</v>
      </c>
      <c r="C21" s="16" t="s">
        <v>51</v>
      </c>
      <c r="D21" s="10" t="s">
        <v>12</v>
      </c>
      <c r="E21" s="10" t="s">
        <v>31</v>
      </c>
      <c r="F21" s="10">
        <v>8</v>
      </c>
      <c r="G21" s="10">
        <v>2</v>
      </c>
      <c r="H21" s="10">
        <v>5</v>
      </c>
      <c r="I21" s="10">
        <v>2</v>
      </c>
      <c r="J21" s="10">
        <v>3</v>
      </c>
      <c r="K21" s="10">
        <v>5</v>
      </c>
      <c r="L21" s="10" t="s">
        <v>56</v>
      </c>
    </row>
    <row r="22" spans="1:12">
      <c r="A22" s="8">
        <v>46036</v>
      </c>
      <c r="B22" s="9">
        <v>0.61805555555555558</v>
      </c>
      <c r="C22" s="15" t="s">
        <v>51</v>
      </c>
      <c r="D22" s="7" t="s">
        <v>12</v>
      </c>
      <c r="E22" s="7" t="s">
        <v>31</v>
      </c>
      <c r="F22" s="7">
        <v>11</v>
      </c>
      <c r="G22" s="7">
        <v>4</v>
      </c>
      <c r="H22" s="7">
        <v>6</v>
      </c>
      <c r="I22" s="7">
        <v>1</v>
      </c>
      <c r="J22" s="7">
        <v>2</v>
      </c>
      <c r="K22" s="7">
        <v>12</v>
      </c>
      <c r="L22" s="7" t="s">
        <v>56</v>
      </c>
    </row>
    <row r="23" spans="1:12">
      <c r="A23" s="11">
        <v>46036</v>
      </c>
      <c r="B23" s="12">
        <v>0.61805555555555558</v>
      </c>
      <c r="C23" s="20" t="s">
        <v>53</v>
      </c>
      <c r="D23" s="10" t="s">
        <v>25</v>
      </c>
      <c r="E23" s="10" t="s">
        <v>14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 t="s">
        <v>55</v>
      </c>
    </row>
    <row r="24" spans="1:12">
      <c r="A24" s="8">
        <v>46036</v>
      </c>
      <c r="B24" s="9">
        <v>0.45833333333333331</v>
      </c>
      <c r="C24" s="15" t="s">
        <v>51</v>
      </c>
      <c r="D24" s="7" t="s">
        <v>25</v>
      </c>
      <c r="E24" s="7" t="s">
        <v>14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 t="s">
        <v>55</v>
      </c>
    </row>
    <row r="25" spans="1:12">
      <c r="A25" s="11">
        <v>46036</v>
      </c>
      <c r="B25" s="12">
        <v>0.4375</v>
      </c>
      <c r="C25" s="20" t="s">
        <v>53</v>
      </c>
      <c r="D25" s="10" t="s">
        <v>12</v>
      </c>
      <c r="E25" s="10" t="s">
        <v>31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 t="s">
        <v>56</v>
      </c>
    </row>
    <row r="26" spans="1:12">
      <c r="A26" s="8">
        <v>46036</v>
      </c>
      <c r="B26" s="9">
        <v>0.41666666666666669</v>
      </c>
      <c r="C26" s="19" t="s">
        <v>53</v>
      </c>
      <c r="D26" s="7" t="s">
        <v>12</v>
      </c>
      <c r="E26" s="7" t="s">
        <v>31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 t="s">
        <v>56</v>
      </c>
    </row>
    <row r="27" spans="1:12">
      <c r="A27" s="11">
        <v>46036</v>
      </c>
      <c r="B27" s="12">
        <v>0.4375</v>
      </c>
      <c r="C27" s="20" t="s">
        <v>53</v>
      </c>
      <c r="D27" s="10" t="s">
        <v>24</v>
      </c>
      <c r="E27" s="10" t="s">
        <v>14</v>
      </c>
      <c r="F27" s="10">
        <v>4</v>
      </c>
      <c r="G27" s="10">
        <v>4</v>
      </c>
      <c r="H27" s="10">
        <v>7</v>
      </c>
      <c r="I27" s="10">
        <v>5</v>
      </c>
      <c r="J27" s="10">
        <v>5</v>
      </c>
      <c r="K27" s="10">
        <v>1</v>
      </c>
      <c r="L27" s="10" t="s">
        <v>58</v>
      </c>
    </row>
    <row r="28" spans="1:12">
      <c r="A28" s="8">
        <v>46036</v>
      </c>
      <c r="B28" s="9">
        <v>0.41666666666666669</v>
      </c>
      <c r="C28" s="15" t="s">
        <v>51</v>
      </c>
      <c r="D28" s="7" t="s">
        <v>25</v>
      </c>
      <c r="E28" s="7" t="s">
        <v>14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 t="s">
        <v>55</v>
      </c>
    </row>
    <row r="29" spans="1:12">
      <c r="A29" s="11">
        <v>46036</v>
      </c>
      <c r="B29" s="12">
        <v>0.41736111111111113</v>
      </c>
      <c r="C29" s="16" t="s">
        <v>51</v>
      </c>
      <c r="D29" s="10" t="s">
        <v>12</v>
      </c>
      <c r="E29" s="10" t="s">
        <v>22</v>
      </c>
      <c r="F29" s="10">
        <v>7</v>
      </c>
      <c r="G29" s="10">
        <v>1</v>
      </c>
      <c r="H29" s="10">
        <v>2</v>
      </c>
      <c r="I29" s="10">
        <v>4</v>
      </c>
      <c r="J29" s="10">
        <v>3</v>
      </c>
      <c r="K29" s="10">
        <v>3</v>
      </c>
      <c r="L29" s="10" t="s">
        <v>52</v>
      </c>
    </row>
    <row r="30" spans="1:12">
      <c r="A30" s="8">
        <v>46037</v>
      </c>
      <c r="B30" s="9">
        <v>0.77013888888888893</v>
      </c>
      <c r="C30" s="19" t="s">
        <v>53</v>
      </c>
      <c r="D30" s="7" t="s">
        <v>12</v>
      </c>
      <c r="E30" s="7" t="s">
        <v>31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 t="s">
        <v>56</v>
      </c>
    </row>
    <row r="31" spans="1:12">
      <c r="A31" s="11">
        <v>46037</v>
      </c>
      <c r="B31" s="12">
        <v>0.77916666666666667</v>
      </c>
      <c r="C31" s="16" t="s">
        <v>51</v>
      </c>
      <c r="D31" s="10" t="s">
        <v>23</v>
      </c>
      <c r="E31" s="10" t="s">
        <v>14</v>
      </c>
      <c r="F31" s="10">
        <v>2</v>
      </c>
      <c r="G31" s="10">
        <v>3</v>
      </c>
      <c r="H31" s="10">
        <v>3</v>
      </c>
      <c r="I31" s="10">
        <v>5</v>
      </c>
      <c r="J31" s="10">
        <v>4</v>
      </c>
      <c r="K31" s="10">
        <v>3</v>
      </c>
      <c r="L31" s="10" t="s">
        <v>60</v>
      </c>
    </row>
    <row r="32" spans="1:12">
      <c r="A32" s="8">
        <v>46037</v>
      </c>
      <c r="B32" s="9">
        <v>0.8618055555555556</v>
      </c>
      <c r="C32" s="15" t="s">
        <v>51</v>
      </c>
      <c r="D32" s="7" t="s">
        <v>23</v>
      </c>
      <c r="E32" s="7" t="s">
        <v>14</v>
      </c>
      <c r="F32" s="7">
        <v>0</v>
      </c>
      <c r="G32" s="7">
        <v>1</v>
      </c>
      <c r="H32" s="7">
        <v>7</v>
      </c>
      <c r="I32" s="7">
        <v>7</v>
      </c>
      <c r="J32" s="7">
        <v>0</v>
      </c>
      <c r="K32" s="7">
        <v>1</v>
      </c>
      <c r="L32" s="7" t="s">
        <v>60</v>
      </c>
    </row>
    <row r="33" spans="1:12">
      <c r="A33" s="11">
        <v>46037</v>
      </c>
      <c r="B33" s="12">
        <v>0.87986111111111109</v>
      </c>
      <c r="C33" s="20" t="s">
        <v>53</v>
      </c>
      <c r="D33" s="10" t="s">
        <v>12</v>
      </c>
      <c r="E33" s="10" t="s">
        <v>22</v>
      </c>
      <c r="F33" s="10">
        <v>7</v>
      </c>
      <c r="G33" s="10">
        <v>1</v>
      </c>
      <c r="H33" s="10">
        <v>4</v>
      </c>
      <c r="I33" s="10">
        <v>6</v>
      </c>
      <c r="J33" s="10"/>
      <c r="K33" s="10">
        <v>4</v>
      </c>
      <c r="L33" s="10" t="s">
        <v>52</v>
      </c>
    </row>
    <row r="34" spans="1:12">
      <c r="A34" s="8">
        <v>46037</v>
      </c>
      <c r="B34" s="9">
        <v>0.89513888888888893</v>
      </c>
      <c r="C34" s="19" t="s">
        <v>53</v>
      </c>
      <c r="D34" s="7" t="s">
        <v>12</v>
      </c>
      <c r="E34" s="7" t="s">
        <v>31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 t="s">
        <v>56</v>
      </c>
    </row>
    <row r="35" spans="1:12">
      <c r="A35" s="8">
        <v>46037</v>
      </c>
      <c r="B35" s="12">
        <v>0.90694444444444444</v>
      </c>
      <c r="C35" s="16" t="s">
        <v>51</v>
      </c>
      <c r="D35" s="10" t="s">
        <v>23</v>
      </c>
      <c r="E35" s="10" t="s">
        <v>14</v>
      </c>
      <c r="F35" s="10">
        <v>4</v>
      </c>
      <c r="G35" s="10">
        <v>2</v>
      </c>
      <c r="H35" s="10">
        <v>1</v>
      </c>
      <c r="I35" s="10">
        <v>4</v>
      </c>
      <c r="J35" s="10">
        <v>3</v>
      </c>
      <c r="K35" s="10">
        <v>1</v>
      </c>
      <c r="L35" s="10" t="s">
        <v>60</v>
      </c>
    </row>
    <row r="36" spans="1:12">
      <c r="A36" s="8">
        <v>46037</v>
      </c>
      <c r="B36" s="9">
        <v>0.91805555555555551</v>
      </c>
      <c r="C36" s="19" t="s">
        <v>53</v>
      </c>
      <c r="D36" s="7" t="s">
        <v>23</v>
      </c>
      <c r="E36" s="7" t="s">
        <v>14</v>
      </c>
      <c r="F36" s="7">
        <v>1</v>
      </c>
      <c r="G36" s="7">
        <v>3</v>
      </c>
      <c r="H36" s="7">
        <v>0</v>
      </c>
      <c r="I36" s="7">
        <v>2</v>
      </c>
      <c r="J36" s="7">
        <v>2</v>
      </c>
      <c r="K36" s="7">
        <v>1</v>
      </c>
      <c r="L36" s="7" t="s">
        <v>60</v>
      </c>
    </row>
    <row r="37" spans="1:12">
      <c r="A37" s="8">
        <v>46037</v>
      </c>
      <c r="B37" s="12">
        <v>0.92777777777777781</v>
      </c>
      <c r="C37" s="20" t="s">
        <v>53</v>
      </c>
      <c r="D37" s="10" t="s">
        <v>12</v>
      </c>
      <c r="E37" s="10" t="s">
        <v>14</v>
      </c>
      <c r="F37" s="10">
        <v>2</v>
      </c>
      <c r="G37" s="10">
        <v>5</v>
      </c>
      <c r="H37" s="10">
        <v>3</v>
      </c>
      <c r="I37" s="10">
        <v>3</v>
      </c>
      <c r="J37" s="10">
        <v>3</v>
      </c>
      <c r="K37" s="10">
        <v>2</v>
      </c>
      <c r="L37" s="10" t="s">
        <v>54</v>
      </c>
    </row>
    <row r="38" spans="1:12">
      <c r="A38" s="13">
        <v>46038</v>
      </c>
      <c r="B38" s="14">
        <v>0.75694444444444442</v>
      </c>
      <c r="C38" s="17" t="s">
        <v>51</v>
      </c>
      <c r="D38" t="s">
        <v>25</v>
      </c>
      <c r="E38" t="s">
        <v>22</v>
      </c>
      <c r="F38">
        <v>3</v>
      </c>
      <c r="G38">
        <v>0</v>
      </c>
      <c r="H38">
        <v>10</v>
      </c>
      <c r="I38">
        <v>1</v>
      </c>
      <c r="J38">
        <v>0</v>
      </c>
      <c r="K38">
        <v>8</v>
      </c>
      <c r="L38" s="10" t="s">
        <v>59</v>
      </c>
    </row>
    <row r="39" spans="1:12">
      <c r="A39" s="13">
        <v>46038</v>
      </c>
      <c r="B39" s="14">
        <v>0.76666666666666672</v>
      </c>
      <c r="C39" s="17" t="s">
        <v>51</v>
      </c>
      <c r="D39" t="s">
        <v>2</v>
      </c>
      <c r="E39" t="s">
        <v>22</v>
      </c>
      <c r="F39">
        <v>11</v>
      </c>
      <c r="G39">
        <v>4</v>
      </c>
      <c r="H39">
        <v>3</v>
      </c>
      <c r="I39">
        <v>0</v>
      </c>
      <c r="J39">
        <v>5</v>
      </c>
      <c r="K39">
        <v>13</v>
      </c>
      <c r="L39" s="10" t="s">
        <v>61</v>
      </c>
    </row>
    <row r="40" spans="1:12">
      <c r="A40" s="13">
        <v>46039</v>
      </c>
      <c r="B40" s="14">
        <v>0.46875</v>
      </c>
      <c r="C40" s="17" t="s">
        <v>51</v>
      </c>
      <c r="D40" t="s">
        <v>23</v>
      </c>
      <c r="E40" t="s">
        <v>14</v>
      </c>
      <c r="F40">
        <v>4</v>
      </c>
      <c r="G40">
        <v>0</v>
      </c>
      <c r="H40">
        <v>0</v>
      </c>
      <c r="I40">
        <v>2</v>
      </c>
      <c r="J40">
        <v>1</v>
      </c>
      <c r="K40">
        <v>0</v>
      </c>
      <c r="L40" s="10" t="s">
        <v>60</v>
      </c>
    </row>
    <row r="41" spans="1:12">
      <c r="A41" s="13">
        <v>46039</v>
      </c>
      <c r="B41" s="14">
        <v>0.70694444444444449</v>
      </c>
      <c r="C41" s="18" t="s">
        <v>53</v>
      </c>
      <c r="D41" t="s">
        <v>62</v>
      </c>
      <c r="E41" t="s">
        <v>14</v>
      </c>
      <c r="F41">
        <v>4</v>
      </c>
      <c r="G41">
        <v>2</v>
      </c>
      <c r="H41">
        <v>2</v>
      </c>
      <c r="I41">
        <v>1</v>
      </c>
      <c r="J41">
        <v>3</v>
      </c>
      <c r="K41">
        <v>4</v>
      </c>
      <c r="L41" s="10" t="s">
        <v>60</v>
      </c>
    </row>
    <row r="42" spans="1:12">
      <c r="A42" s="13">
        <v>46039</v>
      </c>
      <c r="B42" s="14">
        <v>0.72916666666666663</v>
      </c>
      <c r="C42" s="18" t="s">
        <v>53</v>
      </c>
      <c r="D42" t="s">
        <v>12</v>
      </c>
      <c r="E42" t="s">
        <v>31</v>
      </c>
      <c r="F42">
        <v>7</v>
      </c>
      <c r="G42">
        <v>3</v>
      </c>
      <c r="H42">
        <v>1</v>
      </c>
      <c r="I42">
        <v>3</v>
      </c>
      <c r="J42">
        <v>1</v>
      </c>
      <c r="K42">
        <v>7</v>
      </c>
      <c r="L42" t="s">
        <v>63</v>
      </c>
    </row>
    <row r="43" spans="1:12">
      <c r="A43" s="13">
        <v>46040</v>
      </c>
      <c r="B43" s="14">
        <v>0.32291666666666669</v>
      </c>
      <c r="C43" s="17" t="s">
        <v>51</v>
      </c>
      <c r="D43" t="s">
        <v>12</v>
      </c>
      <c r="E43" t="s">
        <v>22</v>
      </c>
      <c r="F43">
        <v>10</v>
      </c>
      <c r="G43">
        <v>6</v>
      </c>
      <c r="H43">
        <v>6</v>
      </c>
      <c r="I43">
        <v>2</v>
      </c>
      <c r="J43">
        <v>5</v>
      </c>
      <c r="K43">
        <v>7</v>
      </c>
      <c r="L43" t="s">
        <v>52</v>
      </c>
    </row>
    <row r="44" spans="1:12">
      <c r="A44" s="13">
        <v>46040</v>
      </c>
      <c r="B44" s="14">
        <v>0.33402777777777776</v>
      </c>
      <c r="C44" s="17" t="s">
        <v>51</v>
      </c>
      <c r="D44" t="s">
        <v>12</v>
      </c>
      <c r="E44" t="s">
        <v>33</v>
      </c>
      <c r="F44">
        <v>9</v>
      </c>
      <c r="G44">
        <v>3</v>
      </c>
      <c r="H44">
        <v>2</v>
      </c>
      <c r="I44">
        <v>4</v>
      </c>
      <c r="J44">
        <v>5</v>
      </c>
      <c r="K44">
        <v>5</v>
      </c>
      <c r="L44" t="s">
        <v>64</v>
      </c>
    </row>
    <row r="45" spans="1:12">
      <c r="A45" s="13">
        <v>46040</v>
      </c>
      <c r="B45" s="14">
        <v>0.34513888888888888</v>
      </c>
      <c r="C45" s="17" t="s">
        <v>51</v>
      </c>
      <c r="D45" t="s">
        <v>22</v>
      </c>
      <c r="E45" t="s">
        <v>14</v>
      </c>
      <c r="F45">
        <v>1</v>
      </c>
      <c r="G45">
        <v>3</v>
      </c>
      <c r="H45">
        <v>3</v>
      </c>
      <c r="I45">
        <v>3</v>
      </c>
      <c r="J45">
        <v>1</v>
      </c>
      <c r="K45">
        <v>1</v>
      </c>
      <c r="L45" t="s">
        <v>65</v>
      </c>
    </row>
    <row r="46" spans="1:12">
      <c r="A46" s="13">
        <v>46040</v>
      </c>
      <c r="B46" s="14">
        <v>0.59722222222222221</v>
      </c>
      <c r="C46" s="17" t="s">
        <v>51</v>
      </c>
      <c r="D46" t="s">
        <v>2</v>
      </c>
      <c r="E46" t="s">
        <v>31</v>
      </c>
      <c r="F46">
        <v>7</v>
      </c>
      <c r="G46">
        <v>3</v>
      </c>
      <c r="H46">
        <v>4</v>
      </c>
      <c r="I46">
        <v>3</v>
      </c>
      <c r="J46">
        <v>2</v>
      </c>
      <c r="K46">
        <v>7</v>
      </c>
      <c r="L46" t="s">
        <v>61</v>
      </c>
    </row>
    <row r="47" spans="1:12">
      <c r="A47" s="13">
        <v>46040</v>
      </c>
      <c r="B47" s="14">
        <v>0.60624999999999996</v>
      </c>
      <c r="C47" s="18" t="s">
        <v>53</v>
      </c>
      <c r="D47" t="s">
        <v>12</v>
      </c>
      <c r="E47" t="s">
        <v>66</v>
      </c>
      <c r="F47">
        <v>1</v>
      </c>
      <c r="G47">
        <v>7</v>
      </c>
      <c r="H47">
        <v>6</v>
      </c>
      <c r="I47">
        <v>1</v>
      </c>
      <c r="J47">
        <v>4</v>
      </c>
      <c r="K47">
        <v>4</v>
      </c>
      <c r="L47" t="s">
        <v>64</v>
      </c>
    </row>
    <row r="48" spans="1:12">
      <c r="A48" s="13">
        <v>46040</v>
      </c>
      <c r="B48" s="14">
        <v>0.61597222222222225</v>
      </c>
      <c r="C48" s="18" t="s">
        <v>53</v>
      </c>
      <c r="D48" t="s">
        <v>12</v>
      </c>
      <c r="E48" t="s">
        <v>14</v>
      </c>
      <c r="F48">
        <v>2</v>
      </c>
      <c r="G48">
        <v>9</v>
      </c>
      <c r="H48">
        <v>9</v>
      </c>
      <c r="I48">
        <v>7</v>
      </c>
      <c r="J48">
        <v>3</v>
      </c>
      <c r="K48">
        <v>4</v>
      </c>
      <c r="L48" t="s">
        <v>54</v>
      </c>
    </row>
    <row r="49" spans="1:12">
      <c r="A49" s="13">
        <v>46040</v>
      </c>
      <c r="B49" s="14">
        <v>0.62569444444444444</v>
      </c>
      <c r="C49" s="17" t="s">
        <v>51</v>
      </c>
      <c r="D49" t="s">
        <v>22</v>
      </c>
      <c r="E49" t="s">
        <v>14</v>
      </c>
      <c r="F49">
        <v>9</v>
      </c>
      <c r="G49">
        <v>1</v>
      </c>
      <c r="H49">
        <v>8</v>
      </c>
      <c r="I49">
        <v>12</v>
      </c>
      <c r="J49">
        <v>0</v>
      </c>
      <c r="K49">
        <v>5</v>
      </c>
      <c r="L49" t="s">
        <v>65</v>
      </c>
    </row>
    <row r="50" spans="1:12">
      <c r="A50" s="13">
        <v>46040</v>
      </c>
      <c r="B50" s="14">
        <v>0.63680555555555551</v>
      </c>
      <c r="C50" s="17" t="s">
        <v>51</v>
      </c>
      <c r="D50" t="s">
        <v>12</v>
      </c>
      <c r="E50" t="s">
        <v>14</v>
      </c>
      <c r="F50">
        <v>7</v>
      </c>
      <c r="G50">
        <v>1</v>
      </c>
      <c r="H50">
        <v>1</v>
      </c>
      <c r="I50">
        <v>5</v>
      </c>
      <c r="J50">
        <v>0</v>
      </c>
      <c r="K50">
        <v>0</v>
      </c>
      <c r="L50" t="s">
        <v>54</v>
      </c>
    </row>
    <row r="51" spans="1:12">
      <c r="A51" s="13">
        <v>46040</v>
      </c>
      <c r="B51" s="14">
        <v>0.64722222222222225</v>
      </c>
      <c r="C51" s="17" t="s">
        <v>51</v>
      </c>
      <c r="D51" t="s">
        <v>12</v>
      </c>
      <c r="E51" t="s">
        <v>31</v>
      </c>
      <c r="F51">
        <v>8</v>
      </c>
      <c r="G51">
        <v>0</v>
      </c>
      <c r="H51">
        <v>3</v>
      </c>
      <c r="I51">
        <v>3</v>
      </c>
      <c r="J51">
        <v>0</v>
      </c>
      <c r="K51">
        <v>7</v>
      </c>
      <c r="L51" t="s">
        <v>56</v>
      </c>
    </row>
    <row r="52" spans="1:12">
      <c r="A52" s="13">
        <v>46040</v>
      </c>
      <c r="B52" s="14">
        <v>0.65486111111111112</v>
      </c>
      <c r="C52" s="17" t="s">
        <v>51</v>
      </c>
      <c r="D52" t="s">
        <v>12</v>
      </c>
      <c r="E52" t="s">
        <v>33</v>
      </c>
      <c r="F52">
        <v>0</v>
      </c>
      <c r="G52">
        <v>6</v>
      </c>
      <c r="H52">
        <v>1</v>
      </c>
      <c r="I52">
        <v>0</v>
      </c>
      <c r="J52">
        <v>2</v>
      </c>
      <c r="K52">
        <v>2</v>
      </c>
      <c r="L52" t="s">
        <v>64</v>
      </c>
    </row>
    <row r="53" spans="1:12">
      <c r="A53" s="13">
        <v>46040</v>
      </c>
      <c r="B53" s="14">
        <v>0.6645833333333333</v>
      </c>
      <c r="C53" s="18" t="s">
        <v>53</v>
      </c>
      <c r="D53" t="s">
        <v>12</v>
      </c>
      <c r="E53" t="s">
        <v>14</v>
      </c>
      <c r="F53">
        <v>1</v>
      </c>
      <c r="G53">
        <v>6</v>
      </c>
      <c r="H53">
        <v>6</v>
      </c>
      <c r="I53">
        <v>8</v>
      </c>
      <c r="J53">
        <v>6</v>
      </c>
      <c r="K53">
        <v>2</v>
      </c>
      <c r="L53" t="s">
        <v>54</v>
      </c>
    </row>
    <row r="54" spans="1:12">
      <c r="A54" s="13">
        <v>46040</v>
      </c>
      <c r="B54" s="14">
        <v>0.67291666666666672</v>
      </c>
      <c r="C54" s="18" t="s">
        <v>53</v>
      </c>
      <c r="D54" t="s">
        <v>12</v>
      </c>
      <c r="E54" t="s">
        <v>22</v>
      </c>
      <c r="F54">
        <v>1</v>
      </c>
      <c r="G54">
        <v>5</v>
      </c>
      <c r="H54">
        <v>2</v>
      </c>
      <c r="I54">
        <v>1</v>
      </c>
      <c r="J54">
        <v>2</v>
      </c>
      <c r="K54">
        <v>1</v>
      </c>
      <c r="L54" t="s">
        <v>52</v>
      </c>
    </row>
    <row r="55" spans="1:12">
      <c r="A55" s="13">
        <v>46040</v>
      </c>
      <c r="B55" s="14">
        <v>0.875</v>
      </c>
      <c r="C55" s="18" t="s">
        <v>53</v>
      </c>
      <c r="D55" t="s">
        <v>6</v>
      </c>
      <c r="E55" t="s">
        <v>32</v>
      </c>
      <c r="F55">
        <v>10</v>
      </c>
      <c r="G55">
        <v>6</v>
      </c>
      <c r="H55">
        <v>3</v>
      </c>
      <c r="I55">
        <v>4</v>
      </c>
      <c r="J55">
        <v>2</v>
      </c>
      <c r="K55">
        <v>10</v>
      </c>
      <c r="L55" t="s">
        <v>67</v>
      </c>
    </row>
    <row r="56" spans="1:12">
      <c r="A56" s="13">
        <v>44944</v>
      </c>
      <c r="B56" s="14">
        <v>0.88541666666666663</v>
      </c>
      <c r="C56" s="17" t="s">
        <v>51</v>
      </c>
      <c r="D56" t="s">
        <v>6</v>
      </c>
      <c r="E56" t="s">
        <v>32</v>
      </c>
      <c r="F56">
        <v>8</v>
      </c>
      <c r="G56">
        <v>4</v>
      </c>
      <c r="H56">
        <v>3</v>
      </c>
      <c r="I56">
        <v>3</v>
      </c>
      <c r="J56">
        <v>1</v>
      </c>
      <c r="K56">
        <v>8</v>
      </c>
      <c r="L56" t="s">
        <v>67</v>
      </c>
    </row>
    <row r="57" spans="1:12">
      <c r="A57" s="13">
        <v>46040</v>
      </c>
      <c r="B57" s="14">
        <v>0.89583333333333337</v>
      </c>
      <c r="C57" s="17" t="s">
        <v>51</v>
      </c>
      <c r="D57" t="s">
        <v>6</v>
      </c>
      <c r="E57" t="s">
        <v>32</v>
      </c>
      <c r="F57">
        <v>8</v>
      </c>
      <c r="G57">
        <v>0</v>
      </c>
      <c r="H57">
        <v>5</v>
      </c>
      <c r="I57">
        <v>6</v>
      </c>
      <c r="J57">
        <v>0</v>
      </c>
      <c r="K57">
        <v>6</v>
      </c>
      <c r="L57" t="s">
        <v>67</v>
      </c>
    </row>
    <row r="58" spans="1:12">
      <c r="A58" s="13">
        <v>46041</v>
      </c>
      <c r="B58" s="14">
        <v>0.86805555555555558</v>
      </c>
      <c r="C58" s="17" t="s">
        <v>51</v>
      </c>
      <c r="D58" t="s">
        <v>6</v>
      </c>
      <c r="E58" t="s">
        <v>22</v>
      </c>
      <c r="F58">
        <v>8</v>
      </c>
      <c r="G58">
        <v>2</v>
      </c>
      <c r="H58">
        <v>5</v>
      </c>
      <c r="I58">
        <v>4</v>
      </c>
      <c r="J58">
        <v>3</v>
      </c>
      <c r="K58">
        <v>7</v>
      </c>
      <c r="L58" t="s">
        <v>68</v>
      </c>
    </row>
    <row r="59" spans="1:12">
      <c r="A59" s="13">
        <v>46041</v>
      </c>
      <c r="B59" s="14">
        <v>0.87847222222222221</v>
      </c>
      <c r="C59" s="17" t="s">
        <v>51</v>
      </c>
      <c r="D59" t="s">
        <v>6</v>
      </c>
      <c r="E59" t="s">
        <v>32</v>
      </c>
      <c r="F59">
        <v>5</v>
      </c>
      <c r="G59">
        <v>0</v>
      </c>
      <c r="H59">
        <v>6</v>
      </c>
      <c r="I59">
        <v>5</v>
      </c>
      <c r="J59">
        <v>0</v>
      </c>
      <c r="K59">
        <v>6</v>
      </c>
      <c r="L59" t="s">
        <v>67</v>
      </c>
    </row>
    <row r="60" spans="1:12">
      <c r="A60" s="13">
        <v>46041</v>
      </c>
      <c r="B60" s="14">
        <v>0.89444444444444449</v>
      </c>
      <c r="C60" s="17" t="s">
        <v>51</v>
      </c>
      <c r="D60" t="s">
        <v>6</v>
      </c>
      <c r="E60" t="s">
        <v>32</v>
      </c>
      <c r="F60">
        <v>7</v>
      </c>
      <c r="G60">
        <v>8</v>
      </c>
      <c r="H60">
        <v>5</v>
      </c>
      <c r="I60">
        <v>3</v>
      </c>
      <c r="J60">
        <v>4</v>
      </c>
      <c r="K60">
        <v>4</v>
      </c>
      <c r="L60" t="s">
        <v>67</v>
      </c>
    </row>
    <row r="61" spans="1:12">
      <c r="A61" s="13">
        <v>46041</v>
      </c>
      <c r="B61" s="14">
        <v>0.90208333333333335</v>
      </c>
      <c r="C61" s="18" t="s">
        <v>53</v>
      </c>
      <c r="D61" t="s">
        <v>6</v>
      </c>
      <c r="E61" t="s">
        <v>32</v>
      </c>
      <c r="F61">
        <v>3</v>
      </c>
      <c r="G61">
        <v>2</v>
      </c>
      <c r="H61">
        <v>2</v>
      </c>
      <c r="I61">
        <v>2</v>
      </c>
      <c r="J61">
        <v>2</v>
      </c>
      <c r="K61">
        <v>1</v>
      </c>
      <c r="L61" t="s">
        <v>67</v>
      </c>
    </row>
    <row r="62" spans="1:12">
      <c r="A62" s="13">
        <v>46041</v>
      </c>
      <c r="B62" s="14">
        <v>0.90972222222222221</v>
      </c>
      <c r="C62" s="17" t="s">
        <v>51</v>
      </c>
      <c r="D62" t="s">
        <v>6</v>
      </c>
      <c r="E62" t="s">
        <v>32</v>
      </c>
      <c r="F62">
        <v>4</v>
      </c>
      <c r="G62">
        <v>0</v>
      </c>
      <c r="H62">
        <v>5</v>
      </c>
      <c r="I62">
        <v>3</v>
      </c>
      <c r="J62">
        <v>4</v>
      </c>
      <c r="K62">
        <v>5</v>
      </c>
      <c r="L62" t="s">
        <v>67</v>
      </c>
    </row>
    <row r="63" spans="1:12">
      <c r="A63" s="13">
        <v>46043</v>
      </c>
      <c r="B63" s="14">
        <v>0.59375</v>
      </c>
      <c r="C63" s="17" t="s">
        <v>51</v>
      </c>
      <c r="D63" t="s">
        <v>2</v>
      </c>
      <c r="E63" t="s">
        <v>22</v>
      </c>
      <c r="F63">
        <v>8</v>
      </c>
      <c r="G63">
        <v>6</v>
      </c>
      <c r="H63">
        <v>7</v>
      </c>
      <c r="I63">
        <v>2</v>
      </c>
      <c r="J63">
        <v>7</v>
      </c>
      <c r="K63">
        <v>9</v>
      </c>
      <c r="L63" t="s">
        <v>61</v>
      </c>
    </row>
    <row r="64" spans="1:12">
      <c r="A64" s="13">
        <v>46043</v>
      </c>
      <c r="B64" s="14">
        <v>0.60416666666666663</v>
      </c>
      <c r="C64" s="17" t="s">
        <v>51</v>
      </c>
      <c r="D64" t="s">
        <v>2</v>
      </c>
      <c r="E64" t="s">
        <v>22</v>
      </c>
      <c r="F64">
        <v>6</v>
      </c>
      <c r="G64">
        <v>2</v>
      </c>
      <c r="H64">
        <v>4</v>
      </c>
      <c r="I64">
        <v>2</v>
      </c>
      <c r="J64">
        <v>3</v>
      </c>
      <c r="K64">
        <v>6</v>
      </c>
      <c r="L64" t="s">
        <v>61</v>
      </c>
    </row>
    <row r="65" spans="1:12">
      <c r="A65" s="13">
        <v>46043</v>
      </c>
      <c r="B65" s="14">
        <v>0.62222222222222223</v>
      </c>
      <c r="C65" s="17" t="s">
        <v>51</v>
      </c>
      <c r="D65" t="s">
        <v>2</v>
      </c>
      <c r="E65" t="s">
        <v>22</v>
      </c>
      <c r="F65">
        <v>6</v>
      </c>
      <c r="G65">
        <v>3</v>
      </c>
      <c r="H65">
        <v>4</v>
      </c>
      <c r="I65">
        <v>1</v>
      </c>
      <c r="J65">
        <v>5</v>
      </c>
      <c r="K65">
        <v>6</v>
      </c>
      <c r="L65" t="s">
        <v>61</v>
      </c>
    </row>
    <row r="66" spans="1:12">
      <c r="A66" s="13">
        <v>46043</v>
      </c>
      <c r="B66" s="14">
        <v>0.63055555555555554</v>
      </c>
      <c r="C66" s="17" t="s">
        <v>51</v>
      </c>
      <c r="D66" t="s">
        <v>6</v>
      </c>
      <c r="E66" t="s">
        <v>22</v>
      </c>
      <c r="F66">
        <v>10</v>
      </c>
      <c r="G66">
        <v>1</v>
      </c>
      <c r="H66">
        <v>2</v>
      </c>
      <c r="I66">
        <v>2</v>
      </c>
      <c r="J66">
        <v>1</v>
      </c>
      <c r="K66">
        <v>8</v>
      </c>
      <c r="L66" t="s">
        <v>68</v>
      </c>
    </row>
    <row r="67" spans="1:12">
      <c r="A67" s="13">
        <v>46043</v>
      </c>
      <c r="B67" s="14">
        <v>0.63541666666666663</v>
      </c>
      <c r="C67" s="18" t="s">
        <v>53</v>
      </c>
      <c r="D67" t="s">
        <v>6</v>
      </c>
      <c r="E67" t="s">
        <v>22</v>
      </c>
      <c r="F67">
        <v>5</v>
      </c>
      <c r="G67">
        <v>4</v>
      </c>
      <c r="H67">
        <v>7</v>
      </c>
      <c r="I67">
        <v>4</v>
      </c>
      <c r="J67">
        <v>2</v>
      </c>
      <c r="K67">
        <v>6</v>
      </c>
      <c r="L67" t="s">
        <v>68</v>
      </c>
    </row>
    <row r="68" spans="1:12">
      <c r="A68" s="13">
        <v>46043</v>
      </c>
      <c r="B68" s="14">
        <v>0.64583333333333337</v>
      </c>
      <c r="C68" s="18" t="s">
        <v>53</v>
      </c>
      <c r="D68" t="s">
        <v>6</v>
      </c>
      <c r="E68" t="s">
        <v>32</v>
      </c>
      <c r="F68">
        <v>2</v>
      </c>
      <c r="G68">
        <v>6</v>
      </c>
      <c r="H68">
        <v>3</v>
      </c>
      <c r="I68">
        <v>4</v>
      </c>
      <c r="J68">
        <v>1</v>
      </c>
      <c r="K68">
        <v>0</v>
      </c>
      <c r="L68" t="s">
        <v>67</v>
      </c>
    </row>
    <row r="69" spans="1:12">
      <c r="A69" s="13">
        <v>46043</v>
      </c>
      <c r="B69" s="14">
        <v>0.65972222222222221</v>
      </c>
      <c r="C69" s="18" t="s">
        <v>69</v>
      </c>
      <c r="D69" t="s">
        <v>12</v>
      </c>
      <c r="E69" t="s">
        <v>32</v>
      </c>
      <c r="F69">
        <v>6</v>
      </c>
      <c r="G69">
        <v>4</v>
      </c>
      <c r="H69">
        <v>8</v>
      </c>
      <c r="I69">
        <v>4</v>
      </c>
      <c r="J69">
        <v>4</v>
      </c>
      <c r="K69">
        <v>7</v>
      </c>
      <c r="L69" t="s">
        <v>70</v>
      </c>
    </row>
    <row r="70" spans="1:12">
      <c r="A70" s="13">
        <v>46043</v>
      </c>
      <c r="B70" s="14">
        <v>0.67708333333333337</v>
      </c>
      <c r="C70" s="17" t="s">
        <v>51</v>
      </c>
      <c r="D70" t="s">
        <v>12</v>
      </c>
      <c r="E70" t="s">
        <v>33</v>
      </c>
      <c r="F70">
        <v>4</v>
      </c>
      <c r="G70">
        <v>4</v>
      </c>
      <c r="H70">
        <v>4</v>
      </c>
      <c r="I70">
        <v>0</v>
      </c>
      <c r="J70">
        <v>5</v>
      </c>
      <c r="K70">
        <v>8</v>
      </c>
      <c r="L70" t="s">
        <v>64</v>
      </c>
    </row>
    <row r="71" spans="1:12">
      <c r="A71" s="13">
        <v>46043</v>
      </c>
      <c r="B71" s="14">
        <v>0.69722222222222219</v>
      </c>
      <c r="C71" s="21" t="s">
        <v>69</v>
      </c>
      <c r="D71" t="s">
        <v>12</v>
      </c>
      <c r="E71" t="s">
        <v>33</v>
      </c>
      <c r="F71">
        <v>4</v>
      </c>
      <c r="G71">
        <v>5</v>
      </c>
      <c r="H71">
        <v>7</v>
      </c>
      <c r="I71">
        <v>3</v>
      </c>
      <c r="J71">
        <v>1</v>
      </c>
      <c r="K71">
        <v>5</v>
      </c>
      <c r="L71" t="s">
        <v>64</v>
      </c>
    </row>
    <row r="72" spans="1:12">
      <c r="A72" s="13">
        <v>46043</v>
      </c>
      <c r="B72" s="14">
        <v>0.70416666666666672</v>
      </c>
      <c r="C72" s="17" t="s">
        <v>51</v>
      </c>
      <c r="D72" t="s">
        <v>22</v>
      </c>
      <c r="E72" t="s">
        <v>14</v>
      </c>
      <c r="F72">
        <v>1</v>
      </c>
      <c r="G72">
        <v>1</v>
      </c>
      <c r="H72">
        <v>5</v>
      </c>
      <c r="I72">
        <v>9</v>
      </c>
      <c r="J72">
        <v>0</v>
      </c>
      <c r="K72">
        <v>0</v>
      </c>
      <c r="L72" t="s">
        <v>65</v>
      </c>
    </row>
    <row r="73" spans="1:12">
      <c r="A73" s="13">
        <v>46043</v>
      </c>
      <c r="B73" s="14">
        <v>0.71180555555555558</v>
      </c>
      <c r="C73" s="18" t="s">
        <v>69</v>
      </c>
      <c r="D73" t="s">
        <v>12</v>
      </c>
      <c r="E73" t="s">
        <v>31</v>
      </c>
      <c r="F73">
        <v>0</v>
      </c>
      <c r="G73">
        <v>4</v>
      </c>
      <c r="H73">
        <v>0</v>
      </c>
      <c r="I73">
        <v>1</v>
      </c>
      <c r="J73">
        <v>5</v>
      </c>
      <c r="K73">
        <v>0</v>
      </c>
      <c r="L73" t="s">
        <v>56</v>
      </c>
    </row>
    <row r="74" spans="1:12">
      <c r="A74" s="13">
        <v>46043</v>
      </c>
      <c r="B74" s="14">
        <v>0.85416666666666663</v>
      </c>
      <c r="C74" s="17" t="s">
        <v>51</v>
      </c>
      <c r="D74" t="s">
        <v>12</v>
      </c>
      <c r="E74" t="s">
        <v>33</v>
      </c>
      <c r="F74">
        <v>8</v>
      </c>
      <c r="G74">
        <v>4</v>
      </c>
      <c r="H74">
        <v>4</v>
      </c>
      <c r="I74">
        <v>2</v>
      </c>
      <c r="J74">
        <v>5</v>
      </c>
      <c r="K74">
        <v>4</v>
      </c>
      <c r="L74" t="s">
        <v>64</v>
      </c>
    </row>
    <row r="75" spans="1:12">
      <c r="A75" s="13">
        <v>46043</v>
      </c>
      <c r="B75" s="14">
        <v>0.87708333333333333</v>
      </c>
      <c r="C75" s="17" t="s">
        <v>51</v>
      </c>
      <c r="D75" t="s">
        <v>12</v>
      </c>
      <c r="E75" t="s">
        <v>33</v>
      </c>
      <c r="F75">
        <v>5</v>
      </c>
      <c r="G75">
        <v>5</v>
      </c>
      <c r="H75">
        <v>2</v>
      </c>
      <c r="I75">
        <v>4</v>
      </c>
      <c r="J75">
        <v>1</v>
      </c>
      <c r="K75">
        <v>2</v>
      </c>
      <c r="L75" t="s">
        <v>64</v>
      </c>
    </row>
    <row r="76" spans="1:12">
      <c r="A76" s="13">
        <v>46043</v>
      </c>
      <c r="B76" s="14">
        <v>0.88194444444444442</v>
      </c>
      <c r="C76" s="21" t="s">
        <v>69</v>
      </c>
      <c r="D76" t="s">
        <v>12</v>
      </c>
      <c r="E76" t="s">
        <v>33</v>
      </c>
      <c r="F76">
        <v>3</v>
      </c>
      <c r="G76">
        <v>4</v>
      </c>
      <c r="H76">
        <v>3</v>
      </c>
      <c r="I76">
        <v>1</v>
      </c>
      <c r="J76">
        <v>3</v>
      </c>
      <c r="K76">
        <v>4</v>
      </c>
      <c r="L76" t="s">
        <v>64</v>
      </c>
    </row>
    <row r="77" spans="1:12">
      <c r="A77" s="13">
        <v>46043</v>
      </c>
      <c r="B77" s="14">
        <v>0.89513888888888893</v>
      </c>
      <c r="C77" s="22" t="s">
        <v>51</v>
      </c>
      <c r="D77" t="s">
        <v>12</v>
      </c>
      <c r="E77" t="s">
        <v>32</v>
      </c>
      <c r="F77">
        <v>7</v>
      </c>
      <c r="G77">
        <v>5</v>
      </c>
      <c r="H77">
        <v>8</v>
      </c>
      <c r="I77">
        <v>4</v>
      </c>
      <c r="J77">
        <v>1</v>
      </c>
      <c r="K77">
        <v>7</v>
      </c>
      <c r="L77" t="s">
        <v>70</v>
      </c>
    </row>
    <row r="78" spans="1:12">
      <c r="A78" s="13">
        <v>46043</v>
      </c>
      <c r="B78" s="14">
        <v>0.89930555555555558</v>
      </c>
      <c r="C78" s="23" t="s">
        <v>51</v>
      </c>
      <c r="D78" t="s">
        <v>22</v>
      </c>
      <c r="E78" t="s">
        <v>14</v>
      </c>
      <c r="F78">
        <v>0</v>
      </c>
      <c r="G78">
        <v>4</v>
      </c>
      <c r="H78">
        <v>8</v>
      </c>
      <c r="I78">
        <v>7</v>
      </c>
      <c r="J78">
        <v>3</v>
      </c>
      <c r="K78">
        <v>5</v>
      </c>
      <c r="L78" t="s">
        <v>65</v>
      </c>
    </row>
    <row r="79" spans="1:12">
      <c r="A79" s="13">
        <v>46048</v>
      </c>
      <c r="B79" s="14">
        <v>0.85972222222222228</v>
      </c>
      <c r="C79" s="22" t="s">
        <v>51</v>
      </c>
      <c r="D79" t="s">
        <v>12</v>
      </c>
      <c r="E79" t="s">
        <v>19</v>
      </c>
      <c r="F79">
        <v>7</v>
      </c>
      <c r="G79">
        <v>1</v>
      </c>
      <c r="H79">
        <v>3</v>
      </c>
      <c r="I79">
        <v>2</v>
      </c>
      <c r="J79">
        <v>0</v>
      </c>
      <c r="K79">
        <v>7</v>
      </c>
      <c r="L79" t="s">
        <v>71</v>
      </c>
    </row>
    <row r="80" spans="1:12">
      <c r="A80" s="13">
        <v>46048</v>
      </c>
      <c r="B80" s="14">
        <v>0.86944444444444446</v>
      </c>
      <c r="C80" s="22" t="s">
        <v>51</v>
      </c>
      <c r="D80" t="s">
        <v>12</v>
      </c>
      <c r="E80" t="s">
        <v>32</v>
      </c>
      <c r="F80">
        <v>2</v>
      </c>
      <c r="G80">
        <v>2</v>
      </c>
      <c r="H80">
        <v>4</v>
      </c>
      <c r="I80">
        <v>6</v>
      </c>
      <c r="J80">
        <v>0</v>
      </c>
      <c r="K80">
        <v>2</v>
      </c>
      <c r="L80" t="s">
        <v>70</v>
      </c>
    </row>
    <row r="81" spans="1:12">
      <c r="A81" s="13">
        <v>46048</v>
      </c>
      <c r="B81" s="14">
        <v>0.875</v>
      </c>
      <c r="C81" s="21" t="s">
        <v>69</v>
      </c>
      <c r="D81" t="s">
        <v>12</v>
      </c>
      <c r="E81" t="s">
        <v>32</v>
      </c>
      <c r="F81">
        <v>3</v>
      </c>
      <c r="G81">
        <v>5</v>
      </c>
      <c r="H81">
        <v>9</v>
      </c>
      <c r="I81">
        <v>3</v>
      </c>
      <c r="J81">
        <v>2</v>
      </c>
      <c r="K81">
        <v>10</v>
      </c>
      <c r="L81" t="s">
        <v>70</v>
      </c>
    </row>
    <row r="82" spans="1:12">
      <c r="A82" s="13">
        <v>46048</v>
      </c>
      <c r="B82" s="14">
        <v>0.88541666666666663</v>
      </c>
      <c r="C82" s="25" t="s">
        <v>51</v>
      </c>
      <c r="D82" t="s">
        <v>25</v>
      </c>
      <c r="E82" t="s">
        <v>14</v>
      </c>
      <c r="F82">
        <v>3</v>
      </c>
      <c r="G82">
        <v>3</v>
      </c>
      <c r="H82">
        <v>17</v>
      </c>
      <c r="I82">
        <v>13</v>
      </c>
      <c r="J82">
        <v>1</v>
      </c>
      <c r="K82">
        <v>8</v>
      </c>
      <c r="L82" t="s">
        <v>55</v>
      </c>
    </row>
    <row r="83" spans="1:12">
      <c r="A83" s="13">
        <v>46048</v>
      </c>
      <c r="B83" s="14">
        <v>0.89583333333333337</v>
      </c>
      <c r="C83" s="21" t="s">
        <v>69</v>
      </c>
      <c r="D83" t="s">
        <v>12</v>
      </c>
      <c r="E83" t="s">
        <v>33</v>
      </c>
      <c r="F83">
        <v>10</v>
      </c>
      <c r="G83">
        <v>4</v>
      </c>
      <c r="H83">
        <v>9</v>
      </c>
      <c r="I83">
        <v>7</v>
      </c>
      <c r="J83">
        <v>3</v>
      </c>
      <c r="K83">
        <v>7</v>
      </c>
      <c r="L83" t="s">
        <v>64</v>
      </c>
    </row>
    <row r="84" spans="1:12">
      <c r="A84" s="13">
        <v>46050</v>
      </c>
      <c r="B84" s="14">
        <v>0.61111111111111116</v>
      </c>
      <c r="C84" s="18" t="s">
        <v>69</v>
      </c>
      <c r="D84" t="s">
        <v>38</v>
      </c>
      <c r="E84" t="s">
        <v>14</v>
      </c>
      <c r="F84">
        <v>1</v>
      </c>
      <c r="G84">
        <v>4</v>
      </c>
      <c r="H84">
        <v>2</v>
      </c>
      <c r="I84">
        <v>1</v>
      </c>
      <c r="J84">
        <v>7</v>
      </c>
      <c r="K84">
        <v>0</v>
      </c>
      <c r="L84" t="s">
        <v>72</v>
      </c>
    </row>
    <row r="85" spans="1:12">
      <c r="A85" s="13">
        <v>46050</v>
      </c>
      <c r="B85" s="14">
        <v>0.62291666666666667</v>
      </c>
      <c r="C85" s="26" t="s">
        <v>51</v>
      </c>
      <c r="D85" t="s">
        <v>12</v>
      </c>
      <c r="E85" t="s">
        <v>14</v>
      </c>
      <c r="F85">
        <v>3</v>
      </c>
      <c r="G85">
        <v>3</v>
      </c>
      <c r="H85">
        <v>5</v>
      </c>
      <c r="I85">
        <v>10</v>
      </c>
      <c r="J85">
        <v>4</v>
      </c>
      <c r="K85">
        <v>1</v>
      </c>
      <c r="L85" t="s">
        <v>73</v>
      </c>
    </row>
    <row r="86" spans="1:12">
      <c r="A86" s="13">
        <v>46050</v>
      </c>
      <c r="B86" s="14">
        <v>0.63194444444444442</v>
      </c>
      <c r="C86" s="21" t="s">
        <v>69</v>
      </c>
      <c r="D86" t="s">
        <v>12</v>
      </c>
      <c r="E86" t="s">
        <v>32</v>
      </c>
      <c r="F86">
        <v>9</v>
      </c>
      <c r="G86">
        <v>5</v>
      </c>
      <c r="H86">
        <v>4</v>
      </c>
      <c r="I86">
        <v>5</v>
      </c>
      <c r="J86">
        <v>3</v>
      </c>
      <c r="K86">
        <v>7</v>
      </c>
      <c r="L86" t="s">
        <v>70</v>
      </c>
    </row>
    <row r="87" spans="1:12">
      <c r="A87" s="13">
        <v>46050</v>
      </c>
      <c r="B87" s="14">
        <v>0.64166666666666672</v>
      </c>
      <c r="C87" s="18" t="s">
        <v>69</v>
      </c>
      <c r="D87" t="s">
        <v>12</v>
      </c>
      <c r="E87" t="s">
        <v>33</v>
      </c>
      <c r="F87">
        <v>4</v>
      </c>
      <c r="G87">
        <v>5</v>
      </c>
      <c r="H87">
        <v>2</v>
      </c>
      <c r="I87">
        <v>3</v>
      </c>
      <c r="J87">
        <v>4</v>
      </c>
      <c r="K87">
        <v>1</v>
      </c>
      <c r="L87" t="s">
        <v>64</v>
      </c>
    </row>
    <row r="88" spans="1:12">
      <c r="A88" s="13">
        <v>46050</v>
      </c>
      <c r="B88" s="14">
        <v>0.65138888888888891</v>
      </c>
      <c r="C88" s="26" t="s">
        <v>51</v>
      </c>
      <c r="D88" t="s">
        <v>12</v>
      </c>
      <c r="E88" t="s">
        <v>14</v>
      </c>
      <c r="F88">
        <v>4</v>
      </c>
      <c r="G88">
        <v>2</v>
      </c>
      <c r="H88">
        <v>6</v>
      </c>
      <c r="I88">
        <v>13</v>
      </c>
      <c r="J88">
        <v>1</v>
      </c>
      <c r="K88">
        <v>6</v>
      </c>
      <c r="L88" t="s">
        <v>73</v>
      </c>
    </row>
    <row r="89" spans="1:12">
      <c r="A89" s="13">
        <v>46050</v>
      </c>
      <c r="B89" s="14">
        <v>0.65763888888888888</v>
      </c>
      <c r="C89" s="26" t="s">
        <v>51</v>
      </c>
      <c r="D89" t="s">
        <v>12</v>
      </c>
      <c r="E89" t="s">
        <v>14</v>
      </c>
      <c r="F89">
        <v>4</v>
      </c>
      <c r="G89">
        <v>1</v>
      </c>
      <c r="H89">
        <v>6</v>
      </c>
      <c r="I89">
        <v>4</v>
      </c>
      <c r="J89">
        <v>2</v>
      </c>
      <c r="K89">
        <v>3</v>
      </c>
      <c r="L89" t="s">
        <v>73</v>
      </c>
    </row>
    <row r="90" spans="1:12">
      <c r="A90" s="13">
        <v>46050</v>
      </c>
      <c r="B90" s="14">
        <v>0.66666666666666663</v>
      </c>
      <c r="C90" s="21" t="s">
        <v>69</v>
      </c>
      <c r="D90" t="s">
        <v>12</v>
      </c>
      <c r="E90" t="s">
        <v>14</v>
      </c>
      <c r="F90">
        <v>2</v>
      </c>
      <c r="G90">
        <v>3</v>
      </c>
      <c r="H90">
        <v>0</v>
      </c>
      <c r="I90">
        <v>3</v>
      </c>
      <c r="J90">
        <v>3</v>
      </c>
      <c r="K90">
        <v>2</v>
      </c>
      <c r="L90" t="s">
        <v>54</v>
      </c>
    </row>
    <row r="91" spans="1:12">
      <c r="A91" s="13">
        <v>46050</v>
      </c>
      <c r="B91" s="14">
        <v>0.69236111111111109</v>
      </c>
      <c r="C91" s="25" t="s">
        <v>51</v>
      </c>
      <c r="D91" t="s">
        <v>2</v>
      </c>
      <c r="E91" t="s">
        <v>14</v>
      </c>
      <c r="F91">
        <v>6</v>
      </c>
      <c r="G91">
        <v>4</v>
      </c>
      <c r="H91">
        <v>7</v>
      </c>
      <c r="I91">
        <v>8</v>
      </c>
      <c r="J91">
        <v>4</v>
      </c>
      <c r="K91">
        <v>4</v>
      </c>
      <c r="L91" t="s">
        <v>74</v>
      </c>
    </row>
    <row r="92" spans="1:12">
      <c r="A92" s="13">
        <v>46050</v>
      </c>
      <c r="B92" s="14">
        <v>0.7</v>
      </c>
      <c r="C92" s="18" t="s">
        <v>69</v>
      </c>
      <c r="D92" t="s">
        <v>75</v>
      </c>
      <c r="E92" t="s">
        <v>14</v>
      </c>
      <c r="F92">
        <v>0</v>
      </c>
      <c r="G92">
        <v>4</v>
      </c>
      <c r="H92">
        <v>1</v>
      </c>
      <c r="I92">
        <v>0</v>
      </c>
      <c r="J92">
        <v>6</v>
      </c>
      <c r="K92">
        <v>1</v>
      </c>
      <c r="L92" t="s">
        <v>76</v>
      </c>
    </row>
    <row r="93" spans="1:12">
      <c r="A93" s="13">
        <v>46051</v>
      </c>
      <c r="B93" s="14">
        <v>0.89583333333333337</v>
      </c>
      <c r="C93" s="25" t="s">
        <v>51</v>
      </c>
      <c r="D93" t="s">
        <v>77</v>
      </c>
      <c r="E93" t="s">
        <v>24</v>
      </c>
      <c r="F93">
        <v>10</v>
      </c>
      <c r="G93">
        <v>0</v>
      </c>
      <c r="H93">
        <v>6</v>
      </c>
      <c r="I93">
        <v>3</v>
      </c>
      <c r="J93">
        <v>0</v>
      </c>
      <c r="K93">
        <v>13</v>
      </c>
      <c r="L93" t="s">
        <v>78</v>
      </c>
    </row>
    <row r="94" spans="1:12">
      <c r="A94" s="13">
        <v>46051</v>
      </c>
      <c r="B94" s="14">
        <v>0.90625</v>
      </c>
      <c r="C94" s="18" t="s">
        <v>69</v>
      </c>
      <c r="D94" t="s">
        <v>77</v>
      </c>
      <c r="E94" t="s">
        <v>33</v>
      </c>
      <c r="F94">
        <v>3</v>
      </c>
      <c r="G94">
        <v>6</v>
      </c>
      <c r="H94">
        <v>5</v>
      </c>
      <c r="I94">
        <v>4</v>
      </c>
      <c r="J94">
        <v>2</v>
      </c>
      <c r="K94">
        <v>4</v>
      </c>
      <c r="L94" t="s">
        <v>79</v>
      </c>
    </row>
    <row r="95" spans="1:12">
      <c r="A95" s="13">
        <v>46056</v>
      </c>
      <c r="B95" s="14">
        <v>0.86805555555555558</v>
      </c>
      <c r="C95" s="17" t="s">
        <v>51</v>
      </c>
      <c r="D95" t="s">
        <v>24</v>
      </c>
      <c r="E95" t="s">
        <v>16</v>
      </c>
      <c r="F95">
        <v>1</v>
      </c>
      <c r="G95">
        <v>0</v>
      </c>
      <c r="H95">
        <v>5</v>
      </c>
      <c r="I95">
        <v>5</v>
      </c>
      <c r="J95">
        <v>0</v>
      </c>
      <c r="K95">
        <v>3</v>
      </c>
      <c r="L95" t="s">
        <v>80</v>
      </c>
    </row>
    <row r="96" spans="1:12">
      <c r="A96" s="13">
        <v>46056</v>
      </c>
      <c r="B96" s="14">
        <v>0.87986111111111109</v>
      </c>
      <c r="C96" s="18" t="s">
        <v>69</v>
      </c>
      <c r="D96" t="s">
        <v>24</v>
      </c>
      <c r="E96" t="s">
        <v>16</v>
      </c>
      <c r="F96">
        <v>1</v>
      </c>
      <c r="G96">
        <v>4</v>
      </c>
      <c r="H96">
        <v>5</v>
      </c>
      <c r="I96">
        <v>7</v>
      </c>
      <c r="J96">
        <v>2</v>
      </c>
      <c r="K96">
        <v>0</v>
      </c>
      <c r="L96" t="s">
        <v>80</v>
      </c>
    </row>
    <row r="97" spans="1:15">
      <c r="A97" s="13">
        <v>46056</v>
      </c>
      <c r="B97" s="14">
        <v>0.88749999999999996</v>
      </c>
      <c r="C97" s="17" t="s">
        <v>51</v>
      </c>
      <c r="D97" t="s">
        <v>24</v>
      </c>
      <c r="E97" t="s">
        <v>16</v>
      </c>
      <c r="F97">
        <v>2</v>
      </c>
      <c r="G97">
        <v>1</v>
      </c>
      <c r="H97">
        <v>6</v>
      </c>
      <c r="I97">
        <v>8</v>
      </c>
      <c r="J97">
        <v>0</v>
      </c>
      <c r="K97">
        <v>1</v>
      </c>
      <c r="L97" t="s">
        <v>80</v>
      </c>
    </row>
    <row r="98" spans="1:15">
      <c r="A98" s="13">
        <v>46056</v>
      </c>
      <c r="B98" s="14">
        <v>0.89444444444444449</v>
      </c>
      <c r="C98" s="18" t="s">
        <v>69</v>
      </c>
      <c r="D98" t="s">
        <v>24</v>
      </c>
      <c r="E98" t="s">
        <v>16</v>
      </c>
      <c r="F98">
        <v>1</v>
      </c>
      <c r="G98">
        <v>4</v>
      </c>
      <c r="H98">
        <v>2</v>
      </c>
      <c r="I98">
        <v>2</v>
      </c>
      <c r="J98">
        <v>4</v>
      </c>
      <c r="K98">
        <v>1</v>
      </c>
      <c r="L98" t="s">
        <v>80</v>
      </c>
    </row>
    <row r="99" spans="1:15">
      <c r="A99" s="13">
        <v>46056</v>
      </c>
      <c r="B99" s="14">
        <v>0.90138888888888891</v>
      </c>
      <c r="C99" s="18" t="s">
        <v>69</v>
      </c>
      <c r="D99" t="s">
        <v>24</v>
      </c>
      <c r="E99" t="s">
        <v>16</v>
      </c>
      <c r="F99">
        <v>2</v>
      </c>
      <c r="G99">
        <v>4</v>
      </c>
      <c r="H99">
        <v>4</v>
      </c>
      <c r="I99">
        <v>3</v>
      </c>
      <c r="J99">
        <v>2</v>
      </c>
      <c r="K99">
        <v>3</v>
      </c>
      <c r="L99" t="s">
        <v>80</v>
      </c>
    </row>
    <row r="100" spans="1:15">
      <c r="A100" s="13">
        <v>46056</v>
      </c>
      <c r="B100" s="14">
        <v>0.90972222222222221</v>
      </c>
      <c r="C100" s="18" t="s">
        <v>69</v>
      </c>
      <c r="D100" t="s">
        <v>12</v>
      </c>
      <c r="E100" t="s">
        <v>14</v>
      </c>
      <c r="F100">
        <v>1</v>
      </c>
      <c r="G100">
        <v>5</v>
      </c>
      <c r="H100">
        <v>1</v>
      </c>
      <c r="I100">
        <v>3</v>
      </c>
      <c r="J100">
        <v>4</v>
      </c>
      <c r="K100">
        <v>0</v>
      </c>
      <c r="L100" t="s">
        <v>73</v>
      </c>
    </row>
    <row r="101" spans="1:15">
      <c r="A101" s="13">
        <v>46057</v>
      </c>
      <c r="B101" s="14">
        <v>0.56944444444444442</v>
      </c>
      <c r="C101" s="25" t="s">
        <v>51</v>
      </c>
      <c r="D101" t="s">
        <v>38</v>
      </c>
      <c r="E101" t="s">
        <v>16</v>
      </c>
      <c r="F101">
        <v>3</v>
      </c>
      <c r="G101">
        <v>0</v>
      </c>
      <c r="H101">
        <v>10</v>
      </c>
      <c r="I101">
        <v>13</v>
      </c>
      <c r="J101">
        <v>0</v>
      </c>
      <c r="K101">
        <v>3</v>
      </c>
      <c r="L101" t="s">
        <v>81</v>
      </c>
      <c r="N101" t="s">
        <v>82</v>
      </c>
      <c r="O101" t="s">
        <v>83</v>
      </c>
    </row>
    <row r="102" spans="1:15">
      <c r="A102" s="13">
        <v>46057</v>
      </c>
      <c r="B102" s="14">
        <v>0.59444444444444444</v>
      </c>
      <c r="C102" s="25" t="s">
        <v>51</v>
      </c>
      <c r="D102" t="s">
        <v>38</v>
      </c>
      <c r="E102" t="s">
        <v>16</v>
      </c>
      <c r="F102">
        <v>2</v>
      </c>
      <c r="G102">
        <v>1</v>
      </c>
      <c r="H102">
        <v>10</v>
      </c>
      <c r="I102">
        <v>7</v>
      </c>
      <c r="J102">
        <v>1</v>
      </c>
      <c r="K102">
        <v>4</v>
      </c>
      <c r="L102" t="s">
        <v>81</v>
      </c>
    </row>
    <row r="103" spans="1:15">
      <c r="A103" s="13">
        <v>46057</v>
      </c>
      <c r="B103" s="14">
        <v>0.59722222222222221</v>
      </c>
      <c r="C103" s="25" t="s">
        <v>51</v>
      </c>
      <c r="D103" t="s">
        <v>38</v>
      </c>
      <c r="E103" t="s">
        <v>16</v>
      </c>
      <c r="F103">
        <v>0</v>
      </c>
      <c r="G103">
        <v>0</v>
      </c>
      <c r="H103">
        <v>7</v>
      </c>
      <c r="I103">
        <v>5</v>
      </c>
      <c r="J103">
        <v>2</v>
      </c>
      <c r="K103">
        <v>6</v>
      </c>
      <c r="L103" t="s">
        <v>81</v>
      </c>
    </row>
    <row r="104" spans="1:15">
      <c r="A104" s="13">
        <v>46057</v>
      </c>
      <c r="B104" s="14">
        <v>0.60555555555555551</v>
      </c>
      <c r="C104" s="25" t="s">
        <v>51</v>
      </c>
      <c r="D104" t="s">
        <v>38</v>
      </c>
      <c r="E104" t="s">
        <v>16</v>
      </c>
      <c r="F104">
        <v>1</v>
      </c>
      <c r="G104">
        <v>2</v>
      </c>
      <c r="H104">
        <v>7</v>
      </c>
      <c r="I104">
        <v>13</v>
      </c>
      <c r="J104">
        <v>1</v>
      </c>
      <c r="K104">
        <v>3</v>
      </c>
      <c r="L104" t="s">
        <v>81</v>
      </c>
    </row>
    <row r="105" spans="1:15">
      <c r="A105" s="13">
        <v>46057</v>
      </c>
      <c r="B105" s="14">
        <v>0.61319444444444449</v>
      </c>
      <c r="C105" s="25" t="s">
        <v>51</v>
      </c>
      <c r="D105" t="s">
        <v>38</v>
      </c>
      <c r="E105" t="s">
        <v>16</v>
      </c>
      <c r="F105">
        <v>3</v>
      </c>
      <c r="G105">
        <v>0</v>
      </c>
      <c r="H105">
        <v>6</v>
      </c>
      <c r="I105">
        <v>7</v>
      </c>
      <c r="J105">
        <v>0</v>
      </c>
      <c r="K105">
        <v>3</v>
      </c>
      <c r="L105" t="s">
        <v>81</v>
      </c>
    </row>
    <row r="106" spans="1:15">
      <c r="A106" s="13">
        <v>46057</v>
      </c>
      <c r="B106" s="14">
        <v>0.62083333333333335</v>
      </c>
      <c r="C106" s="25" t="s">
        <v>51</v>
      </c>
      <c r="D106" t="s">
        <v>38</v>
      </c>
      <c r="E106" t="s">
        <v>16</v>
      </c>
      <c r="F106">
        <v>2</v>
      </c>
      <c r="G106">
        <v>3</v>
      </c>
      <c r="H106">
        <v>5</v>
      </c>
      <c r="I106">
        <v>8</v>
      </c>
      <c r="J106">
        <v>2</v>
      </c>
      <c r="K106">
        <v>6</v>
      </c>
      <c r="L106" t="s">
        <v>81</v>
      </c>
    </row>
    <row r="107" spans="1:15">
      <c r="A107" s="13">
        <v>46057</v>
      </c>
      <c r="B107" s="14">
        <v>0.62777777777777777</v>
      </c>
      <c r="C107" s="25" t="s">
        <v>51</v>
      </c>
      <c r="D107" t="s">
        <v>38</v>
      </c>
      <c r="E107" t="s">
        <v>16</v>
      </c>
      <c r="F107">
        <v>5</v>
      </c>
      <c r="G107">
        <v>0</v>
      </c>
      <c r="H107">
        <v>10</v>
      </c>
      <c r="I107">
        <v>7</v>
      </c>
      <c r="J107">
        <v>1</v>
      </c>
      <c r="K107">
        <v>9</v>
      </c>
      <c r="L107" t="s">
        <v>81</v>
      </c>
    </row>
    <row r="108" spans="1:15">
      <c r="A108" s="13">
        <v>46057</v>
      </c>
      <c r="B108" s="14">
        <v>0.63958333333333328</v>
      </c>
      <c r="C108" s="17" t="s">
        <v>51</v>
      </c>
      <c r="D108" t="s">
        <v>38</v>
      </c>
      <c r="E108" t="s">
        <v>16</v>
      </c>
      <c r="F108">
        <v>3</v>
      </c>
      <c r="G108">
        <v>1</v>
      </c>
      <c r="H108">
        <v>10</v>
      </c>
      <c r="I108">
        <v>12</v>
      </c>
      <c r="J108">
        <v>3</v>
      </c>
      <c r="K108">
        <v>2</v>
      </c>
      <c r="L108" t="s">
        <v>81</v>
      </c>
    </row>
    <row r="109" spans="1:15">
      <c r="A109" s="13">
        <v>46057</v>
      </c>
      <c r="B109" s="14">
        <v>0.64722222222222225</v>
      </c>
      <c r="C109" s="17" t="s">
        <v>51</v>
      </c>
      <c r="D109" t="s">
        <v>38</v>
      </c>
      <c r="E109" t="s">
        <v>16</v>
      </c>
      <c r="F109">
        <v>2</v>
      </c>
      <c r="G109">
        <v>0</v>
      </c>
      <c r="H109">
        <v>7</v>
      </c>
      <c r="I109">
        <v>4</v>
      </c>
      <c r="J109">
        <v>0</v>
      </c>
      <c r="K109">
        <v>4</v>
      </c>
      <c r="L109" t="s">
        <v>81</v>
      </c>
    </row>
    <row r="110" spans="1:15">
      <c r="A110" s="13">
        <v>46057</v>
      </c>
      <c r="B110" s="14">
        <v>0.65694444444444444</v>
      </c>
      <c r="C110" s="21" t="s">
        <v>69</v>
      </c>
      <c r="D110" t="s">
        <v>38</v>
      </c>
      <c r="E110" t="s">
        <v>16</v>
      </c>
      <c r="F110">
        <v>0</v>
      </c>
      <c r="G110">
        <v>3</v>
      </c>
      <c r="H110">
        <v>8</v>
      </c>
      <c r="I110">
        <v>8</v>
      </c>
      <c r="J110">
        <v>1</v>
      </c>
      <c r="K110">
        <v>3</v>
      </c>
      <c r="L110" t="s">
        <v>81</v>
      </c>
    </row>
    <row r="111" spans="1:15">
      <c r="A111" s="13">
        <v>46057</v>
      </c>
      <c r="B111" s="14">
        <v>0.66597222222222219</v>
      </c>
      <c r="C111" s="25" t="s">
        <v>51</v>
      </c>
      <c r="D111" t="s">
        <v>38</v>
      </c>
      <c r="E111" t="s">
        <v>16</v>
      </c>
      <c r="F111">
        <v>3</v>
      </c>
      <c r="G111">
        <v>0</v>
      </c>
      <c r="H111">
        <v>4</v>
      </c>
      <c r="I111">
        <v>5</v>
      </c>
      <c r="J111">
        <v>3</v>
      </c>
      <c r="K111">
        <v>7</v>
      </c>
      <c r="L111" t="s">
        <v>81</v>
      </c>
    </row>
    <row r="112" spans="1:15">
      <c r="A112" s="13">
        <v>46057</v>
      </c>
      <c r="B112" s="14">
        <v>0.67708333333333337</v>
      </c>
      <c r="C112" s="25" t="s">
        <v>51</v>
      </c>
      <c r="D112" t="s">
        <v>38</v>
      </c>
      <c r="E112" t="s">
        <v>16</v>
      </c>
      <c r="F112">
        <v>3</v>
      </c>
      <c r="G112">
        <v>1</v>
      </c>
      <c r="H112">
        <v>4</v>
      </c>
      <c r="I112">
        <v>4</v>
      </c>
      <c r="J112">
        <v>0</v>
      </c>
      <c r="K112">
        <v>7</v>
      </c>
      <c r="L112" t="s">
        <v>81</v>
      </c>
    </row>
    <row r="113" spans="1:12">
      <c r="A113" s="13">
        <v>46057</v>
      </c>
      <c r="B113" s="14">
        <v>0.68402777777777779</v>
      </c>
      <c r="C113" s="25" t="s">
        <v>51</v>
      </c>
      <c r="D113" t="s">
        <v>12</v>
      </c>
      <c r="E113" t="s">
        <v>32</v>
      </c>
      <c r="F113">
        <v>3</v>
      </c>
      <c r="G113">
        <v>5</v>
      </c>
      <c r="H113">
        <v>6</v>
      </c>
      <c r="I113">
        <v>3</v>
      </c>
      <c r="J113">
        <v>1</v>
      </c>
      <c r="K113">
        <v>5</v>
      </c>
      <c r="L113" t="s">
        <v>70</v>
      </c>
    </row>
    <row r="114" spans="1:12">
      <c r="A114" s="13">
        <v>46057</v>
      </c>
      <c r="B114" s="14">
        <v>0.69305555555555554</v>
      </c>
      <c r="C114" s="21" t="s">
        <v>69</v>
      </c>
      <c r="D114" t="s">
        <v>12</v>
      </c>
      <c r="E114" t="s">
        <v>33</v>
      </c>
      <c r="F114">
        <v>3</v>
      </c>
      <c r="G114">
        <v>4</v>
      </c>
      <c r="H114">
        <v>7</v>
      </c>
      <c r="I114">
        <v>0</v>
      </c>
      <c r="J114">
        <v>3</v>
      </c>
      <c r="K114">
        <v>2</v>
      </c>
      <c r="L114" t="s">
        <v>64</v>
      </c>
    </row>
    <row r="115" spans="1:12">
      <c r="A115" s="13">
        <v>46057</v>
      </c>
      <c r="B115" s="14">
        <v>0.73611111111111116</v>
      </c>
      <c r="C115" s="25" t="s">
        <v>51</v>
      </c>
      <c r="D115" t="s">
        <v>12</v>
      </c>
      <c r="E115" t="s">
        <v>33</v>
      </c>
      <c r="F115">
        <v>3</v>
      </c>
      <c r="G115">
        <v>5</v>
      </c>
      <c r="H115">
        <v>7</v>
      </c>
      <c r="I115">
        <v>2</v>
      </c>
      <c r="J115">
        <v>0</v>
      </c>
      <c r="K115">
        <v>5</v>
      </c>
      <c r="L115" t="s">
        <v>64</v>
      </c>
    </row>
    <row r="116" spans="1:12">
      <c r="A116" s="13">
        <v>46057</v>
      </c>
      <c r="B116" s="14">
        <v>0.74930555555555556</v>
      </c>
      <c r="C116" s="25" t="s">
        <v>51</v>
      </c>
      <c r="D116" t="s">
        <v>12</v>
      </c>
      <c r="E116" t="s">
        <v>31</v>
      </c>
      <c r="F116">
        <v>6</v>
      </c>
      <c r="G116">
        <v>2</v>
      </c>
      <c r="H116">
        <v>3</v>
      </c>
      <c r="I116">
        <v>0</v>
      </c>
      <c r="J116">
        <v>2</v>
      </c>
      <c r="K116">
        <v>4</v>
      </c>
      <c r="L116" t="s">
        <v>56</v>
      </c>
    </row>
    <row r="117" spans="1:12">
      <c r="A117" s="13">
        <v>46057</v>
      </c>
      <c r="B117" s="14">
        <v>0.7583333333333333</v>
      </c>
      <c r="C117" s="25" t="s">
        <v>51</v>
      </c>
      <c r="D117" t="s">
        <v>12</v>
      </c>
      <c r="E117" t="s">
        <v>32</v>
      </c>
      <c r="F117">
        <v>3</v>
      </c>
      <c r="G117">
        <v>3</v>
      </c>
      <c r="H117">
        <v>3</v>
      </c>
      <c r="I117">
        <v>0</v>
      </c>
      <c r="J117">
        <v>4</v>
      </c>
      <c r="K117">
        <v>1</v>
      </c>
      <c r="L117" t="s">
        <v>70</v>
      </c>
    </row>
    <row r="118" spans="1:12">
      <c r="A118" s="13">
        <v>46057</v>
      </c>
      <c r="B118" s="14">
        <v>0.76736111111111116</v>
      </c>
      <c r="C118" s="25" t="s">
        <v>51</v>
      </c>
      <c r="D118" t="s">
        <v>12</v>
      </c>
      <c r="E118" t="s">
        <v>32</v>
      </c>
      <c r="F118">
        <v>10</v>
      </c>
      <c r="G118">
        <v>2</v>
      </c>
      <c r="H118">
        <v>10</v>
      </c>
      <c r="I118">
        <v>4</v>
      </c>
      <c r="J118">
        <v>3</v>
      </c>
      <c r="K118">
        <v>12</v>
      </c>
      <c r="L118" t="s">
        <v>70</v>
      </c>
    </row>
    <row r="119" spans="1:12">
      <c r="A119" s="13">
        <v>46057</v>
      </c>
      <c r="B119" s="14">
        <v>0.77986111111111112</v>
      </c>
      <c r="C119" s="21" t="s">
        <v>69</v>
      </c>
      <c r="D119" t="s">
        <v>12</v>
      </c>
      <c r="E119" t="s">
        <v>33</v>
      </c>
      <c r="F119">
        <v>2</v>
      </c>
      <c r="G119">
        <v>6</v>
      </c>
      <c r="H119">
        <v>8</v>
      </c>
      <c r="I119">
        <v>2</v>
      </c>
      <c r="J119">
        <v>5</v>
      </c>
      <c r="K119">
        <v>9</v>
      </c>
      <c r="L119" t="s">
        <v>64</v>
      </c>
    </row>
    <row r="120" spans="1:12">
      <c r="A120" s="13">
        <v>46057</v>
      </c>
      <c r="B120" s="14">
        <v>0.87222222222222223</v>
      </c>
      <c r="C120" s="17" t="s">
        <v>51</v>
      </c>
      <c r="D120" t="s">
        <v>12</v>
      </c>
      <c r="E120" t="s">
        <v>33</v>
      </c>
      <c r="F120">
        <v>3</v>
      </c>
      <c r="G120">
        <v>8</v>
      </c>
      <c r="H120">
        <v>8</v>
      </c>
      <c r="I120">
        <v>4</v>
      </c>
      <c r="J120">
        <v>3</v>
      </c>
      <c r="K120">
        <v>3</v>
      </c>
      <c r="L120" t="s">
        <v>64</v>
      </c>
    </row>
    <row r="121" spans="1:12">
      <c r="A121" s="13">
        <v>46057</v>
      </c>
      <c r="B121" s="14">
        <v>0.88263888888888886</v>
      </c>
      <c r="C121" s="17" t="s">
        <v>51</v>
      </c>
      <c r="D121" t="s">
        <v>12</v>
      </c>
      <c r="E121" t="s">
        <v>31</v>
      </c>
      <c r="F121">
        <v>7</v>
      </c>
      <c r="G121">
        <v>9</v>
      </c>
      <c r="H121">
        <v>6</v>
      </c>
      <c r="I121">
        <v>3</v>
      </c>
      <c r="J121">
        <v>3</v>
      </c>
      <c r="K121">
        <v>4</v>
      </c>
      <c r="L121" t="s">
        <v>56</v>
      </c>
    </row>
    <row r="122" spans="1:12">
      <c r="A122" s="13">
        <v>46057</v>
      </c>
      <c r="B122" s="14">
        <v>0.89166666666666672</v>
      </c>
      <c r="C122" s="25" t="s">
        <v>51</v>
      </c>
      <c r="D122" t="s">
        <v>12</v>
      </c>
      <c r="E122" t="s">
        <v>32</v>
      </c>
      <c r="F122">
        <v>5</v>
      </c>
      <c r="G122">
        <v>1</v>
      </c>
      <c r="H122">
        <v>6</v>
      </c>
      <c r="I122">
        <v>1</v>
      </c>
      <c r="J122">
        <v>1</v>
      </c>
      <c r="K122">
        <v>3</v>
      </c>
      <c r="L122" t="s">
        <v>70</v>
      </c>
    </row>
    <row r="123" spans="1:12">
      <c r="A123" s="13">
        <v>46057</v>
      </c>
      <c r="B123" s="14">
        <v>0.90208333333333335</v>
      </c>
      <c r="C123" s="25" t="s">
        <v>51</v>
      </c>
      <c r="D123" t="s">
        <v>12</v>
      </c>
      <c r="E123" t="s">
        <v>19</v>
      </c>
      <c r="F123">
        <v>2</v>
      </c>
      <c r="G123">
        <v>4</v>
      </c>
      <c r="H123">
        <v>4</v>
      </c>
      <c r="I123">
        <v>1</v>
      </c>
      <c r="J123">
        <v>1</v>
      </c>
      <c r="K123">
        <v>8</v>
      </c>
      <c r="L123" t="s">
        <v>71</v>
      </c>
    </row>
    <row r="124" spans="1:12">
      <c r="A124" s="13">
        <v>46057</v>
      </c>
      <c r="B124" s="14">
        <v>0.9145833333333333</v>
      </c>
      <c r="C124" s="18" t="s">
        <v>69</v>
      </c>
      <c r="D124" t="s">
        <v>12</v>
      </c>
      <c r="E124" t="s">
        <v>24</v>
      </c>
      <c r="F124">
        <v>8</v>
      </c>
      <c r="G124">
        <v>8</v>
      </c>
      <c r="H124">
        <v>16</v>
      </c>
      <c r="I124">
        <v>6</v>
      </c>
      <c r="J124">
        <v>7</v>
      </c>
      <c r="K124">
        <v>8</v>
      </c>
      <c r="L124" t="s">
        <v>84</v>
      </c>
    </row>
    <row r="125" spans="1:12">
      <c r="A125" s="13">
        <v>46057</v>
      </c>
      <c r="B125" s="14">
        <v>0.92222222222222228</v>
      </c>
      <c r="C125" s="18" t="s">
        <v>69</v>
      </c>
      <c r="D125" t="s">
        <v>12</v>
      </c>
      <c r="E125" t="s">
        <v>22</v>
      </c>
      <c r="F125">
        <v>3</v>
      </c>
      <c r="G125">
        <v>7</v>
      </c>
      <c r="H125">
        <v>2</v>
      </c>
      <c r="I125">
        <v>1</v>
      </c>
      <c r="J125">
        <v>5</v>
      </c>
      <c r="K125">
        <v>1</v>
      </c>
      <c r="L125" t="s">
        <v>52</v>
      </c>
    </row>
    <row r="126" spans="1:12">
      <c r="A126" s="13">
        <v>46061</v>
      </c>
      <c r="B126" s="14">
        <v>0.5625</v>
      </c>
      <c r="C126" s="18" t="s">
        <v>69</v>
      </c>
      <c r="D126" t="s">
        <v>12</v>
      </c>
      <c r="E126" t="s">
        <v>19</v>
      </c>
      <c r="F126">
        <v>4</v>
      </c>
      <c r="G126">
        <v>7</v>
      </c>
      <c r="H126">
        <v>5</v>
      </c>
      <c r="I126">
        <v>4</v>
      </c>
      <c r="J126">
        <v>5</v>
      </c>
      <c r="K126">
        <v>4</v>
      </c>
      <c r="L126" t="s">
        <v>71</v>
      </c>
    </row>
    <row r="127" spans="1:12">
      <c r="A127" s="13">
        <v>46061</v>
      </c>
      <c r="B127" s="14">
        <v>0.58333333333333337</v>
      </c>
      <c r="C127" s="18" t="s">
        <v>69</v>
      </c>
      <c r="D127" t="s">
        <v>12</v>
      </c>
      <c r="E127" t="s">
        <v>24</v>
      </c>
      <c r="F127">
        <v>2</v>
      </c>
      <c r="G127">
        <v>7</v>
      </c>
      <c r="H127">
        <v>1</v>
      </c>
      <c r="I127">
        <v>2</v>
      </c>
      <c r="J127">
        <v>7</v>
      </c>
      <c r="K127">
        <v>3</v>
      </c>
      <c r="L127" t="s">
        <v>85</v>
      </c>
    </row>
    <row r="128" spans="1:12">
      <c r="A128" s="13">
        <v>46061</v>
      </c>
      <c r="B128" s="14">
        <v>0.59305555555555556</v>
      </c>
      <c r="C128" s="25" t="s">
        <v>51</v>
      </c>
      <c r="D128" t="s">
        <v>12</v>
      </c>
      <c r="E128" t="s">
        <v>32</v>
      </c>
      <c r="F128">
        <v>10</v>
      </c>
      <c r="G128">
        <v>0</v>
      </c>
      <c r="H128">
        <v>5</v>
      </c>
      <c r="I128">
        <v>4</v>
      </c>
      <c r="J128">
        <v>3</v>
      </c>
      <c r="K128">
        <v>4</v>
      </c>
      <c r="L128" t="s">
        <v>70</v>
      </c>
    </row>
    <row r="129" spans="1:12">
      <c r="A129" s="13">
        <v>46061</v>
      </c>
      <c r="B129" s="14">
        <v>0.60138888888888886</v>
      </c>
      <c r="C129" s="18" t="s">
        <v>69</v>
      </c>
      <c r="D129" t="s">
        <v>12</v>
      </c>
      <c r="E129" t="s">
        <v>33</v>
      </c>
      <c r="F129">
        <v>3</v>
      </c>
      <c r="G129">
        <v>6</v>
      </c>
      <c r="H129">
        <v>2</v>
      </c>
      <c r="I129">
        <v>1</v>
      </c>
      <c r="J129">
        <v>9</v>
      </c>
      <c r="K129">
        <v>1</v>
      </c>
      <c r="L129" t="s">
        <v>64</v>
      </c>
    </row>
    <row r="130" spans="1:12">
      <c r="A130" s="13">
        <v>46061</v>
      </c>
      <c r="B130" s="14">
        <v>0.60972222222222228</v>
      </c>
      <c r="C130" s="18" t="s">
        <v>69</v>
      </c>
      <c r="D130" t="s">
        <v>12</v>
      </c>
      <c r="E130" t="s">
        <v>31</v>
      </c>
      <c r="F130">
        <v>1</v>
      </c>
      <c r="G130">
        <v>7</v>
      </c>
      <c r="H130">
        <v>3</v>
      </c>
      <c r="I130">
        <v>0</v>
      </c>
      <c r="J130">
        <v>3</v>
      </c>
      <c r="K130">
        <v>1</v>
      </c>
      <c r="L130" t="s">
        <v>56</v>
      </c>
    </row>
    <row r="131" spans="1:12">
      <c r="A131" s="13">
        <v>46061</v>
      </c>
      <c r="B131" s="14">
        <v>0.61458333333333337</v>
      </c>
      <c r="C131" s="21" t="s">
        <v>69</v>
      </c>
      <c r="D131" t="s">
        <v>2</v>
      </c>
      <c r="E131" t="s">
        <v>32</v>
      </c>
      <c r="F131">
        <v>1</v>
      </c>
      <c r="G131">
        <v>5</v>
      </c>
      <c r="H131">
        <v>2</v>
      </c>
      <c r="I131">
        <v>1</v>
      </c>
      <c r="J131">
        <v>2</v>
      </c>
      <c r="K131">
        <v>1</v>
      </c>
      <c r="L131" t="s">
        <v>86</v>
      </c>
    </row>
    <row r="132" spans="1:12">
      <c r="A132" s="13">
        <v>46061</v>
      </c>
      <c r="B132" s="14">
        <v>0.62569444444444444</v>
      </c>
      <c r="C132" s="25" t="s">
        <v>51</v>
      </c>
      <c r="D132" t="s">
        <v>12</v>
      </c>
      <c r="E132" t="s">
        <v>22</v>
      </c>
      <c r="F132">
        <v>3</v>
      </c>
      <c r="G132">
        <v>0</v>
      </c>
      <c r="H132">
        <v>7</v>
      </c>
      <c r="I132">
        <v>4</v>
      </c>
      <c r="J132">
        <v>0</v>
      </c>
      <c r="K132">
        <v>3</v>
      </c>
      <c r="L132" t="s">
        <v>52</v>
      </c>
    </row>
    <row r="133" spans="1:12">
      <c r="A133" s="13">
        <v>46061</v>
      </c>
      <c r="B133" s="14">
        <v>0.63541666666666663</v>
      </c>
      <c r="C133" s="17" t="s">
        <v>51</v>
      </c>
      <c r="D133" t="s">
        <v>12</v>
      </c>
      <c r="E133" t="s">
        <v>22</v>
      </c>
      <c r="F133">
        <v>3</v>
      </c>
      <c r="G133">
        <v>4</v>
      </c>
      <c r="H133">
        <v>9</v>
      </c>
      <c r="I133">
        <v>7</v>
      </c>
      <c r="J133">
        <v>2</v>
      </c>
      <c r="K133">
        <v>3</v>
      </c>
      <c r="L133" t="s">
        <v>52</v>
      </c>
    </row>
    <row r="134" spans="1:12">
      <c r="A134" s="13">
        <v>46061</v>
      </c>
      <c r="B134" s="14">
        <v>0.64444444444444449</v>
      </c>
      <c r="C134" s="18" t="s">
        <v>69</v>
      </c>
      <c r="D134" t="s">
        <v>12</v>
      </c>
      <c r="E134" t="s">
        <v>19</v>
      </c>
      <c r="F134">
        <v>3</v>
      </c>
      <c r="G134">
        <v>2</v>
      </c>
      <c r="H134">
        <v>6</v>
      </c>
      <c r="I134">
        <v>6</v>
      </c>
      <c r="J134">
        <v>2</v>
      </c>
      <c r="K134">
        <v>3</v>
      </c>
      <c r="L134" t="s">
        <v>71</v>
      </c>
    </row>
    <row r="135" spans="1:12">
      <c r="A135" s="13">
        <v>46063</v>
      </c>
      <c r="B135" s="14">
        <v>0.86805555555555558</v>
      </c>
      <c r="C135" s="18" t="s">
        <v>69</v>
      </c>
      <c r="D135" t="s">
        <v>12</v>
      </c>
      <c r="E135" t="s">
        <v>19</v>
      </c>
      <c r="F135">
        <v>2</v>
      </c>
      <c r="G135">
        <v>3</v>
      </c>
      <c r="H135">
        <v>2</v>
      </c>
      <c r="I135">
        <v>1</v>
      </c>
      <c r="J135">
        <v>3</v>
      </c>
      <c r="K135">
        <v>3</v>
      </c>
      <c r="L135" t="s">
        <v>71</v>
      </c>
    </row>
    <row r="136" spans="1:12">
      <c r="A136" s="13">
        <v>46063</v>
      </c>
      <c r="B136" s="14">
        <v>0.87569444444444444</v>
      </c>
      <c r="C136" s="17" t="s">
        <v>51</v>
      </c>
      <c r="D136" t="s">
        <v>12</v>
      </c>
      <c r="E136" t="s">
        <v>24</v>
      </c>
      <c r="F136">
        <v>1</v>
      </c>
      <c r="G136">
        <v>0</v>
      </c>
      <c r="H136">
        <v>4</v>
      </c>
      <c r="I136">
        <v>4</v>
      </c>
      <c r="J136">
        <v>0</v>
      </c>
      <c r="K136">
        <v>3</v>
      </c>
      <c r="L136" t="s">
        <v>84</v>
      </c>
    </row>
    <row r="137" spans="1:12">
      <c r="A137" s="13">
        <v>46063</v>
      </c>
      <c r="B137" s="14">
        <v>0.88680555555555551</v>
      </c>
      <c r="C137" s="21" t="s">
        <v>69</v>
      </c>
      <c r="D137" t="s">
        <v>12</v>
      </c>
      <c r="E137" t="s">
        <v>22</v>
      </c>
      <c r="F137">
        <v>5</v>
      </c>
      <c r="G137">
        <v>1</v>
      </c>
      <c r="H137">
        <v>3</v>
      </c>
      <c r="I137">
        <v>1</v>
      </c>
      <c r="J137">
        <v>2</v>
      </c>
      <c r="K137">
        <v>4</v>
      </c>
      <c r="L137" t="s">
        <v>52</v>
      </c>
    </row>
    <row r="138" spans="1:12">
      <c r="A138" s="13">
        <v>46063</v>
      </c>
      <c r="B138" s="14">
        <v>0.89652777777777781</v>
      </c>
      <c r="C138" s="18" t="s">
        <v>69</v>
      </c>
      <c r="D138" t="s">
        <v>12</v>
      </c>
      <c r="E138" t="s">
        <v>19</v>
      </c>
      <c r="F138">
        <v>1</v>
      </c>
      <c r="G138">
        <v>5</v>
      </c>
      <c r="H138">
        <v>4</v>
      </c>
      <c r="I138">
        <v>2</v>
      </c>
      <c r="J138">
        <v>3</v>
      </c>
      <c r="K138">
        <v>1</v>
      </c>
      <c r="L138" t="s">
        <v>71</v>
      </c>
    </row>
    <row r="139" spans="1:12">
      <c r="A139" s="13">
        <v>46063</v>
      </c>
      <c r="B139" s="14">
        <v>0.90972222222222221</v>
      </c>
      <c r="C139" s="18" t="s">
        <v>69</v>
      </c>
      <c r="D139" t="s">
        <v>4</v>
      </c>
      <c r="E139" t="s">
        <v>24</v>
      </c>
      <c r="F139">
        <v>8</v>
      </c>
      <c r="G139">
        <v>3</v>
      </c>
      <c r="H139">
        <v>6</v>
      </c>
      <c r="I139">
        <v>3</v>
      </c>
      <c r="J139">
        <v>1</v>
      </c>
      <c r="K139">
        <v>5</v>
      </c>
      <c r="L139" t="s">
        <v>87</v>
      </c>
    </row>
    <row r="140" spans="1:12">
      <c r="A140" s="13">
        <v>46064</v>
      </c>
      <c r="B140" s="14">
        <v>0.53819444444444442</v>
      </c>
      <c r="C140" s="17" t="s">
        <v>51</v>
      </c>
      <c r="D140" t="s">
        <v>38</v>
      </c>
      <c r="E140" t="s">
        <v>16</v>
      </c>
      <c r="F140">
        <v>2</v>
      </c>
      <c r="G140">
        <v>3</v>
      </c>
      <c r="H140">
        <v>6</v>
      </c>
      <c r="I140">
        <v>5</v>
      </c>
      <c r="J140">
        <v>1</v>
      </c>
      <c r="K140">
        <v>9</v>
      </c>
      <c r="L140" t="s">
        <v>81</v>
      </c>
    </row>
    <row r="141" spans="1:12">
      <c r="A141" s="13">
        <v>46064</v>
      </c>
      <c r="B141" s="14">
        <v>0.54722222222222228</v>
      </c>
      <c r="C141" s="17" t="s">
        <v>51</v>
      </c>
      <c r="D141" t="s">
        <v>38</v>
      </c>
      <c r="E141" t="s">
        <v>16</v>
      </c>
      <c r="F141">
        <v>0</v>
      </c>
      <c r="G141">
        <v>1</v>
      </c>
      <c r="H141">
        <v>4</v>
      </c>
      <c r="I141">
        <v>3</v>
      </c>
      <c r="J141">
        <v>4</v>
      </c>
      <c r="K141">
        <v>3</v>
      </c>
      <c r="L141" t="s">
        <v>81</v>
      </c>
    </row>
    <row r="142" spans="1:12">
      <c r="A142" s="13">
        <v>46064</v>
      </c>
      <c r="B142" s="14">
        <v>0.55625000000000002</v>
      </c>
      <c r="C142" s="17" t="s">
        <v>51</v>
      </c>
      <c r="D142" t="s">
        <v>12</v>
      </c>
      <c r="E142" t="s">
        <v>24</v>
      </c>
      <c r="F142">
        <v>6</v>
      </c>
      <c r="G142">
        <v>3</v>
      </c>
      <c r="H142">
        <v>1</v>
      </c>
      <c r="I142">
        <v>2</v>
      </c>
      <c r="J142">
        <v>3</v>
      </c>
      <c r="K142">
        <v>3</v>
      </c>
      <c r="L142" t="s">
        <v>85</v>
      </c>
    </row>
    <row r="143" spans="1:12">
      <c r="A143" s="13">
        <v>46064</v>
      </c>
      <c r="B143" s="14">
        <v>0.56527777777777777</v>
      </c>
      <c r="C143" s="17" t="s">
        <v>51</v>
      </c>
      <c r="D143" t="s">
        <v>12</v>
      </c>
      <c r="E143" t="s">
        <v>32</v>
      </c>
      <c r="F143">
        <v>4</v>
      </c>
      <c r="G143">
        <v>1</v>
      </c>
      <c r="H143">
        <v>2</v>
      </c>
      <c r="I143">
        <v>2</v>
      </c>
      <c r="J143">
        <v>0</v>
      </c>
      <c r="K143">
        <v>3</v>
      </c>
      <c r="L143" t="s">
        <v>70</v>
      </c>
    </row>
    <row r="144" spans="1:12">
      <c r="A144" s="13">
        <v>46064</v>
      </c>
      <c r="B144" s="14">
        <v>0.57499999999999996</v>
      </c>
      <c r="C144" s="21" t="s">
        <v>69</v>
      </c>
      <c r="D144" t="s">
        <v>38</v>
      </c>
      <c r="E144" t="s">
        <v>16</v>
      </c>
      <c r="F144">
        <v>2</v>
      </c>
      <c r="G144">
        <v>0</v>
      </c>
      <c r="H144">
        <v>2</v>
      </c>
      <c r="I144">
        <v>2</v>
      </c>
      <c r="J144">
        <v>3</v>
      </c>
      <c r="K144">
        <v>1</v>
      </c>
      <c r="L144" t="s">
        <v>81</v>
      </c>
    </row>
    <row r="145" spans="1:12">
      <c r="A145" s="13">
        <v>46064</v>
      </c>
      <c r="B145" s="14">
        <v>0.58611111111111114</v>
      </c>
      <c r="C145" s="25" t="s">
        <v>51</v>
      </c>
      <c r="D145" t="s">
        <v>12</v>
      </c>
      <c r="E145" t="s">
        <v>19</v>
      </c>
      <c r="F145">
        <v>6</v>
      </c>
      <c r="G145">
        <v>3</v>
      </c>
      <c r="H145">
        <v>6</v>
      </c>
      <c r="I145">
        <v>2</v>
      </c>
      <c r="J145">
        <v>0</v>
      </c>
      <c r="K145">
        <v>5</v>
      </c>
      <c r="L145" t="s">
        <v>71</v>
      </c>
    </row>
    <row r="146" spans="1:12">
      <c r="A146" s="13">
        <v>46064</v>
      </c>
      <c r="B146" s="14">
        <v>0.59444444444444444</v>
      </c>
      <c r="C146" s="17" t="s">
        <v>51</v>
      </c>
      <c r="D146" t="s">
        <v>12</v>
      </c>
      <c r="E146" t="s">
        <v>19</v>
      </c>
      <c r="F146">
        <v>2</v>
      </c>
      <c r="G146">
        <v>1</v>
      </c>
      <c r="H146">
        <v>4</v>
      </c>
      <c r="I146">
        <v>2</v>
      </c>
      <c r="J146">
        <v>1</v>
      </c>
      <c r="K146">
        <v>5</v>
      </c>
      <c r="L146" t="s">
        <v>71</v>
      </c>
    </row>
    <row r="147" spans="1:12">
      <c r="A147" s="13">
        <v>46064</v>
      </c>
      <c r="B147" s="14">
        <v>0.60347222222222219</v>
      </c>
      <c r="C147" s="17" t="s">
        <v>51</v>
      </c>
      <c r="D147" t="s">
        <v>12</v>
      </c>
      <c r="E147" t="s">
        <v>19</v>
      </c>
      <c r="F147">
        <v>5</v>
      </c>
      <c r="G147">
        <v>2</v>
      </c>
      <c r="H147">
        <v>3</v>
      </c>
      <c r="I147">
        <v>2</v>
      </c>
      <c r="J147">
        <v>2</v>
      </c>
      <c r="K147">
        <v>5</v>
      </c>
      <c r="L147" t="s">
        <v>71</v>
      </c>
    </row>
    <row r="148" spans="1:12">
      <c r="A148" s="13">
        <v>46064</v>
      </c>
      <c r="B148" s="14">
        <v>0.59375</v>
      </c>
      <c r="C148" s="17" t="s">
        <v>51</v>
      </c>
      <c r="D148" t="s">
        <v>12</v>
      </c>
      <c r="E148" t="s">
        <v>24</v>
      </c>
      <c r="F148">
        <v>9</v>
      </c>
      <c r="G148">
        <v>1</v>
      </c>
      <c r="H148">
        <v>4</v>
      </c>
      <c r="I148">
        <v>3</v>
      </c>
      <c r="J148">
        <v>1</v>
      </c>
      <c r="K148">
        <v>12</v>
      </c>
      <c r="L148" t="s">
        <v>85</v>
      </c>
    </row>
    <row r="149" spans="1:12">
      <c r="A149" s="13">
        <v>46064</v>
      </c>
      <c r="B149" s="14">
        <v>0.62430555555555556</v>
      </c>
      <c r="C149" s="17" t="s">
        <v>51</v>
      </c>
      <c r="D149" t="s">
        <v>38</v>
      </c>
      <c r="E149" t="s">
        <v>16</v>
      </c>
      <c r="F149">
        <v>2</v>
      </c>
      <c r="G149">
        <v>0</v>
      </c>
      <c r="H149">
        <v>11</v>
      </c>
      <c r="I149">
        <v>8</v>
      </c>
      <c r="J149">
        <v>2</v>
      </c>
      <c r="K149">
        <v>4</v>
      </c>
      <c r="L149" t="s">
        <v>81</v>
      </c>
    </row>
    <row r="150" spans="1:12">
      <c r="A150" s="13">
        <v>46065</v>
      </c>
      <c r="B150" s="14">
        <v>0.58333333333333337</v>
      </c>
      <c r="C150" s="25" t="s">
        <v>51</v>
      </c>
      <c r="D150" t="s">
        <v>12</v>
      </c>
      <c r="E150" t="s">
        <v>19</v>
      </c>
      <c r="F150">
        <v>5</v>
      </c>
      <c r="G150">
        <v>3</v>
      </c>
      <c r="H150">
        <v>1</v>
      </c>
      <c r="I150">
        <v>2</v>
      </c>
      <c r="J150">
        <v>1</v>
      </c>
      <c r="K150">
        <v>2</v>
      </c>
      <c r="L150" t="s">
        <v>71</v>
      </c>
    </row>
    <row r="151" spans="1:12">
      <c r="A151" s="13">
        <v>46065</v>
      </c>
      <c r="B151" s="14">
        <v>0.59583333333333333</v>
      </c>
      <c r="C151" s="17" t="s">
        <v>51</v>
      </c>
      <c r="D151" t="s">
        <v>12</v>
      </c>
      <c r="E151" t="s">
        <v>19</v>
      </c>
      <c r="F151">
        <v>3</v>
      </c>
      <c r="G151">
        <v>3</v>
      </c>
      <c r="H151">
        <v>6</v>
      </c>
      <c r="I151">
        <v>0</v>
      </c>
      <c r="J151">
        <v>1</v>
      </c>
      <c r="K151">
        <v>4</v>
      </c>
      <c r="L151" t="s">
        <v>71</v>
      </c>
    </row>
    <row r="152" spans="1:12">
      <c r="A152" s="13">
        <v>46065</v>
      </c>
      <c r="B152" s="14">
        <v>0.60833333333333328</v>
      </c>
      <c r="C152" s="17" t="s">
        <v>51</v>
      </c>
      <c r="D152" t="s">
        <v>12</v>
      </c>
      <c r="E152" t="s">
        <v>19</v>
      </c>
      <c r="F152">
        <v>4</v>
      </c>
      <c r="G152">
        <v>4</v>
      </c>
      <c r="H152">
        <v>3</v>
      </c>
      <c r="I152">
        <v>3</v>
      </c>
      <c r="J152">
        <v>5</v>
      </c>
      <c r="K152">
        <v>4</v>
      </c>
      <c r="L152" t="s">
        <v>71</v>
      </c>
    </row>
    <row r="153" spans="1:12">
      <c r="A153" s="13">
        <v>46065</v>
      </c>
      <c r="B153" s="14">
        <v>0.61736111111111114</v>
      </c>
      <c r="C153" s="17" t="s">
        <v>51</v>
      </c>
      <c r="D153" t="s">
        <v>38</v>
      </c>
      <c r="E153" t="s">
        <v>16</v>
      </c>
      <c r="F153">
        <v>1</v>
      </c>
      <c r="G153">
        <v>2</v>
      </c>
      <c r="H153">
        <v>8</v>
      </c>
      <c r="I153">
        <v>8</v>
      </c>
      <c r="J153">
        <v>4</v>
      </c>
      <c r="K153">
        <v>5</v>
      </c>
      <c r="L153" t="s">
        <v>81</v>
      </c>
    </row>
    <row r="154" spans="1:12">
      <c r="A154" s="13">
        <v>46069</v>
      </c>
      <c r="B154" s="14">
        <v>0.61944444444444446</v>
      </c>
      <c r="C154" s="17" t="s">
        <v>51</v>
      </c>
      <c r="D154" t="s">
        <v>38</v>
      </c>
      <c r="E154" t="s">
        <v>16</v>
      </c>
      <c r="F154">
        <v>0</v>
      </c>
      <c r="G154">
        <v>5</v>
      </c>
      <c r="H154">
        <v>2</v>
      </c>
      <c r="I154">
        <v>9</v>
      </c>
      <c r="J154">
        <v>4</v>
      </c>
      <c r="K154">
        <v>7</v>
      </c>
      <c r="L154" t="s">
        <v>81</v>
      </c>
    </row>
    <row r="155" spans="1:12">
      <c r="A155" s="13">
        <v>46069</v>
      </c>
      <c r="B155" s="14">
        <v>0.62638888888888888</v>
      </c>
      <c r="C155" s="17" t="s">
        <v>51</v>
      </c>
      <c r="D155" t="s">
        <v>38</v>
      </c>
      <c r="E155" t="s">
        <v>16</v>
      </c>
      <c r="F155">
        <v>0</v>
      </c>
      <c r="G155">
        <v>2</v>
      </c>
      <c r="H155">
        <v>7</v>
      </c>
      <c r="I155">
        <v>7</v>
      </c>
      <c r="J155">
        <v>1</v>
      </c>
      <c r="K155">
        <v>2</v>
      </c>
      <c r="L155" t="s">
        <v>81</v>
      </c>
    </row>
    <row r="156" spans="1:12">
      <c r="A156" s="13">
        <v>46069</v>
      </c>
      <c r="B156" s="14">
        <v>0.63680555555555551</v>
      </c>
      <c r="C156" s="21" t="s">
        <v>69</v>
      </c>
      <c r="D156" t="s">
        <v>38</v>
      </c>
      <c r="E156" t="s">
        <v>16</v>
      </c>
      <c r="F156">
        <v>0</v>
      </c>
      <c r="G156">
        <v>8</v>
      </c>
      <c r="H156">
        <v>0</v>
      </c>
      <c r="I156">
        <v>8</v>
      </c>
      <c r="J156">
        <v>5</v>
      </c>
      <c r="K156">
        <v>1</v>
      </c>
      <c r="L156" t="s">
        <v>81</v>
      </c>
    </row>
    <row r="157" spans="1:12">
      <c r="A157" s="13">
        <v>46071</v>
      </c>
      <c r="B157" s="14">
        <v>0.38958333333333334</v>
      </c>
      <c r="C157" s="18" t="s">
        <v>69</v>
      </c>
      <c r="D157" t="s">
        <v>38</v>
      </c>
      <c r="E157" t="s">
        <v>37</v>
      </c>
      <c r="F157">
        <v>2</v>
      </c>
      <c r="G157">
        <v>3</v>
      </c>
      <c r="H157">
        <v>3</v>
      </c>
      <c r="I157">
        <v>3</v>
      </c>
      <c r="J157">
        <v>2</v>
      </c>
      <c r="K157">
        <v>2</v>
      </c>
      <c r="L157" t="s">
        <v>88</v>
      </c>
    </row>
    <row r="158" spans="1:12">
      <c r="A158" s="13">
        <v>46071</v>
      </c>
      <c r="B158" s="14">
        <v>0.40069444444444446</v>
      </c>
      <c r="C158" s="18" t="s">
        <v>69</v>
      </c>
      <c r="D158" t="s">
        <v>38</v>
      </c>
      <c r="E158" t="s">
        <v>37</v>
      </c>
      <c r="F158">
        <v>1</v>
      </c>
      <c r="G158">
        <v>3</v>
      </c>
      <c r="H158">
        <v>11</v>
      </c>
      <c r="I158">
        <v>10</v>
      </c>
      <c r="J158">
        <v>3</v>
      </c>
      <c r="K158">
        <v>0</v>
      </c>
      <c r="L158" t="s">
        <v>88</v>
      </c>
    </row>
    <row r="159" spans="1:12">
      <c r="A159" s="13">
        <v>46071</v>
      </c>
      <c r="B159" s="14">
        <v>0.40763888888888888</v>
      </c>
      <c r="C159" s="17" t="s">
        <v>51</v>
      </c>
      <c r="D159" t="s">
        <v>38</v>
      </c>
      <c r="E159" t="s">
        <v>37</v>
      </c>
      <c r="F159">
        <v>3</v>
      </c>
      <c r="G159">
        <v>0</v>
      </c>
      <c r="H159">
        <v>9</v>
      </c>
      <c r="I159">
        <v>12</v>
      </c>
      <c r="J159">
        <v>0</v>
      </c>
      <c r="K159">
        <v>4</v>
      </c>
      <c r="L159" t="s">
        <v>88</v>
      </c>
    </row>
    <row r="160" spans="1:12">
      <c r="A160" s="13">
        <v>46071</v>
      </c>
      <c r="B160" s="14">
        <v>0.64583333333333337</v>
      </c>
      <c r="C160" s="21" t="s">
        <v>69</v>
      </c>
      <c r="D160" t="s">
        <v>38</v>
      </c>
      <c r="E160" t="s">
        <v>37</v>
      </c>
      <c r="F160">
        <v>3</v>
      </c>
      <c r="G160">
        <v>1</v>
      </c>
      <c r="H160">
        <v>5</v>
      </c>
      <c r="I160">
        <v>7</v>
      </c>
      <c r="J160">
        <v>2</v>
      </c>
      <c r="K160">
        <v>4</v>
      </c>
      <c r="L160" t="s">
        <v>88</v>
      </c>
    </row>
    <row r="161" spans="1:12">
      <c r="A161" s="13">
        <v>46072</v>
      </c>
      <c r="B161" s="14">
        <v>0.56944444444444442</v>
      </c>
      <c r="C161" s="25" t="s">
        <v>51</v>
      </c>
      <c r="D161" t="s">
        <v>38</v>
      </c>
      <c r="E161" t="s">
        <v>31</v>
      </c>
      <c r="F161">
        <v>7</v>
      </c>
      <c r="G161">
        <v>0</v>
      </c>
      <c r="H161">
        <v>4</v>
      </c>
      <c r="I161">
        <v>6</v>
      </c>
      <c r="J161">
        <v>3</v>
      </c>
      <c r="K161">
        <v>5</v>
      </c>
      <c r="L161" t="s">
        <v>89</v>
      </c>
    </row>
    <row r="162" spans="1:12">
      <c r="A162" s="13">
        <v>46072</v>
      </c>
      <c r="B162" s="14">
        <v>0.5805555555555556</v>
      </c>
      <c r="C162" s="25" t="s">
        <v>51</v>
      </c>
      <c r="D162" t="s">
        <v>38</v>
      </c>
      <c r="E162" t="s">
        <v>16</v>
      </c>
      <c r="F162">
        <v>6</v>
      </c>
      <c r="G162">
        <v>0</v>
      </c>
      <c r="H162">
        <v>10</v>
      </c>
      <c r="I162">
        <v>7</v>
      </c>
      <c r="J162">
        <v>2</v>
      </c>
      <c r="K162">
        <v>10</v>
      </c>
      <c r="L162" t="s">
        <v>81</v>
      </c>
    </row>
    <row r="163" spans="1:12">
      <c r="A163" s="13">
        <v>46072</v>
      </c>
      <c r="B163" s="14">
        <v>0.58333333333333337</v>
      </c>
      <c r="C163" s="25" t="s">
        <v>51</v>
      </c>
      <c r="D163" t="s">
        <v>38</v>
      </c>
      <c r="E163" t="s">
        <v>16</v>
      </c>
      <c r="F163">
        <v>1</v>
      </c>
      <c r="G163">
        <v>0</v>
      </c>
      <c r="H163">
        <v>3</v>
      </c>
      <c r="I163">
        <v>4</v>
      </c>
      <c r="J163">
        <v>0</v>
      </c>
      <c r="K163">
        <v>4</v>
      </c>
      <c r="L163" t="s">
        <v>81</v>
      </c>
    </row>
    <row r="164" spans="1:12">
      <c r="A164" s="13">
        <v>46072</v>
      </c>
      <c r="B164" s="14">
        <v>0.59583333333333333</v>
      </c>
      <c r="C164" s="25" t="s">
        <v>51</v>
      </c>
      <c r="D164" t="s">
        <v>38</v>
      </c>
      <c r="E164" t="s">
        <v>16</v>
      </c>
      <c r="F164">
        <v>1</v>
      </c>
      <c r="G164">
        <v>2</v>
      </c>
      <c r="H164">
        <v>3</v>
      </c>
      <c r="I164">
        <v>10</v>
      </c>
      <c r="J164">
        <v>3</v>
      </c>
      <c r="K164">
        <v>1</v>
      </c>
      <c r="L164" t="s">
        <v>81</v>
      </c>
    </row>
    <row r="165" spans="1:12">
      <c r="A165" s="13">
        <v>46072</v>
      </c>
      <c r="B165" s="14">
        <v>0.60416666666666663</v>
      </c>
      <c r="C165" s="25" t="s">
        <v>51</v>
      </c>
      <c r="D165" t="s">
        <v>38</v>
      </c>
      <c r="E165" t="s">
        <v>16</v>
      </c>
      <c r="F165">
        <v>3</v>
      </c>
      <c r="G165">
        <v>3</v>
      </c>
      <c r="H165">
        <v>8</v>
      </c>
      <c r="I165">
        <v>7</v>
      </c>
      <c r="J165">
        <v>3</v>
      </c>
      <c r="K165">
        <v>5</v>
      </c>
      <c r="L165" t="s">
        <v>81</v>
      </c>
    </row>
    <row r="166" spans="1:12">
      <c r="A166" s="13">
        <v>46072</v>
      </c>
      <c r="B166" s="14">
        <v>0.61597222222222225</v>
      </c>
      <c r="C166" s="25" t="s">
        <v>51</v>
      </c>
      <c r="D166" t="s">
        <v>38</v>
      </c>
      <c r="E166" t="s">
        <v>16</v>
      </c>
      <c r="F166">
        <v>3</v>
      </c>
      <c r="G166">
        <v>1</v>
      </c>
      <c r="H166">
        <v>7</v>
      </c>
      <c r="I166">
        <v>8</v>
      </c>
      <c r="J166">
        <v>1</v>
      </c>
      <c r="K166">
        <v>3</v>
      </c>
      <c r="L166" t="s">
        <v>81</v>
      </c>
    </row>
    <row r="167" spans="1:12">
      <c r="A167" s="13">
        <v>46072</v>
      </c>
      <c r="B167" s="14">
        <v>0.61805555555555558</v>
      </c>
      <c r="C167" s="17" t="s">
        <v>51</v>
      </c>
      <c r="D167" t="s">
        <v>12</v>
      </c>
      <c r="E167" t="s">
        <v>19</v>
      </c>
      <c r="F167">
        <v>4</v>
      </c>
      <c r="G167">
        <v>4</v>
      </c>
      <c r="H167">
        <v>3</v>
      </c>
      <c r="I167">
        <v>2</v>
      </c>
      <c r="J167">
        <v>1</v>
      </c>
      <c r="K167">
        <v>4</v>
      </c>
      <c r="L167" t="s">
        <v>71</v>
      </c>
    </row>
    <row r="168" spans="1:12">
      <c r="A168" s="13">
        <v>46072</v>
      </c>
      <c r="B168" s="14">
        <v>0.625</v>
      </c>
      <c r="C168" s="21" t="s">
        <v>69</v>
      </c>
      <c r="D168" t="s">
        <v>25</v>
      </c>
      <c r="E168" t="s">
        <v>22</v>
      </c>
      <c r="F168">
        <v>0</v>
      </c>
      <c r="G168">
        <v>5</v>
      </c>
      <c r="H168">
        <v>4</v>
      </c>
      <c r="I168">
        <v>1</v>
      </c>
      <c r="J168">
        <v>1</v>
      </c>
      <c r="K168">
        <v>5</v>
      </c>
      <c r="L168" t="s">
        <v>59</v>
      </c>
    </row>
    <row r="169" spans="1:12">
      <c r="A169" s="13">
        <v>46072</v>
      </c>
      <c r="B169" s="14">
        <v>0.63194444444444442</v>
      </c>
      <c r="C169" s="18" t="s">
        <v>69</v>
      </c>
      <c r="D169" t="s">
        <v>25</v>
      </c>
      <c r="E169" t="s">
        <v>22</v>
      </c>
      <c r="F169">
        <v>0</v>
      </c>
      <c r="G169">
        <v>4</v>
      </c>
      <c r="H169">
        <v>5</v>
      </c>
      <c r="I169">
        <v>6</v>
      </c>
      <c r="J169">
        <v>6</v>
      </c>
      <c r="K169">
        <v>6</v>
      </c>
      <c r="L169" t="s">
        <v>59</v>
      </c>
    </row>
    <row r="170" spans="1:12">
      <c r="A170" s="13">
        <v>46072</v>
      </c>
      <c r="B170" s="14">
        <v>0.65763888888888888</v>
      </c>
      <c r="C170" s="21" t="s">
        <v>69</v>
      </c>
      <c r="D170" t="s">
        <v>90</v>
      </c>
      <c r="E170" t="s">
        <v>24</v>
      </c>
      <c r="F170">
        <v>1</v>
      </c>
      <c r="G170">
        <v>6</v>
      </c>
      <c r="H170">
        <v>4</v>
      </c>
      <c r="I170">
        <v>1</v>
      </c>
      <c r="J170">
        <v>3</v>
      </c>
      <c r="K170">
        <v>4</v>
      </c>
      <c r="L170" t="s">
        <v>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W59"/>
  <sheetViews>
    <sheetView topLeftCell="A6" workbookViewId="0">
      <selection activeCell="Q30" sqref="Q30"/>
    </sheetView>
  </sheetViews>
  <sheetFormatPr defaultRowHeight="15"/>
  <cols>
    <col min="18" max="18" width="20" bestFit="1" customWidth="1"/>
  </cols>
  <sheetData>
    <row r="1" spans="1:127">
      <c r="A1" t="s">
        <v>92</v>
      </c>
      <c r="B1" t="s">
        <v>93</v>
      </c>
    </row>
    <row r="2" spans="1:127">
      <c r="B2">
        <f>COUNTA(TableData[Date])</f>
        <v>169</v>
      </c>
    </row>
    <row r="3" spans="1:127">
      <c r="B3">
        <f>COUNTIF(TableData[Résultat],"VICTOIRE")</f>
        <v>104</v>
      </c>
    </row>
    <row r="4" spans="1:127">
      <c r="B4">
        <f>IF(B2&gt;0, B3/B2, 0)</f>
        <v>0.61538461538461542</v>
      </c>
    </row>
    <row r="9" spans="1:12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R9" t="s">
        <v>106</v>
      </c>
      <c r="S9" t="s">
        <v>95</v>
      </c>
      <c r="T9" t="s">
        <v>96</v>
      </c>
      <c r="U9" t="s">
        <v>97</v>
      </c>
      <c r="V9" t="s">
        <v>98</v>
      </c>
      <c r="W9" t="s">
        <v>105</v>
      </c>
      <c r="AF9" t="s">
        <v>107</v>
      </c>
      <c r="AG9" t="s">
        <v>108</v>
      </c>
      <c r="AH9" t="s">
        <v>109</v>
      </c>
      <c r="AI9" t="s">
        <v>110</v>
      </c>
      <c r="AJ9" t="s">
        <v>111</v>
      </c>
      <c r="AK9" t="s">
        <v>112</v>
      </c>
      <c r="AL9" t="s">
        <v>113</v>
      </c>
      <c r="AM9" t="s">
        <v>114</v>
      </c>
      <c r="AN9" t="s">
        <v>115</v>
      </c>
      <c r="AO9" t="s">
        <v>116</v>
      </c>
      <c r="AQ9" t="s">
        <v>117</v>
      </c>
      <c r="AR9" t="s">
        <v>118</v>
      </c>
      <c r="AS9" t="s">
        <v>119</v>
      </c>
      <c r="AT9" t="s">
        <v>120</v>
      </c>
      <c r="AU9" t="s">
        <v>121</v>
      </c>
      <c r="AV9" t="s">
        <v>122</v>
      </c>
      <c r="AW9" t="s">
        <v>123</v>
      </c>
      <c r="AX9" t="s">
        <v>124</v>
      </c>
      <c r="AY9" t="s">
        <v>125</v>
      </c>
      <c r="AZ9" t="s">
        <v>126</v>
      </c>
      <c r="BA9" t="s">
        <v>99</v>
      </c>
      <c r="BB9" t="s">
        <v>127</v>
      </c>
      <c r="BC9" t="s">
        <v>128</v>
      </c>
      <c r="BD9" t="s">
        <v>129</v>
      </c>
      <c r="BE9" t="s">
        <v>130</v>
      </c>
      <c r="BF9" t="s">
        <v>131</v>
      </c>
      <c r="BG9" t="s">
        <v>132</v>
      </c>
      <c r="BH9" t="s">
        <v>133</v>
      </c>
      <c r="BI9" t="s">
        <v>134</v>
      </c>
      <c r="BJ9" t="s">
        <v>135</v>
      </c>
      <c r="BK9" t="s">
        <v>136</v>
      </c>
      <c r="BL9" t="s">
        <v>137</v>
      </c>
      <c r="BM9" t="s">
        <v>138</v>
      </c>
      <c r="BN9" t="s">
        <v>139</v>
      </c>
      <c r="BO9" t="s">
        <v>140</v>
      </c>
    </row>
    <row r="10" spans="1:127">
      <c r="A10" t="str">
        <f>IF(PARAMETRES!A2="", 0, PARAMETRES!A2)</f>
        <v>Son Goku Super Sayen</v>
      </c>
      <c r="B10">
        <f>IF(A10=0, 0, COUNTIFS(TableData[Résultat], "VICTOIRE", TableData[Xhelo], A10) + COUNTIFS(TableData[Résultat], "VICTOIRE", TableData[J9], A10))</f>
        <v>6</v>
      </c>
      <c r="C10">
        <f>IF(A10=0, 0, COUNTIF(TableData[Xhelo], A10) + COUNTIF(TableData[J9], A10))</f>
        <v>7</v>
      </c>
      <c r="D10">
        <f>IF(C10&gt;0, B10/C10, 0)</f>
        <v>0.8571428571428571</v>
      </c>
      <c r="E10">
        <f>IF(C10&gt;0, INT(D10*10000000) + (B10*1000) + (100-ROW()), -1)</f>
        <v>8577518</v>
      </c>
      <c r="F10" t="str">
        <f>IF(A10=0, 0, PARAMETRES!B2)</f>
        <v>Attaquant</v>
      </c>
      <c r="G10">
        <v>1</v>
      </c>
      <c r="H10">
        <f>LARGE(E$10:E$60, G10)</f>
        <v>8577518</v>
      </c>
      <c r="I10" t="str">
        <f>IF(H10&gt;-1, INDEX(A$10:A$60, MATCH(H10, E$10:E$60, 0)), "")</f>
        <v>Son Goku Super Sayen</v>
      </c>
      <c r="J10" t="str">
        <f>IF(I10&lt;&gt;"", I10 &amp; " (" &amp; SUMIF(A$10:A$60, I10, B$10:B$60) &amp; "V - " &amp; SUMIF(A$10:A$60, I10, L$10:L$60) &amp; "D)", "")</f>
        <v>Son Goku Super Sayen (6V - 1D)</v>
      </c>
      <c r="K10">
        <f>IF(I10&lt;&gt;"", SUMIF(A$10:A$60, I10, D$10:D$60), 0)</f>
        <v>0.8571428571428571</v>
      </c>
      <c r="L10">
        <f>C10-B10</f>
        <v>1</v>
      </c>
      <c r="N10" t="str">
        <f>IF(DATA!L2="", "", DATA!L2)</f>
        <v>Broly + Cooler</v>
      </c>
      <c r="O10">
        <f>IF(N10="", "", IF(COUNTIF(N$10:N10, N10)=1, ROW(), ""))</f>
        <v>10</v>
      </c>
      <c r="P10">
        <f>IFERROR(SMALL(O$10:O$500, 1), "")</f>
        <v>10</v>
      </c>
      <c r="R10" t="str">
        <f>IF(P10="", 0, INDEX(N$10:N$500, P10-9))</f>
        <v>Broly + Cooler</v>
      </c>
      <c r="S10">
        <f>IF(R10=0, 0, COUNTIFS(TableData[Résultat], "VICTOIRE", TableData[DUO], R10))</f>
        <v>7</v>
      </c>
      <c r="T10">
        <f>IF(R10=0, 0, COUNTIF(TableData[DUO], R10))</f>
        <v>11</v>
      </c>
      <c r="U10">
        <f>IF(T10&gt;0, S10/T10, 0)</f>
        <v>0.63636363636363635</v>
      </c>
      <c r="V10">
        <f>IF(T10&gt;0, INT(U10*10000000) + (S10*1000) + (10000-ROW()), -1)</f>
        <v>6380626</v>
      </c>
      <c r="Y10">
        <f>T10-S10</f>
        <v>4</v>
      </c>
      <c r="Z10">
        <v>1</v>
      </c>
      <c r="AA10">
        <f>LARGE(V$10:V$60, Z10)</f>
        <v>10014982</v>
      </c>
      <c r="AB10" t="str">
        <f>IF(AA10&gt;-1, INDEX(R$10:R$60, MATCH(AA10, V$10:V$60, 0)), "")</f>
        <v>Son Goku Super Sayen + Cooler</v>
      </c>
      <c r="AC10" t="str">
        <f>IF(AB10&lt;&gt;"", AB10 &amp; " (" &amp; SUMIF(R$10:R$60, AB10, S$10:S$60) &amp; "V - " &amp; SUMIF(R$10:R$60, AB10, Y$10:Y$60) &amp; "D)", "")</f>
        <v>Son Goku Super Sayen + Cooler (5V - 0D)</v>
      </c>
      <c r="AD10">
        <f>IF(AB10&lt;&gt;"", SUMIF(R$10:R$60, AB10, U$10:U$60), 0)</f>
        <v>1</v>
      </c>
      <c r="AF10">
        <f>IF(A10=0, 0, COUNTIFS(TableData[Résultat], "VICTOIRE", TableData[Xhelo], A10))</f>
        <v>6</v>
      </c>
      <c r="AG10">
        <f>IF(A10=0, 0, COUNTIF(TableData[Xhelo], A10))</f>
        <v>7</v>
      </c>
      <c r="AH10">
        <f>IF(AG10&gt;0, AF10/AG10, 0)</f>
        <v>0.8571428571428571</v>
      </c>
      <c r="AI10">
        <f>AG10-AF10</f>
        <v>1</v>
      </c>
      <c r="AJ10">
        <f>IF(AG10&gt;0, INT(AH10*10000000) + (AF10*1000) + (100-ROW()), -1)</f>
        <v>8577518</v>
      </c>
      <c r="AK10">
        <f>SUMIF(TableData[Xhelo], A10, TableData[X_K])</f>
        <v>45</v>
      </c>
      <c r="AL10">
        <f>SUMIF(TableData[Xhelo], A10, TableData[X_D])</f>
        <v>27</v>
      </c>
      <c r="AM10">
        <f>SUMIF(TableData[Xhelo], A10, TableData[X_A])</f>
        <v>31</v>
      </c>
      <c r="AN10">
        <f>IF(AG10&gt;0, (AK10+AM10)/MAX(1, AL10), 0)</f>
        <v>2.8148148148148149</v>
      </c>
      <c r="AO10">
        <f>IF(AG10&gt;0, AN10*10000 + (100-ROW()), -1)</f>
        <v>28238.14814814815</v>
      </c>
      <c r="AQ10">
        <f>IF(A10=0, 0, COUNTIFS(TableData[Résultat], "VICTOIRE", TableData[J9], A10))</f>
        <v>0</v>
      </c>
      <c r="AR10">
        <f>IF(A10=0, 0, COUNTIF(TableData[J9], A10))</f>
        <v>0</v>
      </c>
      <c r="AS10">
        <f>IF(AR10&gt;0, AQ10/AR10, 0)</f>
        <v>0</v>
      </c>
      <c r="AT10">
        <f>AR10-AQ10</f>
        <v>0</v>
      </c>
      <c r="AU10">
        <f>IF(AR10&gt;0, INT(AS10*10000000) + (AQ10*1000) + (100-ROW()), -1)</f>
        <v>-1</v>
      </c>
      <c r="AV10">
        <f>SUMIF(TableData[J9], A10, TableData[J_K])</f>
        <v>0</v>
      </c>
      <c r="AW10">
        <f>SUMIF(TableData[J9], A10, TableData[J_D])</f>
        <v>0</v>
      </c>
      <c r="AX10">
        <f>SUMIF(TableData[J9], A10, TableData[J_A])</f>
        <v>0</v>
      </c>
      <c r="AY10">
        <f>IF(AR10&gt;0, (AV10+AX10)/MAX(1, AW10), 0)</f>
        <v>0</v>
      </c>
      <c r="AZ10">
        <f>IF(AR10&gt;0, AY10*10000 + (100-ROW()), -1)</f>
        <v>-1</v>
      </c>
      <c r="BA10" t="s">
        <v>3</v>
      </c>
      <c r="BB10">
        <f ca="1">SUMIF(PARAMETRES!B$2:B$60, BA10, AF$10:AF$60)</f>
        <v>61</v>
      </c>
      <c r="BC10">
        <f ca="1">SUMIF(PARAMETRES!B$2:B$60, BA10, AG$10:AG$60)</f>
        <v>103</v>
      </c>
      <c r="BD10">
        <f ca="1">IF(BC10&gt;0, BB10/BC10, 0)</f>
        <v>0.59223300970873782</v>
      </c>
      <c r="BE10">
        <f ca="1">IF(BC10&gt;0, 1-BD10, 0)</f>
        <v>0.40776699029126218</v>
      </c>
      <c r="BF10">
        <f ca="1">SUMIF(PARAMETRES!B$2:B$60, BA10, AQ$10:AQ$60)</f>
        <v>45</v>
      </c>
      <c r="BG10">
        <f ca="1">SUMIF(PARAMETRES!B$2:B$60, BA10, AR$10:AR$60)</f>
        <v>69</v>
      </c>
      <c r="BH10">
        <f ca="1">IF(BG10&gt;0, BF10/BG10, 0)</f>
        <v>0.65217391304347827</v>
      </c>
      <c r="BI10">
        <f ca="1">IF(BG10&gt;0, 1-BH10, 0)</f>
        <v>0.34782608695652173</v>
      </c>
      <c r="BJ10">
        <f ca="1">SUMIF(PARAMETRES!B$2:B$60, BA10, AK$10:AK$60)/MAX(1,BC10)</f>
        <v>4.5048543689320386</v>
      </c>
      <c r="BK10">
        <f ca="1">SUMIF(PARAMETRES!B$2:B$60, BA10, AL$10:AL$60)/MAX(1,BC10)</f>
        <v>3.3592233009708736</v>
      </c>
      <c r="BL10">
        <f ca="1">SUMIF(PARAMETRES!B$2:B$60, BA10, AM$10:AM$60)/MAX(1,BC10)</f>
        <v>4.0873786407766994</v>
      </c>
      <c r="BM10">
        <f ca="1">SUMIF(PARAMETRES!B$2:B$60, BA10, AV$10:AV$60)/MAX(1,BG10)</f>
        <v>5.4637681159420293</v>
      </c>
      <c r="BN10">
        <f ca="1">SUMIF(PARAMETRES!B$2:B$60, BA10, AW$10:AW$60)/MAX(1,BG10)</f>
        <v>1.8695652173913044</v>
      </c>
      <c r="BO10">
        <f ca="1">SUMIF(PARAMETRES!B$2:B$60, BA10, AX$10:AX$60)/MAX(1,BG10)</f>
        <v>2.7536231884057969</v>
      </c>
      <c r="CA10">
        <v>1</v>
      </c>
      <c r="CB10">
        <f>LARGE(AJ$10:AJ$60, CA10)</f>
        <v>10004072</v>
      </c>
      <c r="CC10" t="str">
        <f>IF(CB10&gt;-1, INDEX(A$10:A$60, MATCH(CB10, AJ$10:AJ$60, 0)), "")</f>
        <v>Cooler</v>
      </c>
      <c r="CD10" t="str">
        <f>IF(CC10&lt;&gt;"", CC10 &amp; " (" &amp; SUMIF(A$10:A$60, CC10, AF$10:AF$60) &amp; "V - " &amp; SUMIF(A$10:A$60, CC10, AI$10:AI$60) &amp; "D)", "")</f>
        <v>Cooler (4V - 0D)</v>
      </c>
      <c r="CE10">
        <f>IF(CC10&lt;&gt;"", SUMIF(A$10:A$60, CC10, AH$10:AH$60), 0)</f>
        <v>1</v>
      </c>
      <c r="CG10">
        <v>1</v>
      </c>
      <c r="CH10">
        <f>LARGE(AU$10:AU$60, CG10)</f>
        <v>8024077</v>
      </c>
      <c r="CI10" t="str">
        <f>IF(CH10&gt;-1, INDEX(A$10:A$60, MATCH(CH10, AU$10:AU$60, 0)), "")</f>
        <v>Vegito</v>
      </c>
      <c r="CJ10" t="str">
        <f>IF(CI10&lt;&gt;"", CI10 &amp; " (" &amp; SUMIF(A$10:A$60, CI10, AQ$10:AQ$60) &amp; "V - " &amp; SUMIF(A$10:A$60, CI10, AT$10:AT$60) &amp; "D)", "")</f>
        <v>Vegito (24V - 6D)</v>
      </c>
      <c r="CK10">
        <f>IF(CI10&lt;&gt;"", SUMIF(A$10:A$60, CI10, AS$10:AS$60), 0)</f>
        <v>0.8</v>
      </c>
      <c r="DM10">
        <v>1</v>
      </c>
      <c r="DN10">
        <f>LARGE(AO$10:AO$60, DM10)</f>
        <v>52710.0612244898</v>
      </c>
      <c r="DO10" t="str">
        <f>IF(DN10&gt;-1, INDEX(A$10:A$60, MATCH(DN10, AO$10:AO$60, 0)), "")</f>
        <v>Bardock</v>
      </c>
      <c r="DP10" t="str">
        <f>IF(DO10&lt;&gt;"", DO10 &amp; " (" &amp; TEXT(VLOOKUP(DO10, A$10:AO$60, 40, FALSE), "0.0") &amp; ")", "")</f>
        <v>Bardock (0.5)</v>
      </c>
      <c r="DQ10">
        <f>IF(DO10&lt;&gt;"", VLOOKUP(DO10, A$10:AO$60, 40, FALSE), 0)</f>
        <v>5.2653061224489797</v>
      </c>
      <c r="DS10">
        <v>1</v>
      </c>
      <c r="DT10">
        <f>LARGE(AZ$10:AZ$60, DS10)</f>
        <v>60058</v>
      </c>
      <c r="DU10" t="str">
        <f>IF(DT10&gt;-1, INDEX(A$10:A$60, MATCH(DT10, AZ$10:AZ$60, 0)), "")</f>
        <v>Kefla</v>
      </c>
      <c r="DV10" t="str">
        <f>IF(DU10&lt;&gt;"", DU10 &amp; " (" &amp; TEXT(VLOOKUP(DU10, A$10:AZ$60, 51, FALSE), "0.0") &amp; ")", "")</f>
        <v>Kefla (0.6)</v>
      </c>
      <c r="DW10">
        <f>IF(DU10&lt;&gt;"", VLOOKUP(DU10, A$10:AZ$60, 51, FALSE), 0)</f>
        <v>6</v>
      </c>
    </row>
    <row r="11" spans="1:127">
      <c r="A11" t="str">
        <f>IF(PARAMETRES!A3="", 0, PARAMETRES!A3)</f>
        <v>Piccolo</v>
      </c>
      <c r="B11">
        <f>IF(A11=0, 0, COUNTIFS(TableData[Résultat], "VICTOIRE", TableData[Xhelo], A11) + COUNTIFS(TableData[Résultat], "VICTOIRE", TableData[J9], A11))</f>
        <v>0</v>
      </c>
      <c r="C11">
        <f>IF(A11=0, 0, COUNTIF(TableData[Xhelo], A11) + COUNTIF(TableData[J9], A11))</f>
        <v>1</v>
      </c>
      <c r="D11">
        <f>IF(C11&gt;0, B11/C11, 0)</f>
        <v>0</v>
      </c>
      <c r="E11">
        <f>IF(C11&gt;0, INT(D11*10000000) + (B11*1000) + (100-ROW()), -1)</f>
        <v>89</v>
      </c>
      <c r="F11" t="str">
        <f>IF(A11=0, 0, PARAMETRES!B3)</f>
        <v>Attaquant</v>
      </c>
      <c r="G11">
        <v>2</v>
      </c>
      <c r="H11">
        <f>LARGE(E$10:E$60, G11)</f>
        <v>8024077</v>
      </c>
      <c r="I11" t="str">
        <f>IF(H11&gt;-1, INDEX(A$10:A$60, MATCH(H11, E$10:E$60, 0)), "")</f>
        <v>Vegito</v>
      </c>
      <c r="J11" t="str">
        <f>IF(I11&lt;&gt;"", I11 &amp; " (" &amp; SUMIF(A$10:A$60, I11, B$10:B$60) &amp; "V - " &amp; SUMIF(A$10:A$60, I11, L$10:L$60) &amp; "D)", "")</f>
        <v>Vegito (24V - 0,225806451612903D)</v>
      </c>
      <c r="K11">
        <f>IF(I11&lt;&gt;"", SUMIF(A$10:A$60, I11, D$10:D$60), 0)</f>
        <v>0.8</v>
      </c>
      <c r="L11">
        <f>C11-B11</f>
        <v>1</v>
      </c>
      <c r="N11" t="str">
        <f>IF(DATA!L3="", "", DATA!L3)</f>
        <v>Broly + Cooler</v>
      </c>
      <c r="O11" t="str">
        <f>IF(N11="", "", IF(COUNTIF(N$10:N11, N11)=1, ROW(), ""))</f>
        <v/>
      </c>
      <c r="P11">
        <f>IFERROR(SMALL(O$10:O$500, 2), "")</f>
        <v>12</v>
      </c>
      <c r="R11" t="str">
        <f>IF(P11="", 0, INDEX(N$10:N$500, P11-9))</f>
        <v>Broly + Trunks Jeune</v>
      </c>
      <c r="S11">
        <f>IF(R11=0, 0, COUNTIFS(TableData[Résultat], "VICTOIRE", TableData[DUO], R11))</f>
        <v>4</v>
      </c>
      <c r="T11">
        <f>IF(R11=0, 0, COUNTIF(TableData[DUO], R11))</f>
        <v>10</v>
      </c>
      <c r="U11">
        <f>IF(T11&gt;0, S11/T11, 0)</f>
        <v>0.4</v>
      </c>
      <c r="V11">
        <f>IF(T11&gt;0, INT(U11*10000000) + (S11*1000) + (10000-ROW()), -1)</f>
        <v>4013989</v>
      </c>
      <c r="Y11">
        <f>T11-S11</f>
        <v>6</v>
      </c>
      <c r="Z11">
        <v>2</v>
      </c>
      <c r="AA11">
        <f>LARGE(V$10:V$60, Z11)</f>
        <v>10013979</v>
      </c>
      <c r="AB11" t="str">
        <f>IF(AA11&gt;-1, INDEX(R$10:R$60, MATCH(AA11, V$10:V$60, 0)), "")</f>
        <v>Cooler + Trunks Jeune</v>
      </c>
      <c r="AC11" t="str">
        <f>IF(AB11&lt;&gt;"", AB11 &amp; " (" &amp; SUMIF(R$10:R$60, AB11, S$10:S$60) &amp; "V - " &amp; SUMIF(R$10:R$60, AB11, Y$10:Y$60) &amp; "D)", "")</f>
        <v>Cooler + Trunks Jeune (4V - 0D)</v>
      </c>
      <c r="AD11">
        <f>IF(AB11&lt;&gt;"", SUMIF(R$10:R$60, AB11, U$10:U$60), 0)</f>
        <v>1</v>
      </c>
      <c r="AF11">
        <f>IF(A11=0, 0, COUNTIFS(TableData[Résultat], "VICTOIRE", TableData[Xhelo], A11))</f>
        <v>0</v>
      </c>
      <c r="AG11">
        <f>IF(A11=0, 0, COUNTIF(TableData[Xhelo], A11))</f>
        <v>1</v>
      </c>
      <c r="AH11">
        <f>IF(AG11&gt;0, AF11/AG11, 0)</f>
        <v>0</v>
      </c>
      <c r="AI11">
        <f>AG11-AF11</f>
        <v>1</v>
      </c>
      <c r="AJ11">
        <f>IF(AG11&gt;0, INT(AH11*10000000) + (AF11*1000) + (100-ROW()), -1)</f>
        <v>89</v>
      </c>
      <c r="AK11">
        <f>SUMIF(TableData[Xhelo], A11, TableData[X_K])</f>
        <v>8</v>
      </c>
      <c r="AL11">
        <f>SUMIF(TableData[Xhelo], A11, TableData[X_D])</f>
        <v>3</v>
      </c>
      <c r="AM11">
        <f>SUMIF(TableData[Xhelo], A11, TableData[X_A])</f>
        <v>6</v>
      </c>
      <c r="AN11">
        <f>IF(AG11&gt;0, (AK11+AM11)/MAX(1, AL11), 0)</f>
        <v>4.666666666666667</v>
      </c>
      <c r="AO11">
        <f>IF(AG11&gt;0, AN11*10000 + (100-ROW()), -1)</f>
        <v>46755.666666666672</v>
      </c>
      <c r="AQ11">
        <f>IF(A11=0, 0, COUNTIFS(TableData[Résultat], "VICTOIRE", TableData[J9], A11))</f>
        <v>0</v>
      </c>
      <c r="AR11">
        <f>IF(A11=0, 0, COUNTIF(TableData[J9], A11))</f>
        <v>0</v>
      </c>
      <c r="AS11">
        <f>IF(AR11&gt;0, AQ11/AR11, 0)</f>
        <v>0</v>
      </c>
      <c r="AT11">
        <f>AR11-AQ11</f>
        <v>0</v>
      </c>
      <c r="AU11">
        <f>IF(AR11&gt;0, INT(AS11*10000000) + (AQ11*1000) + (100-ROW()), -1)</f>
        <v>-1</v>
      </c>
      <c r="AV11">
        <f>SUMIF(TableData[J9], A11, TableData[J_K])</f>
        <v>0</v>
      </c>
      <c r="AW11">
        <f>SUMIF(TableData[J9], A11, TableData[J_D])</f>
        <v>0</v>
      </c>
      <c r="AX11">
        <f>SUMIF(TableData[J9], A11, TableData[J_A])</f>
        <v>0</v>
      </c>
      <c r="AY11">
        <f>IF(AR11&gt;0, (AV11+AX11)/MAX(1, AW11), 0)</f>
        <v>0</v>
      </c>
      <c r="AZ11">
        <f>IF(AR11&gt;0, AY11*10000 + (100-ROW()), -1)</f>
        <v>-1</v>
      </c>
      <c r="BA11" t="s">
        <v>18</v>
      </c>
      <c r="BB11">
        <f ca="1">SUMIF(PARAMETRES!B$2:B$60, BA11, AF$10:AF$60)</f>
        <v>35</v>
      </c>
      <c r="BC11">
        <f ca="1">SUMIF(PARAMETRES!B$2:B$60, BA11, AG$10:AG$60)</f>
        <v>48</v>
      </c>
      <c r="BD11">
        <f ca="1">IF(BC11&gt;0, BB11/BC11, 0)</f>
        <v>0.72916666666666663</v>
      </c>
      <c r="BE11">
        <f ca="1">IF(BC11&gt;0, 1-BD11, 0)</f>
        <v>0.27083333333333337</v>
      </c>
      <c r="BF11">
        <f ca="1">SUMIF(PARAMETRES!B$2:B$60, BA11, AQ$10:AQ$60)</f>
        <v>27</v>
      </c>
      <c r="BG11">
        <f ca="1">SUMIF(PARAMETRES!B$2:B$60, BA11, AR$10:AR$60)</f>
        <v>43</v>
      </c>
      <c r="BH11">
        <f ca="1">IF(BG11&gt;0, BF11/BG11, 0)</f>
        <v>0.62790697674418605</v>
      </c>
      <c r="BI11">
        <f ca="1">IF(BG11&gt;0, 1-BH11, 0)</f>
        <v>0.37209302325581395</v>
      </c>
      <c r="BJ11">
        <f ca="1">SUMIF(PARAMETRES!B$2:B$60, BA11, AK$10:AK$60)/MAX(1,BC11)</f>
        <v>2.2708333333333335</v>
      </c>
      <c r="BK11">
        <f ca="1">SUMIF(PARAMETRES!B$2:B$60, BA11, AL$10:AL$60)/MAX(1,BC11)</f>
        <v>1.7916666666666667</v>
      </c>
      <c r="BL11">
        <f ca="1">SUMIF(PARAMETRES!B$2:B$60, BA11, AM$10:AM$60)/MAX(1,BC11)</f>
        <v>5.5</v>
      </c>
      <c r="BM11">
        <f ca="1">SUMIF(PARAMETRES!B$2:B$60, BA11, AV$10:AV$60)/MAX(1,BG11)</f>
        <v>2.5813953488372094</v>
      </c>
      <c r="BN11">
        <f ca="1">SUMIF(PARAMETRES!B$2:B$60, BA11, AW$10:AW$60)/MAX(1,BG11)</f>
        <v>2.5813953488372094</v>
      </c>
      <c r="BO11">
        <f ca="1">SUMIF(PARAMETRES!B$2:B$60, BA11, AX$10:AX$60)/MAX(1,BG11)</f>
        <v>5.4186046511627906</v>
      </c>
      <c r="CA11">
        <v>2</v>
      </c>
      <c r="CB11">
        <f>LARGE(AJ$10:AJ$60, CA11)</f>
        <v>8577518</v>
      </c>
      <c r="CC11" t="str">
        <f>IF(CB11&gt;-1, INDEX(A$10:A$60, MATCH(CB11, AJ$10:AJ$60, 0)), "")</f>
        <v>Son Goku Super Sayen</v>
      </c>
      <c r="CD11" t="str">
        <f>IF(CC11&lt;&gt;"", CC11 &amp; " (" &amp; SUMIF(A$10:A$60, CC11, AF$10:AF$60) &amp; "V - " &amp; SUMIF(A$10:A$60, CC11, AI$10:AI$60) &amp; "D)", "")</f>
        <v>Son Goku Super Sayen (6V - 1D)</v>
      </c>
      <c r="CE11">
        <f>IF(CC11&lt;&gt;"", SUMIF(A$10:A$60, CC11, AH$10:AH$60), 0)</f>
        <v>0.8571428571428571</v>
      </c>
      <c r="CG11">
        <v>2</v>
      </c>
      <c r="CH11">
        <f>LARGE(AU$10:AU$60, CG11)</f>
        <v>6932151</v>
      </c>
      <c r="CI11" t="str">
        <f>IF(CH11&gt;-1, INDEX(A$10:A$60, MATCH(CH11, AU$10:AU$60, 0)), "")</f>
        <v>Zamasu</v>
      </c>
      <c r="CJ11" t="str">
        <f>IF(CI11&lt;&gt;"", CI11 &amp; " (" &amp; SUMIF(A$10:A$60, CI11, AQ$10:AQ$60) &amp; "V - " &amp; SUMIF(A$10:A$60, CI11, AT$10:AT$60) &amp; "D)", "")</f>
        <v>Zamasu (9V - 4D)</v>
      </c>
      <c r="CK11">
        <f>IF(CI11&lt;&gt;"", SUMIF(A$10:A$60, CI11, AS$10:AS$60), 0)</f>
        <v>0.69230769230769229</v>
      </c>
      <c r="DM11">
        <v>2</v>
      </c>
      <c r="DN11">
        <f>LARGE(AO$10:AO$60, DM11)</f>
        <v>46755.666666666672</v>
      </c>
      <c r="DO11" t="str">
        <f>IF(DN11&gt;-1, INDEX(A$10:A$60, MATCH(DN11, AO$10:AO$60, 0)), "")</f>
        <v>Piccolo</v>
      </c>
      <c r="DP11" t="str">
        <f>IF(DO11&lt;&gt;"", DO11 &amp; " (" &amp; TEXT(VLOOKUP(DO11, A$10:AO$60, 40, FALSE), "0.0") &amp; ")", "")</f>
        <v>Piccolo (0.5)</v>
      </c>
      <c r="DQ11">
        <f>IF(DO11&lt;&gt;"", VLOOKUP(DO11, A$10:AO$60, 40, FALSE), 0)</f>
        <v>4.666666666666667</v>
      </c>
      <c r="DS11">
        <v>2</v>
      </c>
      <c r="DT11">
        <f>LARGE(AZ$10:AZ$60, DS11)</f>
        <v>58986.090909090904</v>
      </c>
      <c r="DU11" t="str">
        <f>IF(DT11&gt;-1, INDEX(A$10:A$60, MATCH(DT11, AZ$10:AZ$60, 0)), "")</f>
        <v>Vegito</v>
      </c>
      <c r="DV11" t="str">
        <f>IF(DU11&lt;&gt;"", DU11 &amp; " (" &amp; TEXT(VLOOKUP(DU11, A$10:AZ$60, 51, FALSE), "0.0") &amp; ")", "")</f>
        <v>Vegito (0.6)</v>
      </c>
      <c r="DW11">
        <f>IF(DU11&lt;&gt;"", VLOOKUP(DU11, A$10:AZ$60, 51, FALSE), 0)</f>
        <v>5.8909090909090907</v>
      </c>
    </row>
    <row r="12" spans="1:127">
      <c r="A12" t="str">
        <f>IF(PARAMETRES!A4="", 0, PARAMETRES!A4)</f>
        <v>Dabra</v>
      </c>
      <c r="B12">
        <f>IF(A12=0, 0, COUNTIFS(TableData[Résultat], "VICTOIRE", TableData[Xhelo], A12) + COUNTIFS(TableData[Résultat], "VICTOIRE", TableData[J9], A12))</f>
        <v>0</v>
      </c>
      <c r="C12">
        <f>IF(A12=0, 0, COUNTIF(TableData[Xhelo], A12) + COUNTIF(TableData[J9], A12))</f>
        <v>0</v>
      </c>
      <c r="D12">
        <f>IF(C12&gt;0, B12/C12, 0)</f>
        <v>0</v>
      </c>
      <c r="E12">
        <f>IF(C12&gt;0, INT(D12*10000000) + (B12*1000) + (100-ROW()), -1)</f>
        <v>-1</v>
      </c>
      <c r="F12" t="str">
        <f>IF(A12=0, 0, PARAMETRES!B4)</f>
        <v>Attaquant</v>
      </c>
      <c r="G12">
        <v>3</v>
      </c>
      <c r="H12">
        <f>LARGE(E$10:E$60, G12)</f>
        <v>7765992</v>
      </c>
      <c r="I12" t="str">
        <f>IF(H12&gt;-1, INDEX(A$10:A$60, MATCH(H12, E$10:E$60, 0)), "")</f>
        <v>Bardock</v>
      </c>
      <c r="J12" t="str">
        <f>IF(I12&lt;&gt;"", I12 &amp; " (" &amp; SUMIF(A$10:A$60, I12, B$10:B$60) &amp; "V - " &amp; SUMIF(A$10:A$60, I12, L$10:L$60) &amp; "D)", "")</f>
        <v>Bardock (24V - 7D)</v>
      </c>
      <c r="K12">
        <f t="shared" ref="K12:K14" si="0">IF(I12&lt;&gt;"", SUMIF(A$10:A$60, I12, D$10:D$60), 0)</f>
        <v>0.77419354838709675</v>
      </c>
      <c r="L12">
        <f>C12-B12</f>
        <v>0</v>
      </c>
      <c r="N12" t="str">
        <f>IF(DATA!L4="", "", DATA!L4)</f>
        <v>Broly + Trunks Jeune</v>
      </c>
      <c r="O12">
        <f>IF(N12="", "", IF(COUNTIF(N$10:N12, N12)=1, ROW(), ""))</f>
        <v>12</v>
      </c>
      <c r="P12">
        <f>IFERROR(SMALL(O$10:O$500, 3), "")</f>
        <v>13</v>
      </c>
      <c r="R12" t="str">
        <f>IF(P12="", 0, INDEX(N$10:N$500, P12-9))</f>
        <v>Buu + Trunks Jeune</v>
      </c>
      <c r="S12">
        <f>IF(R12=0, 0, COUNTIFS(TableData[Résultat], "VICTOIRE", TableData[DUO], R12))</f>
        <v>6</v>
      </c>
      <c r="T12">
        <f>IF(R12=0, 0, COUNTIF(TableData[DUO], R12))</f>
        <v>10</v>
      </c>
      <c r="U12">
        <f>IF(T12&gt;0, S12/T12, 0)</f>
        <v>0.6</v>
      </c>
      <c r="V12">
        <f>IF(T12&gt;0, INT(U12*10000000) + (S12*1000) + (10000-ROW()), -1)</f>
        <v>6015988</v>
      </c>
      <c r="Y12">
        <f>T12-S12</f>
        <v>4</v>
      </c>
      <c r="Z12">
        <v>3</v>
      </c>
      <c r="AA12">
        <f>LARGE(V$10:V$60, Z12)</f>
        <v>10010972</v>
      </c>
      <c r="AB12" t="str">
        <f>IF(AA12&gt;-1, INDEX(R$10:R$60, MATCH(AA12, V$10:V$60, 0)), "")</f>
        <v>C18 + Vegeta 4</v>
      </c>
      <c r="AC12" t="str">
        <f>IF(AB12&lt;&gt;"", AB12 &amp; " (" &amp; SUMIF(R$10:R$60, AB12, S$10:S$60) &amp; "V - " &amp; SUMIF(R$10:R$60, AB12, Y$10:Y$60) &amp; "D)", "")</f>
        <v>C18 + Vegeta 4 (1V - 0D)</v>
      </c>
      <c r="AD12">
        <f>IF(AB12&lt;&gt;"", SUMIF(R$10:R$60, AB12, U$10:U$60), 0)</f>
        <v>1</v>
      </c>
      <c r="AF12">
        <f>IF(A12=0, 0, COUNTIFS(TableData[Résultat], "VICTOIRE", TableData[Xhelo], A12))</f>
        <v>0</v>
      </c>
      <c r="AG12">
        <f>IF(A12=0, 0, COUNTIF(TableData[Xhelo], A12))</f>
        <v>0</v>
      </c>
      <c r="AH12">
        <f>IF(AG12&gt;0, AF12/AG12, 0)</f>
        <v>0</v>
      </c>
      <c r="AI12">
        <f>AG12-AF12</f>
        <v>0</v>
      </c>
      <c r="AJ12">
        <f>IF(AG12&gt;0, INT(AH12*10000000) + (AF12*1000) + (100-ROW()), -1)</f>
        <v>-1</v>
      </c>
      <c r="AK12">
        <f>SUMIF(TableData[Xhelo], A12, TableData[X_K])</f>
        <v>0</v>
      </c>
      <c r="AL12">
        <f>SUMIF(TableData[Xhelo], A12, TableData[X_D])</f>
        <v>0</v>
      </c>
      <c r="AM12">
        <f>SUMIF(TableData[Xhelo], A12, TableData[X_A])</f>
        <v>0</v>
      </c>
      <c r="AN12">
        <f>IF(AG12&gt;0, (AK12+AM12)/MAX(1, AL12), 0)</f>
        <v>0</v>
      </c>
      <c r="AO12">
        <f>IF(AG12&gt;0, AN12*10000 + (100-ROW()), -1)</f>
        <v>-1</v>
      </c>
      <c r="AQ12">
        <f>IF(A12=0, 0, COUNTIFS(TableData[Résultat], "VICTOIRE", TableData[J9], A12))</f>
        <v>0</v>
      </c>
      <c r="AR12">
        <f>IF(A12=0, 0, COUNTIF(TableData[J9], A12))</f>
        <v>0</v>
      </c>
      <c r="AS12">
        <f>IF(AR12&gt;0, AQ12/AR12, 0)</f>
        <v>0</v>
      </c>
      <c r="AT12">
        <f>AR12-AQ12</f>
        <v>0</v>
      </c>
      <c r="AU12">
        <f>IF(AR12&gt;0, INT(AS12*10000000) + (AQ12*1000) + (100-ROW()), -1)</f>
        <v>-1</v>
      </c>
      <c r="AV12">
        <f>SUMIF(TableData[J9], A12, TableData[J_K])</f>
        <v>0</v>
      </c>
      <c r="AW12">
        <f>SUMIF(TableData[J9], A12, TableData[J_D])</f>
        <v>0</v>
      </c>
      <c r="AX12">
        <f>SUMIF(TableData[J9], A12, TableData[J_A])</f>
        <v>0</v>
      </c>
      <c r="AY12">
        <f>IF(AR12&gt;0, (AV12+AX12)/MAX(1, AW12), 0)</f>
        <v>0</v>
      </c>
      <c r="AZ12">
        <f>IF(AR12&gt;0, AY12*10000 + (100-ROW()), -1)</f>
        <v>-1</v>
      </c>
      <c r="BA12" t="s">
        <v>26</v>
      </c>
      <c r="BB12">
        <f ca="1">SUMIF(PARAMETRES!B$2:B$60, BA12, AF$10:AF$60)</f>
        <v>7</v>
      </c>
      <c r="BC12">
        <f ca="1">SUMIF(PARAMETRES!B$2:B$60, BA12, AG$10:AG$60)</f>
        <v>14</v>
      </c>
      <c r="BD12">
        <f ca="1">IF(BC12&gt;0, BB12/BC12, 0)</f>
        <v>0.5</v>
      </c>
      <c r="BE12">
        <f ca="1">IF(BC12&gt;0, 1-BD12, 0)</f>
        <v>0.5</v>
      </c>
      <c r="BF12">
        <f ca="1">SUMIF(PARAMETRES!B$2:B$60, BA12, AQ$10:AQ$60)</f>
        <v>32</v>
      </c>
      <c r="BG12">
        <f ca="1">SUMIF(PARAMETRES!B$2:B$60, BA12, AR$10:AR$60)</f>
        <v>57</v>
      </c>
      <c r="BH12">
        <f ca="1">IF(BG12&gt;0, BF12/BG12, 0)</f>
        <v>0.56140350877192979</v>
      </c>
      <c r="BI12">
        <f ca="1">IF(BG12&gt;0, 1-BH12, 0)</f>
        <v>0.43859649122807021</v>
      </c>
      <c r="BJ12">
        <f ca="1">SUMIF(PARAMETRES!B$2:B$60, BA12, AK$10:AK$60)/MAX(1,BC12)</f>
        <v>0.42857142857142855</v>
      </c>
      <c r="BK12">
        <f ca="1">SUMIF(PARAMETRES!B$2:B$60, BA12, AL$10:AL$60)/MAX(1,BC12)</f>
        <v>1.2142857142857142</v>
      </c>
      <c r="BL12">
        <f ca="1">SUMIF(PARAMETRES!B$2:B$60, BA12, AM$10:AM$60)/MAX(1,BC12)</f>
        <v>2.9285714285714284</v>
      </c>
      <c r="BM12">
        <f ca="1">SUMIF(PARAMETRES!B$2:B$60, BA12, AV$10:AV$60)/MAX(1,BG12)</f>
        <v>2.3333333333333335</v>
      </c>
      <c r="BN12">
        <f ca="1">SUMIF(PARAMETRES!B$2:B$60, BA12, AW$10:AW$60)/MAX(1,BG12)</f>
        <v>2.1754385964912282</v>
      </c>
      <c r="BO12">
        <f ca="1">SUMIF(PARAMETRES!B$2:B$60, BA12, AX$10:AX$60)/MAX(1,BG12)</f>
        <v>4.0350877192982457</v>
      </c>
      <c r="CA12">
        <v>3</v>
      </c>
      <c r="CB12">
        <f>LARGE(AJ$10:AJ$60, CA12)</f>
        <v>7765992</v>
      </c>
      <c r="CC12" t="str">
        <f>IF(CB12&gt;-1, INDEX(A$10:A$60, MATCH(CB12, AJ$10:AJ$60, 0)), "")</f>
        <v>Bardock</v>
      </c>
      <c r="CD12" t="str">
        <f>IF(CC12&lt;&gt;"", CC12 &amp; " (" &amp; SUMIF(A$10:A$60, CC12, AF$10:AF$60) &amp; "V - " &amp; SUMIF(A$10:A$60, CC12, AI$10:AI$60) &amp; "D)", "")</f>
        <v>Bardock (24V - 7D)</v>
      </c>
      <c r="CE12">
        <f>IF(CC12&lt;&gt;"", SUMIF(A$10:A$60, CC12, AH$10:AH$60), 0)</f>
        <v>0.77419354838709675</v>
      </c>
      <c r="CG12">
        <v>3</v>
      </c>
      <c r="CH12">
        <f>LARGE(AU$10:AU$60, CG12)</f>
        <v>6513063</v>
      </c>
      <c r="CI12" t="str">
        <f>IF(CH12&gt;-1, INDEX(A$10:A$60, MATCH(CH12, AU$10:AU$60, 0)), "")</f>
        <v>Hit</v>
      </c>
      <c r="CJ12" t="str">
        <f>IF(CI12&lt;&gt;"", CI12 &amp; " (" &amp; SUMIF(A$10:A$60, CI12, AQ$10:AQ$60) &amp; "V - " &amp; SUMIF(A$10:A$60, CI12, AT$10:AT$60) &amp; "D)", "")</f>
        <v>Hit (13V - 7D)</v>
      </c>
      <c r="CK12">
        <f>IF(CI12&lt;&gt;"", SUMIF(A$10:A$60, CI12, AS$10:AS$60), 0)</f>
        <v>0.65</v>
      </c>
      <c r="DM12">
        <v>3</v>
      </c>
      <c r="DN12">
        <f>LARGE(AO$10:AO$60, DM12)</f>
        <v>38960.888888888891</v>
      </c>
      <c r="DO12" t="str">
        <f>IF(DN12&gt;-1, INDEX(A$10:A$60, MATCH(DN12, AO$10:AO$60, 0)), "")</f>
        <v>Cooler</v>
      </c>
      <c r="DP12" t="str">
        <f>IF(DO12&lt;&gt;"", DO12 &amp; " (" &amp; TEXT(VLOOKUP(DO12, A$10:AO$60, 40, FALSE), "0.0") &amp; ")", "")</f>
        <v>Cooler (0.4)</v>
      </c>
      <c r="DQ12">
        <f>IF(DO12&lt;&gt;"", VLOOKUP(DO12, A$10:AO$60, 40, FALSE), 0)</f>
        <v>3.8888888888888888</v>
      </c>
      <c r="DS12">
        <v>3</v>
      </c>
      <c r="DT12">
        <f>LARGE(AZ$10:AZ$60, DS12)</f>
        <v>44536.68421052632</v>
      </c>
      <c r="DU12" t="str">
        <f>IF(DT12&gt;-1, INDEX(A$10:A$60, MATCH(DT12, AZ$10:AZ$60, 0)), "")</f>
        <v>Hit</v>
      </c>
      <c r="DV12" t="str">
        <f>IF(DU12&lt;&gt;"", DU12 &amp; " (" &amp; TEXT(VLOOKUP(DU12, A$10:AZ$60, 51, FALSE), "0.0") &amp; ")", "")</f>
        <v>Hit (0.4)</v>
      </c>
      <c r="DW12">
        <f>IF(DU12&lt;&gt;"", VLOOKUP(DU12, A$10:AZ$60, 51, FALSE), 0)</f>
        <v>4.4473684210526319</v>
      </c>
    </row>
    <row r="13" spans="1:127">
      <c r="A13" t="str">
        <f>IF(PARAMETRES!A5="", 0, PARAMETRES!A5)</f>
        <v>Kale</v>
      </c>
      <c r="B13">
        <f>IF(A13=0, 0, COUNTIFS(TableData[Résultat], "VICTOIRE", TableData[Xhelo], A13) + COUNTIFS(TableData[Résultat], "VICTOIRE", TableData[J9], A13))</f>
        <v>7</v>
      </c>
      <c r="C13">
        <f>IF(A13=0, 0, COUNTIF(TableData[Xhelo], A13) + COUNTIF(TableData[J9], A13))</f>
        <v>11</v>
      </c>
      <c r="D13">
        <f>IF(C13&gt;0, B13/C13, 0)</f>
        <v>0.63636363636363635</v>
      </c>
      <c r="E13">
        <f>IF(C13&gt;0, INT(D13*10000000) + (B13*1000) + (100-ROW()), -1)</f>
        <v>6370723</v>
      </c>
      <c r="F13" t="str">
        <f>IF(A13=0, 0, PARAMETRES!B5)</f>
        <v>Attaquant</v>
      </c>
      <c r="G13">
        <v>4</v>
      </c>
      <c r="H13">
        <f>LARGE(E$10:E$60, G13)</f>
        <v>6941148</v>
      </c>
      <c r="I13" t="str">
        <f>IF(H13&gt;-1, INDEX(A$10:A$60, MATCH(H13, E$10:E$60, 0)), "")</f>
        <v>Cooler</v>
      </c>
      <c r="J13" t="str">
        <f>IF(I13&lt;&gt;"", I13 &amp; " (" &amp; SUMIF(A$10:A$60, I13, B$10:B$60) &amp; "V - " &amp; SUMIF(A$10:A$60, I13, L$10:L$60) &amp; "D)", "")</f>
        <v>Cooler (18V - 8D)</v>
      </c>
      <c r="K13">
        <f t="shared" si="0"/>
        <v>0.69230769230769229</v>
      </c>
      <c r="L13">
        <f>C13-B13</f>
        <v>4</v>
      </c>
      <c r="N13" t="str">
        <f>IF(DATA!L5="", "", DATA!L5)</f>
        <v>Buu + Trunks Jeune</v>
      </c>
      <c r="O13">
        <f>IF(N13="", "", IF(COUNTIF(N$10:N13, N13)=1, ROW(), ""))</f>
        <v>13</v>
      </c>
      <c r="P13">
        <f>IFERROR(SMALL(O$10:O$500, 4), "")</f>
        <v>14</v>
      </c>
      <c r="R13" t="str">
        <f>IF(P13="", 0, INDEX(N$10:N$500, P13-9))</f>
        <v>Broly + Gotenks</v>
      </c>
      <c r="S13">
        <f>IF(R13=0, 0, COUNTIFS(TableData[Résultat], "VICTOIRE", TableData[DUO], R13))</f>
        <v>10</v>
      </c>
      <c r="T13">
        <f>IF(R13=0, 0, COUNTIF(TableData[DUO], R13))</f>
        <v>17</v>
      </c>
      <c r="U13">
        <f>IF(T13&gt;0, S13/T13, 0)</f>
        <v>0.58823529411764708</v>
      </c>
      <c r="V13">
        <f>IF(T13&gt;0, INT(U13*10000000) + (S13*1000) + (10000-ROW()), -1)</f>
        <v>5902339</v>
      </c>
      <c r="Y13">
        <f>T13-S13</f>
        <v>7</v>
      </c>
      <c r="Z13">
        <v>4</v>
      </c>
      <c r="AA13">
        <f>LARGE(V$10:V$60, Z13)</f>
        <v>8831969</v>
      </c>
      <c r="AB13" t="str">
        <f>IF(AA13&gt;-1, INDEX(R$10:R$60, MATCH(AA13, V$10:V$60, 0)), "")</f>
        <v>Bardock + Vegito</v>
      </c>
      <c r="AC13" t="str">
        <f>IF(AB13&lt;&gt;"", AB13 &amp; " (" &amp; SUMIF(R$10:R$60, AB13, S$10:S$60) &amp; "V - " &amp; SUMIF(R$10:R$60, AB13, Y$10:Y$60) &amp; "D)", "")</f>
        <v>Bardock + Vegito (22V - 3D)</v>
      </c>
      <c r="AD13">
        <f>IF(AB13&lt;&gt;"", SUMIF(R$10:R$60, AB13, U$10:U$60), 0)</f>
        <v>0.88</v>
      </c>
      <c r="AF13">
        <f>IF(A13=0, 0, COUNTIFS(TableData[Résultat], "VICTOIRE", TableData[Xhelo], A13))</f>
        <v>7</v>
      </c>
      <c r="AG13">
        <f>IF(A13=0, 0, COUNTIF(TableData[Xhelo], A13))</f>
        <v>11</v>
      </c>
      <c r="AH13">
        <f>IF(AG13&gt;0, AF13/AG13, 0)</f>
        <v>0.63636363636363635</v>
      </c>
      <c r="AI13">
        <f>AG13-AF13</f>
        <v>4</v>
      </c>
      <c r="AJ13">
        <f>IF(AG13&gt;0, INT(AH13*10000000) + (AF13*1000) + (100-ROW()), -1)</f>
        <v>6370723</v>
      </c>
      <c r="AK13">
        <f>SUMIF(TableData[Xhelo], A13, TableData[X_K])</f>
        <v>70</v>
      </c>
      <c r="AL13">
        <f>SUMIF(TableData[Xhelo], A13, TableData[X_D])</f>
        <v>33</v>
      </c>
      <c r="AM13">
        <f>SUMIF(TableData[Xhelo], A13, TableData[X_A])</f>
        <v>46</v>
      </c>
      <c r="AN13">
        <f>IF(AG13&gt;0, (AK13+AM13)/MAX(1, AL13), 0)</f>
        <v>3.5151515151515151</v>
      </c>
      <c r="AO13">
        <f>IF(AG13&gt;0, AN13*10000 + (100-ROW()), -1)</f>
        <v>35238.515151515152</v>
      </c>
      <c r="AQ13">
        <f>IF(A13=0, 0, COUNTIFS(TableData[Résultat], "VICTOIRE", TableData[J9], A13))</f>
        <v>0</v>
      </c>
      <c r="AR13">
        <f>IF(A13=0, 0, COUNTIF(TableData[J9], A13))</f>
        <v>0</v>
      </c>
      <c r="AS13">
        <f>IF(AR13&gt;0, AQ13/AR13, 0)</f>
        <v>0</v>
      </c>
      <c r="AT13">
        <f>AR13-AQ13</f>
        <v>0</v>
      </c>
      <c r="AU13">
        <f>IF(AR13&gt;0, INT(AS13*10000000) + (AQ13*1000) + (100-ROW()), -1)</f>
        <v>-1</v>
      </c>
      <c r="AV13">
        <f>SUMIF(TableData[J9], A13, TableData[J_K])</f>
        <v>0</v>
      </c>
      <c r="AW13">
        <f>SUMIF(TableData[J9], A13, TableData[J_D])</f>
        <v>0</v>
      </c>
      <c r="AX13">
        <f>SUMIF(TableData[J9], A13, TableData[J_A])</f>
        <v>0</v>
      </c>
      <c r="AY13">
        <f>IF(AR13&gt;0, (AV13+AX13)/MAX(1, AW13), 0)</f>
        <v>0</v>
      </c>
      <c r="AZ13">
        <f>IF(AR13&gt;0, AY13*10000 + (100-ROW()), -1)</f>
        <v>-1</v>
      </c>
      <c r="CA13">
        <v>4</v>
      </c>
      <c r="CB13">
        <f>LARGE(AJ$10:AJ$60, CA13)</f>
        <v>6670737</v>
      </c>
      <c r="CC13" t="str">
        <f>IF(CB13&gt;-1, INDEX(A$10:A$60, MATCH(CB13, AJ$10:AJ$60, 0)), "")</f>
        <v>Cell</v>
      </c>
      <c r="CD13" t="str">
        <f>IF(CC13&lt;&gt;"", CC13 &amp; " (" &amp; SUMIF(A$10:A$60, CC13, AF$10:AF$60) &amp; "V - " &amp; SUMIF(A$10:A$60, CC13, AI$10:AI$60) &amp; "D)", "")</f>
        <v>Cell (4V - 2D)</v>
      </c>
      <c r="CE13">
        <f>IF(CC13&lt;&gt;"", SUMIF(A$10:A$60, CC13, AH$10:AH$60), 0)</f>
        <v>0.66666666666666663</v>
      </c>
      <c r="CG13">
        <v>4</v>
      </c>
      <c r="CH13">
        <f>LARGE(AU$10:AU$60, CG13)</f>
        <v>6377708</v>
      </c>
      <c r="CI13" t="str">
        <f>IF(CH13&gt;-1, INDEX(A$10:A$60, MATCH(CH13, AU$10:AU$60, 0)), "")</f>
        <v>Cooler</v>
      </c>
      <c r="CJ13" t="str">
        <f>IF(CI13&lt;&gt;"", CI13 &amp; " (" &amp; SUMIF(A$10:A$60, CI13, AQ$10:AQ$60) &amp; "V - " &amp; SUMIF(A$10:A$60, CI13, AT$10:AT$60) &amp; "D)", "")</f>
        <v>Cooler (14V - 8D)</v>
      </c>
      <c r="CK13">
        <f>IF(CI13&lt;&gt;"", SUMIF(A$10:A$60, CI13, AS$10:AS$60), 0)</f>
        <v>0.63636363636363635</v>
      </c>
      <c r="DM13">
        <v>4</v>
      </c>
      <c r="DN13">
        <f>LARGE(AO$10:AO$60, DM13)</f>
        <v>35238.515151515152</v>
      </c>
      <c r="DO13" t="str">
        <f>IF(DN13&gt;-1, INDEX(A$10:A$60, MATCH(DN13, AO$10:AO$60, 0)), "")</f>
        <v>Kale</v>
      </c>
      <c r="DP13" t="str">
        <f>IF(DO13&lt;&gt;"", DO13 &amp; " (" &amp; TEXT(VLOOKUP(DO13, A$10:AO$60, 40, FALSE), "0.0") &amp; ")", "")</f>
        <v>Kale (0.4)</v>
      </c>
      <c r="DQ13">
        <f>IF(DO13&lt;&gt;"", VLOOKUP(DO13, A$10:AO$60, 40, FALSE), 0)</f>
        <v>3.5151515151515151</v>
      </c>
      <c r="DS13">
        <v>4</v>
      </c>
      <c r="DT13">
        <f>LARGE(AZ$10:AZ$60, DS13)</f>
        <v>34160.909090909088</v>
      </c>
      <c r="DU13" t="str">
        <f>IF(DT13&gt;-1, INDEX(A$10:A$60, MATCH(DT13, AZ$10:AZ$60, 0)), "")</f>
        <v>Vegeta 4</v>
      </c>
      <c r="DV13" t="str">
        <f>IF(DU13&lt;&gt;"", DU13 &amp; " (" &amp; TEXT(VLOOKUP(DU13, A$10:AZ$60, 51, FALSE), "0.0") &amp; ")", "")</f>
        <v>Vegeta 4 (0.3)</v>
      </c>
      <c r="DW13">
        <f>IF(DU13&lt;&gt;"", VLOOKUP(DU13, A$10:AZ$60, 51, FALSE), 0)</f>
        <v>3.4090909090909092</v>
      </c>
    </row>
    <row r="14" spans="1:127">
      <c r="A14" t="str">
        <f>IF(PARAMETRES!A6="", 0, PARAMETRES!A6)</f>
        <v>Son Goku Mini</v>
      </c>
      <c r="B14">
        <f>IF(A14=0, 0, COUNTIFS(TableData[Résultat], "VICTOIRE", TableData[Xhelo], A14) + COUNTIFS(TableData[Résultat], "VICTOIRE", TableData[J9], A14))</f>
        <v>0</v>
      </c>
      <c r="C14">
        <f>IF(A14=0, 0, COUNTIF(TableData[Xhelo], A14) + COUNTIF(TableData[J9], A14))</f>
        <v>0</v>
      </c>
      <c r="D14">
        <f>IF(C14&gt;0, B14/C14, 0)</f>
        <v>0</v>
      </c>
      <c r="E14">
        <f>IF(C14&gt;0, INT(D14*10000000) + (B14*1000) + (100-ROW()), -1)</f>
        <v>-1</v>
      </c>
      <c r="F14" t="str">
        <f>IF(A14=0, 0, PARAMETRES!B6)</f>
        <v>Attaquant</v>
      </c>
      <c r="G14">
        <v>5</v>
      </c>
      <c r="H14">
        <f>LARGE(E$10:E$60, G14)</f>
        <v>6932151</v>
      </c>
      <c r="I14" t="str">
        <f>IF(H14&gt;-1, INDEX(A$10:A$60, MATCH(H14, E$10:E$60, 0)), "")</f>
        <v>Zamasu</v>
      </c>
      <c r="J14" t="str">
        <f>IF(I14&lt;&gt;"", I14 &amp; " (" &amp; SUMIF(A$10:A$60, I14, B$10:B$60) &amp; "V - " &amp; SUMIF(A$10:A$60, I14, L$10:L$60) &amp; "D)", "")</f>
        <v>Zamasu (9V - 0,142857142857143D)</v>
      </c>
      <c r="K14">
        <f>IF(I14&lt;&gt;"", SUMIF(A$10:A$60, I14, D$10:D$60), 0)</f>
        <v>0.69230769230769229</v>
      </c>
      <c r="L14">
        <f>C14-B14</f>
        <v>0</v>
      </c>
      <c r="N14" t="str">
        <f>IF(DATA!L6="", "", DATA!L6)</f>
        <v>Broly + Gotenks</v>
      </c>
      <c r="O14">
        <f>IF(N14="", "", IF(COUNTIF(N$10:N14, N14)=1, ROW(), ""))</f>
        <v>14</v>
      </c>
      <c r="P14">
        <f>IFERROR(SMALL(O$10:O$500, 5), "")</f>
        <v>15</v>
      </c>
      <c r="R14" t="str">
        <f>IF(P14="", 0, INDEX(N$10:N$500, P14-9))</f>
        <v>C-18 + Gotenks</v>
      </c>
      <c r="S14">
        <f>IF(R14=0, 0, COUNTIFS(TableData[Résultat], "VICTOIRE", TableData[DUO], R14))</f>
        <v>0</v>
      </c>
      <c r="T14">
        <f>IF(R14=0, 0, COUNTIF(TableData[DUO], R14))</f>
        <v>1</v>
      </c>
      <c r="U14">
        <f>IF(T14&gt;0, S14/T14, 0)</f>
        <v>0</v>
      </c>
      <c r="V14">
        <f>IF(T14&gt;0, INT(U14*10000000) + (S14*1000) + (10000-ROW()), -1)</f>
        <v>9986</v>
      </c>
      <c r="Y14">
        <f>T14-S14</f>
        <v>1</v>
      </c>
      <c r="Z14">
        <v>5</v>
      </c>
      <c r="AA14">
        <f>LARGE(V$10:V$60, Z14)</f>
        <v>7290703</v>
      </c>
      <c r="AB14" t="str">
        <f>IF(AA14&gt;-1, INDEX(R$10:R$60, MATCH(AA14, V$10:V$60, 0)), "")</f>
        <v>Broly + Hit</v>
      </c>
      <c r="AC14" t="str">
        <f>IF(AB14&lt;&gt;"", AB14 &amp; " (" &amp; SUMIF(R$10:R$60, AB14, S$10:S$60) &amp; "V - " &amp; SUMIF(R$10:R$60, AB14, Y$10:Y$60) &amp; "D)", "")</f>
        <v>Broly + Hit (8V - 3D)</v>
      </c>
      <c r="AD14">
        <f>IF(AB14&lt;&gt;"", SUMIF(R$10:R$60, AB14, U$10:U$60), 0)</f>
        <v>0.72727272727272729</v>
      </c>
      <c r="AF14">
        <f>IF(A14=0, 0, COUNTIFS(TableData[Résultat], "VICTOIRE", TableData[Xhelo], A14))</f>
        <v>0</v>
      </c>
      <c r="AG14">
        <f>IF(A14=0, 0, COUNTIF(TableData[Xhelo], A14))</f>
        <v>0</v>
      </c>
      <c r="AH14">
        <f>IF(AG14&gt;0, AF14/AG14, 0)</f>
        <v>0</v>
      </c>
      <c r="AI14">
        <f>AG14-AF14</f>
        <v>0</v>
      </c>
      <c r="AJ14">
        <f>IF(AG14&gt;0, INT(AH14*10000000) + (AF14*1000) + (100-ROW()), -1)</f>
        <v>-1</v>
      </c>
      <c r="AK14">
        <f>SUMIF(TableData[Xhelo], A14, TableData[X_K])</f>
        <v>0</v>
      </c>
      <c r="AL14">
        <f>SUMIF(TableData[Xhelo], A14, TableData[X_D])</f>
        <v>0</v>
      </c>
      <c r="AM14">
        <f>SUMIF(TableData[Xhelo], A14, TableData[X_A])</f>
        <v>0</v>
      </c>
      <c r="AN14">
        <f>IF(AG14&gt;0, (AK14+AM14)/MAX(1, AL14), 0)</f>
        <v>0</v>
      </c>
      <c r="AO14">
        <f>IF(AG14&gt;0, AN14*10000 + (100-ROW()), -1)</f>
        <v>-1</v>
      </c>
      <c r="AQ14">
        <f>IF(A14=0, 0, COUNTIFS(TableData[Résultat], "VICTOIRE", TableData[J9], A14))</f>
        <v>0</v>
      </c>
      <c r="AR14">
        <f>IF(A14=0, 0, COUNTIF(TableData[J9], A14))</f>
        <v>0</v>
      </c>
      <c r="AS14">
        <f>IF(AR14&gt;0, AQ14/AR14, 0)</f>
        <v>0</v>
      </c>
      <c r="AT14">
        <f>AR14-AQ14</f>
        <v>0</v>
      </c>
      <c r="AU14">
        <f>IF(AR14&gt;0, INT(AS14*10000000) + (AQ14*1000) + (100-ROW()), -1)</f>
        <v>-1</v>
      </c>
      <c r="AV14">
        <f>SUMIF(TableData[J9], A14, TableData[J_K])</f>
        <v>0</v>
      </c>
      <c r="AW14">
        <f>SUMIF(TableData[J9], A14, TableData[J_D])</f>
        <v>0</v>
      </c>
      <c r="AX14">
        <f>SUMIF(TableData[J9], A14, TableData[J_A])</f>
        <v>0</v>
      </c>
      <c r="AY14">
        <f>IF(AR14&gt;0, (AV14+AX14)/MAX(1, AW14), 0)</f>
        <v>0</v>
      </c>
      <c r="AZ14">
        <f>IF(AR14&gt;0, AY14*10000 + (100-ROW()), -1)</f>
        <v>-1</v>
      </c>
      <c r="CA14">
        <v>5</v>
      </c>
      <c r="CB14">
        <f>LARGE(AJ$10:AJ$60, CA14)</f>
        <v>6370723</v>
      </c>
      <c r="CC14" t="str">
        <f>IF(CB14&gt;-1, INDEX(A$10:A$60, MATCH(CB14, AJ$10:AJ$60, 0)), "")</f>
        <v>Kale</v>
      </c>
      <c r="CD14" t="str">
        <f>IF(CC14&lt;&gt;"", CC14 &amp; " (" &amp; SUMIF(A$10:A$60, CC14, AF$10:AF$60) &amp; "V - " &amp; SUMIF(A$10:A$60, CC14, AI$10:AI$60) &amp; "D)", "")</f>
        <v>Kale (7V - 4D)</v>
      </c>
      <c r="CE14">
        <f>IF(CC14&lt;&gt;"", SUMIF(A$10:A$60, CC14, AH$10:AH$60), 0)</f>
        <v>0.63636363636363635</v>
      </c>
      <c r="CG14">
        <v>5</v>
      </c>
      <c r="CH14">
        <f>LARGE(AU$10:AU$60, CG14)</f>
        <v>5734364</v>
      </c>
      <c r="CI14" t="str">
        <f>IF(CH14&gt;-1, INDEX(A$10:A$60, MATCH(CH14, AU$10:AU$60, 0)), "")</f>
        <v>Trunks Jeune</v>
      </c>
      <c r="CJ14" t="str">
        <f>IF(CI14&lt;&gt;"", CI14 &amp; " (" &amp; SUMIF(A$10:A$60, CI14, AQ$10:AQ$60) &amp; "V - " &amp; SUMIF(A$10:A$60, CI14, AT$10:AT$60) &amp; "D)", "")</f>
        <v>Trunks Jeune (20V - 15D)</v>
      </c>
      <c r="CK14">
        <f>IF(CI14&lt;&gt;"", SUMIF(A$10:A$60, CI14, AS$10:AS$60), 0)</f>
        <v>0.5714285714285714</v>
      </c>
      <c r="DM14">
        <v>5</v>
      </c>
      <c r="DN14">
        <f>LARGE(AO$10:AO$60, DM14)</f>
        <v>30658.235294117643</v>
      </c>
      <c r="DO14" t="str">
        <f>IF(DN14&gt;-1, INDEX(A$10:A$60, MATCH(DN14, AO$10:AO$60, 0)), "")</f>
        <v>Vegeta 4</v>
      </c>
      <c r="DP14" t="str">
        <f>IF(DO14&lt;&gt;"", DO14 &amp; " (" &amp; TEXT(VLOOKUP(DO14, A$10:AO$60, 40, FALSE), "0.0") &amp; ")", "")</f>
        <v>Vegeta 4 (0.3)</v>
      </c>
      <c r="DQ14">
        <f>IF(DO14&lt;&gt;"", VLOOKUP(DO14, A$10:AO$60, 40, FALSE), 0)</f>
        <v>3.0588235294117645</v>
      </c>
      <c r="DS14">
        <v>5</v>
      </c>
      <c r="DT14">
        <f>LARGE(AZ$10:AZ$60, DS14)</f>
        <v>33675</v>
      </c>
      <c r="DU14" t="str">
        <f>IF(DT14&gt;-1, INDEX(A$10:A$60, MATCH(DT14, AZ$10:AZ$60, 0)), "")</f>
        <v>Zamasu</v>
      </c>
      <c r="DV14" t="str">
        <f>IF(DU14&lt;&gt;"", DU14 &amp; " (" &amp; TEXT(VLOOKUP(DU14, A$10:AZ$60, 51, FALSE), "0.0") &amp; ")", "")</f>
        <v>Zamasu (0.3)</v>
      </c>
      <c r="DW14">
        <f>IF(DU14&lt;&gt;"", VLOOKUP(DU14, A$10:AZ$60, 51, FALSE), 0)</f>
        <v>3.36</v>
      </c>
    </row>
    <row r="15" spans="1:127">
      <c r="A15" t="str">
        <f>IF(PARAMETRES!A7="", 0, PARAMETRES!A7)</f>
        <v>Bojack</v>
      </c>
      <c r="B15">
        <f>IF(A15=0, 0, COUNTIFS(TableData[Résultat], "VICTOIRE", TableData[Xhelo], A15) + COUNTIFS(TableData[Résultat], "VICTOIRE", TableData[J9], A15))</f>
        <v>0</v>
      </c>
      <c r="C15">
        <f>IF(A15=0, 0, COUNTIF(TableData[Xhelo], A15) + COUNTIF(TableData[J9], A15))</f>
        <v>0</v>
      </c>
      <c r="D15">
        <f>IF(C15&gt;0, B15/C15, 0)</f>
        <v>0</v>
      </c>
      <c r="E15">
        <f>IF(C15&gt;0, INT(D15*10000000) + (B15*1000) + (100-ROW()), -1)</f>
        <v>-1</v>
      </c>
      <c r="F15" t="str">
        <f>IF(A15=0, 0, PARAMETRES!B7)</f>
        <v>Attaquant</v>
      </c>
      <c r="L15">
        <f>C15-B15</f>
        <v>0</v>
      </c>
      <c r="N15" t="str">
        <f>IF(DATA!L7="", "", DATA!L7)</f>
        <v>C-18 + Gotenks</v>
      </c>
      <c r="O15">
        <f>IF(N15="", "", IF(COUNTIF(N$10:N15, N15)=1, ROW(), ""))</f>
        <v>15</v>
      </c>
      <c r="P15">
        <f>IFERROR(SMALL(O$10:O$500, 6), "")</f>
        <v>17</v>
      </c>
      <c r="R15" t="str">
        <f>IF(P15="", 0, INDEX(N$10:N$500, P15-9))</f>
        <v>Vegeta 4 + Trunks Jeune</v>
      </c>
      <c r="S15">
        <f>IF(R15=0, 0, COUNTIFS(TableData[Résultat], "VICTOIRE", TableData[DUO], R15))</f>
        <v>1</v>
      </c>
      <c r="T15">
        <f>IF(R15=0, 0, COUNTIF(TableData[DUO], R15))</f>
        <v>2</v>
      </c>
      <c r="U15">
        <f>IF(T15&gt;0, S15/T15, 0)</f>
        <v>0.5</v>
      </c>
      <c r="V15">
        <f>IF(T15&gt;0, INT(U15*10000000) + (S15*1000) + (10000-ROW()), -1)</f>
        <v>5010985</v>
      </c>
      <c r="Y15">
        <f>T15-S15</f>
        <v>1</v>
      </c>
      <c r="AF15">
        <f>IF(A15=0, 0, COUNTIFS(TableData[Résultat], "VICTOIRE", TableData[Xhelo], A15))</f>
        <v>0</v>
      </c>
      <c r="AG15">
        <f>IF(A15=0, 0, COUNTIF(TableData[Xhelo], A15))</f>
        <v>0</v>
      </c>
      <c r="AH15">
        <f>IF(AG15&gt;0, AF15/AG15, 0)</f>
        <v>0</v>
      </c>
      <c r="AI15">
        <f>AG15-AF15</f>
        <v>0</v>
      </c>
      <c r="AJ15">
        <f>IF(AG15&gt;0, INT(AH15*10000000) + (AF15*1000) + (100-ROW()), -1)</f>
        <v>-1</v>
      </c>
      <c r="AK15">
        <f>SUMIF(TableData[Xhelo], A15, TableData[X_K])</f>
        <v>0</v>
      </c>
      <c r="AL15">
        <f>SUMIF(TableData[Xhelo], A15, TableData[X_D])</f>
        <v>0</v>
      </c>
      <c r="AM15">
        <f>SUMIF(TableData[Xhelo], A15, TableData[X_A])</f>
        <v>0</v>
      </c>
      <c r="AN15">
        <f>IF(AG15&gt;0, (AK15+AM15)/MAX(1, AL15), 0)</f>
        <v>0</v>
      </c>
      <c r="AO15">
        <f>IF(AG15&gt;0, AN15*10000 + (100-ROW()), -1)</f>
        <v>-1</v>
      </c>
      <c r="AQ15">
        <f>IF(A15=0, 0, COUNTIFS(TableData[Résultat], "VICTOIRE", TableData[J9], A15))</f>
        <v>0</v>
      </c>
      <c r="AR15">
        <f>IF(A15=0, 0, COUNTIF(TableData[J9], A15))</f>
        <v>0</v>
      </c>
      <c r="AS15">
        <f>IF(AR15&gt;0, AQ15/AR15, 0)</f>
        <v>0</v>
      </c>
      <c r="AT15">
        <f>AR15-AQ15</f>
        <v>0</v>
      </c>
      <c r="AU15">
        <f>IF(AR15&gt;0, INT(AS15*10000000) + (AQ15*1000) + (100-ROW()), -1)</f>
        <v>-1</v>
      </c>
      <c r="AV15">
        <f>SUMIF(TableData[J9], A15, TableData[J_K])</f>
        <v>0</v>
      </c>
      <c r="AW15">
        <f>SUMIF(TableData[J9], A15, TableData[J_D])</f>
        <v>0</v>
      </c>
      <c r="AX15">
        <f>SUMIF(TableData[J9], A15, TableData[J_A])</f>
        <v>0</v>
      </c>
      <c r="AY15">
        <f>IF(AR15&gt;0, (AV15+AX15)/MAX(1, AW15), 0)</f>
        <v>0</v>
      </c>
      <c r="AZ15">
        <f>IF(AR15&gt;0, AY15*10000 + (100-ROW()), -1)</f>
        <v>-1</v>
      </c>
    </row>
    <row r="16" spans="1:127">
      <c r="A16" t="str">
        <f>IF(PARAMETRES!A8="", 0, PARAMETRES!A8)</f>
        <v>Gamma 1 et 2</v>
      </c>
      <c r="B16">
        <f>IF(A16=0, 0, COUNTIFS(TableData[Résultat], "VICTOIRE", TableData[Xhelo], A16) + COUNTIFS(TableData[Résultat], "VICTOIRE", TableData[J9], A16))</f>
        <v>0</v>
      </c>
      <c r="C16">
        <f>IF(A16=0, 0, COUNTIF(TableData[Xhelo], A16) + COUNTIF(TableData[J9], A16))</f>
        <v>0</v>
      </c>
      <c r="D16">
        <f>IF(C16&gt;0, B16/C16, 0)</f>
        <v>0</v>
      </c>
      <c r="E16">
        <f>IF(C16&gt;0, INT(D16*10000000) + (B16*1000) + (100-ROW()), -1)</f>
        <v>-1</v>
      </c>
      <c r="F16" t="str">
        <f>IF(A16=0, 0, PARAMETRES!B8)</f>
        <v>Attaquant</v>
      </c>
      <c r="L16">
        <f>C16-B16</f>
        <v>0</v>
      </c>
      <c r="N16" t="str">
        <f>IF(DATA!L8="", "", DATA!L8)</f>
        <v>Buu + Trunks Jeune</v>
      </c>
      <c r="O16" t="str">
        <f>IF(N16="", "", IF(COUNTIF(N$10:N16, N16)=1, ROW(), ""))</f>
        <v/>
      </c>
      <c r="P16">
        <f>IFERROR(SMALL(O$10:O$500, 7), "")</f>
        <v>28</v>
      </c>
      <c r="R16" t="str">
        <f>IF(P16="", 0, INDEX(N$10:N$500, P16-9))</f>
        <v>Buu + Cooler</v>
      </c>
      <c r="S16">
        <f>IF(R16=0, 0, COUNTIFS(TableData[Résultat], "VICTOIRE", TableData[DUO], R16))</f>
        <v>1</v>
      </c>
      <c r="T16">
        <f>IF(R16=0, 0, COUNTIF(TableData[DUO], R16))</f>
        <v>4</v>
      </c>
      <c r="U16">
        <f>IF(T16&gt;0, S16/T16, 0)</f>
        <v>0.25</v>
      </c>
      <c r="V16">
        <f>IF(T16&gt;0, INT(U16*10000000) + (S16*1000) + (10000-ROW()), -1)</f>
        <v>2510984</v>
      </c>
      <c r="Y16">
        <f>T16-S16</f>
        <v>3</v>
      </c>
      <c r="AF16">
        <f>IF(A16=0, 0, COUNTIFS(TableData[Résultat], "VICTOIRE", TableData[Xhelo], A16))</f>
        <v>0</v>
      </c>
      <c r="AG16">
        <f>IF(A16=0, 0, COUNTIF(TableData[Xhelo], A16))</f>
        <v>0</v>
      </c>
      <c r="AH16">
        <f>IF(AG16&gt;0, AF16/AG16, 0)</f>
        <v>0</v>
      </c>
      <c r="AI16">
        <f>AG16-AF16</f>
        <v>0</v>
      </c>
      <c r="AJ16">
        <f>IF(AG16&gt;0, INT(AH16*10000000) + (AF16*1000) + (100-ROW()), -1)</f>
        <v>-1</v>
      </c>
      <c r="AK16">
        <f>SUMIF(TableData[Xhelo], A16, TableData[X_K])</f>
        <v>0</v>
      </c>
      <c r="AL16">
        <f>SUMIF(TableData[Xhelo], A16, TableData[X_D])</f>
        <v>0</v>
      </c>
      <c r="AM16">
        <f>SUMIF(TableData[Xhelo], A16, TableData[X_A])</f>
        <v>0</v>
      </c>
      <c r="AN16">
        <f>IF(AG16&gt;0, (AK16+AM16)/MAX(1, AL16), 0)</f>
        <v>0</v>
      </c>
      <c r="AO16">
        <f>IF(AG16&gt;0, AN16*10000 + (100-ROW()), -1)</f>
        <v>-1</v>
      </c>
      <c r="AQ16">
        <f>IF(A16=0, 0, COUNTIFS(TableData[Résultat], "VICTOIRE", TableData[J9], A16))</f>
        <v>0</v>
      </c>
      <c r="AR16">
        <f>IF(A16=0, 0, COUNTIF(TableData[J9], A16))</f>
        <v>0</v>
      </c>
      <c r="AS16">
        <f>IF(AR16&gt;0, AQ16/AR16, 0)</f>
        <v>0</v>
      </c>
      <c r="AT16">
        <f>AR16-AQ16</f>
        <v>0</v>
      </c>
      <c r="AU16">
        <f>IF(AR16&gt;0, INT(AS16*10000000) + (AQ16*1000) + (100-ROW()), -1)</f>
        <v>-1</v>
      </c>
      <c r="AV16">
        <f>SUMIF(TableData[J9], A16, TableData[J_K])</f>
        <v>0</v>
      </c>
      <c r="AW16">
        <f>SUMIF(TableData[J9], A16, TableData[J_D])</f>
        <v>0</v>
      </c>
      <c r="AX16">
        <f>SUMIF(TableData[J9], A16, TableData[J_A])</f>
        <v>0</v>
      </c>
      <c r="AY16">
        <f>IF(AR16&gt;0, (AV16+AX16)/MAX(1, AW16), 0)</f>
        <v>0</v>
      </c>
      <c r="AZ16">
        <f>IF(AR16&gt;0, AY16*10000 + (100-ROW()), -1)</f>
        <v>-1</v>
      </c>
    </row>
    <row r="17" spans="1:127">
      <c r="A17" t="str">
        <f>IF(PARAMETRES!A9="", 0, PARAMETRES!A9)</f>
        <v>C-18</v>
      </c>
      <c r="B17">
        <f>IF(A17=0, 0, COUNTIFS(TableData[Résultat], "VICTOIRE", TableData[Xhelo], A17) + COUNTIFS(TableData[Résultat], "VICTOIRE", TableData[J9], A17))</f>
        <v>0</v>
      </c>
      <c r="C17">
        <f>IF(A17=0, 0, COUNTIF(TableData[Xhelo], A17) + COUNTIF(TableData[J9], A17))</f>
        <v>1</v>
      </c>
      <c r="D17">
        <f>IF(C17&gt;0, B17/C17, 0)</f>
        <v>0</v>
      </c>
      <c r="E17">
        <f>IF(C17&gt;0, INT(D17*10000000) + (B17*1000) + (100-ROW()), -1)</f>
        <v>83</v>
      </c>
      <c r="F17" t="str">
        <f>IF(A17=0, 0, PARAMETRES!B9)</f>
        <v>Attaquant</v>
      </c>
      <c r="L17">
        <f>C17-B17</f>
        <v>1</v>
      </c>
      <c r="N17" t="str">
        <f>IF(DATA!L9="", "", DATA!L9)</f>
        <v>Vegeta 4 + Trunks Jeune</v>
      </c>
      <c r="O17">
        <f>IF(N17="", "", IF(COUNTIF(N$10:N17, N17)=1, ROW(), ""))</f>
        <v>17</v>
      </c>
      <c r="P17">
        <f>IFERROR(SMALL(O$10:O$500, 8), "")</f>
        <v>39</v>
      </c>
      <c r="R17" t="str">
        <f>IF(P17="", 0, INDEX(N$10:N$500, P17-9))</f>
        <v>Cell + Trunks Jeune</v>
      </c>
      <c r="S17">
        <f>IF(R17=0, 0, COUNTIFS(TableData[Résultat], "VICTOIRE", TableData[DUO], R17))</f>
        <v>4</v>
      </c>
      <c r="T17">
        <f>IF(R17=0, 0, COUNTIF(TableData[DUO], R17))</f>
        <v>6</v>
      </c>
      <c r="U17">
        <f>IF(T17&gt;0, S17/T17, 0)</f>
        <v>0.66666666666666663</v>
      </c>
      <c r="V17">
        <f>IF(T17&gt;0, INT(U17*10000000) + (S17*1000) + (10000-ROW()), -1)</f>
        <v>6680649</v>
      </c>
      <c r="Y17">
        <f>T17-S17</f>
        <v>2</v>
      </c>
      <c r="AF17">
        <f>IF(A17=0, 0, COUNTIFS(TableData[Résultat], "VICTOIRE", TableData[Xhelo], A17))</f>
        <v>0</v>
      </c>
      <c r="AG17">
        <f>IF(A17=0, 0, COUNTIF(TableData[Xhelo], A17))</f>
        <v>1</v>
      </c>
      <c r="AH17">
        <f>IF(AG17&gt;0, AF17/AG17, 0)</f>
        <v>0</v>
      </c>
      <c r="AI17">
        <f>AG17-AF17</f>
        <v>1</v>
      </c>
      <c r="AJ17">
        <f>IF(AG17&gt;0, INT(AH17*10000000) + (AF17*1000) + (100-ROW()), -1)</f>
        <v>83</v>
      </c>
      <c r="AK17">
        <f>SUMIF(TableData[Xhelo], A17, TableData[X_K])</f>
        <v>4</v>
      </c>
      <c r="AL17">
        <f>SUMIF(TableData[Xhelo], A17, TableData[X_D])</f>
        <v>8</v>
      </c>
      <c r="AM17">
        <f>SUMIF(TableData[Xhelo], A17, TableData[X_A])</f>
        <v>3</v>
      </c>
      <c r="AN17">
        <f>IF(AG17&gt;0, (AK17+AM17)/MAX(1, AL17), 0)</f>
        <v>0.875</v>
      </c>
      <c r="AO17">
        <f>IF(AG17&gt;0, AN17*10000 + (100-ROW()), -1)</f>
        <v>8833</v>
      </c>
      <c r="AQ17">
        <f>IF(A17=0, 0, COUNTIFS(TableData[Résultat], "VICTOIRE", TableData[J9], A17))</f>
        <v>0</v>
      </c>
      <c r="AR17">
        <f>IF(A17=0, 0, COUNTIF(TableData[J9], A17))</f>
        <v>0</v>
      </c>
      <c r="AS17">
        <f>IF(AR17&gt;0, AQ17/AR17, 0)</f>
        <v>0</v>
      </c>
      <c r="AT17">
        <f>AR17-AQ17</f>
        <v>0</v>
      </c>
      <c r="AU17">
        <f>IF(AR17&gt;0, INT(AS17*10000000) + (AQ17*1000) + (100-ROW()), -1)</f>
        <v>-1</v>
      </c>
      <c r="AV17">
        <f>SUMIF(TableData[J9], A17, TableData[J_K])</f>
        <v>0</v>
      </c>
      <c r="AW17">
        <f>SUMIF(TableData[J9], A17, TableData[J_D])</f>
        <v>0</v>
      </c>
      <c r="AX17">
        <f>SUMIF(TableData[J9], A17, TableData[J_A])</f>
        <v>0</v>
      </c>
      <c r="AY17">
        <f>IF(AR17&gt;0, (AV17+AX17)/MAX(1, AW17), 0)</f>
        <v>0</v>
      </c>
      <c r="AZ17">
        <f>IF(AR17&gt;0, AY17*10000 + (100-ROW()), -1)</f>
        <v>-1</v>
      </c>
    </row>
    <row r="18" spans="1:127">
      <c r="A18" t="str">
        <f>IF(PARAMETRES!A10="", 0, PARAMETRES!A10)</f>
        <v>Son Goku Sayen 3</v>
      </c>
      <c r="B18">
        <f>IF(A18=0, 0, COUNTIFS(TableData[Résultat], "VICTOIRE", TableData[Xhelo], A18) + COUNTIFS(TableData[Résultat], "VICTOIRE", TableData[J9], A18))</f>
        <v>0</v>
      </c>
      <c r="C18">
        <f>IF(A18=0, 0, COUNTIF(TableData[Xhelo], A18) + COUNTIF(TableData[J9], A18))</f>
        <v>0</v>
      </c>
      <c r="D18">
        <f>IF(C18&gt;0, B18/C18, 0)</f>
        <v>0</v>
      </c>
      <c r="E18">
        <f>IF(C18&gt;0, INT(D18*10000000) + (B18*1000) + (100-ROW()), -1)</f>
        <v>-1</v>
      </c>
      <c r="F18" t="str">
        <f>IF(A18=0, 0, PARAMETRES!B10)</f>
        <v>Attaquant</v>
      </c>
      <c r="L18">
        <f>C18-B18</f>
        <v>0</v>
      </c>
      <c r="N18" t="str">
        <f>IF(DATA!L10="", "", DATA!L10)</f>
        <v>Broly + Cooler</v>
      </c>
      <c r="O18" t="str">
        <f>IF(N18="", "", IF(COUNTIF(N$10:N18, N18)=1, ROW(), ""))</f>
        <v/>
      </c>
      <c r="P18">
        <f>IFERROR(SMALL(O$10:O$500, 9), "")</f>
        <v>47</v>
      </c>
      <c r="R18" t="str">
        <f>IF(P18="", 0, INDEX(N$10:N$500, P18-9))</f>
        <v>Son Goku Super Sayen + Cooler</v>
      </c>
      <c r="S18">
        <f>IF(R18=0, 0, COUNTIFS(TableData[Résultat], "VICTOIRE", TableData[DUO], R18))</f>
        <v>5</v>
      </c>
      <c r="T18">
        <f>IF(R18=0, 0, COUNTIF(TableData[DUO], R18))</f>
        <v>5</v>
      </c>
      <c r="U18">
        <f>IF(T18&gt;0, S18/T18, 0)</f>
        <v>1</v>
      </c>
      <c r="V18">
        <f>IF(T18&gt;0, INT(U18*10000000) + (S18*1000) + (10000-ROW()), -1)</f>
        <v>10014982</v>
      </c>
      <c r="Y18">
        <f>T18-S18</f>
        <v>0</v>
      </c>
      <c r="AF18">
        <f>IF(A18=0, 0, COUNTIFS(TableData[Résultat], "VICTOIRE", TableData[Xhelo], A18))</f>
        <v>0</v>
      </c>
      <c r="AG18">
        <f>IF(A18=0, 0, COUNTIF(TableData[Xhelo], A18))</f>
        <v>0</v>
      </c>
      <c r="AH18">
        <f>IF(AG18&gt;0, AF18/AG18, 0)</f>
        <v>0</v>
      </c>
      <c r="AI18">
        <f>AG18-AF18</f>
        <v>0</v>
      </c>
      <c r="AJ18">
        <f>IF(AG18&gt;0, INT(AH18*10000000) + (AF18*1000) + (100-ROW()), -1)</f>
        <v>-1</v>
      </c>
      <c r="AK18">
        <f>SUMIF(TableData[Xhelo], A18, TableData[X_K])</f>
        <v>0</v>
      </c>
      <c r="AL18">
        <f>SUMIF(TableData[Xhelo], A18, TableData[X_D])</f>
        <v>0</v>
      </c>
      <c r="AM18">
        <f>SUMIF(TableData[Xhelo], A18, TableData[X_A])</f>
        <v>0</v>
      </c>
      <c r="AN18">
        <f>IF(AG18&gt;0, (AK18+AM18)/MAX(1, AL18), 0)</f>
        <v>0</v>
      </c>
      <c r="AO18">
        <f>IF(AG18&gt;0, AN18*10000 + (100-ROW()), -1)</f>
        <v>-1</v>
      </c>
      <c r="AQ18">
        <f>IF(A18=0, 0, COUNTIFS(TableData[Résultat], "VICTOIRE", TableData[J9], A18))</f>
        <v>0</v>
      </c>
      <c r="AR18">
        <f>IF(A18=0, 0, COUNTIF(TableData[J9], A18))</f>
        <v>0</v>
      </c>
      <c r="AS18">
        <f>IF(AR18&gt;0, AQ18/AR18, 0)</f>
        <v>0</v>
      </c>
      <c r="AT18">
        <f>AR18-AQ18</f>
        <v>0</v>
      </c>
      <c r="AU18">
        <f>IF(AR18&gt;0, INT(AS18*10000000) + (AQ18*1000) + (100-ROW()), -1)</f>
        <v>-1</v>
      </c>
      <c r="AV18">
        <f>SUMIF(TableData[J9], A18, TableData[J_K])</f>
        <v>0</v>
      </c>
      <c r="AW18">
        <f>SUMIF(TableData[J9], A18, TableData[J_D])</f>
        <v>0</v>
      </c>
      <c r="AX18">
        <f>SUMIF(TableData[J9], A18, TableData[J_A])</f>
        <v>0</v>
      </c>
      <c r="AY18">
        <f>IF(AR18&gt;0, (AV18+AX18)/MAX(1, AW18), 0)</f>
        <v>0</v>
      </c>
      <c r="AZ18">
        <f>IF(AR18&gt;0, AY18*10000 + (100-ROW()), -1)</f>
        <v>-1</v>
      </c>
    </row>
    <row r="19" spans="1:127">
      <c r="A19" t="str">
        <f>IF(PARAMETRES!A11="", 0, PARAMETRES!A11)</f>
        <v>Broly</v>
      </c>
      <c r="B19">
        <f>IF(A19=0, 0, COUNTIFS(TableData[Résultat], "VICTOIRE", TableData[Xhelo], A19) + COUNTIFS(TableData[Résultat], "VICTOIRE", TableData[J9], A19))</f>
        <v>48</v>
      </c>
      <c r="C19">
        <f>IF(A19=0, 0, COUNTIF(TableData[Xhelo], A19) + COUNTIF(TableData[J9], A19))</f>
        <v>83</v>
      </c>
      <c r="D19">
        <f>IF(C19&gt;0, B19/C19, 0)</f>
        <v>0.57831325301204817</v>
      </c>
      <c r="E19">
        <f>IF(C19&gt;0, INT(D19*10000000) + (B19*1000) + (100-ROW()), -1)</f>
        <v>5831213</v>
      </c>
      <c r="F19" t="str">
        <f>IF(A19=0, 0, PARAMETRES!B11)</f>
        <v>Attaquant</v>
      </c>
      <c r="L19">
        <f>C19-B19</f>
        <v>35</v>
      </c>
      <c r="N19" t="str">
        <f>IF(DATA!L11="", "", DATA!L11)</f>
        <v>Broly + Gotenks</v>
      </c>
      <c r="O19" t="str">
        <f>IF(N19="", "", IF(COUNTIF(N$10:N19, N19)=1, ROW(), ""))</f>
        <v/>
      </c>
      <c r="P19">
        <f>IFERROR(SMALL(O$10:O$500, 10), "")</f>
        <v>50</v>
      </c>
      <c r="R19" t="str">
        <f>IF(P19="", 0, INDEX(N$10:N$500, P19-9))</f>
        <v>Gotenks + Broly</v>
      </c>
      <c r="S19">
        <f>IF(R19=0, 0, COUNTIFS(TableData[Résultat], "VICTOIRE", TableData[DUO], R19))</f>
        <v>0</v>
      </c>
      <c r="T19">
        <f>IF(R19=0, 0, COUNTIF(TableData[DUO], R19))</f>
        <v>1</v>
      </c>
      <c r="U19">
        <f>IF(T19&gt;0, S19/T19, 0)</f>
        <v>0</v>
      </c>
      <c r="V19">
        <f>IF(T19&gt;0, INT(U19*10000000) + (S19*1000) + (10000-ROW()), -1)</f>
        <v>9981</v>
      </c>
      <c r="Y19">
        <f>T19-S19</f>
        <v>1</v>
      </c>
      <c r="AF19">
        <f>IF(A19=0, 0, COUNTIFS(TableData[Résultat], "VICTOIRE", TableData[Xhelo], A19))</f>
        <v>48</v>
      </c>
      <c r="AG19">
        <f>IF(A19=0, 0, COUNTIF(TableData[Xhelo], A19))</f>
        <v>83</v>
      </c>
      <c r="AH19">
        <f>IF(AG19&gt;0, AF19/AG19, 0)</f>
        <v>0.57831325301204817</v>
      </c>
      <c r="AI19">
        <f>AG19-AF19</f>
        <v>35</v>
      </c>
      <c r="AJ19">
        <f>IF(AG19&gt;0, INT(AH19*10000000) + (AF19*1000) + (100-ROW()), -1)</f>
        <v>5831213</v>
      </c>
      <c r="AK19">
        <f>SUMIF(TableData[Xhelo], A19, TableData[X_K])</f>
        <v>337</v>
      </c>
      <c r="AL19">
        <f>SUMIF(TableData[Xhelo], A19, TableData[X_D])</f>
        <v>275</v>
      </c>
      <c r="AM19">
        <f>SUMIF(TableData[Xhelo], A19, TableData[X_A])</f>
        <v>335</v>
      </c>
      <c r="AN19">
        <f>IF(AG19&gt;0, (AK19+AM19)/MAX(1, AL19), 0)</f>
        <v>2.4436363636363638</v>
      </c>
      <c r="AO19">
        <f>IF(AG19&gt;0, AN19*10000 + (100-ROW()), -1)</f>
        <v>24517.36363636364</v>
      </c>
      <c r="AQ19">
        <f>IF(A19=0, 0, COUNTIFS(TableData[Résultat], "VICTOIRE", TableData[J9], A19))</f>
        <v>0</v>
      </c>
      <c r="AR19">
        <f>IF(A19=0, 0, COUNTIF(TableData[J9], A19))</f>
        <v>0</v>
      </c>
      <c r="AS19">
        <f>IF(AR19&gt;0, AQ19/AR19, 0)</f>
        <v>0</v>
      </c>
      <c r="AT19">
        <f>AR19-AQ19</f>
        <v>0</v>
      </c>
      <c r="AU19">
        <f>IF(AR19&gt;0, INT(AS19*10000000) + (AQ19*1000) + (100-ROW()), -1)</f>
        <v>-1</v>
      </c>
      <c r="AV19">
        <f>SUMIF(TableData[J9], A19, TableData[J_K])</f>
        <v>0</v>
      </c>
      <c r="AW19">
        <f>SUMIF(TableData[J9], A19, TableData[J_D])</f>
        <v>0</v>
      </c>
      <c r="AX19">
        <f>SUMIF(TableData[J9], A19, TableData[J_A])</f>
        <v>0</v>
      </c>
      <c r="AY19">
        <f>IF(AR19&gt;0, (AV19+AX19)/MAX(1, AW19), 0)</f>
        <v>0</v>
      </c>
      <c r="AZ19">
        <f>IF(AR19&gt;0, AY19*10000 + (100-ROW()), -1)</f>
        <v>-1</v>
      </c>
    </row>
    <row r="20" spans="1:127">
      <c r="A20" t="str">
        <f>IF(PARAMETRES!A12="", 0, PARAMETRES!A12)</f>
        <v>Super Uub</v>
      </c>
      <c r="B20">
        <f>IF(A20=0, 0, COUNTIFS(TableData[Résultat], "VICTOIRE", TableData[Xhelo], A20) + COUNTIFS(TableData[Résultat], "VICTOIRE", TableData[J9], A20))</f>
        <v>0</v>
      </c>
      <c r="C20">
        <f>IF(A20=0, 0, COUNTIF(TableData[Xhelo], A20) + COUNTIF(TableData[J9], A20))</f>
        <v>0</v>
      </c>
      <c r="D20">
        <f>IF(C20&gt;0, B20/C20, 0)</f>
        <v>0</v>
      </c>
      <c r="E20">
        <f>IF(C20&gt;0, INT(D20*10000000) + (B20*1000) + (100-ROW()), -1)</f>
        <v>-1</v>
      </c>
      <c r="F20" t="str">
        <f>IF(A20=0, 0, PARAMETRES!B12)</f>
        <v>Attaquant</v>
      </c>
      <c r="L20">
        <f>C20-B20</f>
        <v>0</v>
      </c>
      <c r="N20" t="str">
        <f>IF(DATA!L12="", "", DATA!L12)</f>
        <v>Buu + Trunks Jeune</v>
      </c>
      <c r="O20" t="str">
        <f>IF(N20="", "", IF(COUNTIF(N$10:N20, N20)=1, ROW(), ""))</f>
        <v/>
      </c>
      <c r="P20">
        <f>IFERROR(SMALL(O$10:O$500, 11), "")</f>
        <v>52</v>
      </c>
      <c r="R20" t="str">
        <f>IF(P20="", 0, INDEX(N$10:N$500, P20-9))</f>
        <v>Broly + Ultimate Gohan</v>
      </c>
      <c r="S20">
        <f>IF(R20=0, 0, COUNTIFS(TableData[Résultat], "VICTOIRE", TableData[DUO], R20))</f>
        <v>7</v>
      </c>
      <c r="T20">
        <f>IF(R20=0, 0, COUNTIF(TableData[DUO], R20))</f>
        <v>15</v>
      </c>
      <c r="U20">
        <f>IF(T20&gt;0, S20/T20, 0)</f>
        <v>0.46666666666666667</v>
      </c>
      <c r="V20">
        <f>IF(T20&gt;0, INT(U20*10000000) + (S20*1000) + (10000-ROW()), -1)</f>
        <v>4683646</v>
      </c>
      <c r="Y20">
        <f>T20-S20</f>
        <v>8</v>
      </c>
      <c r="AF20">
        <f>IF(A20=0, 0, COUNTIFS(TableData[Résultat], "VICTOIRE", TableData[Xhelo], A20))</f>
        <v>0</v>
      </c>
      <c r="AG20">
        <f>IF(A20=0, 0, COUNTIF(TableData[Xhelo], A20))</f>
        <v>0</v>
      </c>
      <c r="AH20">
        <f>IF(AG20&gt;0, AF20/AG20, 0)</f>
        <v>0</v>
      </c>
      <c r="AI20">
        <f>AG20-AF20</f>
        <v>0</v>
      </c>
      <c r="AJ20">
        <f>IF(AG20&gt;0, INT(AH20*10000000) + (AF20*1000) + (100-ROW()), -1)</f>
        <v>-1</v>
      </c>
      <c r="AK20">
        <f>SUMIF(TableData[Xhelo], A20, TableData[X_K])</f>
        <v>0</v>
      </c>
      <c r="AL20">
        <f>SUMIF(TableData[Xhelo], A20, TableData[X_D])</f>
        <v>0</v>
      </c>
      <c r="AM20">
        <f>SUMIF(TableData[Xhelo], A20, TableData[X_A])</f>
        <v>0</v>
      </c>
      <c r="AN20">
        <f>IF(AG20&gt;0, (AK20+AM20)/MAX(1, AL20), 0)</f>
        <v>0</v>
      </c>
      <c r="AO20">
        <f>IF(AG20&gt;0, AN20*10000 + (100-ROW()), -1)</f>
        <v>-1</v>
      </c>
      <c r="AQ20">
        <f>IF(A20=0, 0, COUNTIFS(TableData[Résultat], "VICTOIRE", TableData[J9], A20))</f>
        <v>0</v>
      </c>
      <c r="AR20">
        <f>IF(A20=0, 0, COUNTIF(TableData[J9], A20))</f>
        <v>0</v>
      </c>
      <c r="AS20">
        <f>IF(AR20&gt;0, AQ20/AR20, 0)</f>
        <v>0</v>
      </c>
      <c r="AT20">
        <f>AR20-AQ20</f>
        <v>0</v>
      </c>
      <c r="AU20">
        <f>IF(AR20&gt;0, INT(AS20*10000000) + (AQ20*1000) + (100-ROW()), -1)</f>
        <v>-1</v>
      </c>
      <c r="AV20">
        <f>SUMIF(TableData[J9], A20, TableData[J_K])</f>
        <v>0</v>
      </c>
      <c r="AW20">
        <f>SUMIF(TableData[J9], A20, TableData[J_D])</f>
        <v>0</v>
      </c>
      <c r="AX20">
        <f>SUMIF(TableData[J9], A20, TableData[J_A])</f>
        <v>0</v>
      </c>
      <c r="AY20">
        <f>IF(AR20&gt;0, (AV20+AX20)/MAX(1, AW20), 0)</f>
        <v>0</v>
      </c>
      <c r="AZ20">
        <f>IF(AR20&gt;0, AY20*10000 + (100-ROW()), -1)</f>
        <v>-1</v>
      </c>
    </row>
    <row r="21" spans="1:127">
      <c r="A21" t="str">
        <f>IF(PARAMETRES!A13="", 0, PARAMETRES!A13)</f>
        <v>Trunks Jeune</v>
      </c>
      <c r="B21">
        <f>IF(A21=0, 0, COUNTIFS(TableData[Résultat], "VICTOIRE", TableData[Xhelo], A21) + COUNTIFS(TableData[Résultat], "VICTOIRE", TableData[J9], A21))</f>
        <v>20</v>
      </c>
      <c r="C21">
        <f>IF(A21=0, 0, COUNTIF(TableData[Xhelo], A21) + COUNTIF(TableData[J9], A21))</f>
        <v>35</v>
      </c>
      <c r="D21">
        <f>IF(C21&gt;0, B21/C21, 0)</f>
        <v>0.5714285714285714</v>
      </c>
      <c r="E21">
        <f>IF(C21&gt;0, INT(D21*10000000) + (B21*1000) + (100-ROW()), -1)</f>
        <v>5734364</v>
      </c>
      <c r="F21" t="str">
        <f>IF(A21=0, 0, PARAMETRES!B13)</f>
        <v>Attaquant</v>
      </c>
      <c r="J21" t="str">
        <f>J14</f>
        <v>Zamasu (9V - 0,142857142857143D)</v>
      </c>
      <c r="K21">
        <f>K14</f>
        <v>0.69230769230769229</v>
      </c>
      <c r="L21">
        <f>IF(J21="", 0, 1-K21)</f>
        <v>0.30769230769230771</v>
      </c>
      <c r="N21" t="str">
        <f>IF(DATA!L13="", "", DATA!L13)</f>
        <v>Broly + Gotenks</v>
      </c>
      <c r="O21" t="str">
        <f>IF(N21="", "", IF(COUNTIF(N$10:N21, N21)=1, ROW(), ""))</f>
        <v/>
      </c>
      <c r="P21">
        <f>IFERROR(SMALL(O$10:O$500, 12), "")</f>
        <v>53</v>
      </c>
      <c r="R21" t="str">
        <f>IF(P21="", 0, INDEX(N$10:N$500, P21-9))</f>
        <v>Cooler + Trunks Jeune</v>
      </c>
      <c r="S21">
        <f>IF(R21=0, 0, COUNTIFS(TableData[Résultat], "VICTOIRE", TableData[DUO], R21))</f>
        <v>4</v>
      </c>
      <c r="T21">
        <f>IF(R21=0, 0, COUNTIF(TableData[DUO], R21))</f>
        <v>4</v>
      </c>
      <c r="U21">
        <f>IF(T21&gt;0, S21/T21, 0)</f>
        <v>1</v>
      </c>
      <c r="V21">
        <f>IF(T21&gt;0, INT(U21*10000000) + (S21*1000) + (10000-ROW()), -1)</f>
        <v>10013979</v>
      </c>
      <c r="Y21">
        <f>T21-S21</f>
        <v>0</v>
      </c>
      <c r="AC21" t="str">
        <f>AC14</f>
        <v>Broly + Hit (8V - 3D)</v>
      </c>
      <c r="AD21">
        <f>AD14</f>
        <v>0.72727272727272729</v>
      </c>
      <c r="AE21">
        <f>IF(AC21="", 0, 1-AD21)</f>
        <v>0.27272727272727271</v>
      </c>
      <c r="AF21">
        <f>IF(A21=0, 0, COUNTIFS(TableData[Résultat], "VICTOIRE", TableData[Xhelo], A21))</f>
        <v>0</v>
      </c>
      <c r="AG21">
        <f>IF(A21=0, 0, COUNTIF(TableData[Xhelo], A21))</f>
        <v>0</v>
      </c>
      <c r="AH21">
        <f>IF(AG21&gt;0, AF21/AG21, 0)</f>
        <v>0</v>
      </c>
      <c r="AI21">
        <f>AG21-AF21</f>
        <v>0</v>
      </c>
      <c r="AJ21">
        <f>IF(AG21&gt;0, INT(AH21*10000000) + (AF21*1000) + (100-ROW()), -1)</f>
        <v>-1</v>
      </c>
      <c r="AK21">
        <f>SUMIF(TableData[Xhelo], A21, TableData[X_K])</f>
        <v>0</v>
      </c>
      <c r="AL21">
        <f>SUMIF(TableData[Xhelo], A21, TableData[X_D])</f>
        <v>0</v>
      </c>
      <c r="AM21">
        <f>SUMIF(TableData[Xhelo], A21, TableData[X_A])</f>
        <v>0</v>
      </c>
      <c r="AN21">
        <f>IF(AG21&gt;0, (AK21+AM21)/MAX(1, AL21), 0)</f>
        <v>0</v>
      </c>
      <c r="AO21">
        <f>IF(AG21&gt;0, AN21*10000 + (100-ROW()), -1)</f>
        <v>-1</v>
      </c>
      <c r="AQ21">
        <f>IF(A21=0, 0, COUNTIFS(TableData[Résultat], "VICTOIRE", TableData[J9], A21))</f>
        <v>20</v>
      </c>
      <c r="AR21">
        <f>IF(A21=0, 0, COUNTIF(TableData[J9], A21))</f>
        <v>35</v>
      </c>
      <c r="AS21">
        <f>IF(AR21&gt;0, AQ21/AR21, 0)</f>
        <v>0.5714285714285714</v>
      </c>
      <c r="AT21">
        <f>AR21-AQ21</f>
        <v>15</v>
      </c>
      <c r="AU21">
        <f>IF(AR21&gt;0, INT(AS21*10000000) + (AQ21*1000) + (100-ROW()), -1)</f>
        <v>5734364</v>
      </c>
      <c r="AV21">
        <f>SUMIF(TableData[J9], A21, TableData[J_K])</f>
        <v>141</v>
      </c>
      <c r="AW21">
        <f>SUMIF(TableData[J9], A21, TableData[J_D])</f>
        <v>67</v>
      </c>
      <c r="AX21">
        <f>SUMIF(TableData[J9], A21, TableData[J_A])</f>
        <v>60</v>
      </c>
      <c r="AY21">
        <f>IF(AR21&gt;0, (AV21+AX21)/MAX(1, AW21), 0)</f>
        <v>3</v>
      </c>
      <c r="AZ21">
        <f>IF(AR21&gt;0, AY21*10000 + (100-ROW()), -1)</f>
        <v>30079</v>
      </c>
      <c r="CD21" t="str">
        <f>CD14</f>
        <v>Kale (7V - 4D)</v>
      </c>
      <c r="CE21">
        <f>CE14</f>
        <v>0.63636363636363635</v>
      </c>
      <c r="CF21">
        <f>IF(CD21="", 0, 1-CE21)</f>
        <v>0.36363636363636365</v>
      </c>
      <c r="CJ21" t="str">
        <f>CJ14</f>
        <v>Trunks Jeune (20V - 15D)</v>
      </c>
      <c r="CK21">
        <f>CK14</f>
        <v>0.5714285714285714</v>
      </c>
      <c r="CL21">
        <f>IF(CJ21="", 0, 1-CK21)</f>
        <v>0.4285714285714286</v>
      </c>
      <c r="DP21" t="str">
        <f>DP14</f>
        <v>Vegeta 4 (0.3)</v>
      </c>
      <c r="DQ21">
        <f>DQ14</f>
        <v>3.0588235294117645</v>
      </c>
      <c r="DV21" t="str">
        <f>DV14</f>
        <v>Zamasu (0.3)</v>
      </c>
      <c r="DW21">
        <f>DW14</f>
        <v>3.36</v>
      </c>
    </row>
    <row r="22" spans="1:127">
      <c r="A22" t="str">
        <f>IF(PARAMETRES!A14="", 0, PARAMETRES!A14)</f>
        <v>Toppo</v>
      </c>
      <c r="B22">
        <f>IF(A22=0, 0, COUNTIFS(TableData[Résultat], "VICTOIRE", TableData[Xhelo], A22) + COUNTIFS(TableData[Résultat], "VICTOIRE", TableData[J9], A22))</f>
        <v>0</v>
      </c>
      <c r="C22">
        <f>IF(A22=0, 0, COUNTIF(TableData[Xhelo], A22) + COUNTIF(TableData[J9], A22))</f>
        <v>0</v>
      </c>
      <c r="D22">
        <f>IF(C22&gt;0, B22/C22, 0)</f>
        <v>0</v>
      </c>
      <c r="E22">
        <f>IF(C22&gt;0, INT(D22*10000000) + (B22*1000) + (100-ROW()), -1)</f>
        <v>-1</v>
      </c>
      <c r="F22" t="str">
        <f>IF(A22=0, 0, PARAMETRES!B14)</f>
        <v>Attaquant</v>
      </c>
      <c r="J22" t="str">
        <f>J13</f>
        <v>Cooler (18V - 8D)</v>
      </c>
      <c r="K22">
        <f>K13</f>
        <v>0.69230769230769229</v>
      </c>
      <c r="L22">
        <f>IF(J22="", 0, 1-K22)</f>
        <v>0.30769230769230771</v>
      </c>
      <c r="N22" t="str">
        <f>IF(DATA!L14="", "", DATA!L14)</f>
        <v>Broly + Gotenks</v>
      </c>
      <c r="O22" t="str">
        <f>IF(N22="", "", IF(COUNTIF(N$10:N22, N22)=1, ROW(), ""))</f>
        <v/>
      </c>
      <c r="P22" t="str">
        <f>IFERROR(SMALL(O$10:O$500, 13), "")</f>
        <v/>
      </c>
      <c r="R22" t="s">
        <v>68</v>
      </c>
      <c r="S22">
        <f>IF(R22=0, 0, COUNTIFS(TableData[Résultat], "VICTOIRE", TableData[DUO], R22))</f>
        <v>2</v>
      </c>
      <c r="T22">
        <f>IF(R22=0, 0, COUNTIF(TableData[DUO], R22))</f>
        <v>3</v>
      </c>
      <c r="U22">
        <f>IF(T22&gt;0, S22/T22, 0)</f>
        <v>0.66666666666666663</v>
      </c>
      <c r="V22">
        <f>IF(T22&gt;0, INT(U22*10000000) + (S22*1000) + (10000-ROW()), -1)</f>
        <v>6678644</v>
      </c>
      <c r="Y22">
        <f>T22-S22</f>
        <v>1</v>
      </c>
      <c r="AC22" t="str">
        <f>AC13</f>
        <v>Bardock + Vegito (22V - 3D)</v>
      </c>
      <c r="AD22">
        <f>AD13</f>
        <v>0.88</v>
      </c>
      <c r="AE22">
        <f>IF(AC22="", 0, 1-AD22)</f>
        <v>0.12</v>
      </c>
      <c r="AF22">
        <f>IF(A22=0, 0, COUNTIFS(TableData[Résultat], "VICTOIRE", TableData[Xhelo], A22))</f>
        <v>0</v>
      </c>
      <c r="AG22">
        <f>IF(A22=0, 0, COUNTIF(TableData[Xhelo], A22))</f>
        <v>0</v>
      </c>
      <c r="AH22">
        <f>IF(AG22&gt;0, AF22/AG22, 0)</f>
        <v>0</v>
      </c>
      <c r="AI22">
        <f>AG22-AF22</f>
        <v>0</v>
      </c>
      <c r="AJ22">
        <f>IF(AG22&gt;0, INT(AH22*10000000) + (AF22*1000) + (100-ROW()), -1)</f>
        <v>-1</v>
      </c>
      <c r="AK22">
        <f>SUMIF(TableData[Xhelo], A22, TableData[X_K])</f>
        <v>0</v>
      </c>
      <c r="AL22">
        <f>SUMIF(TableData[Xhelo], A22, TableData[X_D])</f>
        <v>0</v>
      </c>
      <c r="AM22">
        <f>SUMIF(TableData[Xhelo], A22, TableData[X_A])</f>
        <v>0</v>
      </c>
      <c r="AN22">
        <f>IF(AG22&gt;0, (AK22+AM22)/MAX(1, AL22), 0)</f>
        <v>0</v>
      </c>
      <c r="AO22">
        <f>IF(AG22&gt;0, AN22*10000 + (100-ROW()), -1)</f>
        <v>-1</v>
      </c>
      <c r="AQ22">
        <f>IF(A22=0, 0, COUNTIFS(TableData[Résultat], "VICTOIRE", TableData[J9], A22))</f>
        <v>0</v>
      </c>
      <c r="AR22">
        <f>IF(A22=0, 0, COUNTIF(TableData[J9], A22))</f>
        <v>0</v>
      </c>
      <c r="AS22">
        <f>IF(AR22&gt;0, AQ22/AR22, 0)</f>
        <v>0</v>
      </c>
      <c r="AT22">
        <f>AR22-AQ22</f>
        <v>0</v>
      </c>
      <c r="AU22">
        <f>IF(AR22&gt;0, INT(AS22*10000000) + (AQ22*1000) + (100-ROW()), -1)</f>
        <v>-1</v>
      </c>
      <c r="AV22">
        <f>SUMIF(TableData[J9], A22, TableData[J_K])</f>
        <v>0</v>
      </c>
      <c r="AW22">
        <f>SUMIF(TableData[J9], A22, TableData[J_D])</f>
        <v>0</v>
      </c>
      <c r="AX22">
        <f>SUMIF(TableData[J9], A22, TableData[J_A])</f>
        <v>0</v>
      </c>
      <c r="AY22">
        <f>IF(AR22&gt;0, (AV22+AX22)/MAX(1, AW22), 0)</f>
        <v>0</v>
      </c>
      <c r="AZ22">
        <f>IF(AR22&gt;0, AY22*10000 + (100-ROW()), -1)</f>
        <v>-1</v>
      </c>
      <c r="CD22" t="str">
        <f>CD13</f>
        <v>Cell (4V - 2D)</v>
      </c>
      <c r="CE22">
        <f>CE13</f>
        <v>0.66666666666666663</v>
      </c>
      <c r="CF22">
        <f>IF(CD22="", 0, 1-CE22)</f>
        <v>0.33333333333333337</v>
      </c>
      <c r="CJ22" t="str">
        <f>CJ13</f>
        <v>Cooler (14V - 8D)</v>
      </c>
      <c r="CK22">
        <f>CK13</f>
        <v>0.63636363636363635</v>
      </c>
      <c r="CL22">
        <f>IF(CJ22="", 0, 1-CK22)</f>
        <v>0.36363636363636365</v>
      </c>
      <c r="DP22" t="str">
        <f>DP13</f>
        <v>Kale (0.4)</v>
      </c>
      <c r="DQ22">
        <f>DQ13</f>
        <v>3.5151515151515151</v>
      </c>
      <c r="DV22" t="str">
        <f>DV13</f>
        <v>Vegeta 4 (0.3)</v>
      </c>
      <c r="DW22">
        <f>DW13</f>
        <v>3.4090909090909092</v>
      </c>
    </row>
    <row r="23" spans="1:127">
      <c r="A23" t="str">
        <f>IF(PARAMETRES!A15="", 0, PARAMETRES!A15)</f>
        <v>Vegito</v>
      </c>
      <c r="B23">
        <f>IF(A23=0, 0, COUNTIFS(TableData[Résultat], "VICTOIRE", TableData[Xhelo], A23) + COUNTIFS(TableData[Résultat], "VICTOIRE", TableData[J9], A23))</f>
        <v>24</v>
      </c>
      <c r="C23">
        <f>IF(A23=0, 0, COUNTIF(TableData[Xhelo], A23) + COUNTIF(TableData[J9], A23))</f>
        <v>30</v>
      </c>
      <c r="D23">
        <f>IF(C23&gt;0, B23/C23, 0)</f>
        <v>0.8</v>
      </c>
      <c r="E23">
        <f>IF(C23&gt;0, INT(D23*10000000) + (B23*1000) + (100-ROW()), -1)</f>
        <v>8024077</v>
      </c>
      <c r="F23" t="str">
        <f>IF(A23=0, 0, PARAMETRES!B15)</f>
        <v>Attaquant</v>
      </c>
      <c r="J23" t="str">
        <f>J12</f>
        <v>Bardock (24V - 7D)</v>
      </c>
      <c r="K23">
        <f>K12</f>
        <v>0.77419354838709675</v>
      </c>
      <c r="L23">
        <f>IF(J23="", 0, 1-K23)</f>
        <v>0.22580645161290325</v>
      </c>
      <c r="N23" t="str">
        <f>IF(DATA!L15="", "", DATA!L15)</f>
        <v>Buu + Trunks Jeune</v>
      </c>
      <c r="O23" t="str">
        <f>IF(N23="", "", IF(COUNTIF(N$10:N23, N23)=1, ROW(), ""))</f>
        <v/>
      </c>
      <c r="P23" t="str">
        <f>IFERROR(SMALL(O$10:O$500, 14), "")</f>
        <v/>
      </c>
      <c r="R23" t="s">
        <v>67</v>
      </c>
      <c r="S23">
        <f>IF(R23=0, 0, COUNTIFS(TableData[Résultat], "VICTOIRE", TableData[DUO], R23))</f>
        <v>5</v>
      </c>
      <c r="T23">
        <f>IF(R23=0, 0, COUNTIF(TableData[DUO], R23))</f>
        <v>8</v>
      </c>
      <c r="U23">
        <f>IF(T23&gt;0, S23/T23, 0)</f>
        <v>0.625</v>
      </c>
      <c r="V23">
        <f>IF(T23&gt;0, INT(U23*10000000) + (S23*1000) + (10000-ROW()), -1)</f>
        <v>6264977</v>
      </c>
      <c r="Y23">
        <f>T23-S23</f>
        <v>3</v>
      </c>
      <c r="AC23" t="str">
        <f>AC12</f>
        <v>C18 + Vegeta 4 (1V - 0D)</v>
      </c>
      <c r="AD23">
        <f>AD12</f>
        <v>1</v>
      </c>
      <c r="AE23">
        <f>IF(AC23="", 0, 1-AD23)</f>
        <v>0</v>
      </c>
      <c r="AF23">
        <f>IF(A23=0, 0, COUNTIFS(TableData[Résultat], "VICTOIRE", TableData[Xhelo], A23))</f>
        <v>0</v>
      </c>
      <c r="AG23">
        <f>IF(A23=0, 0, COUNTIF(TableData[Xhelo], A23))</f>
        <v>0</v>
      </c>
      <c r="AH23">
        <f>IF(AG23&gt;0, AF23/AG23, 0)</f>
        <v>0</v>
      </c>
      <c r="AI23">
        <f>AG23-AF23</f>
        <v>0</v>
      </c>
      <c r="AJ23">
        <f>IF(AG23&gt;0, INT(AH23*10000000) + (AF23*1000) + (100-ROW()), -1)</f>
        <v>-1</v>
      </c>
      <c r="AK23">
        <f>SUMIF(TableData[Xhelo], A23, TableData[X_K])</f>
        <v>0</v>
      </c>
      <c r="AL23">
        <f>SUMIF(TableData[Xhelo], A23, TableData[X_D])</f>
        <v>0</v>
      </c>
      <c r="AM23">
        <f>SUMIF(TableData[Xhelo], A23, TableData[X_A])</f>
        <v>0</v>
      </c>
      <c r="AN23">
        <f>IF(AG23&gt;0, (AK23+AM23)/MAX(1, AL23), 0)</f>
        <v>0</v>
      </c>
      <c r="AO23">
        <f>IF(AG23&gt;0, AN23*10000 + (100-ROW()), -1)</f>
        <v>-1</v>
      </c>
      <c r="AQ23">
        <f>IF(A23=0, 0, COUNTIFS(TableData[Résultat], "VICTOIRE", TableData[J9], A23))</f>
        <v>24</v>
      </c>
      <c r="AR23">
        <f>IF(A23=0, 0, COUNTIF(TableData[J9], A23))</f>
        <v>30</v>
      </c>
      <c r="AS23">
        <f>IF(AR23&gt;0, AQ23/AR23, 0)</f>
        <v>0.8</v>
      </c>
      <c r="AT23">
        <f>AR23-AQ23</f>
        <v>6</v>
      </c>
      <c r="AU23">
        <f>IF(AR23&gt;0, INT(AS23*10000000) + (AQ23*1000) + (100-ROW()), -1)</f>
        <v>8024077</v>
      </c>
      <c r="AV23">
        <f>SUMIF(TableData[J9], A23, TableData[J_K])</f>
        <v>204</v>
      </c>
      <c r="AW23">
        <f>SUMIF(TableData[J9], A23, TableData[J_D])</f>
        <v>55</v>
      </c>
      <c r="AX23">
        <f>SUMIF(TableData[J9], A23, TableData[J_A])</f>
        <v>120</v>
      </c>
      <c r="AY23">
        <f>IF(AR23&gt;0, (AV23+AX23)/MAX(1, AW23), 0)</f>
        <v>5.8909090909090907</v>
      </c>
      <c r="AZ23">
        <f>IF(AR23&gt;0, AY23*10000 + (100-ROW()), -1)</f>
        <v>58986.090909090904</v>
      </c>
      <c r="CD23" t="str">
        <f>CD12</f>
        <v>Bardock (24V - 7D)</v>
      </c>
      <c r="CE23">
        <f>CE12</f>
        <v>0.77419354838709675</v>
      </c>
      <c r="CF23">
        <f>IF(CD23="", 0, 1-CE23)</f>
        <v>0.22580645161290325</v>
      </c>
      <c r="CJ23" t="str">
        <f>CJ12</f>
        <v>Hit (13V - 7D)</v>
      </c>
      <c r="CK23">
        <f>CK12</f>
        <v>0.65</v>
      </c>
      <c r="CL23">
        <f>IF(CJ23="", 0, 1-CK23)</f>
        <v>0.35</v>
      </c>
      <c r="DP23" t="str">
        <f>DP12</f>
        <v>Cooler (0.4)</v>
      </c>
      <c r="DQ23">
        <f>DQ12</f>
        <v>3.8888888888888888</v>
      </c>
      <c r="DV23" t="str">
        <f>DV12</f>
        <v>Hit (0.4)</v>
      </c>
      <c r="DW23">
        <f>DW12</f>
        <v>4.4473684210526319</v>
      </c>
    </row>
    <row r="24" spans="1:127">
      <c r="A24" t="str">
        <f>IF(PARAMETRES!A16="", 0, PARAMETRES!A16)</f>
        <v>Vegeta Sayen</v>
      </c>
      <c r="B24">
        <f>IF(A24=0, 0, COUNTIFS(TableData[Résultat], "VICTOIRE", TableData[Xhelo], A24) + COUNTIFS(TableData[Résultat], "VICTOIRE", TableData[J9], A24))</f>
        <v>0</v>
      </c>
      <c r="C24">
        <f>IF(A24=0, 0, COUNTIF(TableData[Xhelo], A24) + COUNTIF(TableData[J9], A24))</f>
        <v>0</v>
      </c>
      <c r="D24">
        <f>IF(C24&gt;0, B24/C24, 0)</f>
        <v>0</v>
      </c>
      <c r="E24">
        <f>IF(C24&gt;0, INT(D24*10000000) + (B24*1000) + (100-ROW()), -1)</f>
        <v>-1</v>
      </c>
      <c r="F24" t="str">
        <f>IF(A24=0, 0, PARAMETRES!B16)</f>
        <v>Défenseur</v>
      </c>
      <c r="J24" t="str">
        <f>J11</f>
        <v>Vegito (24V - 0,225806451612903D)</v>
      </c>
      <c r="K24">
        <f>K11</f>
        <v>0.8</v>
      </c>
      <c r="L24">
        <f>IF(J24="", 0, 1-K24)</f>
        <v>0.19999999999999996</v>
      </c>
      <c r="N24" t="str">
        <f>IF(DATA!L16="", "", DATA!L16)</f>
        <v>Buu + Trunks Jeune</v>
      </c>
      <c r="O24" t="str">
        <f>IF(N24="", "", IF(COUNTIF(N$10:N24, N24)=1, ROW(), ""))</f>
        <v/>
      </c>
      <c r="P24" t="str">
        <f>IFERROR(SMALL(O$10:O$500, 15), "")</f>
        <v/>
      </c>
      <c r="R24" t="s">
        <v>70</v>
      </c>
      <c r="S24">
        <f>IF(R24=0, 0, COUNTIFS(TableData[Résultat], "VICTOIRE", TableData[DUO], R24))</f>
        <v>8</v>
      </c>
      <c r="T24">
        <f>IF(R24=0, 0, COUNTIF(TableData[DUO], R24))</f>
        <v>11</v>
      </c>
      <c r="U24">
        <f>IF(T24&gt;0, S24/T24, 0)</f>
        <v>0.72727272727272729</v>
      </c>
      <c r="V24">
        <f>IF(T24&gt;0, INT(U24*10000000) + (S24*1000) + (10000-ROW()), -1)</f>
        <v>7290703</v>
      </c>
      <c r="Y24">
        <f>T24-S24</f>
        <v>3</v>
      </c>
      <c r="AC24" t="str">
        <f>AC11</f>
        <v>Cooler + Trunks Jeune (4V - 0D)</v>
      </c>
      <c r="AD24">
        <f>AD11</f>
        <v>1</v>
      </c>
      <c r="AE24">
        <f>IF(AC24="", 0, 1-AD24)</f>
        <v>0</v>
      </c>
      <c r="AF24">
        <f>IF(A24=0, 0, COUNTIFS(TableData[Résultat], "VICTOIRE", TableData[Xhelo], A24))</f>
        <v>0</v>
      </c>
      <c r="AG24">
        <f>IF(A24=0, 0, COUNTIF(TableData[Xhelo], A24))</f>
        <v>0</v>
      </c>
      <c r="AH24">
        <f>IF(AG24&gt;0, AF24/AG24, 0)</f>
        <v>0</v>
      </c>
      <c r="AI24">
        <f>AG24-AF24</f>
        <v>0</v>
      </c>
      <c r="AJ24">
        <f>IF(AG24&gt;0, INT(AH24*10000000) + (AF24*1000) + (100-ROW()), -1)</f>
        <v>-1</v>
      </c>
      <c r="AK24">
        <f>SUMIF(TableData[Xhelo], A24, TableData[X_K])</f>
        <v>0</v>
      </c>
      <c r="AL24">
        <f>SUMIF(TableData[Xhelo], A24, TableData[X_D])</f>
        <v>0</v>
      </c>
      <c r="AM24">
        <f>SUMIF(TableData[Xhelo], A24, TableData[X_A])</f>
        <v>0</v>
      </c>
      <c r="AN24">
        <f>IF(AG24&gt;0, (AK24+AM24)/MAX(1, AL24), 0)</f>
        <v>0</v>
      </c>
      <c r="AO24">
        <f>IF(AG24&gt;0, AN24*10000 + (100-ROW()), -1)</f>
        <v>-1</v>
      </c>
      <c r="AQ24">
        <f>IF(A24=0, 0, COUNTIFS(TableData[Résultat], "VICTOIRE", TableData[J9], A24))</f>
        <v>0</v>
      </c>
      <c r="AR24">
        <f>IF(A24=0, 0, COUNTIF(TableData[J9], A24))</f>
        <v>0</v>
      </c>
      <c r="AS24">
        <f>IF(AR24&gt;0, AQ24/AR24, 0)</f>
        <v>0</v>
      </c>
      <c r="AT24">
        <f>AR24-AQ24</f>
        <v>0</v>
      </c>
      <c r="AU24">
        <f>IF(AR24&gt;0, INT(AS24*10000000) + (AQ24*1000) + (100-ROW()), -1)</f>
        <v>-1</v>
      </c>
      <c r="AV24">
        <f>SUMIF(TableData[J9], A24, TableData[J_K])</f>
        <v>0</v>
      </c>
      <c r="AW24">
        <f>SUMIF(TableData[J9], A24, TableData[J_D])</f>
        <v>0</v>
      </c>
      <c r="AX24">
        <f>SUMIF(TableData[J9], A24, TableData[J_A])</f>
        <v>0</v>
      </c>
      <c r="AY24">
        <f>IF(AR24&gt;0, (AV24+AX24)/MAX(1, AW24), 0)</f>
        <v>0</v>
      </c>
      <c r="AZ24">
        <f>IF(AR24&gt;0, AY24*10000 + (100-ROW()), -1)</f>
        <v>-1</v>
      </c>
      <c r="CD24" t="str">
        <f>CD11</f>
        <v>Son Goku Super Sayen (6V - 1D)</v>
      </c>
      <c r="CE24">
        <f>CE11</f>
        <v>0.8571428571428571</v>
      </c>
      <c r="CF24">
        <f>IF(CD24="", 0, 1-CE24)</f>
        <v>0.1428571428571429</v>
      </c>
      <c r="CJ24" t="str">
        <f>CJ11</f>
        <v>Zamasu (9V - 4D)</v>
      </c>
      <c r="CK24">
        <f>CK11</f>
        <v>0.69230769230769229</v>
      </c>
      <c r="CL24">
        <f>IF(CJ24="", 0, 1-CK24)</f>
        <v>0.30769230769230771</v>
      </c>
      <c r="DP24" t="str">
        <f>DP11</f>
        <v>Piccolo (0.5)</v>
      </c>
      <c r="DQ24">
        <f>DQ11</f>
        <v>4.666666666666667</v>
      </c>
      <c r="DV24" t="str">
        <f>DV11</f>
        <v>Vegito (0.6)</v>
      </c>
      <c r="DW24">
        <f>DW11</f>
        <v>5.8909090909090907</v>
      </c>
    </row>
    <row r="25" spans="1:127">
      <c r="A25" t="str">
        <f>IF(PARAMETRES!A17="", 0, PARAMETRES!A17)</f>
        <v>Zamasu</v>
      </c>
      <c r="B25">
        <f>IF(A25=0, 0, COUNTIFS(TableData[Résultat], "VICTOIRE", TableData[Xhelo], A25) + COUNTIFS(TableData[Résultat], "VICTOIRE", TableData[J9], A25))</f>
        <v>9</v>
      </c>
      <c r="C25">
        <f>IF(A25=0, 0, COUNTIF(TableData[Xhelo], A25) + COUNTIF(TableData[J9], A25))</f>
        <v>13</v>
      </c>
      <c r="D25">
        <f>IF(C25&gt;0, B25/C25, 0)</f>
        <v>0.69230769230769229</v>
      </c>
      <c r="E25">
        <f>IF(C25&gt;0, INT(D25*10000000) + (B25*1000) + (100-ROW()), -1)</f>
        <v>6932151</v>
      </c>
      <c r="F25" t="str">
        <f>IF(A25=0, 0, PARAMETRES!B17)</f>
        <v>Défenseur</v>
      </c>
      <c r="J25" t="str">
        <f>J10</f>
        <v>Son Goku Super Sayen (6V - 1D)</v>
      </c>
      <c r="K25">
        <f>K10</f>
        <v>0.8571428571428571</v>
      </c>
      <c r="L25">
        <f>IF(J25="", 0, 1-K25)</f>
        <v>0.1428571428571429</v>
      </c>
      <c r="N25" t="str">
        <f>IF(DATA!L17="", "", DATA!L17)</f>
        <v>Broly + Gotenks</v>
      </c>
      <c r="O25" t="str">
        <f>IF(N25="", "", IF(COUNTIF(N$10:N25, N25)=1, ROW(), ""))</f>
        <v/>
      </c>
      <c r="P25" t="str">
        <f>IFERROR(SMALL(O$10:O$500, 16), "")</f>
        <v/>
      </c>
      <c r="R25" s="24" t="s">
        <v>71</v>
      </c>
      <c r="S25">
        <f>IF(R25=0, 0, COUNTIFS(TableData[Résultat], "VICTOIRE", TableData[DUO], R25))</f>
        <v>9</v>
      </c>
      <c r="T25">
        <f>IF(R25=0, 0, COUNTIF(TableData[DUO], R25))</f>
        <v>13</v>
      </c>
      <c r="U25">
        <f>IF(T25&gt;0, S25/T25, 0)</f>
        <v>0.69230769230769229</v>
      </c>
      <c r="V25">
        <f>IF(T25&gt;0, INT(U25*10000000) + (S25*1000) + (10000-ROW()), -1)</f>
        <v>6942051</v>
      </c>
      <c r="Y25">
        <f>T25-S25</f>
        <v>4</v>
      </c>
      <c r="AC25" t="str">
        <f>AC10</f>
        <v>Son Goku Super Sayen + Cooler (5V - 0D)</v>
      </c>
      <c r="AD25">
        <f>AD10</f>
        <v>1</v>
      </c>
      <c r="AE25">
        <f>IF(AC25="", 0, 1-AD25)</f>
        <v>0</v>
      </c>
      <c r="AF25">
        <f>IF(A25=0, 0, COUNTIFS(TableData[Résultat], "VICTOIRE", TableData[Xhelo], A25))</f>
        <v>0</v>
      </c>
      <c r="AG25">
        <f>IF(A25=0, 0, COUNTIF(TableData[Xhelo], A25))</f>
        <v>0</v>
      </c>
      <c r="AH25">
        <f>IF(AG25&gt;0, AF25/AG25, 0)</f>
        <v>0</v>
      </c>
      <c r="AI25">
        <f>AG25-AF25</f>
        <v>0</v>
      </c>
      <c r="AJ25">
        <f>IF(AG25&gt;0, INT(AH25*10000000) + (AF25*1000) + (100-ROW()), -1)</f>
        <v>-1</v>
      </c>
      <c r="AK25">
        <f>SUMIF(TableData[Xhelo], A25, TableData[X_K])</f>
        <v>0</v>
      </c>
      <c r="AL25">
        <f>SUMIF(TableData[Xhelo], A25, TableData[X_D])</f>
        <v>0</v>
      </c>
      <c r="AM25">
        <f>SUMIF(TableData[Xhelo], A25, TableData[X_A])</f>
        <v>0</v>
      </c>
      <c r="AN25">
        <f>IF(AG25&gt;0, (AK25+AM25)/MAX(1, AL25), 0)</f>
        <v>0</v>
      </c>
      <c r="AO25">
        <f>IF(AG25&gt;0, AN25*10000 + (100-ROW()), -1)</f>
        <v>-1</v>
      </c>
      <c r="AQ25">
        <f>IF(A25=0, 0, COUNTIFS(TableData[Résultat], "VICTOIRE", TableData[J9], A25))</f>
        <v>9</v>
      </c>
      <c r="AR25">
        <f>IF(A25=0, 0, COUNTIF(TableData[J9], A25))</f>
        <v>13</v>
      </c>
      <c r="AS25">
        <f>IF(AR25&gt;0, AQ25/AR25, 0)</f>
        <v>0.69230769230769229</v>
      </c>
      <c r="AT25">
        <f>AR25-AQ25</f>
        <v>4</v>
      </c>
      <c r="AU25">
        <f>IF(AR25&gt;0, INT(AS25*10000000) + (AQ25*1000) + (100-ROW()), -1)</f>
        <v>6932151</v>
      </c>
      <c r="AV25">
        <f>SUMIF(TableData[J9], A25, TableData[J_K])</f>
        <v>29</v>
      </c>
      <c r="AW25">
        <f>SUMIF(TableData[J9], A25, TableData[J_D])</f>
        <v>25</v>
      </c>
      <c r="AX25">
        <f>SUMIF(TableData[J9], A25, TableData[J_A])</f>
        <v>55</v>
      </c>
      <c r="AY25">
        <f>IF(AR25&gt;0, (AV25+AX25)/MAX(1, AW25), 0)</f>
        <v>3.36</v>
      </c>
      <c r="AZ25">
        <f>IF(AR25&gt;0, AY25*10000 + (100-ROW()), -1)</f>
        <v>33675</v>
      </c>
      <c r="CD25" t="str">
        <f>CD10</f>
        <v>Cooler (4V - 0D)</v>
      </c>
      <c r="CE25">
        <f>CE10</f>
        <v>1</v>
      </c>
      <c r="CF25">
        <f>IF(CD25="", 0, 1-CE25)</f>
        <v>0</v>
      </c>
      <c r="CJ25" t="str">
        <f>CJ10</f>
        <v>Vegito (24V - 6D)</v>
      </c>
      <c r="CK25">
        <f>CK10</f>
        <v>0.8</v>
      </c>
      <c r="CL25">
        <f>IF(CJ25="", 0, 1-CK25)</f>
        <v>0.19999999999999996</v>
      </c>
      <c r="DP25" t="str">
        <f>DP10</f>
        <v>Bardock (0.5)</v>
      </c>
      <c r="DQ25">
        <f>DQ10</f>
        <v>5.2653061224489797</v>
      </c>
      <c r="DV25" t="str">
        <f>DV10</f>
        <v>Kefla (0.6)</v>
      </c>
      <c r="DW25">
        <f>DW10</f>
        <v>6</v>
      </c>
    </row>
    <row r="26" spans="1:127">
      <c r="A26" t="str">
        <f>IF(PARAMETRES!A18="", 0, PARAMETRES!A18)</f>
        <v>Baby Juvénile</v>
      </c>
      <c r="B26">
        <f>IF(A26=0, 0, COUNTIFS(TableData[Résultat], "VICTOIRE", TableData[Xhelo], A26) + COUNTIFS(TableData[Résultat], "VICTOIRE", TableData[J9], A26))</f>
        <v>0</v>
      </c>
      <c r="C26">
        <f>IF(A26=0, 0, COUNTIF(TableData[Xhelo], A26) + COUNTIF(TableData[J9], A26))</f>
        <v>0</v>
      </c>
      <c r="D26">
        <f>IF(C26&gt;0, B26/C26, 0)</f>
        <v>0</v>
      </c>
      <c r="E26">
        <f>IF(C26&gt;0, INT(D26*10000000) + (B26*1000) + (100-ROW()), -1)</f>
        <v>-1</v>
      </c>
      <c r="F26" t="str">
        <f>IF(A26=0, 0, PARAMETRES!B18)</f>
        <v>Défenseur</v>
      </c>
      <c r="L26">
        <f>C26-B26</f>
        <v>0</v>
      </c>
      <c r="N26" t="str">
        <f>IF(DATA!L18="", "", DATA!L18)</f>
        <v>Broly + Gotenks</v>
      </c>
      <c r="O26" t="str">
        <f>IF(N26="", "", IF(COUNTIF(N$10:N26, N26)=1, ROW(), ""))</f>
        <v/>
      </c>
      <c r="P26" t="str">
        <f>IFERROR(SMALL(O$10:O$500, 17), "")</f>
        <v/>
      </c>
      <c r="R26" s="24" t="s">
        <v>76</v>
      </c>
      <c r="S26">
        <f>IF(R26=0, 0, COUNTIFS(TableData[Résultat], "VICTOIRE", TableData[DUO], R26))</f>
        <v>0</v>
      </c>
      <c r="T26">
        <f>IF(R26=0, 0, COUNTIF(TableData[DUO], R26))</f>
        <v>1</v>
      </c>
      <c r="U26">
        <f>IF(T26&gt;0, S26/T26, 0)</f>
        <v>0</v>
      </c>
      <c r="V26">
        <f>IF(T26&gt;0, INT(U26*10000000) + (S26*1000) + (10000-ROW()), -1)</f>
        <v>9974</v>
      </c>
      <c r="Y26">
        <f>T26-S26</f>
        <v>1</v>
      </c>
      <c r="AF26">
        <f>IF(A26=0, 0, COUNTIFS(TableData[Résultat], "VICTOIRE", TableData[Xhelo], A26))</f>
        <v>0</v>
      </c>
      <c r="AG26">
        <f>IF(A26=0, 0, COUNTIF(TableData[Xhelo], A26))</f>
        <v>0</v>
      </c>
      <c r="AH26">
        <f>IF(AG26&gt;0, AF26/AG26, 0)</f>
        <v>0</v>
      </c>
      <c r="AI26">
        <f>AG26-AF26</f>
        <v>0</v>
      </c>
      <c r="AJ26">
        <f>IF(AG26&gt;0, INT(AH26*10000000) + (AF26*1000) + (100-ROW()), -1)</f>
        <v>-1</v>
      </c>
      <c r="AK26">
        <f>SUMIF(TableData[Xhelo], A26, TableData[X_K])</f>
        <v>0</v>
      </c>
      <c r="AL26">
        <f>SUMIF(TableData[Xhelo], A26, TableData[X_D])</f>
        <v>0</v>
      </c>
      <c r="AM26">
        <f>SUMIF(TableData[Xhelo], A26, TableData[X_A])</f>
        <v>0</v>
      </c>
      <c r="AN26">
        <f>IF(AG26&gt;0, (AK26+AM26)/MAX(1, AL26), 0)</f>
        <v>0</v>
      </c>
      <c r="AO26">
        <f>IF(AG26&gt;0, AN26*10000 + (100-ROW()), -1)</f>
        <v>-1</v>
      </c>
      <c r="AQ26">
        <f>IF(A26=0, 0, COUNTIFS(TableData[Résultat], "VICTOIRE", TableData[J9], A26))</f>
        <v>0</v>
      </c>
      <c r="AR26">
        <f>IF(A26=0, 0, COUNTIF(TableData[J9], A26))</f>
        <v>0</v>
      </c>
      <c r="AS26">
        <f>IF(AR26&gt;0, AQ26/AR26, 0)</f>
        <v>0</v>
      </c>
      <c r="AT26">
        <f>AR26-AQ26</f>
        <v>0</v>
      </c>
      <c r="AU26">
        <f>IF(AR26&gt;0, INT(AS26*10000000) + (AQ26*1000) + (100-ROW()), -1)</f>
        <v>-1</v>
      </c>
      <c r="AV26">
        <f>SUMIF(TableData[J9], A26, TableData[J_K])</f>
        <v>0</v>
      </c>
      <c r="AW26">
        <f>SUMIF(TableData[J9], A26, TableData[J_D])</f>
        <v>0</v>
      </c>
      <c r="AX26">
        <f>SUMIF(TableData[J9], A26, TableData[J_A])</f>
        <v>0</v>
      </c>
      <c r="AY26">
        <f>IF(AR26&gt;0, (AV26+AX26)/MAX(1, AW26), 0)</f>
        <v>0</v>
      </c>
      <c r="AZ26">
        <f>IF(AR26&gt;0, AY26*10000 + (100-ROW()), -1)</f>
        <v>-1</v>
      </c>
    </row>
    <row r="27" spans="1:127">
      <c r="A27" t="str">
        <f>IF(PARAMETRES!A19="", 0, PARAMETRES!A19)</f>
        <v>Caulifla Sayen 2</v>
      </c>
      <c r="B27">
        <f>IF(A27=0, 0, COUNTIFS(TableData[Résultat], "VICTOIRE", TableData[Xhelo], A27) + COUNTIFS(TableData[Résultat], "VICTOIRE", TableData[J9], A27))</f>
        <v>0</v>
      </c>
      <c r="C27">
        <f>IF(A27=0, 0, COUNTIF(TableData[Xhelo], A27) + COUNTIF(TableData[J9], A27))</f>
        <v>0</v>
      </c>
      <c r="D27">
        <f>IF(C27&gt;0, B27/C27, 0)</f>
        <v>0</v>
      </c>
      <c r="E27">
        <f>IF(C27&gt;0, INT(D27*10000000) + (B27*1000) + (100-ROW()), -1)</f>
        <v>-1</v>
      </c>
      <c r="F27" t="str">
        <f>IF(A27=0, 0, PARAMETRES!B19)</f>
        <v>Défenseur</v>
      </c>
      <c r="L27">
        <f>C27-B27</f>
        <v>0</v>
      </c>
      <c r="N27" t="str">
        <f>IF(DATA!L19="", "", DATA!L19)</f>
        <v>Buu + Trunks Jeune</v>
      </c>
      <c r="O27" t="str">
        <f>IF(N27="", "", IF(COUNTIF(N$10:N27, N27)=1, ROW(), ""))</f>
        <v/>
      </c>
      <c r="P27" t="str">
        <f>IFERROR(SMALL(O$10:O$500, 18), "")</f>
        <v/>
      </c>
      <c r="R27" s="24" t="s">
        <v>72</v>
      </c>
      <c r="S27">
        <f>IF(R27=0, 0, COUNTIFS(TableData[Résultat], "VICTOIRE", TableData[DUO], R27))</f>
        <v>0</v>
      </c>
      <c r="T27">
        <f>IF(R27=0, 0, COUNTIF(TableData[DUO], R27))</f>
        <v>1</v>
      </c>
      <c r="U27">
        <f>IF(T27&gt;0, S27/T27, 0)</f>
        <v>0</v>
      </c>
      <c r="V27">
        <f>IF(T27&gt;0, INT(U27*10000000) + (S27*1000) + (10000-ROW()), -1)</f>
        <v>9973</v>
      </c>
      <c r="Y27">
        <f>T27-S27</f>
        <v>1</v>
      </c>
      <c r="AF27">
        <f>IF(A27=0, 0, COUNTIFS(TableData[Résultat], "VICTOIRE", TableData[Xhelo], A27))</f>
        <v>0</v>
      </c>
      <c r="AG27">
        <f>IF(A27=0, 0, COUNTIF(TableData[Xhelo], A27))</f>
        <v>0</v>
      </c>
      <c r="AH27">
        <f>IF(AG27&gt;0, AF27/AG27, 0)</f>
        <v>0</v>
      </c>
      <c r="AI27">
        <f>AG27-AF27</f>
        <v>0</v>
      </c>
      <c r="AJ27">
        <f>IF(AG27&gt;0, INT(AH27*10000000) + (AF27*1000) + (100-ROW()), -1)</f>
        <v>-1</v>
      </c>
      <c r="AK27">
        <f>SUMIF(TableData[Xhelo], A27, TableData[X_K])</f>
        <v>0</v>
      </c>
      <c r="AL27">
        <f>SUMIF(TableData[Xhelo], A27, TableData[X_D])</f>
        <v>0</v>
      </c>
      <c r="AM27">
        <f>SUMIF(TableData[Xhelo], A27, TableData[X_A])</f>
        <v>0</v>
      </c>
      <c r="AN27">
        <f>IF(AG27&gt;0, (AK27+AM27)/MAX(1, AL27), 0)</f>
        <v>0</v>
      </c>
      <c r="AO27">
        <f>IF(AG27&gt;0, AN27*10000 + (100-ROW()), -1)</f>
        <v>-1</v>
      </c>
      <c r="AQ27">
        <f>IF(A27=0, 0, COUNTIFS(TableData[Résultat], "VICTOIRE", TableData[J9], A27))</f>
        <v>0</v>
      </c>
      <c r="AR27">
        <f>IF(A27=0, 0, COUNTIF(TableData[J9], A27))</f>
        <v>0</v>
      </c>
      <c r="AS27">
        <f>IF(AR27&gt;0, AQ27/AR27, 0)</f>
        <v>0</v>
      </c>
      <c r="AT27">
        <f>AR27-AQ27</f>
        <v>0</v>
      </c>
      <c r="AU27">
        <f>IF(AR27&gt;0, INT(AS27*10000000) + (AQ27*1000) + (100-ROW()), -1)</f>
        <v>-1</v>
      </c>
      <c r="AV27">
        <f>SUMIF(TableData[J9], A27, TableData[J_K])</f>
        <v>0</v>
      </c>
      <c r="AW27">
        <f>SUMIF(TableData[J9], A27, TableData[J_D])</f>
        <v>0</v>
      </c>
      <c r="AX27">
        <f>SUMIF(TableData[J9], A27, TableData[J_A])</f>
        <v>0</v>
      </c>
      <c r="AY27">
        <f>IF(AR27&gt;0, (AV27+AX27)/MAX(1, AW27), 0)</f>
        <v>0</v>
      </c>
      <c r="AZ27">
        <f>IF(AR27&gt;0, AY27*10000 + (100-ROW()), -1)</f>
        <v>-1</v>
      </c>
    </row>
    <row r="28" spans="1:127">
      <c r="A28" t="str">
        <f>IF(PARAMETRES!A20="", 0, PARAMETRES!A20)</f>
        <v>Cooler</v>
      </c>
      <c r="B28">
        <f>IF(A28=0, 0, COUNTIFS(TableData[Résultat], "VICTOIRE", TableData[Xhelo], A28) + COUNTIFS(TableData[Résultat], "VICTOIRE", TableData[J9], A28))</f>
        <v>18</v>
      </c>
      <c r="C28">
        <f>IF(A28=0, 0, COUNTIF(TableData[Xhelo], A28) + COUNTIF(TableData[J9], A28))</f>
        <v>26</v>
      </c>
      <c r="D28">
        <f>IF(C28&gt;0, B28/C28, 0)</f>
        <v>0.69230769230769229</v>
      </c>
      <c r="E28">
        <f>IF(C28&gt;0, INT(D28*10000000) + (B28*1000) + (100-ROW()), -1)</f>
        <v>6941148</v>
      </c>
      <c r="F28" t="str">
        <f>IF(A28=0, 0, PARAMETRES!B20)</f>
        <v>Défenseur</v>
      </c>
      <c r="L28">
        <f>C28-B28</f>
        <v>8</v>
      </c>
      <c r="N28" t="str">
        <f>IF(DATA!L20="", "", DATA!L20)</f>
        <v>Buu + Cooler</v>
      </c>
      <c r="O28">
        <f>IF(N28="", "", IF(COUNTIF(N$10:N28, N28)=1, ROW(), ""))</f>
        <v>28</v>
      </c>
      <c r="P28" t="str">
        <f>IFERROR(SMALL(O$10:O$500, 19), "")</f>
        <v/>
      </c>
      <c r="R28" s="24" t="s">
        <v>78</v>
      </c>
      <c r="S28">
        <f>IF(R28=0, 0, COUNTIFS(TableData[Résultat], "VICTOIRE", TableData[DUO], R28))</f>
        <v>1</v>
      </c>
      <c r="T28">
        <f>IF(R28=0, 0, COUNTIF(TableData[DUO], R28))</f>
        <v>1</v>
      </c>
      <c r="U28">
        <f>IF(T28&gt;0, S28/T28, 0)</f>
        <v>1</v>
      </c>
      <c r="V28">
        <f>IF(T28&gt;0, INT(U28*10000000) + (S28*1000) + (10000-ROW()), -1)</f>
        <v>10010972</v>
      </c>
      <c r="Y28">
        <f>T28-S28</f>
        <v>0</v>
      </c>
      <c r="AF28">
        <f>IF(A28=0, 0, COUNTIFS(TableData[Résultat], "VICTOIRE", TableData[Xhelo], A28))</f>
        <v>4</v>
      </c>
      <c r="AG28">
        <f>IF(A28=0, 0, COUNTIF(TableData[Xhelo], A28))</f>
        <v>4</v>
      </c>
      <c r="AH28">
        <f>IF(AG28&gt;0, AF28/AG28, 0)</f>
        <v>1</v>
      </c>
      <c r="AI28">
        <f>AG28-AF28</f>
        <v>0</v>
      </c>
      <c r="AJ28">
        <f>IF(AG28&gt;0, INT(AH28*10000000) + (AF28*1000) + (100-ROW()), -1)</f>
        <v>10004072</v>
      </c>
      <c r="AK28">
        <f>SUMIF(TableData[Xhelo], A28, TableData[X_K])</f>
        <v>11</v>
      </c>
      <c r="AL28">
        <f>SUMIF(TableData[Xhelo], A28, TableData[X_D])</f>
        <v>9</v>
      </c>
      <c r="AM28">
        <f>SUMIF(TableData[Xhelo], A28, TableData[X_A])</f>
        <v>24</v>
      </c>
      <c r="AN28">
        <f>IF(AG28&gt;0, (AK28+AM28)/MAX(1, AL28), 0)</f>
        <v>3.8888888888888888</v>
      </c>
      <c r="AO28">
        <f>IF(AG28&gt;0, AN28*10000 + (100-ROW()), -1)</f>
        <v>38960.888888888891</v>
      </c>
      <c r="AQ28">
        <f>IF(A28=0, 0, COUNTIFS(TableData[Résultat], "VICTOIRE", TableData[J9], A28))</f>
        <v>14</v>
      </c>
      <c r="AR28">
        <f>IF(A28=0, 0, COUNTIF(TableData[J9], A28))</f>
        <v>22</v>
      </c>
      <c r="AS28">
        <f>IF(AR28&gt;0, AQ28/AR28, 0)</f>
        <v>0.63636363636363635</v>
      </c>
      <c r="AT28">
        <f>AR28-AQ28</f>
        <v>8</v>
      </c>
      <c r="AU28">
        <f>IF(AR28&gt;0, INT(AS28*10000000) + (AQ28*1000) + (100-ROW()), -1)</f>
        <v>6377708</v>
      </c>
      <c r="AV28">
        <f>SUMIF(TableData[J9], A28, TableData[J_K])</f>
        <v>58</v>
      </c>
      <c r="AW28">
        <f>SUMIF(TableData[J9], A28, TableData[J_D])</f>
        <v>64</v>
      </c>
      <c r="AX28">
        <f>SUMIF(TableData[J9], A28, TableData[J_A])</f>
        <v>127</v>
      </c>
      <c r="AY28">
        <f>IF(AR28&gt;0, (AV28+AX28)/MAX(1, AW28), 0)</f>
        <v>2.890625</v>
      </c>
      <c r="AZ28">
        <f>IF(AR28&gt;0, AY28*10000 + (100-ROW()), -1)</f>
        <v>28978.25</v>
      </c>
    </row>
    <row r="29" spans="1:127">
      <c r="A29" t="str">
        <f>IF(PARAMETRES!A21="", 0, PARAMETRES!A21)</f>
        <v>Cell</v>
      </c>
      <c r="B29">
        <f>IF(A29=0, 0, COUNTIFS(TableData[Résultat], "VICTOIRE", TableData[Xhelo], A29) + COUNTIFS(TableData[Résultat], "VICTOIRE", TableData[J9], A29))</f>
        <v>4</v>
      </c>
      <c r="C29">
        <f>IF(A29=0, 0, COUNTIF(TableData[Xhelo], A29) + COUNTIF(TableData[J9], A29))</f>
        <v>6</v>
      </c>
      <c r="D29">
        <f>IF(C29&gt;0, B29/C29, 0)</f>
        <v>0.66666666666666663</v>
      </c>
      <c r="E29">
        <f>IF(C29&gt;0, INT(D29*10000000) + (B29*1000) + (100-ROW()), -1)</f>
        <v>6670737</v>
      </c>
      <c r="F29" t="str">
        <f>IF(A29=0, 0, PARAMETRES!B21)</f>
        <v>Défenseur</v>
      </c>
      <c r="L29">
        <f>C29-B29</f>
        <v>2</v>
      </c>
      <c r="N29" t="str">
        <f>IF(DATA!L21="", "", DATA!L21)</f>
        <v>Broly + Gotenks</v>
      </c>
      <c r="O29" t="str">
        <f>IF(N29="", "", IF(COUNTIF(N$10:N29, N29)=1, ROW(), ""))</f>
        <v/>
      </c>
      <c r="P29" t="str">
        <f>IFERROR(SMALL(O$10:O$500, 20), "")</f>
        <v/>
      </c>
      <c r="R29" s="24" t="s">
        <v>79</v>
      </c>
      <c r="S29">
        <f>IF(R29=0, 0, COUNTIFS(TableData[Résultat], "VICTOIRE", TableData[DUO], R29))</f>
        <v>0</v>
      </c>
      <c r="T29">
        <f>IF(R29=0, 0, COUNTIF(TableData[DUO], R29))</f>
        <v>1</v>
      </c>
      <c r="U29">
        <f>IF(T29&gt;0, S29/T29, 0)</f>
        <v>0</v>
      </c>
      <c r="V29">
        <f>IF(T29&gt;0, INT(U29*10000000) + (S29*1000) + (10000-ROW()), -1)</f>
        <v>9971</v>
      </c>
      <c r="Y29">
        <f>T29-S29</f>
        <v>1</v>
      </c>
      <c r="AF29">
        <f>IF(A29=0, 0, COUNTIFS(TableData[Résultat], "VICTOIRE", TableData[Xhelo], A29))</f>
        <v>4</v>
      </c>
      <c r="AG29">
        <f>IF(A29=0, 0, COUNTIF(TableData[Xhelo], A29))</f>
        <v>6</v>
      </c>
      <c r="AH29">
        <f>IF(AG29&gt;0, AF29/AG29, 0)</f>
        <v>0.66666666666666663</v>
      </c>
      <c r="AI29">
        <f>AG29-AF29</f>
        <v>2</v>
      </c>
      <c r="AJ29">
        <f>IF(AG29&gt;0, INT(AH29*10000000) + (AF29*1000) + (100-ROW()), -1)</f>
        <v>6670737</v>
      </c>
      <c r="AK29">
        <f>SUMIF(TableData[Xhelo], A29, TableData[X_K])</f>
        <v>15</v>
      </c>
      <c r="AL29">
        <f>SUMIF(TableData[Xhelo], A29, TableData[X_D])</f>
        <v>11</v>
      </c>
      <c r="AM29">
        <f>SUMIF(TableData[Xhelo], A29, TableData[X_A])</f>
        <v>13</v>
      </c>
      <c r="AN29">
        <f>IF(AG29&gt;0, (AK29+AM29)/MAX(1, AL29), 0)</f>
        <v>2.5454545454545454</v>
      </c>
      <c r="AO29">
        <f>IF(AG29&gt;0, AN29*10000 + (100-ROW()), -1)</f>
        <v>25525.545454545456</v>
      </c>
      <c r="AQ29">
        <f>IF(A29=0, 0, COUNTIFS(TableData[Résultat], "VICTOIRE", TableData[J9], A29))</f>
        <v>0</v>
      </c>
      <c r="AR29">
        <f>IF(A29=0, 0, COUNTIF(TableData[J9], A29))</f>
        <v>0</v>
      </c>
      <c r="AS29">
        <f>IF(AR29&gt;0, AQ29/AR29, 0)</f>
        <v>0</v>
      </c>
      <c r="AT29">
        <f>AR29-AQ29</f>
        <v>0</v>
      </c>
      <c r="AU29">
        <f>IF(AR29&gt;0, INT(AS29*10000000) + (AQ29*1000) + (100-ROW()), -1)</f>
        <v>-1</v>
      </c>
      <c r="AV29">
        <f>SUMIF(TableData[J9], A29, TableData[J_K])</f>
        <v>0</v>
      </c>
      <c r="AW29">
        <f>SUMIF(TableData[J9], A29, TableData[J_D])</f>
        <v>0</v>
      </c>
      <c r="AX29">
        <f>SUMIF(TableData[J9], A29, TableData[J_A])</f>
        <v>0</v>
      </c>
      <c r="AY29">
        <f>IF(AR29&gt;0, (AV29+AX29)/MAX(1, AW29), 0)</f>
        <v>0</v>
      </c>
      <c r="AZ29">
        <f>IF(AR29&gt;0, AY29*10000 + (100-ROW()), -1)</f>
        <v>-1</v>
      </c>
    </row>
    <row r="30" spans="1:127">
      <c r="A30" t="str">
        <f>IF(PARAMETRES!A22="", 0, PARAMETRES!A22)</f>
        <v>Vegeta 4</v>
      </c>
      <c r="B30">
        <f>IF(A30=0, 0, COUNTIFS(TableData[Résultat], "VICTOIRE", TableData[Xhelo], A30) + COUNTIFS(TableData[Résultat], "VICTOIRE", TableData[J9], A30))</f>
        <v>7</v>
      </c>
      <c r="C30">
        <f>IF(A30=0, 0, COUNTIF(TableData[Xhelo], A30) + COUNTIF(TableData[J9], A30))</f>
        <v>15</v>
      </c>
      <c r="D30">
        <f>IF(C30&gt;0, B30/C30, 0)</f>
        <v>0.46666666666666667</v>
      </c>
      <c r="E30">
        <f>IF(C30&gt;0, INT(D30*10000000) + (B30*1000) + (100-ROW()), -1)</f>
        <v>4673736</v>
      </c>
      <c r="F30" t="str">
        <f>IF(A30=0, 0, PARAMETRES!B22)</f>
        <v>Défenseur</v>
      </c>
      <c r="L30">
        <f>C30-B30</f>
        <v>8</v>
      </c>
      <c r="N30" t="str">
        <f>IF(DATA!L22="", "", DATA!L22)</f>
        <v>Broly + Gotenks</v>
      </c>
      <c r="O30" t="str">
        <f>IF(N30="", "", IF(COUNTIF(N$10:N30, N30)=1, ROW(), ""))</f>
        <v/>
      </c>
      <c r="P30" t="str">
        <f>IFERROR(SMALL(O$10:O$500, 21), "")</f>
        <v/>
      </c>
      <c r="R30" s="24" t="s">
        <v>80</v>
      </c>
      <c r="S30">
        <f>IF(R30=0, 0, COUNTIFS(TableData[Résultat], "VICTOIRE", TableData[DUO], R30))</f>
        <v>2</v>
      </c>
      <c r="T30">
        <f>IF(R30=0, 0, COUNTIF(TableData[DUO], R30))</f>
        <v>5</v>
      </c>
      <c r="U30">
        <f>IF(T30&gt;0, S30/T30, 0)</f>
        <v>0.4</v>
      </c>
      <c r="V30">
        <f>IF(T30&gt;0, INT(U30*10000000) + (S30*1000) + (10000-ROW()), -1)</f>
        <v>4011970</v>
      </c>
      <c r="Y30">
        <f>T30-S30</f>
        <v>3</v>
      </c>
      <c r="AF30">
        <f>IF(A30=0, 0, COUNTIFS(TableData[Résultat], "VICTOIRE", TableData[Xhelo], A30))</f>
        <v>3</v>
      </c>
      <c r="AG30">
        <f>IF(A30=0, 0, COUNTIF(TableData[Xhelo], A30))</f>
        <v>7</v>
      </c>
      <c r="AH30">
        <f>IF(AG30&gt;0, AF30/AG30, 0)</f>
        <v>0.42857142857142855</v>
      </c>
      <c r="AI30">
        <f>AG30-AF30</f>
        <v>4</v>
      </c>
      <c r="AJ30">
        <f>IF(AG30&gt;0, INT(AH30*10000000) + (AF30*1000) + (100-ROW()), -1)</f>
        <v>4288784</v>
      </c>
      <c r="AK30">
        <f>SUMIF(TableData[Xhelo], A30, TableData[X_K])</f>
        <v>18</v>
      </c>
      <c r="AL30">
        <f>SUMIF(TableData[Xhelo], A30, TableData[X_D])</f>
        <v>17</v>
      </c>
      <c r="AM30">
        <f>SUMIF(TableData[Xhelo], A30, TableData[X_A])</f>
        <v>34</v>
      </c>
      <c r="AN30">
        <f>IF(AG30&gt;0, (AK30+AM30)/MAX(1, AL30), 0)</f>
        <v>3.0588235294117645</v>
      </c>
      <c r="AO30">
        <f>IF(AG30&gt;0, AN30*10000 + (100-ROW()), -1)</f>
        <v>30658.235294117643</v>
      </c>
      <c r="AQ30">
        <f>IF(A30=0, 0, COUNTIFS(TableData[Résultat], "VICTOIRE", TableData[J9], A30))</f>
        <v>4</v>
      </c>
      <c r="AR30">
        <f>IF(A30=0, 0, COUNTIF(TableData[J9], A30))</f>
        <v>8</v>
      </c>
      <c r="AS30">
        <f>IF(AR30&gt;0, AQ30/AR30, 0)</f>
        <v>0.5</v>
      </c>
      <c r="AT30">
        <f>AR30-AQ30</f>
        <v>4</v>
      </c>
      <c r="AU30">
        <f>IF(AR30&gt;0, INT(AS30*10000000) + (AQ30*1000) + (100-ROW()), -1)</f>
        <v>5004070</v>
      </c>
      <c r="AV30">
        <f>SUMIF(TableData[J9], A30, TableData[J_K])</f>
        <v>24</v>
      </c>
      <c r="AW30">
        <f>SUMIF(TableData[J9], A30, TableData[J_D])</f>
        <v>22</v>
      </c>
      <c r="AX30">
        <f>SUMIF(TableData[J9], A30, TableData[J_A])</f>
        <v>51</v>
      </c>
      <c r="AY30">
        <f>IF(AR30&gt;0, (AV30+AX30)/MAX(1, AW30), 0)</f>
        <v>3.4090909090909092</v>
      </c>
      <c r="AZ30">
        <f>IF(AR30&gt;0, AY30*10000 + (100-ROW()), -1)</f>
        <v>34160.909090909088</v>
      </c>
    </row>
    <row r="31" spans="1:127">
      <c r="A31" t="str">
        <f>IF(PARAMETRES!A23="", 0, PARAMETRES!A23)</f>
        <v>Buu</v>
      </c>
      <c r="B31">
        <f>IF(A31=0, 0, COUNTIFS(TableData[Résultat], "VICTOIRE", TableData[Xhelo], A31) + COUNTIFS(TableData[Résultat], "VICTOIRE", TableData[J9], A31))</f>
        <v>7</v>
      </c>
      <c r="C31">
        <f>IF(A31=0, 0, COUNTIF(TableData[Xhelo], A31) + COUNTIF(TableData[J9], A31))</f>
        <v>14</v>
      </c>
      <c r="D31">
        <f>IF(C31&gt;0, B31/C31, 0)</f>
        <v>0.5</v>
      </c>
      <c r="E31">
        <f>IF(C31&gt;0, INT(D31*10000000) + (B31*1000) + (100-ROW()), -1)</f>
        <v>5007069</v>
      </c>
      <c r="F31" t="str">
        <f>IF(A31=0, 0, PARAMETRES!B23)</f>
        <v>Soutien</v>
      </c>
      <c r="L31">
        <f>C31-B31</f>
        <v>7</v>
      </c>
      <c r="N31" t="str">
        <f>IF(DATA!L23="", "", DATA!L23)</f>
        <v>Buu + Trunks Jeune</v>
      </c>
      <c r="O31" t="str">
        <f>IF(N31="", "", IF(COUNTIF(N$10:N31, N31)=1, ROW(), ""))</f>
        <v/>
      </c>
      <c r="P31" t="str">
        <f>IFERROR(SMALL(O$10:O$500, 22), "")</f>
        <v/>
      </c>
      <c r="R31" s="24" t="s">
        <v>81</v>
      </c>
      <c r="S31">
        <f>IF(R31=0, 0, COUNTIFS(TableData[Résultat], "VICTOIRE", TableData[DUO], R31))</f>
        <v>22</v>
      </c>
      <c r="T31">
        <f>IF(R31=0, 0, COUNTIF(TableData[DUO], R31))</f>
        <v>25</v>
      </c>
      <c r="U31">
        <f>IF(T31&gt;0, S31/T31, 0)</f>
        <v>0.88</v>
      </c>
      <c r="V31">
        <f>IF(T31&gt;0, INT(U31*10000000) + (S31*1000) + (10000-ROW()), -1)</f>
        <v>8831969</v>
      </c>
      <c r="Y31">
        <f>T31-S31</f>
        <v>3</v>
      </c>
      <c r="AF31">
        <f>IF(A31=0, 0, COUNTIFS(TableData[Résultat], "VICTOIRE", TableData[Xhelo], A31))</f>
        <v>7</v>
      </c>
      <c r="AG31">
        <f>IF(A31=0, 0, COUNTIF(TableData[Xhelo], A31))</f>
        <v>14</v>
      </c>
      <c r="AH31">
        <f>IF(AG31&gt;0, AF31/AG31, 0)</f>
        <v>0.5</v>
      </c>
      <c r="AI31">
        <f>AG31-AF31</f>
        <v>7</v>
      </c>
      <c r="AJ31">
        <f>IF(AG31&gt;0, INT(AH31*10000000) + (AF31*1000) + (100-ROW()), -1)</f>
        <v>5007069</v>
      </c>
      <c r="AK31">
        <f>SUMIF(TableData[Xhelo], A31, TableData[X_K])</f>
        <v>6</v>
      </c>
      <c r="AL31">
        <f>SUMIF(TableData[Xhelo], A31, TableData[X_D])</f>
        <v>17</v>
      </c>
      <c r="AM31">
        <f>SUMIF(TableData[Xhelo], A31, TableData[X_A])</f>
        <v>41</v>
      </c>
      <c r="AN31">
        <f>IF(AG31&gt;0, (AK31+AM31)/MAX(1, AL31), 0)</f>
        <v>2.7647058823529411</v>
      </c>
      <c r="AO31">
        <f>IF(AG31&gt;0, AN31*10000 + (100-ROW()), -1)</f>
        <v>27716.058823529413</v>
      </c>
      <c r="AQ31">
        <f>IF(A31=0, 0, COUNTIFS(TableData[Résultat], "VICTOIRE", TableData[J9], A31))</f>
        <v>0</v>
      </c>
      <c r="AR31">
        <f>IF(A31=0, 0, COUNTIF(TableData[J9], A31))</f>
        <v>0</v>
      </c>
      <c r="AS31">
        <f>IF(AR31&gt;0, AQ31/AR31, 0)</f>
        <v>0</v>
      </c>
      <c r="AT31">
        <f>AR31-AQ31</f>
        <v>0</v>
      </c>
      <c r="AU31">
        <f>IF(AR31&gt;0, INT(AS31*10000000) + (AQ31*1000) + (100-ROW()), -1)</f>
        <v>-1</v>
      </c>
      <c r="AV31">
        <f>SUMIF(TableData[J9], A31, TableData[J_K])</f>
        <v>0</v>
      </c>
      <c r="AW31">
        <f>SUMIF(TableData[J9], A31, TableData[J_D])</f>
        <v>0</v>
      </c>
      <c r="AX31">
        <f>SUMIF(TableData[J9], A31, TableData[J_A])</f>
        <v>0</v>
      </c>
      <c r="AY31">
        <f>IF(AR31&gt;0, (AV31+AX31)/MAX(1, AW31), 0)</f>
        <v>0</v>
      </c>
      <c r="AZ31">
        <f>IF(AR31&gt;0, AY31*10000 + (100-ROW()), -1)</f>
        <v>-1</v>
      </c>
    </row>
    <row r="32" spans="1:127">
      <c r="A32" t="str">
        <f>IF(PARAMETRES!A24="", 0, PARAMETRES!A24)</f>
        <v>Krillin</v>
      </c>
      <c r="B32">
        <f>IF(A32=0, 0, COUNTIFS(TableData[Résultat], "VICTOIRE", TableData[Xhelo], A32) + COUNTIFS(TableData[Résultat], "VICTOIRE", TableData[J9], A32))</f>
        <v>0</v>
      </c>
      <c r="C32">
        <f>IF(A32=0, 0, COUNTIF(TableData[Xhelo], A32) + COUNTIF(TableData[J9], A32))</f>
        <v>0</v>
      </c>
      <c r="D32">
        <f>IF(C32&gt;0, B32/C32, 0)</f>
        <v>0</v>
      </c>
      <c r="E32">
        <f>IF(C32&gt;0, INT(D32*10000000) + (B32*1000) + (100-ROW()), -1)</f>
        <v>-1</v>
      </c>
      <c r="F32" t="str">
        <f>IF(A32=0, 0, PARAMETRES!B24)</f>
        <v>Soutien</v>
      </c>
      <c r="L32">
        <f>C32-B32</f>
        <v>0</v>
      </c>
      <c r="N32" t="str">
        <f>IF(DATA!L24="", "", DATA!L24)</f>
        <v>Buu + Trunks Jeune</v>
      </c>
      <c r="O32" t="str">
        <f>IF(N32="", "", IF(COUNTIF(N$10:N32, N32)=1, ROW(), ""))</f>
        <v/>
      </c>
      <c r="P32" t="str">
        <f>IFERROR(SMALL(O$10:O$500, 23), "")</f>
        <v/>
      </c>
      <c r="R32">
        <f>IF(P32="", 0, INDEX(N$10:N$500, P32-9))</f>
        <v>0</v>
      </c>
      <c r="S32">
        <f>IF(R32=0, 0, COUNTIFS(TableData[Résultat], "VICTOIRE", TableData[DUO], R32))</f>
        <v>0</v>
      </c>
      <c r="T32">
        <f>IF(R32=0, 0, COUNTIF(TableData[DUO], R32))</f>
        <v>0</v>
      </c>
      <c r="U32">
        <f>IF(T32&gt;0, S32/T32, 0)</f>
        <v>0</v>
      </c>
      <c r="V32">
        <f>IF(T32&gt;0, INT(U32*10000000) + (S32*1000) + (10000-ROW()), -1)</f>
        <v>-1</v>
      </c>
      <c r="Y32">
        <f>T32-S32</f>
        <v>0</v>
      </c>
      <c r="AF32">
        <f>IF(A32=0, 0, COUNTIFS(TableData[Résultat], "VICTOIRE", TableData[Xhelo], A32))</f>
        <v>0</v>
      </c>
      <c r="AG32">
        <f>IF(A32=0, 0, COUNTIF(TableData[Xhelo], A32))</f>
        <v>0</v>
      </c>
      <c r="AH32">
        <f>IF(AG32&gt;0, AF32/AG32, 0)</f>
        <v>0</v>
      </c>
      <c r="AI32">
        <f>AG32-AF32</f>
        <v>0</v>
      </c>
      <c r="AJ32">
        <f>IF(AG32&gt;0, INT(AH32*10000000) + (AF32*1000) + (100-ROW()), -1)</f>
        <v>-1</v>
      </c>
      <c r="AK32">
        <f>SUMIF(TableData[Xhelo], A32, TableData[X_K])</f>
        <v>0</v>
      </c>
      <c r="AL32">
        <f>SUMIF(TableData[Xhelo], A32, TableData[X_D])</f>
        <v>0</v>
      </c>
      <c r="AM32">
        <f>SUMIF(TableData[Xhelo], A32, TableData[X_A])</f>
        <v>0</v>
      </c>
      <c r="AN32">
        <f>IF(AG32&gt;0, (AK32+AM32)/MAX(1, AL32), 0)</f>
        <v>0</v>
      </c>
      <c r="AO32">
        <f>IF(AG32&gt;0, AN32*10000 + (100-ROW()), -1)</f>
        <v>-1</v>
      </c>
      <c r="AQ32">
        <f>IF(A32=0, 0, COUNTIFS(TableData[Résultat], "VICTOIRE", TableData[J9], A32))</f>
        <v>0</v>
      </c>
      <c r="AR32">
        <f>IF(A32=0, 0, COUNTIF(TableData[J9], A32))</f>
        <v>0</v>
      </c>
      <c r="AS32">
        <f>IF(AR32&gt;0, AQ32/AR32, 0)</f>
        <v>0</v>
      </c>
      <c r="AT32">
        <f>AR32-AQ32</f>
        <v>0</v>
      </c>
      <c r="AU32">
        <f>IF(AR32&gt;0, INT(AS32*10000000) + (AQ32*1000) + (100-ROW()), -1)</f>
        <v>-1</v>
      </c>
      <c r="AV32">
        <f>SUMIF(TableData[J9], A32, TableData[J_K])</f>
        <v>0</v>
      </c>
      <c r="AW32">
        <f>SUMIF(TableData[J9], A32, TableData[J_D])</f>
        <v>0</v>
      </c>
      <c r="AX32">
        <f>SUMIF(TableData[J9], A32, TableData[J_A])</f>
        <v>0</v>
      </c>
      <c r="AY32">
        <f>IF(AR32&gt;0, (AV32+AX32)/MAX(1, AW32), 0)</f>
        <v>0</v>
      </c>
      <c r="AZ32">
        <f>IF(AR32&gt;0, AY32*10000 + (100-ROW()), -1)</f>
        <v>-1</v>
      </c>
    </row>
    <row r="33" spans="1:52">
      <c r="A33" t="str">
        <f>IF(PARAMETRES!A25="", 0, PARAMETRES!A25)</f>
        <v>Son Gohan Petit</v>
      </c>
      <c r="B33">
        <f>IF(A33=0, 0, COUNTIFS(TableData[Résultat], "VICTOIRE", TableData[Xhelo], A33) + COUNTIFS(TableData[Résultat], "VICTOIRE", TableData[J9], A33))</f>
        <v>0</v>
      </c>
      <c r="C33">
        <f>IF(A33=0, 0, COUNTIF(TableData[Xhelo], A33) + COUNTIF(TableData[J9], A33))</f>
        <v>0</v>
      </c>
      <c r="D33">
        <f>IF(C33&gt;0, B33/C33, 0)</f>
        <v>0</v>
      </c>
      <c r="E33">
        <f>IF(C33&gt;0, INT(D33*10000000) + (B33*1000) + (100-ROW()), -1)</f>
        <v>-1</v>
      </c>
      <c r="F33" t="str">
        <f>IF(A33=0, 0, PARAMETRES!B25)</f>
        <v>Soutien</v>
      </c>
      <c r="L33">
        <f>C33-B33</f>
        <v>0</v>
      </c>
      <c r="N33" t="str">
        <f>IF(DATA!L25="", "", DATA!L25)</f>
        <v>Broly + Gotenks</v>
      </c>
      <c r="O33" t="str">
        <f>IF(N33="", "", IF(COUNTIF(N$10:N33, N33)=1, ROW(), ""))</f>
        <v/>
      </c>
      <c r="P33" t="str">
        <f>IFERROR(SMALL(O$10:O$500, 24), "")</f>
        <v/>
      </c>
      <c r="R33">
        <f>IF(P33="", 0, INDEX(N$10:N$500, P33-9))</f>
        <v>0</v>
      </c>
      <c r="S33">
        <f>IF(R33=0, 0, COUNTIFS(TableData[Résultat], "VICTOIRE", TableData[DUO], R33))</f>
        <v>0</v>
      </c>
      <c r="T33">
        <f>IF(R33=0, 0, COUNTIF(TableData[DUO], R33))</f>
        <v>0</v>
      </c>
      <c r="U33">
        <f>IF(T33&gt;0, S33/T33, 0)</f>
        <v>0</v>
      </c>
      <c r="V33">
        <f>IF(T33&gt;0, INT(U33*10000000) + (S33*1000) + (10000-ROW()), -1)</f>
        <v>-1</v>
      </c>
      <c r="Y33">
        <f>T33-S33</f>
        <v>0</v>
      </c>
      <c r="AF33">
        <f>IF(A33=0, 0, COUNTIFS(TableData[Résultat], "VICTOIRE", TableData[Xhelo], A33))</f>
        <v>0</v>
      </c>
      <c r="AG33">
        <f>IF(A33=0, 0, COUNTIF(TableData[Xhelo], A33))</f>
        <v>0</v>
      </c>
      <c r="AH33">
        <f>IF(AG33&gt;0, AF33/AG33, 0)</f>
        <v>0</v>
      </c>
      <c r="AI33">
        <f>AG33-AF33</f>
        <v>0</v>
      </c>
      <c r="AJ33">
        <f>IF(AG33&gt;0, INT(AH33*10000000) + (AF33*1000) + (100-ROW()), -1)</f>
        <v>-1</v>
      </c>
      <c r="AK33">
        <f>SUMIF(TableData[Xhelo], A33, TableData[X_K])</f>
        <v>0</v>
      </c>
      <c r="AL33">
        <f>SUMIF(TableData[Xhelo], A33, TableData[X_D])</f>
        <v>0</v>
      </c>
      <c r="AM33">
        <f>SUMIF(TableData[Xhelo], A33, TableData[X_A])</f>
        <v>0</v>
      </c>
      <c r="AN33">
        <f>IF(AG33&gt;0, (AK33+AM33)/MAX(1, AL33), 0)</f>
        <v>0</v>
      </c>
      <c r="AO33">
        <f>IF(AG33&gt;0, AN33*10000 + (100-ROW()), -1)</f>
        <v>-1</v>
      </c>
      <c r="AQ33">
        <f>IF(A33=0, 0, COUNTIFS(TableData[Résultat], "VICTOIRE", TableData[J9], A33))</f>
        <v>0</v>
      </c>
      <c r="AR33">
        <f>IF(A33=0, 0, COUNTIF(TableData[J9], A33))</f>
        <v>0</v>
      </c>
      <c r="AS33">
        <f>IF(AR33&gt;0, AQ33/AR33, 0)</f>
        <v>0</v>
      </c>
      <c r="AT33">
        <f>AR33-AQ33</f>
        <v>0</v>
      </c>
      <c r="AU33">
        <f>IF(AR33&gt;0, INT(AS33*10000000) + (AQ33*1000) + (100-ROW()), -1)</f>
        <v>-1</v>
      </c>
      <c r="AV33">
        <f>SUMIF(TableData[J9], A33, TableData[J_K])</f>
        <v>0</v>
      </c>
      <c r="AW33">
        <f>SUMIF(TableData[J9], A33, TableData[J_D])</f>
        <v>0</v>
      </c>
      <c r="AX33">
        <f>SUMIF(TableData[J9], A33, TableData[J_A])</f>
        <v>0</v>
      </c>
      <c r="AY33">
        <f>IF(AR33&gt;0, (AV33+AX33)/MAX(1, AW33), 0)</f>
        <v>0</v>
      </c>
      <c r="AZ33">
        <f>IF(AR33&gt;0, AY33*10000 + (100-ROW()), -1)</f>
        <v>-1</v>
      </c>
    </row>
    <row r="34" spans="1:52">
      <c r="A34" t="str">
        <f>IF(PARAMETRES!A26="", 0, PARAMETRES!A26)</f>
        <v>Frieza 1</v>
      </c>
      <c r="B34">
        <f>IF(A34=0, 0, COUNTIFS(TableData[Résultat], "VICTOIRE", TableData[Xhelo], A34) + COUNTIFS(TableData[Résultat], "VICTOIRE", TableData[J9], A34))</f>
        <v>0</v>
      </c>
      <c r="C34">
        <f>IF(A34=0, 0, COUNTIF(TableData[Xhelo], A34) + COUNTIF(TableData[J9], A34))</f>
        <v>0</v>
      </c>
      <c r="D34">
        <f>IF(C34&gt;0, B34/C34, 0)</f>
        <v>0</v>
      </c>
      <c r="E34">
        <f>IF(C34&gt;0, INT(D34*10000000) + (B34*1000) + (100-ROW()), -1)</f>
        <v>-1</v>
      </c>
      <c r="F34" t="str">
        <f>IF(A34=0, 0, PARAMETRES!B26)</f>
        <v>Soutien</v>
      </c>
      <c r="L34">
        <f>C34-B34</f>
        <v>0</v>
      </c>
      <c r="N34" t="str">
        <f>IF(DATA!L26="", "", DATA!L26)</f>
        <v>Broly + Gotenks</v>
      </c>
      <c r="O34" t="str">
        <f>IF(N34="", "", IF(COUNTIF(N$10:N34, N34)=1, ROW(), ""))</f>
        <v/>
      </c>
      <c r="P34" t="str">
        <f>IFERROR(SMALL(O$10:O$500, 25), "")</f>
        <v/>
      </c>
      <c r="R34">
        <f>IF(P34="", 0, INDEX(N$10:N$500, P34-9))</f>
        <v>0</v>
      </c>
      <c r="S34">
        <f>IF(R34=0, 0, COUNTIFS(TableData[Résultat], "VICTOIRE", TableData[DUO], R34))</f>
        <v>0</v>
      </c>
      <c r="T34">
        <f>IF(R34=0, 0, COUNTIF(TableData[DUO], R34))</f>
        <v>0</v>
      </c>
      <c r="U34">
        <f>IF(T34&gt;0, S34/T34, 0)</f>
        <v>0</v>
      </c>
      <c r="V34">
        <f>IF(T34&gt;0, INT(U34*10000000) + (S34*1000) + (10000-ROW()), -1)</f>
        <v>-1</v>
      </c>
      <c r="Y34">
        <f>T34-S34</f>
        <v>0</v>
      </c>
      <c r="AF34">
        <f>IF(A34=0, 0, COUNTIFS(TableData[Résultat], "VICTOIRE", TableData[Xhelo], A34))</f>
        <v>0</v>
      </c>
      <c r="AG34">
        <f>IF(A34=0, 0, COUNTIF(TableData[Xhelo], A34))</f>
        <v>0</v>
      </c>
      <c r="AH34">
        <f>IF(AG34&gt;0, AF34/AG34, 0)</f>
        <v>0</v>
      </c>
      <c r="AI34">
        <f>AG34-AF34</f>
        <v>0</v>
      </c>
      <c r="AJ34">
        <f>IF(AG34&gt;0, INT(AH34*10000000) + (AF34*1000) + (100-ROW()), -1)</f>
        <v>-1</v>
      </c>
      <c r="AK34">
        <f>SUMIF(TableData[Xhelo], A34, TableData[X_K])</f>
        <v>0</v>
      </c>
      <c r="AL34">
        <f>SUMIF(TableData[Xhelo], A34, TableData[X_D])</f>
        <v>0</v>
      </c>
      <c r="AM34">
        <f>SUMIF(TableData[Xhelo], A34, TableData[X_A])</f>
        <v>0</v>
      </c>
      <c r="AN34">
        <f>IF(AG34&gt;0, (AK34+AM34)/MAX(1, AL34), 0)</f>
        <v>0</v>
      </c>
      <c r="AO34">
        <f>IF(AG34&gt;0, AN34*10000 + (100-ROW()), -1)</f>
        <v>-1</v>
      </c>
      <c r="AQ34">
        <f>IF(A34=0, 0, COUNTIFS(TableData[Résultat], "VICTOIRE", TableData[J9], A34))</f>
        <v>0</v>
      </c>
      <c r="AR34">
        <f>IF(A34=0, 0, COUNTIF(TableData[J9], A34))</f>
        <v>0</v>
      </c>
      <c r="AS34">
        <f>IF(AR34&gt;0, AQ34/AR34, 0)</f>
        <v>0</v>
      </c>
      <c r="AT34">
        <f>AR34-AQ34</f>
        <v>0</v>
      </c>
      <c r="AU34">
        <f>IF(AR34&gt;0, INT(AS34*10000000) + (AQ34*1000) + (100-ROW()), -1)</f>
        <v>-1</v>
      </c>
      <c r="AV34">
        <f>SUMIF(TableData[J9], A34, TableData[J_K])</f>
        <v>0</v>
      </c>
      <c r="AW34">
        <f>SUMIF(TableData[J9], A34, TableData[J_D])</f>
        <v>0</v>
      </c>
      <c r="AX34">
        <f>SUMIF(TableData[J9], A34, TableData[J_A])</f>
        <v>0</v>
      </c>
      <c r="AY34">
        <f>IF(AR34&gt;0, (AV34+AX34)/MAX(1, AW34), 0)</f>
        <v>0</v>
      </c>
      <c r="AZ34">
        <f>IF(AR34&gt;0, AY34*10000 + (100-ROW()), -1)</f>
        <v>-1</v>
      </c>
    </row>
    <row r="35" spans="1:52">
      <c r="A35" t="str">
        <f>IF(PARAMETRES!A27="", 0, PARAMETRES!A27)</f>
        <v>C-17</v>
      </c>
      <c r="B35">
        <f>IF(A35=0, 0, COUNTIFS(TableData[Résultat], "VICTOIRE", TableData[Xhelo], A35) + COUNTIFS(TableData[Résultat], "VICTOIRE", TableData[J9], A35))</f>
        <v>0</v>
      </c>
      <c r="C35">
        <f>IF(A35=0, 0, COUNTIF(TableData[Xhelo], A35) + COUNTIF(TableData[J9], A35))</f>
        <v>0</v>
      </c>
      <c r="D35">
        <f>IF(C35&gt;0, B35/C35, 0)</f>
        <v>0</v>
      </c>
      <c r="E35">
        <f>IF(C35&gt;0, INT(D35*10000000) + (B35*1000) + (100-ROW()), -1)</f>
        <v>-1</v>
      </c>
      <c r="F35" t="str">
        <f>IF(A35=0, 0, PARAMETRES!B27)</f>
        <v>Soutien</v>
      </c>
      <c r="L35">
        <f>C35-B35</f>
        <v>0</v>
      </c>
      <c r="N35" t="str">
        <f>IF(DATA!L27="", "", DATA!L27)</f>
        <v>Vegeta 4 + Trunks Jeune</v>
      </c>
      <c r="O35" t="str">
        <f>IF(N35="", "", IF(COUNTIF(N$10:N35, N35)=1, ROW(), ""))</f>
        <v/>
      </c>
      <c r="P35" t="str">
        <f>IFERROR(SMALL(O$10:O$500, 26), "")</f>
        <v/>
      </c>
      <c r="R35">
        <f>IF(P35="", 0, INDEX(N$10:N$500, P35-9))</f>
        <v>0</v>
      </c>
      <c r="S35">
        <f>IF(R35=0, 0, COUNTIFS(TableData[Résultat], "VICTOIRE", TableData[DUO], R35))</f>
        <v>0</v>
      </c>
      <c r="T35">
        <f>IF(R35=0, 0, COUNTIF(TableData[DUO], R35))</f>
        <v>0</v>
      </c>
      <c r="U35">
        <f>IF(T35&gt;0, S35/T35, 0)</f>
        <v>0</v>
      </c>
      <c r="V35">
        <f>IF(T35&gt;0, INT(U35*10000000) + (S35*1000) + (10000-ROW()), -1)</f>
        <v>-1</v>
      </c>
      <c r="Y35">
        <f>T35-S35</f>
        <v>0</v>
      </c>
      <c r="AF35">
        <f>IF(A35=0, 0, COUNTIFS(TableData[Résultat], "VICTOIRE", TableData[Xhelo], A35))</f>
        <v>0</v>
      </c>
      <c r="AG35">
        <f>IF(A35=0, 0, COUNTIF(TableData[Xhelo], A35))</f>
        <v>0</v>
      </c>
      <c r="AH35">
        <f>IF(AG35&gt;0, AF35/AG35, 0)</f>
        <v>0</v>
      </c>
      <c r="AI35">
        <f>AG35-AF35</f>
        <v>0</v>
      </c>
      <c r="AJ35">
        <f>IF(AG35&gt;0, INT(AH35*10000000) + (AF35*1000) + (100-ROW()), -1)</f>
        <v>-1</v>
      </c>
      <c r="AK35">
        <f>SUMIF(TableData[Xhelo], A35, TableData[X_K])</f>
        <v>0</v>
      </c>
      <c r="AL35">
        <f>SUMIF(TableData[Xhelo], A35, TableData[X_D])</f>
        <v>0</v>
      </c>
      <c r="AM35">
        <f>SUMIF(TableData[Xhelo], A35, TableData[X_A])</f>
        <v>0</v>
      </c>
      <c r="AN35">
        <f>IF(AG35&gt;0, (AK35+AM35)/MAX(1, AL35), 0)</f>
        <v>0</v>
      </c>
      <c r="AO35">
        <f>IF(AG35&gt;0, AN35*10000 + (100-ROW()), -1)</f>
        <v>-1</v>
      </c>
      <c r="AQ35">
        <f>IF(A35=0, 0, COUNTIFS(TableData[Résultat], "VICTOIRE", TableData[J9], A35))</f>
        <v>0</v>
      </c>
      <c r="AR35">
        <f>IF(A35=0, 0, COUNTIF(TableData[J9], A35))</f>
        <v>0</v>
      </c>
      <c r="AS35">
        <f>IF(AR35&gt;0, AQ35/AR35, 0)</f>
        <v>0</v>
      </c>
      <c r="AT35">
        <f>AR35-AQ35</f>
        <v>0</v>
      </c>
      <c r="AU35">
        <f>IF(AR35&gt;0, INT(AS35*10000000) + (AQ35*1000) + (100-ROW()), -1)</f>
        <v>-1</v>
      </c>
      <c r="AV35">
        <f>SUMIF(TableData[J9], A35, TableData[J_K])</f>
        <v>0</v>
      </c>
      <c r="AW35">
        <f>SUMIF(TableData[J9], A35, TableData[J_D])</f>
        <v>0</v>
      </c>
      <c r="AX35">
        <f>SUMIF(TableData[J9], A35, TableData[J_A])</f>
        <v>0</v>
      </c>
      <c r="AY35">
        <f>IF(AR35&gt;0, (AV35+AX35)/MAX(1, AW35), 0)</f>
        <v>0</v>
      </c>
      <c r="AZ35">
        <f>IF(AR35&gt;0, AY35*10000 + (100-ROW()), -1)</f>
        <v>-1</v>
      </c>
    </row>
    <row r="36" spans="1:52">
      <c r="A36" t="str">
        <f>IF(PARAMETRES!A28="", 0, PARAMETRES!A28)</f>
        <v>Gotenks</v>
      </c>
      <c r="B36">
        <f>IF(A36=0, 0, COUNTIFS(TableData[Résultat], "VICTOIRE", TableData[Xhelo], A36) + COUNTIFS(TableData[Résultat], "VICTOIRE", TableData[J9], A36))</f>
        <v>12</v>
      </c>
      <c r="C36">
        <f>IF(A36=0, 0, COUNTIF(TableData[Xhelo], A36) + COUNTIF(TableData[J9], A36))</f>
        <v>21</v>
      </c>
      <c r="D36">
        <f>IF(C36&gt;0, B36/C36, 0)</f>
        <v>0.5714285714285714</v>
      </c>
      <c r="E36">
        <f>IF(C36&gt;0, INT(D36*10000000) + (B36*1000) + (100-ROW()), -1)</f>
        <v>5726349</v>
      </c>
      <c r="F36" t="str">
        <f>IF(A36=0, 0, PARAMETRES!B28)</f>
        <v>Soutien</v>
      </c>
      <c r="L36">
        <f>C36-B36</f>
        <v>9</v>
      </c>
      <c r="N36" t="str">
        <f>IF(DATA!L28="", "", DATA!L28)</f>
        <v>Buu + Trunks Jeune</v>
      </c>
      <c r="O36" t="str">
        <f>IF(N36="", "", IF(COUNTIF(N$10:N36, N36)=1, ROW(), ""))</f>
        <v/>
      </c>
      <c r="P36" t="str">
        <f>IFERROR(SMALL(O$10:O$500, 27), "")</f>
        <v/>
      </c>
      <c r="R36">
        <f>IF(P36="", 0, INDEX(N$10:N$500, P36-9))</f>
        <v>0</v>
      </c>
      <c r="S36">
        <f>IF(R36=0, 0, COUNTIFS(TableData[Résultat], "VICTOIRE", TableData[DUO], R36))</f>
        <v>0</v>
      </c>
      <c r="T36">
        <f>IF(R36=0, 0, COUNTIF(TableData[DUO], R36))</f>
        <v>0</v>
      </c>
      <c r="U36">
        <f>IF(T36&gt;0, S36/T36, 0)</f>
        <v>0</v>
      </c>
      <c r="V36">
        <f>IF(T36&gt;0, INT(U36*10000000) + (S36*1000) + (10000-ROW()), -1)</f>
        <v>-1</v>
      </c>
      <c r="Y36">
        <f>T36-S36</f>
        <v>0</v>
      </c>
      <c r="AF36">
        <f>IF(A36=0, 0, COUNTIFS(TableData[Résultat], "VICTOIRE", TableData[Xhelo], A36))</f>
        <v>0</v>
      </c>
      <c r="AG36">
        <f>IF(A36=0, 0, COUNTIF(TableData[Xhelo], A36))</f>
        <v>0</v>
      </c>
      <c r="AH36">
        <f>IF(AG36&gt;0, AF36/AG36, 0)</f>
        <v>0</v>
      </c>
      <c r="AI36">
        <f>AG36-AF36</f>
        <v>0</v>
      </c>
      <c r="AJ36">
        <f>IF(AG36&gt;0, INT(AH36*10000000) + (AF36*1000) + (100-ROW()), -1)</f>
        <v>-1</v>
      </c>
      <c r="AK36">
        <f>SUMIF(TableData[Xhelo], A36, TableData[X_K])</f>
        <v>0</v>
      </c>
      <c r="AL36">
        <f>SUMIF(TableData[Xhelo], A36, TableData[X_D])</f>
        <v>0</v>
      </c>
      <c r="AM36">
        <f>SUMIF(TableData[Xhelo], A36, TableData[X_A])</f>
        <v>0</v>
      </c>
      <c r="AN36">
        <f>IF(AG36&gt;0, (AK36+AM36)/MAX(1, AL36), 0)</f>
        <v>0</v>
      </c>
      <c r="AO36">
        <f>IF(AG36&gt;0, AN36*10000 + (100-ROW()), -1)</f>
        <v>-1</v>
      </c>
      <c r="AQ36">
        <f>IF(A36=0, 0, COUNTIFS(TableData[Résultat], "VICTOIRE", TableData[J9], A36))</f>
        <v>12</v>
      </c>
      <c r="AR36">
        <f>IF(A36=0, 0, COUNTIF(TableData[J9], A36))</f>
        <v>21</v>
      </c>
      <c r="AS36">
        <f>IF(AR36&gt;0, AQ36/AR36, 0)</f>
        <v>0.5714285714285714</v>
      </c>
      <c r="AT36">
        <f>AR36-AQ36</f>
        <v>9</v>
      </c>
      <c r="AU36">
        <f>IF(AR36&gt;0, INT(AS36*10000000) + (AQ36*1000) + (100-ROW()), -1)</f>
        <v>5726349</v>
      </c>
      <c r="AV36">
        <f>SUMIF(TableData[J9], A36, TableData[J_K])</f>
        <v>28</v>
      </c>
      <c r="AW36">
        <f>SUMIF(TableData[J9], A36, TableData[J_D])</f>
        <v>31</v>
      </c>
      <c r="AX36">
        <f>SUMIF(TableData[J9], A36, TableData[J_A])</f>
        <v>62</v>
      </c>
      <c r="AY36">
        <f>IF(AR36&gt;0, (AV36+AX36)/MAX(1, AW36), 0)</f>
        <v>2.903225806451613</v>
      </c>
      <c r="AZ36">
        <f>IF(AR36&gt;0, AY36*10000 + (100-ROW()), -1)</f>
        <v>29096.258064516129</v>
      </c>
    </row>
    <row r="37" spans="1:52">
      <c r="A37" t="str">
        <f>IF(PARAMETRES!A29="", 0, PARAMETRES!A29)</f>
        <v>Hit</v>
      </c>
      <c r="B37">
        <f>IF(A37=0, 0, COUNTIFS(TableData[Résultat], "VICTOIRE", TableData[Xhelo], A37) + COUNTIFS(TableData[Résultat], "VICTOIRE", TableData[J9], A37))</f>
        <v>13</v>
      </c>
      <c r="C37">
        <f>IF(A37=0, 0, COUNTIF(TableData[Xhelo], A37) + COUNTIF(TableData[J9], A37))</f>
        <v>20</v>
      </c>
      <c r="D37">
        <f>IF(C37&gt;0, B37/C37, 0)</f>
        <v>0.65</v>
      </c>
      <c r="E37">
        <f>IF(C37&gt;0, INT(D37*10000000) + (B37*1000) + (100-ROW()), -1)</f>
        <v>6513063</v>
      </c>
      <c r="F37" t="str">
        <f>IF(A37=0, 0, PARAMETRES!B29)</f>
        <v>Soutien</v>
      </c>
      <c r="L37">
        <f>C37-B37</f>
        <v>7</v>
      </c>
      <c r="N37" t="str">
        <f>IF(DATA!L29="", "", DATA!L29)</f>
        <v>Broly + Cooler</v>
      </c>
      <c r="O37" t="str">
        <f>IF(N37="", "", IF(COUNTIF(N$10:N37, N37)=1, ROW(), ""))</f>
        <v/>
      </c>
      <c r="P37" t="str">
        <f>IFERROR(SMALL(O$10:O$500, 28), "")</f>
        <v/>
      </c>
      <c r="R37">
        <f>IF(P37="", 0, INDEX(N$10:N$500, P37-9))</f>
        <v>0</v>
      </c>
      <c r="S37">
        <f>IF(R37=0, 0, COUNTIFS(TableData[Résultat], "VICTOIRE", TableData[DUO], R37))</f>
        <v>0</v>
      </c>
      <c r="T37">
        <f>IF(R37=0, 0, COUNTIF(TableData[DUO], R37))</f>
        <v>0</v>
      </c>
      <c r="U37">
        <f>IF(T37&gt;0, S37/T37, 0)</f>
        <v>0</v>
      </c>
      <c r="V37">
        <f>IF(T37&gt;0, INT(U37*10000000) + (S37*1000) + (10000-ROW()), -1)</f>
        <v>-1</v>
      </c>
      <c r="Y37">
        <f>T37-S37</f>
        <v>0</v>
      </c>
      <c r="AF37">
        <f>IF(A37=0, 0, COUNTIFS(TableData[Résultat], "VICTOIRE", TableData[Xhelo], A37))</f>
        <v>0</v>
      </c>
      <c r="AG37">
        <f>IF(A37=0, 0, COUNTIF(TableData[Xhelo], A37))</f>
        <v>0</v>
      </c>
      <c r="AH37">
        <f>IF(AG37&gt;0, AF37/AG37, 0)</f>
        <v>0</v>
      </c>
      <c r="AI37">
        <f>AG37-AF37</f>
        <v>0</v>
      </c>
      <c r="AJ37">
        <f>IF(AG37&gt;0, INT(AH37*10000000) + (AF37*1000) + (100-ROW()), -1)</f>
        <v>-1</v>
      </c>
      <c r="AK37">
        <f>SUMIF(TableData[Xhelo], A37, TableData[X_K])</f>
        <v>0</v>
      </c>
      <c r="AL37">
        <f>SUMIF(TableData[Xhelo], A37, TableData[X_D])</f>
        <v>0</v>
      </c>
      <c r="AM37">
        <f>SUMIF(TableData[Xhelo], A37, TableData[X_A])</f>
        <v>0</v>
      </c>
      <c r="AN37">
        <f>IF(AG37&gt;0, (AK37+AM37)/MAX(1, AL37), 0)</f>
        <v>0</v>
      </c>
      <c r="AO37">
        <f>IF(AG37&gt;0, AN37*10000 + (100-ROW()), -1)</f>
        <v>-1</v>
      </c>
      <c r="AQ37">
        <f>IF(A37=0, 0, COUNTIFS(TableData[Résultat], "VICTOIRE", TableData[J9], A37))</f>
        <v>13</v>
      </c>
      <c r="AR37">
        <f>IF(A37=0, 0, COUNTIF(TableData[J9], A37))</f>
        <v>20</v>
      </c>
      <c r="AS37">
        <f>IF(AR37&gt;0, AQ37/AR37, 0)</f>
        <v>0.65</v>
      </c>
      <c r="AT37">
        <f>AR37-AQ37</f>
        <v>7</v>
      </c>
      <c r="AU37">
        <f>IF(AR37&gt;0, INT(AS37*10000000) + (AQ37*1000) + (100-ROW()), -1)</f>
        <v>6513063</v>
      </c>
      <c r="AV37">
        <f>SUMIF(TableData[J9], A37, TableData[J_K])</f>
        <v>67</v>
      </c>
      <c r="AW37">
        <f>SUMIF(TableData[J9], A37, TableData[J_D])</f>
        <v>38</v>
      </c>
      <c r="AX37">
        <f>SUMIF(TableData[J9], A37, TableData[J_A])</f>
        <v>102</v>
      </c>
      <c r="AY37">
        <f>IF(AR37&gt;0, (AV37+AX37)/MAX(1, AW37), 0)</f>
        <v>4.4473684210526319</v>
      </c>
      <c r="AZ37">
        <f>IF(AR37&gt;0, AY37*10000 + (100-ROW()), -1)</f>
        <v>44536.68421052632</v>
      </c>
    </row>
    <row r="38" spans="1:52">
      <c r="A38" t="str">
        <f>IF(PARAMETRES!A30="", 0, PARAMETRES!A30)</f>
        <v>Ultimate Gohan</v>
      </c>
      <c r="B38">
        <f>IF(A38=0, 0, COUNTIFS(TableData[Résultat], "VICTOIRE", TableData[Xhelo], A38) + COUNTIFS(TableData[Résultat], "VICTOIRE", TableData[J9], A38))</f>
        <v>7</v>
      </c>
      <c r="C38">
        <f>IF(A38=0, 0, COUNTIF(TableData[Xhelo], A38) + COUNTIF(TableData[J9], A38))</f>
        <v>16</v>
      </c>
      <c r="D38">
        <f>IF(C38&gt;0, B38/C38, 0)</f>
        <v>0.4375</v>
      </c>
      <c r="E38">
        <f>IF(C38&gt;0, INT(D38*10000000) + (B38*1000) + (100-ROW()), -1)</f>
        <v>4382062</v>
      </c>
      <c r="F38" t="str">
        <f>IF(A38=0, 0, PARAMETRES!B30)</f>
        <v>Soutien</v>
      </c>
      <c r="L38">
        <f>C38-B38</f>
        <v>9</v>
      </c>
      <c r="N38" t="str">
        <f>IF(DATA!L30="", "", DATA!L30)</f>
        <v>Broly + Gotenks</v>
      </c>
      <c r="O38" t="str">
        <f>IF(N38="", "", IF(COUNTIF(N$10:N38, N38)=1, ROW(), ""))</f>
        <v/>
      </c>
      <c r="P38" t="str">
        <f>IFERROR(SMALL(O$10:O$500, 29), "")</f>
        <v/>
      </c>
      <c r="R38">
        <f>IF(P38="", 0, INDEX(N$10:N$500, P38-9))</f>
        <v>0</v>
      </c>
      <c r="S38">
        <f>IF(R38=0, 0, COUNTIFS(TableData[Résultat], "VICTOIRE", TableData[DUO], R38))</f>
        <v>0</v>
      </c>
      <c r="T38">
        <f>IF(R38=0, 0, COUNTIF(TableData[DUO], R38))</f>
        <v>0</v>
      </c>
      <c r="U38">
        <f>IF(T38&gt;0, S38/T38, 0)</f>
        <v>0</v>
      </c>
      <c r="V38">
        <f>IF(T38&gt;0, INT(U38*10000000) + (S38*1000) + (10000-ROW()), -1)</f>
        <v>-1</v>
      </c>
      <c r="Y38">
        <f>T38-S38</f>
        <v>0</v>
      </c>
      <c r="AF38">
        <f>IF(A38=0, 0, COUNTIFS(TableData[Résultat], "VICTOIRE", TableData[Xhelo], A38))</f>
        <v>0</v>
      </c>
      <c r="AG38">
        <f>IF(A38=0, 0, COUNTIF(TableData[Xhelo], A38))</f>
        <v>0</v>
      </c>
      <c r="AH38">
        <f>IF(AG38&gt;0, AF38/AG38, 0)</f>
        <v>0</v>
      </c>
      <c r="AI38">
        <f>AG38-AF38</f>
        <v>0</v>
      </c>
      <c r="AJ38">
        <f>IF(AG38&gt;0, INT(AH38*10000000) + (AF38*1000) + (100-ROW()), -1)</f>
        <v>-1</v>
      </c>
      <c r="AK38">
        <f>SUMIF(TableData[Xhelo], A38, TableData[X_K])</f>
        <v>0</v>
      </c>
      <c r="AL38">
        <f>SUMIF(TableData[Xhelo], A38, TableData[X_D])</f>
        <v>0</v>
      </c>
      <c r="AM38">
        <f>SUMIF(TableData[Xhelo], A38, TableData[X_A])</f>
        <v>0</v>
      </c>
      <c r="AN38">
        <f>IF(AG38&gt;0, (AK38+AM38)/MAX(1, AL38), 0)</f>
        <v>0</v>
      </c>
      <c r="AO38">
        <f>IF(AG38&gt;0, AN38*10000 + (100-ROW()), -1)</f>
        <v>-1</v>
      </c>
      <c r="AQ38">
        <f>IF(A38=0, 0, COUNTIFS(TableData[Résultat], "VICTOIRE", TableData[J9], A38))</f>
        <v>7</v>
      </c>
      <c r="AR38">
        <f>IF(A38=0, 0, COUNTIF(TableData[J9], A38))</f>
        <v>16</v>
      </c>
      <c r="AS38">
        <f>IF(AR38&gt;0, AQ38/AR38, 0)</f>
        <v>0.4375</v>
      </c>
      <c r="AT38">
        <f>AR38-AQ38</f>
        <v>9</v>
      </c>
      <c r="AU38">
        <f>IF(AR38&gt;0, INT(AS38*10000000) + (AQ38*1000) + (100-ROW()), -1)</f>
        <v>4382062</v>
      </c>
      <c r="AV38">
        <f>SUMIF(TableData[J9], A38, TableData[J_K])</f>
        <v>38</v>
      </c>
      <c r="AW38">
        <f>SUMIF(TableData[J9], A38, TableData[J_D])</f>
        <v>55</v>
      </c>
      <c r="AX38">
        <f>SUMIF(TableData[J9], A38, TableData[J_A])</f>
        <v>66</v>
      </c>
      <c r="AY38">
        <f>IF(AR38&gt;0, (AV38+AX38)/MAX(1, AW38), 0)</f>
        <v>1.8909090909090909</v>
      </c>
      <c r="AZ38">
        <f>IF(AR38&gt;0, AY38*10000 + (100-ROW()), -1)</f>
        <v>18971.090909090908</v>
      </c>
    </row>
    <row r="39" spans="1:52">
      <c r="A39" t="str">
        <f>IF(PARAMETRES!A31="", 0, PARAMETRES!A31)</f>
        <v>Gogeta 4</v>
      </c>
      <c r="B39">
        <f>IF(A39=0, 0, COUNTIFS(TableData[Résultat], "VICTOIRE", TableData[Xhelo], A39) + COUNTIFS(TableData[Résultat], "VICTOIRE", TableData[J9], A39))</f>
        <v>0</v>
      </c>
      <c r="C39">
        <f>IF(A39=0, 0, COUNTIF(TableData[Xhelo], A39) + COUNTIF(TableData[J9], A39))</f>
        <v>0</v>
      </c>
      <c r="D39">
        <f>IF(C39&gt;0, B39/C39, 0)</f>
        <v>0</v>
      </c>
      <c r="E39">
        <f>IF(C39&gt;0, INT(D39*10000000) + (B39*1000) + (100-ROW()), -1)</f>
        <v>-1</v>
      </c>
      <c r="F39" t="str">
        <f>IF(A39=0, 0, PARAMETRES!B31)</f>
        <v>Attaquant</v>
      </c>
      <c r="L39">
        <f>C39-B39</f>
        <v>0</v>
      </c>
      <c r="N39" t="str">
        <f>IF(DATA!L31="", "", DATA!L31)</f>
        <v>Cell + Trunks Jeune</v>
      </c>
      <c r="O39">
        <f>IF(N39="", "", IF(COUNTIF(N$10:N39, N39)=1, ROW(), ""))</f>
        <v>39</v>
      </c>
      <c r="P39" t="str">
        <f>IFERROR(SMALL(O$10:O$500, 30), "")</f>
        <v/>
      </c>
      <c r="R39">
        <f>IF(P39="", 0, INDEX(N$10:N$500, P39-9))</f>
        <v>0</v>
      </c>
      <c r="S39">
        <f>IF(R39=0, 0, COUNTIFS(TableData[Résultat], "VICTOIRE", TableData[DUO], R39))</f>
        <v>0</v>
      </c>
      <c r="T39">
        <f>IF(R39=0, 0, COUNTIF(TableData[DUO], R39))</f>
        <v>0</v>
      </c>
      <c r="U39">
        <f>IF(T39&gt;0, S39/T39, 0)</f>
        <v>0</v>
      </c>
      <c r="V39">
        <f>IF(T39&gt;0, INT(U39*10000000) + (S39*1000) + (10000-ROW()), -1)</f>
        <v>-1</v>
      </c>
      <c r="Y39">
        <f>T39-S39</f>
        <v>0</v>
      </c>
      <c r="AF39">
        <f>IF(A39=0, 0, COUNTIFS(TableData[Résultat], "VICTOIRE", TableData[Xhelo], A39))</f>
        <v>0</v>
      </c>
      <c r="AG39">
        <f>IF(A39=0, 0, COUNTIF(TableData[Xhelo], A39))</f>
        <v>0</v>
      </c>
      <c r="AH39">
        <f>IF(AG39&gt;0, AF39/AG39, 0)</f>
        <v>0</v>
      </c>
      <c r="AI39">
        <f>AG39-AF39</f>
        <v>0</v>
      </c>
      <c r="AJ39">
        <f>IF(AG39&gt;0, INT(AH39*10000000) + (AF39*1000) + (100-ROW()), -1)</f>
        <v>-1</v>
      </c>
      <c r="AK39">
        <f>SUMIF(TableData[Xhelo], A39, TableData[X_K])</f>
        <v>0</v>
      </c>
      <c r="AL39">
        <f>SUMIF(TableData[Xhelo], A39, TableData[X_D])</f>
        <v>0</v>
      </c>
      <c r="AM39">
        <f>SUMIF(TableData[Xhelo], A39, TableData[X_A])</f>
        <v>0</v>
      </c>
      <c r="AN39">
        <f>IF(AG39&gt;0, (AK39+AM39)/MAX(1, AL39), 0)</f>
        <v>0</v>
      </c>
      <c r="AO39">
        <f>IF(AG39&gt;0, AN39*10000 + (100-ROW()), -1)</f>
        <v>-1</v>
      </c>
      <c r="AQ39">
        <f>IF(A39=0, 0, COUNTIFS(TableData[Résultat], "VICTOIRE", TableData[J9], A39))</f>
        <v>0</v>
      </c>
      <c r="AR39">
        <f>IF(A39=0, 0, COUNTIF(TableData[J9], A39))</f>
        <v>0</v>
      </c>
      <c r="AS39">
        <f>IF(AR39&gt;0, AQ39/AR39, 0)</f>
        <v>0</v>
      </c>
      <c r="AT39">
        <f>AR39-AQ39</f>
        <v>0</v>
      </c>
      <c r="AU39">
        <f>IF(AR39&gt;0, INT(AS39*10000000) + (AQ39*1000) + (100-ROW()), -1)</f>
        <v>-1</v>
      </c>
      <c r="AV39">
        <f>SUMIF(TableData[J9], A39, TableData[J_K])</f>
        <v>0</v>
      </c>
      <c r="AW39">
        <f>SUMIF(TableData[J9], A39, TableData[J_D])</f>
        <v>0</v>
      </c>
      <c r="AX39">
        <f>SUMIF(TableData[J9], A39, TableData[J_A])</f>
        <v>0</v>
      </c>
      <c r="AY39">
        <f>IF(AR39&gt;0, (AV39+AX39)/MAX(1, AW39), 0)</f>
        <v>0</v>
      </c>
      <c r="AZ39">
        <f>IF(AR39&gt;0, AY39*10000 + (100-ROW()), -1)</f>
        <v>-1</v>
      </c>
    </row>
    <row r="40" spans="1:52">
      <c r="A40" t="str">
        <f>IF(PARAMETRES!A32="", 0, PARAMETRES!A32)</f>
        <v>Janemba</v>
      </c>
      <c r="B40">
        <f>IF(A40=0, 0, COUNTIFS(TableData[Résultat], "VICTOIRE", TableData[Xhelo], A40) + COUNTIFS(TableData[Résultat], "VICTOIRE", TableData[J9], A40))</f>
        <v>0</v>
      </c>
      <c r="C40">
        <f>IF(A40=0, 0, COUNTIF(TableData[Xhelo], A40) + COUNTIF(TableData[J9], A40))</f>
        <v>0</v>
      </c>
      <c r="D40">
        <f>IF(C40&gt;0, B40/C40, 0)</f>
        <v>0</v>
      </c>
      <c r="E40">
        <f>IF(C40&gt;0, INT(D40*10000000) + (B40*1000) + (100-ROW()), -1)</f>
        <v>-1</v>
      </c>
      <c r="F40" t="str">
        <f>IF(A40=0, 0, PARAMETRES!B32)</f>
        <v>Attaquant</v>
      </c>
      <c r="L40">
        <f>C40-B40</f>
        <v>0</v>
      </c>
      <c r="N40" t="str">
        <f>IF(DATA!L32="", "", DATA!L32)</f>
        <v>Cell + Trunks Jeune</v>
      </c>
      <c r="O40" t="str">
        <f>IF(N40="", "", IF(COUNTIF(N$10:N40, N40)=1, ROW(), ""))</f>
        <v/>
      </c>
      <c r="P40" t="str">
        <f>IFERROR(SMALL(O$10:O$500, 31), "")</f>
        <v/>
      </c>
      <c r="R40">
        <f>IF(P40="", 0, INDEX(N$10:N$500, P40-9))</f>
        <v>0</v>
      </c>
      <c r="S40">
        <f>IF(R40=0, 0, COUNTIFS(TableData[Résultat], "VICTOIRE", TableData[DUO], R40))</f>
        <v>0</v>
      </c>
      <c r="T40">
        <f>IF(R40=0, 0, COUNTIF(TableData[DUO], R40))</f>
        <v>0</v>
      </c>
      <c r="U40">
        <f>IF(T40&gt;0, S40/T40, 0)</f>
        <v>0</v>
      </c>
      <c r="V40">
        <f>IF(T40&gt;0, INT(U40*10000000) + (S40*1000) + (10000-ROW()), -1)</f>
        <v>-1</v>
      </c>
      <c r="Y40">
        <f>T40-S40</f>
        <v>0</v>
      </c>
      <c r="AF40">
        <f>IF(A40=0, 0, COUNTIFS(TableData[Résultat], "VICTOIRE", TableData[Xhelo], A40))</f>
        <v>0</v>
      </c>
      <c r="AG40">
        <f>IF(A40=0, 0, COUNTIF(TableData[Xhelo], A40))</f>
        <v>0</v>
      </c>
      <c r="AH40">
        <f>IF(AG40&gt;0, AF40/AG40, 0)</f>
        <v>0</v>
      </c>
      <c r="AI40">
        <f>AG40-AF40</f>
        <v>0</v>
      </c>
      <c r="AJ40">
        <f>IF(AG40&gt;0, INT(AH40*10000000) + (AF40*1000) + (100-ROW()), -1)</f>
        <v>-1</v>
      </c>
      <c r="AK40">
        <f>SUMIF(TableData[Xhelo], A40, TableData[X_K])</f>
        <v>0</v>
      </c>
      <c r="AL40">
        <f>SUMIF(TableData[Xhelo], A40, TableData[X_D])</f>
        <v>0</v>
      </c>
      <c r="AM40">
        <f>SUMIF(TableData[Xhelo], A40, TableData[X_A])</f>
        <v>0</v>
      </c>
      <c r="AN40">
        <f>IF(AG40&gt;0, (AK40+AM40)/MAX(1, AL40), 0)</f>
        <v>0</v>
      </c>
      <c r="AO40">
        <f>IF(AG40&gt;0, AN40*10000 + (100-ROW()), -1)</f>
        <v>-1</v>
      </c>
      <c r="AQ40">
        <f>IF(A40=0, 0, COUNTIFS(TableData[Résultat], "VICTOIRE", TableData[J9], A40))</f>
        <v>0</v>
      </c>
      <c r="AR40">
        <f>IF(A40=0, 0, COUNTIF(TableData[J9], A40))</f>
        <v>0</v>
      </c>
      <c r="AS40">
        <f>IF(AR40&gt;0, AQ40/AR40, 0)</f>
        <v>0</v>
      </c>
      <c r="AT40">
        <f>AR40-AQ40</f>
        <v>0</v>
      </c>
      <c r="AU40">
        <f>IF(AR40&gt;0, INT(AS40*10000000) + (AQ40*1000) + (100-ROW()), -1)</f>
        <v>-1</v>
      </c>
      <c r="AV40">
        <f>SUMIF(TableData[J9], A40, TableData[J_K])</f>
        <v>0</v>
      </c>
      <c r="AW40">
        <f>SUMIF(TableData[J9], A40, TableData[J_D])</f>
        <v>0</v>
      </c>
      <c r="AX40">
        <f>SUMIF(TableData[J9], A40, TableData[J_A])</f>
        <v>0</v>
      </c>
      <c r="AY40">
        <f>IF(AR40&gt;0, (AV40+AX40)/MAX(1, AW40), 0)</f>
        <v>0</v>
      </c>
      <c r="AZ40">
        <f>IF(AR40&gt;0, AY40*10000 + (100-ROW()), -1)</f>
        <v>-1</v>
      </c>
    </row>
    <row r="41" spans="1:52">
      <c r="A41" t="str">
        <f>IF(PARAMETRES!A33="", 0, PARAMETRES!A33)</f>
        <v>Jiren</v>
      </c>
      <c r="B41">
        <f>IF(A41=0, 0, COUNTIFS(TableData[Résultat], "VICTOIRE", TableData[Xhelo], A41) + COUNTIFS(TableData[Résultat], "VICTOIRE", TableData[J9], A41))</f>
        <v>0</v>
      </c>
      <c r="C41">
        <f>IF(A41=0, 0, COUNTIF(TableData[Xhelo], A41) + COUNTIF(TableData[J9], A41))</f>
        <v>0</v>
      </c>
      <c r="D41">
        <f>IF(C41&gt;0, B41/C41, 0)</f>
        <v>0</v>
      </c>
      <c r="E41">
        <f>IF(C41&gt;0, INT(D41*10000000) + (B41*1000) + (100-ROW()), -1)</f>
        <v>-1</v>
      </c>
      <c r="F41" t="str">
        <f>IF(A41=0, 0, PARAMETRES!B33)</f>
        <v>Attaquant</v>
      </c>
      <c r="L41">
        <f>C41-B41</f>
        <v>0</v>
      </c>
      <c r="N41" t="str">
        <f>IF(DATA!L33="", "", DATA!L33)</f>
        <v>Broly + Cooler</v>
      </c>
      <c r="O41" t="str">
        <f>IF(N41="", "", IF(COUNTIF(N$10:N41, N41)=1, ROW(), ""))</f>
        <v/>
      </c>
      <c r="P41" t="str">
        <f>IFERROR(SMALL(O$10:O$500, 32), "")</f>
        <v/>
      </c>
      <c r="R41">
        <f>IF(P41="", 0, INDEX(N$10:N$500, P41-9))</f>
        <v>0</v>
      </c>
      <c r="S41">
        <f>IF(R41=0, 0, COUNTIFS(TableData[Résultat], "VICTOIRE", TableData[DUO], R41))</f>
        <v>0</v>
      </c>
      <c r="T41">
        <f>IF(R41=0, 0, COUNTIF(TableData[DUO], R41))</f>
        <v>0</v>
      </c>
      <c r="U41">
        <f>IF(T41&gt;0, S41/T41, 0)</f>
        <v>0</v>
      </c>
      <c r="V41">
        <f>IF(T41&gt;0, INT(U41*10000000) + (S41*1000) + (10000-ROW()), -1)</f>
        <v>-1</v>
      </c>
      <c r="Y41">
        <f>T41-S41</f>
        <v>0</v>
      </c>
      <c r="AF41">
        <f>IF(A41=0, 0, COUNTIFS(TableData[Résultat], "VICTOIRE", TableData[Xhelo], A41))</f>
        <v>0</v>
      </c>
      <c r="AG41">
        <f>IF(A41=0, 0, COUNTIF(TableData[Xhelo], A41))</f>
        <v>0</v>
      </c>
      <c r="AH41">
        <f>IF(AG41&gt;0, AF41/AG41, 0)</f>
        <v>0</v>
      </c>
      <c r="AI41">
        <f>AG41-AF41</f>
        <v>0</v>
      </c>
      <c r="AJ41">
        <f>IF(AG41&gt;0, INT(AH41*10000000) + (AF41*1000) + (100-ROW()), -1)</f>
        <v>-1</v>
      </c>
      <c r="AK41">
        <f>SUMIF(TableData[Xhelo], A41, TableData[X_K])</f>
        <v>0</v>
      </c>
      <c r="AL41">
        <f>SUMIF(TableData[Xhelo], A41, TableData[X_D])</f>
        <v>0</v>
      </c>
      <c r="AM41">
        <f>SUMIF(TableData[Xhelo], A41, TableData[X_A])</f>
        <v>0</v>
      </c>
      <c r="AN41">
        <f>IF(AG41&gt;0, (AK41+AM41)/MAX(1, AL41), 0)</f>
        <v>0</v>
      </c>
      <c r="AO41">
        <f>IF(AG41&gt;0, AN41*10000 + (100-ROW()), -1)</f>
        <v>-1</v>
      </c>
      <c r="AQ41">
        <f>IF(A41=0, 0, COUNTIFS(TableData[Résultat], "VICTOIRE", TableData[J9], A41))</f>
        <v>0</v>
      </c>
      <c r="AR41">
        <f>IF(A41=0, 0, COUNTIF(TableData[J9], A41))</f>
        <v>0</v>
      </c>
      <c r="AS41">
        <f>IF(AR41&gt;0, AQ41/AR41, 0)</f>
        <v>0</v>
      </c>
      <c r="AT41">
        <f>AR41-AQ41</f>
        <v>0</v>
      </c>
      <c r="AU41">
        <f>IF(AR41&gt;0, INT(AS41*10000000) + (AQ41*1000) + (100-ROW()), -1)</f>
        <v>-1</v>
      </c>
      <c r="AV41">
        <f>SUMIF(TableData[J9], A41, TableData[J_K])</f>
        <v>0</v>
      </c>
      <c r="AW41">
        <f>SUMIF(TableData[J9], A41, TableData[J_D])</f>
        <v>0</v>
      </c>
      <c r="AX41">
        <f>SUMIF(TableData[J9], A41, TableData[J_A])</f>
        <v>0</v>
      </c>
      <c r="AY41">
        <f>IF(AR41&gt;0, (AV41+AX41)/MAX(1, AW41), 0)</f>
        <v>0</v>
      </c>
      <c r="AZ41">
        <f>IF(AR41&gt;0, AY41*10000 + (100-ROW()), -1)</f>
        <v>-1</v>
      </c>
    </row>
    <row r="42" spans="1:52">
      <c r="A42" t="str">
        <f>IF(PARAMETRES!A34="", 0, PARAMETRES!A34)</f>
        <v>Kefla</v>
      </c>
      <c r="B42">
        <f>IF(A42=0, 0, COUNTIFS(TableData[Résultat], "VICTOIRE", TableData[Xhelo], A42) + COUNTIFS(TableData[Résultat], "VICTOIRE", TableData[J9], A42))</f>
        <v>1</v>
      </c>
      <c r="C42">
        <f>IF(A42=0, 0, COUNTIF(TableData[Xhelo], A42) + COUNTIF(TableData[J9], A42))</f>
        <v>4</v>
      </c>
      <c r="D42">
        <f>IF(C42&gt;0, B42/C42, 0)</f>
        <v>0.25</v>
      </c>
      <c r="E42">
        <f>IF(C42&gt;0, INT(D42*10000000) + (B42*1000) + (100-ROW()), -1)</f>
        <v>2501058</v>
      </c>
      <c r="F42" t="str">
        <f>IF(A42=0, 0, PARAMETRES!B34)</f>
        <v>Attaquant</v>
      </c>
      <c r="L42">
        <f>C42-B42</f>
        <v>3</v>
      </c>
      <c r="N42" t="str">
        <f>IF(DATA!L34="", "", DATA!L34)</f>
        <v>Broly + Gotenks</v>
      </c>
      <c r="O42" t="str">
        <f>IF(N42="", "", IF(COUNTIF(N$10:N42, N42)=1, ROW(), ""))</f>
        <v/>
      </c>
      <c r="P42" t="str">
        <f>IFERROR(SMALL(O$10:O$500, 33), "")</f>
        <v/>
      </c>
      <c r="R42">
        <f>IF(P42="", 0, INDEX(N$10:N$500, P42-9))</f>
        <v>0</v>
      </c>
      <c r="S42">
        <f>IF(R42=0, 0, COUNTIFS(TableData[Résultat], "VICTOIRE", TableData[DUO], R42))</f>
        <v>0</v>
      </c>
      <c r="T42">
        <f>IF(R42=0, 0, COUNTIF(TableData[DUO], R42))</f>
        <v>0</v>
      </c>
      <c r="U42">
        <f>IF(T42&gt;0, S42/T42, 0)</f>
        <v>0</v>
      </c>
      <c r="V42">
        <f>IF(T42&gt;0, INT(U42*10000000) + (S42*1000) + (10000-ROW()), -1)</f>
        <v>-1</v>
      </c>
      <c r="Y42">
        <f>T42-S42</f>
        <v>0</v>
      </c>
      <c r="AF42">
        <f>IF(A42=0, 0, COUNTIFS(TableData[Résultat], "VICTOIRE", TableData[Xhelo], A42))</f>
        <v>0</v>
      </c>
      <c r="AG42">
        <f>IF(A42=0, 0, COUNTIF(TableData[Xhelo], A42))</f>
        <v>0</v>
      </c>
      <c r="AH42">
        <f>IF(AG42&gt;0, AF42/AG42, 0)</f>
        <v>0</v>
      </c>
      <c r="AI42">
        <f>AG42-AF42</f>
        <v>0</v>
      </c>
      <c r="AJ42">
        <f>IF(AG42&gt;0, INT(AH42*10000000) + (AF42*1000) + (100-ROW()), -1)</f>
        <v>-1</v>
      </c>
      <c r="AK42">
        <f>SUMIF(TableData[Xhelo], A42, TableData[X_K])</f>
        <v>0</v>
      </c>
      <c r="AL42">
        <f>SUMIF(TableData[Xhelo], A42, TableData[X_D])</f>
        <v>0</v>
      </c>
      <c r="AM42">
        <f>SUMIF(TableData[Xhelo], A42, TableData[X_A])</f>
        <v>0</v>
      </c>
      <c r="AN42">
        <f>IF(AG42&gt;0, (AK42+AM42)/MAX(1, AL42), 0)</f>
        <v>0</v>
      </c>
      <c r="AO42">
        <f>IF(AG42&gt;0, AN42*10000 + (100-ROW()), -1)</f>
        <v>-1</v>
      </c>
      <c r="AQ42">
        <f>IF(A42=0, 0, COUNTIFS(TableData[Résultat], "VICTOIRE", TableData[J9], A42))</f>
        <v>1</v>
      </c>
      <c r="AR42">
        <f>IF(A42=0, 0, COUNTIF(TableData[J9], A42))</f>
        <v>4</v>
      </c>
      <c r="AS42">
        <f>IF(AR42&gt;0, AQ42/AR42, 0)</f>
        <v>0.25</v>
      </c>
      <c r="AT42">
        <f>AR42-AQ42</f>
        <v>3</v>
      </c>
      <c r="AU42">
        <f>IF(AR42&gt;0, INT(AS42*10000000) + (AQ42*1000) + (100-ROW()), -1)</f>
        <v>2501058</v>
      </c>
      <c r="AV42">
        <f>SUMIF(TableData[J9], A42, TableData[J_K])</f>
        <v>32</v>
      </c>
      <c r="AW42">
        <f>SUMIF(TableData[J9], A42, TableData[J_D])</f>
        <v>7</v>
      </c>
      <c r="AX42">
        <f>SUMIF(TableData[J9], A42, TableData[J_A])</f>
        <v>10</v>
      </c>
      <c r="AY42">
        <f>IF(AR42&gt;0, (AV42+AX42)/MAX(1, AW42), 0)</f>
        <v>6</v>
      </c>
      <c r="AZ42">
        <f>IF(AR42&gt;0, AY42*10000 + (100-ROW()), -1)</f>
        <v>60058</v>
      </c>
    </row>
    <row r="43" spans="1:52">
      <c r="A43" t="str">
        <f>IF(PARAMETRES!A35="", 0, PARAMETRES!A35)</f>
        <v>Bardock</v>
      </c>
      <c r="B43">
        <f>IF(A43=0, 0, COUNTIFS(TableData[Résultat], "VICTOIRE", TableData[Xhelo], A43) + COUNTIFS(TableData[Résultat], "VICTOIRE", TableData[J9], A43))</f>
        <v>24</v>
      </c>
      <c r="C43">
        <f>IF(A43=0, 0, COUNTIF(TableData[Xhelo], A43) + COUNTIF(TableData[J9], A43))</f>
        <v>31</v>
      </c>
      <c r="D43">
        <f>IF(C43&gt;0, B43/C43, 0)</f>
        <v>0.77419354838709675</v>
      </c>
      <c r="E43">
        <f>IF(C43&gt;0, INT(D43*10000000) + (B43*1000) + (100-ROW()), -1)</f>
        <v>7765992</v>
      </c>
      <c r="F43" t="str">
        <f>IF(A43=0, 0, PARAMETRES!B35)</f>
        <v>Défenseur</v>
      </c>
      <c r="L43">
        <f>C43-B43</f>
        <v>7</v>
      </c>
      <c r="N43" t="str">
        <f>IF(DATA!L35="", "", DATA!L35)</f>
        <v>Cell + Trunks Jeune</v>
      </c>
      <c r="O43" t="str">
        <f>IF(N43="", "", IF(COUNTIF(N$10:N43, N43)=1, ROW(), ""))</f>
        <v/>
      </c>
      <c r="P43" t="str">
        <f>IFERROR(SMALL(O$10:O$500, 34), "")</f>
        <v/>
      </c>
      <c r="R43">
        <f>IF(P43="", 0, INDEX(N$10:N$500, P43-9))</f>
        <v>0</v>
      </c>
      <c r="S43">
        <f>IF(R43=0, 0, COUNTIFS(TableData[Résultat], "VICTOIRE", TableData[DUO], R43))</f>
        <v>0</v>
      </c>
      <c r="T43">
        <f>IF(R43=0, 0, COUNTIF(TableData[DUO], R43))</f>
        <v>0</v>
      </c>
      <c r="U43">
        <f>IF(T43&gt;0, S43/T43, 0)</f>
        <v>0</v>
      </c>
      <c r="V43">
        <f>IF(T43&gt;0, INT(U43*10000000) + (S43*1000) + (10000-ROW()), -1)</f>
        <v>-1</v>
      </c>
      <c r="Y43">
        <f>T43-S43</f>
        <v>0</v>
      </c>
      <c r="AF43">
        <f>IF(A43=0, 0, COUNTIFS(TableData[Résultat], "VICTOIRE", TableData[Xhelo], A43))</f>
        <v>24</v>
      </c>
      <c r="AG43">
        <f>IF(A43=0, 0, COUNTIF(TableData[Xhelo], A43))</f>
        <v>31</v>
      </c>
      <c r="AH43">
        <f>IF(AG43&gt;0, AF43/AG43, 0)</f>
        <v>0.77419354838709675</v>
      </c>
      <c r="AI43">
        <f>AG43-AF43</f>
        <v>7</v>
      </c>
      <c r="AJ43">
        <f>IF(AG43&gt;0, INT(AH43*10000000) + (AF43*1000) + (100-ROW()), -1)</f>
        <v>7765992</v>
      </c>
      <c r="AK43">
        <f>SUMIF(TableData[Xhelo], A43, TableData[X_K])</f>
        <v>65</v>
      </c>
      <c r="AL43">
        <f>SUMIF(TableData[Xhelo], A43, TableData[X_D])</f>
        <v>49</v>
      </c>
      <c r="AM43">
        <f>SUMIF(TableData[Xhelo], A43, TableData[X_A])</f>
        <v>193</v>
      </c>
      <c r="AN43">
        <f>IF(AG43&gt;0, (AK43+AM43)/MAX(1, AL43), 0)</f>
        <v>5.2653061224489797</v>
      </c>
      <c r="AO43">
        <f>IF(AG43&gt;0, AN43*10000 + (100-ROW()), -1)</f>
        <v>52710.0612244898</v>
      </c>
      <c r="AQ43">
        <f>IF(A43=0, 0, COUNTIFS(TableData[Résultat], "VICTOIRE", TableData[J9], A43))</f>
        <v>0</v>
      </c>
      <c r="AR43">
        <f>IF(A43=0, 0, COUNTIF(TableData[J9], A43))</f>
        <v>0</v>
      </c>
      <c r="AS43">
        <f>IF(AR43&gt;0, AQ43/AR43, 0)</f>
        <v>0</v>
      </c>
      <c r="AT43">
        <f>AR43-AQ43</f>
        <v>0</v>
      </c>
      <c r="AU43">
        <f>IF(AR43&gt;0, INT(AS43*10000000) + (AQ43*1000) + (100-ROW()), -1)</f>
        <v>-1</v>
      </c>
      <c r="AV43">
        <f>SUMIF(TableData[J9], A43, TableData[J_K])</f>
        <v>0</v>
      </c>
      <c r="AW43">
        <f>SUMIF(TableData[J9], A43, TableData[J_D])</f>
        <v>0</v>
      </c>
      <c r="AX43">
        <f>SUMIF(TableData[J9], A43, TableData[J_A])</f>
        <v>0</v>
      </c>
      <c r="AY43">
        <f>IF(AR43&gt;0, (AV43+AX43)/MAX(1, AW43), 0)</f>
        <v>0</v>
      </c>
      <c r="AZ43">
        <f>IF(AR43&gt;0, AY43*10000 + (100-ROW()), -1)</f>
        <v>-1</v>
      </c>
    </row>
    <row r="44" spans="1:52">
      <c r="A44">
        <f>IF(PARAMETRES!A36="", 0, PARAMETRES!A36)</f>
        <v>0</v>
      </c>
      <c r="B44">
        <f>IF(A44=0, 0, COUNTIFS(TableData[Résultat], "VICTOIRE", TableData[Xhelo], A44) + COUNTIFS(TableData[Résultat], "VICTOIRE", TableData[J9], A44))</f>
        <v>0</v>
      </c>
      <c r="C44">
        <f>IF(A44=0, 0, COUNTIF(TableData[Xhelo], A44) + COUNTIF(TableData[J9], A44))</f>
        <v>0</v>
      </c>
      <c r="D44">
        <f>IF(C44&gt;0, B44/C44, 0)</f>
        <v>0</v>
      </c>
      <c r="E44">
        <f>IF(C44&gt;0, INT(D44*10000000) + (B44*1000) + (100-ROW()), -1)</f>
        <v>-1</v>
      </c>
      <c r="F44">
        <f>IF(A44=0, 0, PARAMETRES!B36)</f>
        <v>0</v>
      </c>
      <c r="L44">
        <f>C44-B44</f>
        <v>0</v>
      </c>
      <c r="N44" t="str">
        <f>IF(DATA!L36="", "", DATA!L36)</f>
        <v>Cell + Trunks Jeune</v>
      </c>
      <c r="O44" t="str">
        <f>IF(N44="", "", IF(COUNTIF(N$10:N44, N44)=1, ROW(), ""))</f>
        <v/>
      </c>
      <c r="P44" t="str">
        <f>IFERROR(SMALL(O$10:O$500, 35), "")</f>
        <v/>
      </c>
      <c r="R44">
        <f>IF(P44="", 0, INDEX(N$10:N$500, P44-9))</f>
        <v>0</v>
      </c>
      <c r="S44">
        <f>IF(R44=0, 0, COUNTIFS(TableData[Résultat], "VICTOIRE", TableData[DUO], R44))</f>
        <v>0</v>
      </c>
      <c r="T44">
        <f>IF(R44=0, 0, COUNTIF(TableData[DUO], R44))</f>
        <v>0</v>
      </c>
      <c r="U44">
        <f>IF(T44&gt;0, S44/T44, 0)</f>
        <v>0</v>
      </c>
      <c r="V44">
        <f>IF(T44&gt;0, INT(U44*10000000) + (S44*1000) + (10000-ROW()), -1)</f>
        <v>-1</v>
      </c>
      <c r="Y44">
        <f>T44-S44</f>
        <v>0</v>
      </c>
      <c r="AF44">
        <f>IF(A44=0, 0, COUNTIFS(TableData[Résultat], "VICTOIRE", TableData[Xhelo], A44))</f>
        <v>0</v>
      </c>
      <c r="AG44">
        <f>IF(A44=0, 0, COUNTIF(TableData[Xhelo], A44))</f>
        <v>0</v>
      </c>
      <c r="AH44">
        <f>IF(AG44&gt;0, AF44/AG44, 0)</f>
        <v>0</v>
      </c>
      <c r="AI44">
        <f>AG44-AF44</f>
        <v>0</v>
      </c>
      <c r="AJ44">
        <f>IF(AG44&gt;0, INT(AH44*10000000) + (AF44*1000) + (100-ROW()), -1)</f>
        <v>-1</v>
      </c>
      <c r="AK44">
        <f>SUMIF(TableData[Xhelo], A44, TableData[X_K])</f>
        <v>0</v>
      </c>
      <c r="AL44">
        <f>SUMIF(TableData[Xhelo], A44, TableData[X_D])</f>
        <v>0</v>
      </c>
      <c r="AM44">
        <f>SUMIF(TableData[Xhelo], A44, TableData[X_A])</f>
        <v>0</v>
      </c>
      <c r="AN44">
        <f>IF(AG44&gt;0, (AK44+AM44)/MAX(1, AL44), 0)</f>
        <v>0</v>
      </c>
      <c r="AO44">
        <f>IF(AG44&gt;0, AN44*10000 + (100-ROW()), -1)</f>
        <v>-1</v>
      </c>
      <c r="AQ44">
        <f>IF(A44=0, 0, COUNTIFS(TableData[Résultat], "VICTOIRE", TableData[J9], A44))</f>
        <v>0</v>
      </c>
      <c r="AR44">
        <f>IF(A44=0, 0, COUNTIF(TableData[J9], A44))</f>
        <v>0</v>
      </c>
      <c r="AS44">
        <f>IF(AR44&gt;0, AQ44/AR44, 0)</f>
        <v>0</v>
      </c>
      <c r="AT44">
        <f>AR44-AQ44</f>
        <v>0</v>
      </c>
      <c r="AU44">
        <f>IF(AR44&gt;0, INT(AS44*10000000) + (AQ44*1000) + (100-ROW()), -1)</f>
        <v>-1</v>
      </c>
      <c r="AV44">
        <f>SUMIF(TableData[J9], A44, TableData[J_K])</f>
        <v>0</v>
      </c>
      <c r="AW44">
        <f>SUMIF(TableData[J9], A44, TableData[J_D])</f>
        <v>0</v>
      </c>
      <c r="AX44">
        <f>SUMIF(TableData[J9], A44, TableData[J_A])</f>
        <v>0</v>
      </c>
      <c r="AY44">
        <f>IF(AR44&gt;0, (AV44+AX44)/MAX(1, AW44), 0)</f>
        <v>0</v>
      </c>
      <c r="AZ44">
        <f>IF(AR44&gt;0, AY44*10000 + (100-ROW()), -1)</f>
        <v>-1</v>
      </c>
    </row>
    <row r="45" spans="1:52">
      <c r="A45">
        <f>IF(PARAMETRES!A37="", 0, PARAMETRES!A37)</f>
        <v>0</v>
      </c>
      <c r="B45">
        <f>IF(A45=0, 0, COUNTIFS(TableData[Résultat], "VICTOIRE", TableData[Xhelo], A45) + COUNTIFS(TableData[Résultat], "VICTOIRE", TableData[J9], A45))</f>
        <v>0</v>
      </c>
      <c r="C45">
        <f>IF(A45=0, 0, COUNTIF(TableData[Xhelo], A45) + COUNTIF(TableData[J9], A45))</f>
        <v>0</v>
      </c>
      <c r="D45">
        <f>IF(C45&gt;0, B45/C45, 0)</f>
        <v>0</v>
      </c>
      <c r="E45">
        <f>IF(C45&gt;0, INT(D45*10000000) + (B45*1000) + (100-ROW()), -1)</f>
        <v>-1</v>
      </c>
      <c r="F45">
        <f>IF(A45=0, 0, PARAMETRES!B37)</f>
        <v>0</v>
      </c>
      <c r="L45">
        <f>C45-B45</f>
        <v>0</v>
      </c>
      <c r="N45" t="str">
        <f>IF(DATA!L37="", "", DATA!L37)</f>
        <v>Broly + Trunks Jeune</v>
      </c>
      <c r="O45" t="str">
        <f>IF(N45="", "", IF(COUNTIF(N$10:N45, N45)=1, ROW(), ""))</f>
        <v/>
      </c>
      <c r="P45" t="str">
        <f>IFERROR(SMALL(O$10:O$500, 36), "")</f>
        <v/>
      </c>
      <c r="R45">
        <f>IF(P45="", 0, INDEX(N$10:N$500, P45-9))</f>
        <v>0</v>
      </c>
      <c r="S45">
        <f>IF(R45=0, 0, COUNTIFS(TableData[Résultat], "VICTOIRE", TableData[DUO], R45))</f>
        <v>0</v>
      </c>
      <c r="T45">
        <f>IF(R45=0, 0, COUNTIF(TableData[DUO], R45))</f>
        <v>0</v>
      </c>
      <c r="U45">
        <f>IF(T45&gt;0, S45/T45, 0)</f>
        <v>0</v>
      </c>
      <c r="V45">
        <f>IF(T45&gt;0, INT(U45*10000000) + (S45*1000) + (10000-ROW()), -1)</f>
        <v>-1</v>
      </c>
      <c r="Y45">
        <f>T45-S45</f>
        <v>0</v>
      </c>
      <c r="AF45">
        <f>IF(A45=0, 0, COUNTIFS(TableData[Résultat], "VICTOIRE", TableData[Xhelo], A45))</f>
        <v>0</v>
      </c>
      <c r="AG45">
        <f>IF(A45=0, 0, COUNTIF(TableData[Xhelo], A45))</f>
        <v>0</v>
      </c>
      <c r="AH45">
        <f>IF(AG45&gt;0, AF45/AG45, 0)</f>
        <v>0</v>
      </c>
      <c r="AI45">
        <f>AG45-AF45</f>
        <v>0</v>
      </c>
      <c r="AJ45">
        <f>IF(AG45&gt;0, INT(AH45*10000000) + (AF45*1000) + (100-ROW()), -1)</f>
        <v>-1</v>
      </c>
      <c r="AK45">
        <f>SUMIF(TableData[Xhelo], A45, TableData[X_K])</f>
        <v>0</v>
      </c>
      <c r="AL45">
        <f>SUMIF(TableData[Xhelo], A45, TableData[X_D])</f>
        <v>0</v>
      </c>
      <c r="AM45">
        <f>SUMIF(TableData[Xhelo], A45, TableData[X_A])</f>
        <v>0</v>
      </c>
      <c r="AN45">
        <f>IF(AG45&gt;0, (AK45+AM45)/MAX(1, AL45), 0)</f>
        <v>0</v>
      </c>
      <c r="AO45">
        <f>IF(AG45&gt;0, AN45*10000 + (100-ROW()), -1)</f>
        <v>-1</v>
      </c>
      <c r="AQ45">
        <f>IF(A45=0, 0, COUNTIFS(TableData[Résultat], "VICTOIRE", TableData[J9], A45))</f>
        <v>0</v>
      </c>
      <c r="AR45">
        <f>IF(A45=0, 0, COUNTIF(TableData[J9], A45))</f>
        <v>0</v>
      </c>
      <c r="AS45">
        <f>IF(AR45&gt;0, AQ45/AR45, 0)</f>
        <v>0</v>
      </c>
      <c r="AT45">
        <f>AR45-AQ45</f>
        <v>0</v>
      </c>
      <c r="AU45">
        <f>IF(AR45&gt;0, INT(AS45*10000000) + (AQ45*1000) + (100-ROW()), -1)</f>
        <v>-1</v>
      </c>
      <c r="AV45">
        <f>SUMIF(TableData[J9], A45, TableData[J_K])</f>
        <v>0</v>
      </c>
      <c r="AW45">
        <f>SUMIF(TableData[J9], A45, TableData[J_D])</f>
        <v>0</v>
      </c>
      <c r="AX45">
        <f>SUMIF(TableData[J9], A45, TableData[J_A])</f>
        <v>0</v>
      </c>
      <c r="AY45">
        <f>IF(AR45&gt;0, (AV45+AX45)/MAX(1, AW45), 0)</f>
        <v>0</v>
      </c>
      <c r="AZ45">
        <f>IF(AR45&gt;0, AY45*10000 + (100-ROW()), -1)</f>
        <v>-1</v>
      </c>
    </row>
    <row r="46" spans="1:52">
      <c r="A46">
        <f>IF(PARAMETRES!A38="", 0, PARAMETRES!A38)</f>
        <v>0</v>
      </c>
      <c r="B46">
        <f>IF(A46=0, 0, COUNTIFS(TableData[Résultat], "VICTOIRE", TableData[Xhelo], A46) + COUNTIFS(TableData[Résultat], "VICTOIRE", TableData[J9], A46))</f>
        <v>0</v>
      </c>
      <c r="C46">
        <f>IF(A46=0, 0, COUNTIF(TableData[Xhelo], A46) + COUNTIF(TableData[J9], A46))</f>
        <v>0</v>
      </c>
      <c r="D46">
        <f>IF(C46&gt;0, B46/C46, 0)</f>
        <v>0</v>
      </c>
      <c r="E46">
        <f>IF(C46&gt;0, INT(D46*10000000) + (B46*1000) + (100-ROW()), -1)</f>
        <v>-1</v>
      </c>
      <c r="F46">
        <f>IF(A46=0, 0, PARAMETRES!B38)</f>
        <v>0</v>
      </c>
      <c r="L46">
        <f>C46-B46</f>
        <v>0</v>
      </c>
      <c r="N46" t="str">
        <f>IF(DATA!L38="", "", DATA!L38)</f>
        <v>Buu + Cooler</v>
      </c>
      <c r="O46" t="str">
        <f>IF(N46="", "", IF(COUNTIF(N$10:N46, N46)=1, ROW(), ""))</f>
        <v/>
      </c>
      <c r="P46" t="str">
        <f>IFERROR(SMALL(O$10:O$500, 37), "")</f>
        <v/>
      </c>
      <c r="R46">
        <f>IF(P46="", 0, INDEX(N$10:N$500, P46-9))</f>
        <v>0</v>
      </c>
      <c r="S46">
        <f>IF(R46=0, 0, COUNTIFS(TableData[Résultat], "VICTOIRE", TableData[DUO], R46))</f>
        <v>0</v>
      </c>
      <c r="T46">
        <f>IF(R46=0, 0, COUNTIF(TableData[DUO], R46))</f>
        <v>0</v>
      </c>
      <c r="U46">
        <f>IF(T46&gt;0, S46/T46, 0)</f>
        <v>0</v>
      </c>
      <c r="V46">
        <f>IF(T46&gt;0, INT(U46*10000000) + (S46*1000) + (10000-ROW()), -1)</f>
        <v>-1</v>
      </c>
      <c r="Y46">
        <f>T46-S46</f>
        <v>0</v>
      </c>
      <c r="AF46">
        <f>IF(A46=0, 0, COUNTIFS(TableData[Résultat], "VICTOIRE", TableData[Xhelo], A46))</f>
        <v>0</v>
      </c>
      <c r="AG46">
        <f>IF(A46=0, 0, COUNTIF(TableData[Xhelo], A46))</f>
        <v>0</v>
      </c>
      <c r="AH46">
        <f>IF(AG46&gt;0, AF46/AG46, 0)</f>
        <v>0</v>
      </c>
      <c r="AI46">
        <f>AG46-AF46</f>
        <v>0</v>
      </c>
      <c r="AJ46">
        <f>IF(AG46&gt;0, INT(AH46*10000000) + (AF46*1000) + (100-ROW()), -1)</f>
        <v>-1</v>
      </c>
      <c r="AK46">
        <f>SUMIF(TableData[Xhelo], A46, TableData[X_K])</f>
        <v>0</v>
      </c>
      <c r="AL46">
        <f>SUMIF(TableData[Xhelo], A46, TableData[X_D])</f>
        <v>0</v>
      </c>
      <c r="AM46">
        <f>SUMIF(TableData[Xhelo], A46, TableData[X_A])</f>
        <v>0</v>
      </c>
      <c r="AN46">
        <f>IF(AG46&gt;0, (AK46+AM46)/MAX(1, AL46), 0)</f>
        <v>0</v>
      </c>
      <c r="AO46">
        <f>IF(AG46&gt;0, AN46*10000 + (100-ROW()), -1)</f>
        <v>-1</v>
      </c>
      <c r="AQ46">
        <f>IF(A46=0, 0, COUNTIFS(TableData[Résultat], "VICTOIRE", TableData[J9], A46))</f>
        <v>0</v>
      </c>
      <c r="AR46">
        <f>IF(A46=0, 0, COUNTIF(TableData[J9], A46))</f>
        <v>0</v>
      </c>
      <c r="AS46">
        <f>IF(AR46&gt;0, AQ46/AR46, 0)</f>
        <v>0</v>
      </c>
      <c r="AT46">
        <f>AR46-AQ46</f>
        <v>0</v>
      </c>
      <c r="AU46">
        <f>IF(AR46&gt;0, INT(AS46*10000000) + (AQ46*1000) + (100-ROW()), -1)</f>
        <v>-1</v>
      </c>
      <c r="AV46">
        <f>SUMIF(TableData[J9], A46, TableData[J_K])</f>
        <v>0</v>
      </c>
      <c r="AW46">
        <f>SUMIF(TableData[J9], A46, TableData[J_D])</f>
        <v>0</v>
      </c>
      <c r="AX46">
        <f>SUMIF(TableData[J9], A46, TableData[J_A])</f>
        <v>0</v>
      </c>
      <c r="AY46">
        <f>IF(AR46&gt;0, (AV46+AX46)/MAX(1, AW46), 0)</f>
        <v>0</v>
      </c>
      <c r="AZ46">
        <f>IF(AR46&gt;0, AY46*10000 + (100-ROW()), -1)</f>
        <v>-1</v>
      </c>
    </row>
    <row r="47" spans="1:52">
      <c r="A47">
        <f>IF(PARAMETRES!A39="", 0, PARAMETRES!A39)</f>
        <v>0</v>
      </c>
      <c r="B47">
        <f>IF(A47=0, 0, COUNTIFS(TableData[Résultat], "VICTOIRE", TableData[Xhelo], A47) + COUNTIFS(TableData[Résultat], "VICTOIRE", TableData[J9], A47))</f>
        <v>0</v>
      </c>
      <c r="C47">
        <f>IF(A47=0, 0, COUNTIF(TableData[Xhelo], A47) + COUNTIF(TableData[J9], A47))</f>
        <v>0</v>
      </c>
      <c r="D47">
        <f>IF(C47&gt;0, B47/C47, 0)</f>
        <v>0</v>
      </c>
      <c r="E47">
        <f>IF(C47&gt;0, INT(D47*10000000) + (B47*1000) + (100-ROW()), -1)</f>
        <v>-1</v>
      </c>
      <c r="F47">
        <f>IF(A47=0, 0, PARAMETRES!B39)</f>
        <v>0</v>
      </c>
      <c r="L47">
        <f>C47-B47</f>
        <v>0</v>
      </c>
      <c r="N47" t="str">
        <f>IF(DATA!L39="", "", DATA!L39)</f>
        <v>Son Goku Super Sayen + Cooler</v>
      </c>
      <c r="O47">
        <f>IF(N47="", "", IF(COUNTIF(N$10:N47, N47)=1, ROW(), ""))</f>
        <v>47</v>
      </c>
      <c r="P47" t="str">
        <f>IFERROR(SMALL(O$10:O$500, 38), "")</f>
        <v/>
      </c>
      <c r="R47">
        <f>IF(P47="", 0, INDEX(N$10:N$500, P47-9))</f>
        <v>0</v>
      </c>
      <c r="S47">
        <f>IF(R47=0, 0, COUNTIFS(TableData[Résultat], "VICTOIRE", TableData[DUO], R47))</f>
        <v>0</v>
      </c>
      <c r="T47">
        <f>IF(R47=0, 0, COUNTIF(TableData[DUO], R47))</f>
        <v>0</v>
      </c>
      <c r="U47">
        <f>IF(T47&gt;0, S47/T47, 0)</f>
        <v>0</v>
      </c>
      <c r="V47">
        <f>IF(T47&gt;0, INT(U47*10000000) + (S47*1000) + (10000-ROW()), -1)</f>
        <v>-1</v>
      </c>
      <c r="Y47">
        <f>T47-S47</f>
        <v>0</v>
      </c>
      <c r="AF47">
        <f>IF(A47=0, 0, COUNTIFS(TableData[Résultat], "VICTOIRE", TableData[Xhelo], A47))</f>
        <v>0</v>
      </c>
      <c r="AG47">
        <f>IF(A47=0, 0, COUNTIF(TableData[Xhelo], A47))</f>
        <v>0</v>
      </c>
      <c r="AH47">
        <f>IF(AG47&gt;0, AF47/AG47, 0)</f>
        <v>0</v>
      </c>
      <c r="AI47">
        <f>AG47-AF47</f>
        <v>0</v>
      </c>
      <c r="AJ47">
        <f>IF(AG47&gt;0, INT(AH47*10000000) + (AF47*1000) + (100-ROW()), -1)</f>
        <v>-1</v>
      </c>
      <c r="AK47">
        <f>SUMIF(TableData[Xhelo], A47, TableData[X_K])</f>
        <v>0</v>
      </c>
      <c r="AL47">
        <f>SUMIF(TableData[Xhelo], A47, TableData[X_D])</f>
        <v>0</v>
      </c>
      <c r="AM47">
        <f>SUMIF(TableData[Xhelo], A47, TableData[X_A])</f>
        <v>0</v>
      </c>
      <c r="AN47">
        <f>IF(AG47&gt;0, (AK47+AM47)/MAX(1, AL47), 0)</f>
        <v>0</v>
      </c>
      <c r="AO47">
        <f>IF(AG47&gt;0, AN47*10000 + (100-ROW()), -1)</f>
        <v>-1</v>
      </c>
      <c r="AQ47">
        <f>IF(A47=0, 0, COUNTIFS(TableData[Résultat], "VICTOIRE", TableData[J9], A47))</f>
        <v>0</v>
      </c>
      <c r="AR47">
        <f>IF(A47=0, 0, COUNTIF(TableData[J9], A47))</f>
        <v>0</v>
      </c>
      <c r="AS47">
        <f>IF(AR47&gt;0, AQ47/AR47, 0)</f>
        <v>0</v>
      </c>
      <c r="AT47">
        <f>AR47-AQ47</f>
        <v>0</v>
      </c>
      <c r="AU47">
        <f>IF(AR47&gt;0, INT(AS47*10000000) + (AQ47*1000) + (100-ROW()), -1)</f>
        <v>-1</v>
      </c>
      <c r="AV47">
        <f>SUMIF(TableData[J9], A47, TableData[J_K])</f>
        <v>0</v>
      </c>
      <c r="AW47">
        <f>SUMIF(TableData[J9], A47, TableData[J_D])</f>
        <v>0</v>
      </c>
      <c r="AX47">
        <f>SUMIF(TableData[J9], A47, TableData[J_A])</f>
        <v>0</v>
      </c>
      <c r="AY47">
        <f>IF(AR47&gt;0, (AV47+AX47)/MAX(1, AW47), 0)</f>
        <v>0</v>
      </c>
      <c r="AZ47">
        <f>IF(AR47&gt;0, AY47*10000 + (100-ROW()), -1)</f>
        <v>-1</v>
      </c>
    </row>
    <row r="48" spans="1:52">
      <c r="A48">
        <f>IF(PARAMETRES!A40="", 0, PARAMETRES!A40)</f>
        <v>0</v>
      </c>
      <c r="B48">
        <f>IF(A48=0, 0, COUNTIFS(TableData[Résultat], "VICTOIRE", TableData[Xhelo], A48) + COUNTIFS(TableData[Résultat], "VICTOIRE", TableData[J9], A48))</f>
        <v>0</v>
      </c>
      <c r="C48">
        <f>IF(A48=0, 0, COUNTIF(TableData[Xhelo], A48) + COUNTIF(TableData[J9], A48))</f>
        <v>0</v>
      </c>
      <c r="D48">
        <f>IF(C48&gt;0, B48/C48, 0)</f>
        <v>0</v>
      </c>
      <c r="E48">
        <f>IF(C48&gt;0, INT(D48*10000000) + (B48*1000) + (100-ROW()), -1)</f>
        <v>-1</v>
      </c>
      <c r="F48">
        <f>IF(A48=0, 0, PARAMETRES!B40)</f>
        <v>0</v>
      </c>
      <c r="L48">
        <f>C48-B48</f>
        <v>0</v>
      </c>
      <c r="N48" t="str">
        <f>IF(DATA!L40="", "", DATA!L40)</f>
        <v>Cell + Trunks Jeune</v>
      </c>
      <c r="O48" t="str">
        <f>IF(N48="", "", IF(COUNTIF(N$10:N48, N48)=1, ROW(), ""))</f>
        <v/>
      </c>
      <c r="P48" t="str">
        <f>IFERROR(SMALL(O$10:O$500, 39), "")</f>
        <v/>
      </c>
      <c r="R48">
        <f>IF(P48="", 0, INDEX(N$10:N$500, P48-9))</f>
        <v>0</v>
      </c>
      <c r="S48">
        <f>IF(R48=0, 0, COUNTIFS(TableData[Résultat], "VICTOIRE", TableData[DUO], R48))</f>
        <v>0</v>
      </c>
      <c r="T48">
        <f>IF(R48=0, 0, COUNTIF(TableData[DUO], R48))</f>
        <v>0</v>
      </c>
      <c r="U48">
        <f>IF(T48&gt;0, S48/T48, 0)</f>
        <v>0</v>
      </c>
      <c r="V48">
        <f>IF(T48&gt;0, INT(U48*10000000) + (S48*1000) + (10000-ROW()), -1)</f>
        <v>-1</v>
      </c>
      <c r="Y48">
        <f>T48-S48</f>
        <v>0</v>
      </c>
      <c r="AF48">
        <f>IF(A48=0, 0, COUNTIFS(TableData[Résultat], "VICTOIRE", TableData[Xhelo], A48))</f>
        <v>0</v>
      </c>
      <c r="AG48">
        <f>IF(A48=0, 0, COUNTIF(TableData[Xhelo], A48))</f>
        <v>0</v>
      </c>
      <c r="AH48">
        <f>IF(AG48&gt;0, AF48/AG48, 0)</f>
        <v>0</v>
      </c>
      <c r="AI48">
        <f>AG48-AF48</f>
        <v>0</v>
      </c>
      <c r="AJ48">
        <f>IF(AG48&gt;0, INT(AH48*10000000) + (AF48*1000) + (100-ROW()), -1)</f>
        <v>-1</v>
      </c>
      <c r="AK48">
        <f>SUMIF(TableData[Xhelo], A48, TableData[X_K])</f>
        <v>0</v>
      </c>
      <c r="AL48">
        <f>SUMIF(TableData[Xhelo], A48, TableData[X_D])</f>
        <v>0</v>
      </c>
      <c r="AM48">
        <f>SUMIF(TableData[Xhelo], A48, TableData[X_A])</f>
        <v>0</v>
      </c>
      <c r="AN48">
        <f>IF(AG48&gt;0, (AK48+AM48)/MAX(1, AL48), 0)</f>
        <v>0</v>
      </c>
      <c r="AO48">
        <f>IF(AG48&gt;0, AN48*10000 + (100-ROW()), -1)</f>
        <v>-1</v>
      </c>
      <c r="AQ48">
        <f>IF(A48=0, 0, COUNTIFS(TableData[Résultat], "VICTOIRE", TableData[J9], A48))</f>
        <v>0</v>
      </c>
      <c r="AR48">
        <f>IF(A48=0, 0, COUNTIF(TableData[J9], A48))</f>
        <v>0</v>
      </c>
      <c r="AS48">
        <f>IF(AR48&gt;0, AQ48/AR48, 0)</f>
        <v>0</v>
      </c>
      <c r="AT48">
        <f>AR48-AQ48</f>
        <v>0</v>
      </c>
      <c r="AU48">
        <f>IF(AR48&gt;0, INT(AS48*10000000) + (AQ48*1000) + (100-ROW()), -1)</f>
        <v>-1</v>
      </c>
      <c r="AV48">
        <f>SUMIF(TableData[J9], A48, TableData[J_K])</f>
        <v>0</v>
      </c>
      <c r="AW48">
        <f>SUMIF(TableData[J9], A48, TableData[J_D])</f>
        <v>0</v>
      </c>
      <c r="AX48">
        <f>SUMIF(TableData[J9], A48, TableData[J_A])</f>
        <v>0</v>
      </c>
      <c r="AY48">
        <f>IF(AR48&gt;0, (AV48+AX48)/MAX(1, AW48), 0)</f>
        <v>0</v>
      </c>
      <c r="AZ48">
        <f>IF(AR48&gt;0, AY48*10000 + (100-ROW()), -1)</f>
        <v>-1</v>
      </c>
    </row>
    <row r="49" spans="1:52">
      <c r="A49">
        <f>IF(PARAMETRES!A41="", 0, PARAMETRES!A41)</f>
        <v>0</v>
      </c>
      <c r="B49">
        <f>IF(A49=0, 0, COUNTIFS(TableData[Résultat], "VICTOIRE", TableData[Xhelo], A49) + COUNTIFS(TableData[Résultat], "VICTOIRE", TableData[J9], A49))</f>
        <v>0</v>
      </c>
      <c r="C49">
        <f>IF(A49=0, 0, COUNTIF(TableData[Xhelo], A49) + COUNTIF(TableData[J9], A49))</f>
        <v>0</v>
      </c>
      <c r="D49">
        <f>IF(C49&gt;0, B49/C49, 0)</f>
        <v>0</v>
      </c>
      <c r="E49">
        <f>IF(C49&gt;0, INT(D49*10000000) + (B49*1000) + (100-ROW()), -1)</f>
        <v>-1</v>
      </c>
      <c r="F49">
        <f>IF(A49=0, 0, PARAMETRES!B41)</f>
        <v>0</v>
      </c>
      <c r="L49">
        <f>C49-B49</f>
        <v>0</v>
      </c>
      <c r="N49" t="str">
        <f>IF(DATA!L41="", "", DATA!L41)</f>
        <v>Cell + Trunks Jeune</v>
      </c>
      <c r="O49" t="str">
        <f>IF(N49="", "", IF(COUNTIF(N$10:N49, N49)=1, ROW(), ""))</f>
        <v/>
      </c>
      <c r="P49" t="str">
        <f>IFERROR(SMALL(O$10:O$500, 40), "")</f>
        <v/>
      </c>
      <c r="R49">
        <f>IF(P49="", 0, INDEX(N$10:N$500, P49-9))</f>
        <v>0</v>
      </c>
      <c r="S49">
        <f>IF(R49=0, 0, COUNTIFS(TableData[Résultat], "VICTOIRE", TableData[DUO], R49))</f>
        <v>0</v>
      </c>
      <c r="T49">
        <f>IF(R49=0, 0, COUNTIF(TableData[DUO], R49))</f>
        <v>0</v>
      </c>
      <c r="U49">
        <f>IF(T49&gt;0, S49/T49, 0)</f>
        <v>0</v>
      </c>
      <c r="V49">
        <f>IF(T49&gt;0, INT(U49*10000000) + (S49*1000) + (10000-ROW()), -1)</f>
        <v>-1</v>
      </c>
      <c r="Y49">
        <f>T49-S49</f>
        <v>0</v>
      </c>
      <c r="AF49">
        <f>IF(A49=0, 0, COUNTIFS(TableData[Résultat], "VICTOIRE", TableData[Xhelo], A49))</f>
        <v>0</v>
      </c>
      <c r="AG49">
        <f>IF(A49=0, 0, COUNTIF(TableData[Xhelo], A49))</f>
        <v>0</v>
      </c>
      <c r="AH49">
        <f>IF(AG49&gt;0, AF49/AG49, 0)</f>
        <v>0</v>
      </c>
      <c r="AI49">
        <f>AG49-AF49</f>
        <v>0</v>
      </c>
      <c r="AJ49">
        <f>IF(AG49&gt;0, INT(AH49*10000000) + (AF49*1000) + (100-ROW()), -1)</f>
        <v>-1</v>
      </c>
      <c r="AK49">
        <f>SUMIF(TableData[Xhelo], A49, TableData[X_K])</f>
        <v>0</v>
      </c>
      <c r="AL49">
        <f>SUMIF(TableData[Xhelo], A49, TableData[X_D])</f>
        <v>0</v>
      </c>
      <c r="AM49">
        <f>SUMIF(TableData[Xhelo], A49, TableData[X_A])</f>
        <v>0</v>
      </c>
      <c r="AN49">
        <f>IF(AG49&gt;0, (AK49+AM49)/MAX(1, AL49), 0)</f>
        <v>0</v>
      </c>
      <c r="AO49">
        <f>IF(AG49&gt;0, AN49*10000 + (100-ROW()), -1)</f>
        <v>-1</v>
      </c>
      <c r="AQ49">
        <f>IF(A49=0, 0, COUNTIFS(TableData[Résultat], "VICTOIRE", TableData[J9], A49))</f>
        <v>0</v>
      </c>
      <c r="AR49">
        <f>IF(A49=0, 0, COUNTIF(TableData[J9], A49))</f>
        <v>0</v>
      </c>
      <c r="AS49">
        <f>IF(AR49&gt;0, AQ49/AR49, 0)</f>
        <v>0</v>
      </c>
      <c r="AT49">
        <f>AR49-AQ49</f>
        <v>0</v>
      </c>
      <c r="AU49">
        <f>IF(AR49&gt;0, INT(AS49*10000000) + (AQ49*1000) + (100-ROW()), -1)</f>
        <v>-1</v>
      </c>
      <c r="AV49">
        <f>SUMIF(TableData[J9], A49, TableData[J_K])</f>
        <v>0</v>
      </c>
      <c r="AW49">
        <f>SUMIF(TableData[J9], A49, TableData[J_D])</f>
        <v>0</v>
      </c>
      <c r="AX49">
        <f>SUMIF(TableData[J9], A49, TableData[J_A])</f>
        <v>0</v>
      </c>
      <c r="AY49">
        <f>IF(AR49&gt;0, (AV49+AX49)/MAX(1, AW49), 0)</f>
        <v>0</v>
      </c>
      <c r="AZ49">
        <f>IF(AR49&gt;0, AY49*10000 + (100-ROW()), -1)</f>
        <v>-1</v>
      </c>
    </row>
    <row r="50" spans="1:52">
      <c r="A50">
        <f>IF(PARAMETRES!A42="", 0, PARAMETRES!A42)</f>
        <v>0</v>
      </c>
      <c r="B50">
        <f>IF(A50=0, 0, COUNTIFS(TableData[Résultat], "VICTOIRE", TableData[Xhelo], A50) + COUNTIFS(TableData[Résultat], "VICTOIRE", TableData[J9], A50))</f>
        <v>0</v>
      </c>
      <c r="C50">
        <f>IF(A50=0, 0, COUNTIF(TableData[Xhelo], A50) + COUNTIF(TableData[J9], A50))</f>
        <v>0</v>
      </c>
      <c r="D50">
        <f>IF(C50&gt;0, B50/C50, 0)</f>
        <v>0</v>
      </c>
      <c r="E50">
        <f>IF(C50&gt;0, INT(D50*10000000) + (B50*1000) + (100-ROW()), -1)</f>
        <v>-1</v>
      </c>
      <c r="F50">
        <f>IF(A50=0, 0, PARAMETRES!B42)</f>
        <v>0</v>
      </c>
      <c r="L50">
        <f>C50-B50</f>
        <v>0</v>
      </c>
      <c r="N50" t="str">
        <f>IF(DATA!L42="", "", DATA!L42)</f>
        <v>Gotenks + Broly</v>
      </c>
      <c r="O50">
        <f>IF(N50="", "", IF(COUNTIF(N$10:N50, N50)=1, ROW(), ""))</f>
        <v>50</v>
      </c>
      <c r="P50" t="str">
        <f>IFERROR(SMALL(O$10:O$500, 41), "")</f>
        <v/>
      </c>
      <c r="R50">
        <f>IF(P50="", 0, INDEX(N$10:N$500, P50-9))</f>
        <v>0</v>
      </c>
      <c r="S50">
        <f>IF(R50=0, 0, COUNTIFS(TableData[Résultat], "VICTOIRE", TableData[DUO], R50))</f>
        <v>0</v>
      </c>
      <c r="T50">
        <f>IF(R50=0, 0, COUNTIF(TableData[DUO], R50))</f>
        <v>0</v>
      </c>
      <c r="U50">
        <f>IF(T50&gt;0, S50/T50, 0)</f>
        <v>0</v>
      </c>
      <c r="V50">
        <f>IF(T50&gt;0, INT(U50*10000000) + (S50*1000) + (10000-ROW()), -1)</f>
        <v>-1</v>
      </c>
      <c r="Y50">
        <f>T50-S50</f>
        <v>0</v>
      </c>
      <c r="AF50">
        <f>IF(A50=0, 0, COUNTIFS(TableData[Résultat], "VICTOIRE", TableData[Xhelo], A50))</f>
        <v>0</v>
      </c>
      <c r="AG50">
        <f>IF(A50=0, 0, COUNTIF(TableData[Xhelo], A50))</f>
        <v>0</v>
      </c>
      <c r="AH50">
        <f>IF(AG50&gt;0, AF50/AG50, 0)</f>
        <v>0</v>
      </c>
      <c r="AI50">
        <f>AG50-AF50</f>
        <v>0</v>
      </c>
      <c r="AJ50">
        <f>IF(AG50&gt;0, INT(AH50*10000000) + (AF50*1000) + (100-ROW()), -1)</f>
        <v>-1</v>
      </c>
      <c r="AK50">
        <f>SUMIF(TableData[Xhelo], A50, TableData[X_K])</f>
        <v>0</v>
      </c>
      <c r="AL50">
        <f>SUMIF(TableData[Xhelo], A50, TableData[X_D])</f>
        <v>0</v>
      </c>
      <c r="AM50">
        <f>SUMIF(TableData[Xhelo], A50, TableData[X_A])</f>
        <v>0</v>
      </c>
      <c r="AN50">
        <f>IF(AG50&gt;0, (AK50+AM50)/MAX(1, AL50), 0)</f>
        <v>0</v>
      </c>
      <c r="AO50">
        <f>IF(AG50&gt;0, AN50*10000 + (100-ROW()), -1)</f>
        <v>-1</v>
      </c>
      <c r="AQ50">
        <f>IF(A50=0, 0, COUNTIFS(TableData[Résultat], "VICTOIRE", TableData[J9], A50))</f>
        <v>0</v>
      </c>
      <c r="AR50">
        <f>IF(A50=0, 0, COUNTIF(TableData[J9], A50))</f>
        <v>0</v>
      </c>
      <c r="AS50">
        <f>IF(AR50&gt;0, AQ50/AR50, 0)</f>
        <v>0</v>
      </c>
      <c r="AT50">
        <f>AR50-AQ50</f>
        <v>0</v>
      </c>
      <c r="AU50">
        <f>IF(AR50&gt;0, INT(AS50*10000000) + (AQ50*1000) + (100-ROW()), -1)</f>
        <v>-1</v>
      </c>
      <c r="AV50">
        <f>SUMIF(TableData[J9], A50, TableData[J_K])</f>
        <v>0</v>
      </c>
      <c r="AW50">
        <f>SUMIF(TableData[J9], A50, TableData[J_D])</f>
        <v>0</v>
      </c>
      <c r="AX50">
        <f>SUMIF(TableData[J9], A50, TableData[J_A])</f>
        <v>0</v>
      </c>
      <c r="AY50">
        <f>IF(AR50&gt;0, (AV50+AX50)/MAX(1, AW50), 0)</f>
        <v>0</v>
      </c>
      <c r="AZ50">
        <f>IF(AR50&gt;0, AY50*10000 + (100-ROW()), -1)</f>
        <v>-1</v>
      </c>
    </row>
    <row r="51" spans="1:52">
      <c r="A51">
        <f>IF(PARAMETRES!A43="", 0, PARAMETRES!A43)</f>
        <v>0</v>
      </c>
      <c r="B51">
        <f>IF(A51=0, 0, COUNTIFS(TableData[Résultat], "VICTOIRE", TableData[Xhelo], A51) + COUNTIFS(TableData[Résultat], "VICTOIRE", TableData[J9], A51))</f>
        <v>0</v>
      </c>
      <c r="C51">
        <f>IF(A51=0, 0, COUNTIF(TableData[Xhelo], A51) + COUNTIF(TableData[J9], A51))</f>
        <v>0</v>
      </c>
      <c r="D51">
        <f>IF(C51&gt;0, B51/C51, 0)</f>
        <v>0</v>
      </c>
      <c r="E51">
        <f>IF(C51&gt;0, INT(D51*10000000) + (B51*1000) + (100-ROW()), -1)</f>
        <v>-1</v>
      </c>
      <c r="F51">
        <f>IF(A51=0, 0, PARAMETRES!B43)</f>
        <v>0</v>
      </c>
      <c r="L51">
        <f>C51-B51</f>
        <v>0</v>
      </c>
      <c r="N51" t="str">
        <f>IF(DATA!L43="", "", DATA!L43)</f>
        <v>Broly + Cooler</v>
      </c>
      <c r="O51" t="str">
        <f>IF(N51="", "", IF(COUNTIF(N$10:N51, N51)=1, ROW(), ""))</f>
        <v/>
      </c>
      <c r="P51" t="str">
        <f>IFERROR(SMALL(O$10:O$500, 42), "")</f>
        <v/>
      </c>
      <c r="R51">
        <f>IF(P51="", 0, INDEX(N$10:N$500, P51-9))</f>
        <v>0</v>
      </c>
      <c r="S51">
        <f>IF(R51=0, 0, COUNTIFS(TableData[Résultat], "VICTOIRE", TableData[DUO], R51))</f>
        <v>0</v>
      </c>
      <c r="T51">
        <f>IF(R51=0, 0, COUNTIF(TableData[DUO], R51))</f>
        <v>0</v>
      </c>
      <c r="U51">
        <f>IF(T51&gt;0, S51/T51, 0)</f>
        <v>0</v>
      </c>
      <c r="V51">
        <f>IF(T51&gt;0, INT(U51*10000000) + (S51*1000) + (10000-ROW()), -1)</f>
        <v>-1</v>
      </c>
      <c r="Y51">
        <f>T51-S51</f>
        <v>0</v>
      </c>
      <c r="AF51">
        <f>IF(A51=0, 0, COUNTIFS(TableData[Résultat], "VICTOIRE", TableData[Xhelo], A51))</f>
        <v>0</v>
      </c>
      <c r="AG51">
        <f>IF(A51=0, 0, COUNTIF(TableData[Xhelo], A51))</f>
        <v>0</v>
      </c>
      <c r="AH51">
        <f>IF(AG51&gt;0, AF51/AG51, 0)</f>
        <v>0</v>
      </c>
      <c r="AI51">
        <f>AG51-AF51</f>
        <v>0</v>
      </c>
      <c r="AJ51">
        <f>IF(AG51&gt;0, INT(AH51*10000000) + (AF51*1000) + (100-ROW()), -1)</f>
        <v>-1</v>
      </c>
      <c r="AK51">
        <f>SUMIF(TableData[Xhelo], A51, TableData[X_K])</f>
        <v>0</v>
      </c>
      <c r="AL51">
        <f>SUMIF(TableData[Xhelo], A51, TableData[X_D])</f>
        <v>0</v>
      </c>
      <c r="AM51">
        <f>SUMIF(TableData[Xhelo], A51, TableData[X_A])</f>
        <v>0</v>
      </c>
      <c r="AN51">
        <f>IF(AG51&gt;0, (AK51+AM51)/MAX(1, AL51), 0)</f>
        <v>0</v>
      </c>
      <c r="AO51">
        <f>IF(AG51&gt;0, AN51*10000 + (100-ROW()), -1)</f>
        <v>-1</v>
      </c>
      <c r="AQ51">
        <f>IF(A51=0, 0, COUNTIFS(TableData[Résultat], "VICTOIRE", TableData[J9], A51))</f>
        <v>0</v>
      </c>
      <c r="AR51">
        <f>IF(A51=0, 0, COUNTIF(TableData[J9], A51))</f>
        <v>0</v>
      </c>
      <c r="AS51">
        <f>IF(AR51&gt;0, AQ51/AR51, 0)</f>
        <v>0</v>
      </c>
      <c r="AT51">
        <f>AR51-AQ51</f>
        <v>0</v>
      </c>
      <c r="AU51">
        <f>IF(AR51&gt;0, INT(AS51*10000000) + (AQ51*1000) + (100-ROW()), -1)</f>
        <v>-1</v>
      </c>
      <c r="AV51">
        <f>SUMIF(TableData[J9], A51, TableData[J_K])</f>
        <v>0</v>
      </c>
      <c r="AW51">
        <f>SUMIF(TableData[J9], A51, TableData[J_D])</f>
        <v>0</v>
      </c>
      <c r="AX51">
        <f>SUMIF(TableData[J9], A51, TableData[J_A])</f>
        <v>0</v>
      </c>
      <c r="AY51">
        <f>IF(AR51&gt;0, (AV51+AX51)/MAX(1, AW51), 0)</f>
        <v>0</v>
      </c>
      <c r="AZ51">
        <f>IF(AR51&gt;0, AY51*10000 + (100-ROW()), -1)</f>
        <v>-1</v>
      </c>
    </row>
    <row r="52" spans="1:52">
      <c r="A52">
        <f>IF(PARAMETRES!A44="", 0, PARAMETRES!A44)</f>
        <v>0</v>
      </c>
      <c r="B52">
        <f>IF(A52=0, 0, COUNTIFS(TableData[Résultat], "VICTOIRE", TableData[Xhelo], A52) + COUNTIFS(TableData[Résultat], "VICTOIRE", TableData[J9], A52))</f>
        <v>0</v>
      </c>
      <c r="C52">
        <f>IF(A52=0, 0, COUNTIF(TableData[Xhelo], A52) + COUNTIF(TableData[J9], A52))</f>
        <v>0</v>
      </c>
      <c r="D52">
        <f>IF(C52&gt;0, B52/C52, 0)</f>
        <v>0</v>
      </c>
      <c r="E52">
        <f>IF(C52&gt;0, INT(D52*10000000) + (B52*1000) + (100-ROW()), -1)</f>
        <v>-1</v>
      </c>
      <c r="F52">
        <f>IF(A52=0, 0, PARAMETRES!B44)</f>
        <v>0</v>
      </c>
      <c r="L52">
        <f>C52-B52</f>
        <v>0</v>
      </c>
      <c r="N52" t="str">
        <f>IF(DATA!L44="", "", DATA!L44)</f>
        <v>Broly + Ultimate Gohan</v>
      </c>
      <c r="O52">
        <f>IF(N52="", "", IF(COUNTIF(N$10:N52, N52)=1, ROW(), ""))</f>
        <v>52</v>
      </c>
      <c r="P52" t="str">
        <f>IFERROR(SMALL(O$10:O$500, 43), "")</f>
        <v/>
      </c>
      <c r="R52">
        <f>IF(P52="", 0, INDEX(N$10:N$500, P52-9))</f>
        <v>0</v>
      </c>
      <c r="S52">
        <f>IF(R52=0, 0, COUNTIFS(TableData[Résultat], "VICTOIRE", TableData[DUO], R52))</f>
        <v>0</v>
      </c>
      <c r="T52">
        <f>IF(R52=0, 0, COUNTIF(TableData[DUO], R52))</f>
        <v>0</v>
      </c>
      <c r="U52">
        <f>IF(T52&gt;0, S52/T52, 0)</f>
        <v>0</v>
      </c>
      <c r="V52">
        <f>IF(T52&gt;0, INT(U52*10000000) + (S52*1000) + (10000-ROW()), -1)</f>
        <v>-1</v>
      </c>
      <c r="Y52">
        <f>T52-S52</f>
        <v>0</v>
      </c>
      <c r="AF52">
        <f>IF(A52=0, 0, COUNTIFS(TableData[Résultat], "VICTOIRE", TableData[Xhelo], A52))</f>
        <v>0</v>
      </c>
      <c r="AG52">
        <f>IF(A52=0, 0, COUNTIF(TableData[Xhelo], A52))</f>
        <v>0</v>
      </c>
      <c r="AH52">
        <f>IF(AG52&gt;0, AF52/AG52, 0)</f>
        <v>0</v>
      </c>
      <c r="AI52">
        <f>AG52-AF52</f>
        <v>0</v>
      </c>
      <c r="AJ52">
        <f>IF(AG52&gt;0, INT(AH52*10000000) + (AF52*1000) + (100-ROW()), -1)</f>
        <v>-1</v>
      </c>
      <c r="AK52">
        <f>SUMIF(TableData[Xhelo], A52, TableData[X_K])</f>
        <v>0</v>
      </c>
      <c r="AL52">
        <f>SUMIF(TableData[Xhelo], A52, TableData[X_D])</f>
        <v>0</v>
      </c>
      <c r="AM52">
        <f>SUMIF(TableData[Xhelo], A52, TableData[X_A])</f>
        <v>0</v>
      </c>
      <c r="AN52">
        <f>IF(AG52&gt;0, (AK52+AM52)/MAX(1, AL52), 0)</f>
        <v>0</v>
      </c>
      <c r="AO52">
        <f>IF(AG52&gt;0, AN52*10000 + (100-ROW()), -1)</f>
        <v>-1</v>
      </c>
      <c r="AQ52">
        <f>IF(A52=0, 0, COUNTIFS(TableData[Résultat], "VICTOIRE", TableData[J9], A52))</f>
        <v>0</v>
      </c>
      <c r="AR52">
        <f>IF(A52=0, 0, COUNTIF(TableData[J9], A52))</f>
        <v>0</v>
      </c>
      <c r="AS52">
        <f>IF(AR52&gt;0, AQ52/AR52, 0)</f>
        <v>0</v>
      </c>
      <c r="AT52">
        <f>AR52-AQ52</f>
        <v>0</v>
      </c>
      <c r="AU52">
        <f>IF(AR52&gt;0, INT(AS52*10000000) + (AQ52*1000) + (100-ROW()), -1)</f>
        <v>-1</v>
      </c>
      <c r="AV52">
        <f>SUMIF(TableData[J9], A52, TableData[J_K])</f>
        <v>0</v>
      </c>
      <c r="AW52">
        <f>SUMIF(TableData[J9], A52, TableData[J_D])</f>
        <v>0</v>
      </c>
      <c r="AX52">
        <f>SUMIF(TableData[J9], A52, TableData[J_A])</f>
        <v>0</v>
      </c>
      <c r="AY52">
        <f>IF(AR52&gt;0, (AV52+AX52)/MAX(1, AW52), 0)</f>
        <v>0</v>
      </c>
      <c r="AZ52">
        <f>IF(AR52&gt;0, AY52*10000 + (100-ROW()), -1)</f>
        <v>-1</v>
      </c>
    </row>
    <row r="53" spans="1:52">
      <c r="A53">
        <f>IF(PARAMETRES!A45="", 0, PARAMETRES!A45)</f>
        <v>0</v>
      </c>
      <c r="B53">
        <f>IF(A53=0, 0, COUNTIFS(TableData[Résultat], "VICTOIRE", TableData[Xhelo], A53) + COUNTIFS(TableData[Résultat], "VICTOIRE", TableData[J9], A53))</f>
        <v>0</v>
      </c>
      <c r="C53">
        <f>IF(A53=0, 0, COUNTIF(TableData[Xhelo], A53) + COUNTIF(TableData[J9], A53))</f>
        <v>0</v>
      </c>
      <c r="D53">
        <f>IF(C53&gt;0, B53/C53, 0)</f>
        <v>0</v>
      </c>
      <c r="E53">
        <f>IF(C53&gt;0, INT(D53*10000000) + (B53*1000) + (100-ROW()), -1)</f>
        <v>-1</v>
      </c>
      <c r="F53">
        <f>IF(A53=0, 0, PARAMETRES!B45)</f>
        <v>0</v>
      </c>
      <c r="L53">
        <f>C53-B53</f>
        <v>0</v>
      </c>
      <c r="N53" t="str">
        <f>IF(DATA!L45="", "", DATA!L45)</f>
        <v>Cooler + Trunks Jeune</v>
      </c>
      <c r="O53">
        <f>IF(N53="", "", IF(COUNTIF(N$10:N53, N53)=1, ROW(), ""))</f>
        <v>53</v>
      </c>
      <c r="P53" t="str">
        <f>IFERROR(SMALL(O$10:O$500, 44), "")</f>
        <v/>
      </c>
      <c r="R53">
        <f>IF(P53="", 0, INDEX(N$10:N$500, P53-9))</f>
        <v>0</v>
      </c>
      <c r="S53">
        <f>IF(R53=0, 0, COUNTIFS(TableData[Résultat], "VICTOIRE", TableData[DUO], R53))</f>
        <v>0</v>
      </c>
      <c r="T53">
        <f>IF(R53=0, 0, COUNTIF(TableData[DUO], R53))</f>
        <v>0</v>
      </c>
      <c r="U53">
        <f>IF(T53&gt;0, S53/T53, 0)</f>
        <v>0</v>
      </c>
      <c r="V53">
        <f>IF(T53&gt;0, INT(U53*10000000) + (S53*1000) + (10000-ROW()), -1)</f>
        <v>-1</v>
      </c>
      <c r="Y53">
        <f>T53-S53</f>
        <v>0</v>
      </c>
      <c r="AF53">
        <f>IF(A53=0, 0, COUNTIFS(TableData[Résultat], "VICTOIRE", TableData[Xhelo], A53))</f>
        <v>0</v>
      </c>
      <c r="AG53">
        <f>IF(A53=0, 0, COUNTIF(TableData[Xhelo], A53))</f>
        <v>0</v>
      </c>
      <c r="AH53">
        <f>IF(AG53&gt;0, AF53/AG53, 0)</f>
        <v>0</v>
      </c>
      <c r="AI53">
        <f>AG53-AF53</f>
        <v>0</v>
      </c>
      <c r="AJ53">
        <f>IF(AG53&gt;0, INT(AH53*10000000) + (AF53*1000) + (100-ROW()), -1)</f>
        <v>-1</v>
      </c>
      <c r="AK53">
        <f>SUMIF(TableData[Xhelo], A53, TableData[X_K])</f>
        <v>0</v>
      </c>
      <c r="AL53">
        <f>SUMIF(TableData[Xhelo], A53, TableData[X_D])</f>
        <v>0</v>
      </c>
      <c r="AM53">
        <f>SUMIF(TableData[Xhelo], A53, TableData[X_A])</f>
        <v>0</v>
      </c>
      <c r="AN53">
        <f>IF(AG53&gt;0, (AK53+AM53)/MAX(1, AL53), 0)</f>
        <v>0</v>
      </c>
      <c r="AO53">
        <f>IF(AG53&gt;0, AN53*10000 + (100-ROW()), -1)</f>
        <v>-1</v>
      </c>
      <c r="AQ53">
        <f>IF(A53=0, 0, COUNTIFS(TableData[Résultat], "VICTOIRE", TableData[J9], A53))</f>
        <v>0</v>
      </c>
      <c r="AR53">
        <f>IF(A53=0, 0, COUNTIF(TableData[J9], A53))</f>
        <v>0</v>
      </c>
      <c r="AS53">
        <f>IF(AR53&gt;0, AQ53/AR53, 0)</f>
        <v>0</v>
      </c>
      <c r="AT53">
        <f>AR53-AQ53</f>
        <v>0</v>
      </c>
      <c r="AU53">
        <f>IF(AR53&gt;0, INT(AS53*10000000) + (AQ53*1000) + (100-ROW()), -1)</f>
        <v>-1</v>
      </c>
      <c r="AV53">
        <f>SUMIF(TableData[J9], A53, TableData[J_K])</f>
        <v>0</v>
      </c>
      <c r="AW53">
        <f>SUMIF(TableData[J9], A53, TableData[J_D])</f>
        <v>0</v>
      </c>
      <c r="AX53">
        <f>SUMIF(TableData[J9], A53, TableData[J_A])</f>
        <v>0</v>
      </c>
      <c r="AY53">
        <f>IF(AR53&gt;0, (AV53+AX53)/MAX(1, AW53), 0)</f>
        <v>0</v>
      </c>
      <c r="AZ53">
        <f>IF(AR53&gt;0, AY53*10000 + (100-ROW()), -1)</f>
        <v>-1</v>
      </c>
    </row>
    <row r="54" spans="1:52">
      <c r="A54">
        <f>IF(PARAMETRES!A46="", 0, PARAMETRES!A46)</f>
        <v>0</v>
      </c>
      <c r="B54">
        <f>IF(A54=0, 0, COUNTIFS(TableData[Résultat], "VICTOIRE", TableData[Xhelo], A54) + COUNTIFS(TableData[Résultat], "VICTOIRE", TableData[J9], A54))</f>
        <v>0</v>
      </c>
      <c r="C54">
        <f>IF(A54=0, 0, COUNTIF(TableData[Xhelo], A54) + COUNTIF(TableData[J9], A54))</f>
        <v>0</v>
      </c>
      <c r="D54">
        <f>IF(C54&gt;0, B54/C54, 0)</f>
        <v>0</v>
      </c>
      <c r="E54">
        <f>IF(C54&gt;0, INT(D54*10000000) + (B54*1000) + (100-ROW()), -1)</f>
        <v>-1</v>
      </c>
      <c r="F54">
        <f>IF(A54=0, 0, PARAMETRES!B46)</f>
        <v>0</v>
      </c>
      <c r="L54">
        <f>C54-B54</f>
        <v>0</v>
      </c>
      <c r="N54" t="str">
        <f>IF(DATA!L46="", "", DATA!L46)</f>
        <v>Son Goku Super Sayen + Cooler</v>
      </c>
      <c r="O54" t="str">
        <f>IF(N54="", "", IF(COUNTIF(N$10:N54, N54)=1, ROW(), ""))</f>
        <v/>
      </c>
      <c r="P54" t="str">
        <f>IFERROR(SMALL(O$10:O$500, 45), "")</f>
        <v/>
      </c>
      <c r="R54">
        <f>IF(P54="", 0, INDEX(N$10:N$500, P54-9))</f>
        <v>0</v>
      </c>
      <c r="S54">
        <f>IF(R54=0, 0, COUNTIFS(TableData[Résultat], "VICTOIRE", TableData[DUO], R54))</f>
        <v>0</v>
      </c>
      <c r="T54">
        <f>IF(R54=0, 0, COUNTIF(TableData[DUO], R54))</f>
        <v>0</v>
      </c>
      <c r="U54">
        <f>IF(T54&gt;0, S54/T54, 0)</f>
        <v>0</v>
      </c>
      <c r="V54">
        <f>IF(T54&gt;0, INT(U54*10000000) + (S54*1000) + (10000-ROW()), -1)</f>
        <v>-1</v>
      </c>
      <c r="Y54">
        <f>T54-S54</f>
        <v>0</v>
      </c>
      <c r="AF54">
        <f>IF(A54=0, 0, COUNTIFS(TableData[Résultat], "VICTOIRE", TableData[Xhelo], A54))</f>
        <v>0</v>
      </c>
      <c r="AG54">
        <f>IF(A54=0, 0, COUNTIF(TableData[Xhelo], A54))</f>
        <v>0</v>
      </c>
      <c r="AH54">
        <f>IF(AG54&gt;0, AF54/AG54, 0)</f>
        <v>0</v>
      </c>
      <c r="AI54">
        <f>AG54-AF54</f>
        <v>0</v>
      </c>
      <c r="AJ54">
        <f>IF(AG54&gt;0, INT(AH54*10000000) + (AF54*1000) + (100-ROW()), -1)</f>
        <v>-1</v>
      </c>
      <c r="AK54">
        <f>SUMIF(TableData[Xhelo], A54, TableData[X_K])</f>
        <v>0</v>
      </c>
      <c r="AL54">
        <f>SUMIF(TableData[Xhelo], A54, TableData[X_D])</f>
        <v>0</v>
      </c>
      <c r="AM54">
        <f>SUMIF(TableData[Xhelo], A54, TableData[X_A])</f>
        <v>0</v>
      </c>
      <c r="AN54">
        <f>IF(AG54&gt;0, (AK54+AM54)/MAX(1, AL54), 0)</f>
        <v>0</v>
      </c>
      <c r="AO54">
        <f>IF(AG54&gt;0, AN54*10000 + (100-ROW()), -1)</f>
        <v>-1</v>
      </c>
      <c r="AQ54">
        <f>IF(A54=0, 0, COUNTIFS(TableData[Résultat], "VICTOIRE", TableData[J9], A54))</f>
        <v>0</v>
      </c>
      <c r="AR54">
        <f>IF(A54=0, 0, COUNTIF(TableData[J9], A54))</f>
        <v>0</v>
      </c>
      <c r="AS54">
        <f>IF(AR54&gt;0, AQ54/AR54, 0)</f>
        <v>0</v>
      </c>
      <c r="AT54">
        <f>AR54-AQ54</f>
        <v>0</v>
      </c>
      <c r="AU54">
        <f>IF(AR54&gt;0, INT(AS54*10000000) + (AQ54*1000) + (100-ROW()), -1)</f>
        <v>-1</v>
      </c>
      <c r="AV54">
        <f>SUMIF(TableData[J9], A54, TableData[J_K])</f>
        <v>0</v>
      </c>
      <c r="AW54">
        <f>SUMIF(TableData[J9], A54, TableData[J_D])</f>
        <v>0</v>
      </c>
      <c r="AX54">
        <f>SUMIF(TableData[J9], A54, TableData[J_A])</f>
        <v>0</v>
      </c>
      <c r="AY54">
        <f>IF(AR54&gt;0, (AV54+AX54)/MAX(1, AW54), 0)</f>
        <v>0</v>
      </c>
      <c r="AZ54">
        <f>IF(AR54&gt;0, AY54*10000 + (100-ROW()), -1)</f>
        <v>-1</v>
      </c>
    </row>
    <row r="55" spans="1:52">
      <c r="A55">
        <f>IF(PARAMETRES!A47="", 0, PARAMETRES!A47)</f>
        <v>0</v>
      </c>
      <c r="B55">
        <f>IF(A55=0, 0, COUNTIFS(TableData[Résultat], "VICTOIRE", TableData[Xhelo], A55) + COUNTIFS(TableData[Résultat], "VICTOIRE", TableData[J9], A55))</f>
        <v>0</v>
      </c>
      <c r="C55">
        <f>IF(A55=0, 0, COUNTIF(TableData[Xhelo], A55) + COUNTIF(TableData[J9], A55))</f>
        <v>0</v>
      </c>
      <c r="D55">
        <f>IF(C55&gt;0, B55/C55, 0)</f>
        <v>0</v>
      </c>
      <c r="E55">
        <f>IF(C55&gt;0, INT(D55*10000000) + (B55*1000) + (100-ROW()), -1)</f>
        <v>-1</v>
      </c>
      <c r="F55">
        <f>IF(A55=0, 0, PARAMETRES!B47)</f>
        <v>0</v>
      </c>
      <c r="L55">
        <f>C55-B55</f>
        <v>0</v>
      </c>
      <c r="N55" t="str">
        <f>IF(DATA!L47="", "", DATA!L47)</f>
        <v>Broly + Ultimate Gohan</v>
      </c>
      <c r="O55" t="str">
        <f>IF(N55="", "", IF(COUNTIF(N$10:N55, N55)=1, ROW(), ""))</f>
        <v/>
      </c>
      <c r="P55" t="str">
        <f>IFERROR(SMALL(O$10:O$500, 46), "")</f>
        <v/>
      </c>
      <c r="R55">
        <f>IF(P55="", 0, INDEX(N$10:N$500, P55-9))</f>
        <v>0</v>
      </c>
      <c r="S55">
        <f>IF(R55=0, 0, COUNTIFS(TableData[Résultat], "VICTOIRE", TableData[DUO], R55))</f>
        <v>0</v>
      </c>
      <c r="T55">
        <f>IF(R55=0, 0, COUNTIF(TableData[DUO], R55))</f>
        <v>0</v>
      </c>
      <c r="U55">
        <f>IF(T55&gt;0, S55/T55, 0)</f>
        <v>0</v>
      </c>
      <c r="V55">
        <f>IF(T55&gt;0, INT(U55*10000000) + (S55*1000) + (10000-ROW()), -1)</f>
        <v>-1</v>
      </c>
      <c r="Y55">
        <f>T55-S55</f>
        <v>0</v>
      </c>
      <c r="AF55">
        <f>IF(A55=0, 0, COUNTIFS(TableData[Résultat], "VICTOIRE", TableData[Xhelo], A55))</f>
        <v>0</v>
      </c>
      <c r="AG55">
        <f>IF(A55=0, 0, COUNTIF(TableData[Xhelo], A55))</f>
        <v>0</v>
      </c>
      <c r="AH55">
        <f>IF(AG55&gt;0, AF55/AG55, 0)</f>
        <v>0</v>
      </c>
      <c r="AI55">
        <f>AG55-AF55</f>
        <v>0</v>
      </c>
      <c r="AJ55">
        <f>IF(AG55&gt;0, INT(AH55*10000000) + (AF55*1000) + (100-ROW()), -1)</f>
        <v>-1</v>
      </c>
      <c r="AK55">
        <f>SUMIF(TableData[Xhelo], A55, TableData[X_K])</f>
        <v>0</v>
      </c>
      <c r="AL55">
        <f>SUMIF(TableData[Xhelo], A55, TableData[X_D])</f>
        <v>0</v>
      </c>
      <c r="AM55">
        <f>SUMIF(TableData[Xhelo], A55, TableData[X_A])</f>
        <v>0</v>
      </c>
      <c r="AN55">
        <f>IF(AG55&gt;0, (AK55+AM55)/MAX(1, AL55), 0)</f>
        <v>0</v>
      </c>
      <c r="AO55">
        <f>IF(AG55&gt;0, AN55*10000 + (100-ROW()), -1)</f>
        <v>-1</v>
      </c>
      <c r="AQ55">
        <f>IF(A55=0, 0, COUNTIFS(TableData[Résultat], "VICTOIRE", TableData[J9], A55))</f>
        <v>0</v>
      </c>
      <c r="AR55">
        <f>IF(A55=0, 0, COUNTIF(TableData[J9], A55))</f>
        <v>0</v>
      </c>
      <c r="AS55">
        <f>IF(AR55&gt;0, AQ55/AR55, 0)</f>
        <v>0</v>
      </c>
      <c r="AT55">
        <f>AR55-AQ55</f>
        <v>0</v>
      </c>
      <c r="AU55">
        <f>IF(AR55&gt;0, INT(AS55*10000000) + (AQ55*1000) + (100-ROW()), -1)</f>
        <v>-1</v>
      </c>
      <c r="AV55">
        <f>SUMIF(TableData[J9], A55, TableData[J_K])</f>
        <v>0</v>
      </c>
      <c r="AW55">
        <f>SUMIF(TableData[J9], A55, TableData[J_D])</f>
        <v>0</v>
      </c>
      <c r="AX55">
        <f>SUMIF(TableData[J9], A55, TableData[J_A])</f>
        <v>0</v>
      </c>
      <c r="AY55">
        <f>IF(AR55&gt;0, (AV55+AX55)/MAX(1, AW55), 0)</f>
        <v>0</v>
      </c>
      <c r="AZ55">
        <f>IF(AR55&gt;0, AY55*10000 + (100-ROW()), -1)</f>
        <v>-1</v>
      </c>
    </row>
    <row r="56" spans="1:52">
      <c r="A56">
        <f>IF(PARAMETRES!A48="", 0, PARAMETRES!A48)</f>
        <v>0</v>
      </c>
      <c r="B56">
        <f>IF(A56=0, 0, COUNTIFS(TableData[Résultat], "VICTOIRE", TableData[Xhelo], A56) + COUNTIFS(TableData[Résultat], "VICTOIRE", TableData[J9], A56))</f>
        <v>0</v>
      </c>
      <c r="C56">
        <f>IF(A56=0, 0, COUNTIF(TableData[Xhelo], A56) + COUNTIF(TableData[J9], A56))</f>
        <v>0</v>
      </c>
      <c r="D56">
        <f>IF(C56&gt;0, B56/C56, 0)</f>
        <v>0</v>
      </c>
      <c r="E56">
        <f>IF(C56&gt;0, INT(D56*10000000) + (B56*1000) + (100-ROW()), -1)</f>
        <v>-1</v>
      </c>
      <c r="F56">
        <f>IF(A56=0, 0, PARAMETRES!B48)</f>
        <v>0</v>
      </c>
      <c r="L56">
        <f>C56-B56</f>
        <v>0</v>
      </c>
      <c r="N56" t="str">
        <f>IF(DATA!L48="", "", DATA!L48)</f>
        <v>Broly + Trunks Jeune</v>
      </c>
      <c r="O56" t="str">
        <f>IF(N56="", "", IF(COUNTIF(N$10:N56, N56)=1, ROW(), ""))</f>
        <v/>
      </c>
      <c r="P56" t="str">
        <f>IFERROR(SMALL(O$10:O$500, 47), "")</f>
        <v/>
      </c>
      <c r="R56">
        <f>IF(P56="", 0, INDEX(N$10:N$500, P56-9))</f>
        <v>0</v>
      </c>
      <c r="S56">
        <f>IF(R56=0, 0, COUNTIFS(TableData[Résultat], "VICTOIRE", TableData[DUO], R56))</f>
        <v>0</v>
      </c>
      <c r="T56">
        <f>IF(R56=0, 0, COUNTIF(TableData[DUO], R56))</f>
        <v>0</v>
      </c>
      <c r="U56">
        <f>IF(T56&gt;0, S56/T56, 0)</f>
        <v>0</v>
      </c>
      <c r="V56">
        <f>IF(T56&gt;0, INT(U56*10000000) + (S56*1000) + (10000-ROW()), -1)</f>
        <v>-1</v>
      </c>
      <c r="Y56">
        <f>T56-S56</f>
        <v>0</v>
      </c>
      <c r="AF56">
        <f>IF(A56=0, 0, COUNTIFS(TableData[Résultat], "VICTOIRE", TableData[Xhelo], A56))</f>
        <v>0</v>
      </c>
      <c r="AG56">
        <f>IF(A56=0, 0, COUNTIF(TableData[Xhelo], A56))</f>
        <v>0</v>
      </c>
      <c r="AH56">
        <f>IF(AG56&gt;0, AF56/AG56, 0)</f>
        <v>0</v>
      </c>
      <c r="AI56">
        <f>AG56-AF56</f>
        <v>0</v>
      </c>
      <c r="AJ56">
        <f>IF(AG56&gt;0, INT(AH56*10000000) + (AF56*1000) + (100-ROW()), -1)</f>
        <v>-1</v>
      </c>
      <c r="AK56">
        <f>SUMIF(TableData[Xhelo], A56, TableData[X_K])</f>
        <v>0</v>
      </c>
      <c r="AL56">
        <f>SUMIF(TableData[Xhelo], A56, TableData[X_D])</f>
        <v>0</v>
      </c>
      <c r="AM56">
        <f>SUMIF(TableData[Xhelo], A56, TableData[X_A])</f>
        <v>0</v>
      </c>
      <c r="AN56">
        <f>IF(AG56&gt;0, (AK56+AM56)/MAX(1, AL56), 0)</f>
        <v>0</v>
      </c>
      <c r="AO56">
        <f>IF(AG56&gt;0, AN56*10000 + (100-ROW()), -1)</f>
        <v>-1</v>
      </c>
      <c r="AQ56">
        <f>IF(A56=0, 0, COUNTIFS(TableData[Résultat], "VICTOIRE", TableData[J9], A56))</f>
        <v>0</v>
      </c>
      <c r="AR56">
        <f>IF(A56=0, 0, COUNTIF(TableData[J9], A56))</f>
        <v>0</v>
      </c>
      <c r="AS56">
        <f>IF(AR56&gt;0, AQ56/AR56, 0)</f>
        <v>0</v>
      </c>
      <c r="AT56">
        <f>AR56-AQ56</f>
        <v>0</v>
      </c>
      <c r="AU56">
        <f>IF(AR56&gt;0, INT(AS56*10000000) + (AQ56*1000) + (100-ROW()), -1)</f>
        <v>-1</v>
      </c>
      <c r="AV56">
        <f>SUMIF(TableData[J9], A56, TableData[J_K])</f>
        <v>0</v>
      </c>
      <c r="AW56">
        <f>SUMIF(TableData[J9], A56, TableData[J_D])</f>
        <v>0</v>
      </c>
      <c r="AX56">
        <f>SUMIF(TableData[J9], A56, TableData[J_A])</f>
        <v>0</v>
      </c>
      <c r="AY56">
        <f>IF(AR56&gt;0, (AV56+AX56)/MAX(1, AW56), 0)</f>
        <v>0</v>
      </c>
      <c r="AZ56">
        <f>IF(AR56&gt;0, AY56*10000 + (100-ROW()), -1)</f>
        <v>-1</v>
      </c>
    </row>
    <row r="57" spans="1:52">
      <c r="A57">
        <f>IF(PARAMETRES!A49="", 0, PARAMETRES!A49)</f>
        <v>0</v>
      </c>
      <c r="B57">
        <f>IF(A57=0, 0, COUNTIFS(TableData[Résultat], "VICTOIRE", TableData[Xhelo], A57) + COUNTIFS(TableData[Résultat], "VICTOIRE", TableData[J9], A57))</f>
        <v>0</v>
      </c>
      <c r="C57">
        <f>IF(A57=0, 0, COUNTIF(TableData[Xhelo], A57) + COUNTIF(TableData[J9], A57))</f>
        <v>0</v>
      </c>
      <c r="D57">
        <f>IF(C57&gt;0, B57/C57, 0)</f>
        <v>0</v>
      </c>
      <c r="E57">
        <f>IF(C57&gt;0, INT(D57*10000000) + (B57*1000) + (100-ROW()), -1)</f>
        <v>-1</v>
      </c>
      <c r="F57">
        <f>IF(A57=0, 0, PARAMETRES!B49)</f>
        <v>0</v>
      </c>
      <c r="L57">
        <f>C57-B57</f>
        <v>0</v>
      </c>
      <c r="N57" t="str">
        <f>IF(DATA!L49="", "", DATA!L49)</f>
        <v>Cooler + Trunks Jeune</v>
      </c>
      <c r="O57" t="str">
        <f>IF(N57="", "", IF(COUNTIF(N$10:N57, N57)=1, ROW(), ""))</f>
        <v/>
      </c>
      <c r="P57" t="str">
        <f>IFERROR(SMALL(O$10:O$500, 48), "")</f>
        <v/>
      </c>
      <c r="R57">
        <f>IF(P57="", 0, INDEX(N$10:N$500, P57-9))</f>
        <v>0</v>
      </c>
      <c r="S57">
        <f>IF(R57=0, 0, COUNTIFS(TableData[Résultat], "VICTOIRE", TableData[DUO], R57))</f>
        <v>0</v>
      </c>
      <c r="T57">
        <f>IF(R57=0, 0, COUNTIF(TableData[DUO], R57))</f>
        <v>0</v>
      </c>
      <c r="U57">
        <f>IF(T57&gt;0, S57/T57, 0)</f>
        <v>0</v>
      </c>
      <c r="V57">
        <f>IF(T57&gt;0, INT(U57*10000000) + (S57*1000) + (10000-ROW()), -1)</f>
        <v>-1</v>
      </c>
      <c r="Y57">
        <f>T57-S57</f>
        <v>0</v>
      </c>
      <c r="AF57">
        <f>IF(A57=0, 0, COUNTIFS(TableData[Résultat], "VICTOIRE", TableData[Xhelo], A57))</f>
        <v>0</v>
      </c>
      <c r="AG57">
        <f>IF(A57=0, 0, COUNTIF(TableData[Xhelo], A57))</f>
        <v>0</v>
      </c>
      <c r="AH57">
        <f>IF(AG57&gt;0, AF57/AG57, 0)</f>
        <v>0</v>
      </c>
      <c r="AI57">
        <f>AG57-AF57</f>
        <v>0</v>
      </c>
      <c r="AJ57">
        <f>IF(AG57&gt;0, INT(AH57*10000000) + (AF57*1000) + (100-ROW()), -1)</f>
        <v>-1</v>
      </c>
      <c r="AK57">
        <f>SUMIF(TableData[Xhelo], A57, TableData[X_K])</f>
        <v>0</v>
      </c>
      <c r="AL57">
        <f>SUMIF(TableData[Xhelo], A57, TableData[X_D])</f>
        <v>0</v>
      </c>
      <c r="AM57">
        <f>SUMIF(TableData[Xhelo], A57, TableData[X_A])</f>
        <v>0</v>
      </c>
      <c r="AN57">
        <f>IF(AG57&gt;0, (AK57+AM57)/MAX(1, AL57), 0)</f>
        <v>0</v>
      </c>
      <c r="AO57">
        <f>IF(AG57&gt;0, AN57*10000 + (100-ROW()), -1)</f>
        <v>-1</v>
      </c>
      <c r="AQ57">
        <f>IF(A57=0, 0, COUNTIFS(TableData[Résultat], "VICTOIRE", TableData[J9], A57))</f>
        <v>0</v>
      </c>
      <c r="AR57">
        <f>IF(A57=0, 0, COUNTIF(TableData[J9], A57))</f>
        <v>0</v>
      </c>
      <c r="AS57">
        <f>IF(AR57&gt;0, AQ57/AR57, 0)</f>
        <v>0</v>
      </c>
      <c r="AT57">
        <f>AR57-AQ57</f>
        <v>0</v>
      </c>
      <c r="AU57">
        <f>IF(AR57&gt;0, INT(AS57*10000000) + (AQ57*1000) + (100-ROW()), -1)</f>
        <v>-1</v>
      </c>
      <c r="AV57">
        <f>SUMIF(TableData[J9], A57, TableData[J_K])</f>
        <v>0</v>
      </c>
      <c r="AW57">
        <f>SUMIF(TableData[J9], A57, TableData[J_D])</f>
        <v>0</v>
      </c>
      <c r="AX57">
        <f>SUMIF(TableData[J9], A57, TableData[J_A])</f>
        <v>0</v>
      </c>
      <c r="AY57">
        <f>IF(AR57&gt;0, (AV57+AX57)/MAX(1, AW57), 0)</f>
        <v>0</v>
      </c>
      <c r="AZ57">
        <f>IF(AR57&gt;0, AY57*10000 + (100-ROW()), -1)</f>
        <v>-1</v>
      </c>
    </row>
    <row r="58" spans="1:52">
      <c r="A58">
        <f>IF(PARAMETRES!A50="", 0, PARAMETRES!A50)</f>
        <v>0</v>
      </c>
      <c r="B58">
        <f>IF(A58=0, 0, COUNTIFS(TableData[Résultat], "VICTOIRE", TableData[Xhelo], A58) + COUNTIFS(TableData[Résultat], "VICTOIRE", TableData[J9], A58))</f>
        <v>0</v>
      </c>
      <c r="C58">
        <f>IF(A58=0, 0, COUNTIF(TableData[Xhelo], A58) + COUNTIF(TableData[J9], A58))</f>
        <v>0</v>
      </c>
      <c r="D58">
        <f>IF(C58&gt;0, B58/C58, 0)</f>
        <v>0</v>
      </c>
      <c r="E58">
        <f>IF(C58&gt;0, INT(D58*10000000) + (B58*1000) + (100-ROW()), -1)</f>
        <v>-1</v>
      </c>
      <c r="F58">
        <f>IF(A58=0, 0, PARAMETRES!B50)</f>
        <v>0</v>
      </c>
      <c r="L58">
        <f>C58-B58</f>
        <v>0</v>
      </c>
      <c r="N58" t="str">
        <f>IF(DATA!L50="", "", DATA!L50)</f>
        <v>Broly + Trunks Jeune</v>
      </c>
      <c r="O58" t="str">
        <f>IF(N58="", "", IF(COUNTIF(N$10:N58, N58)=1, ROW(), ""))</f>
        <v/>
      </c>
      <c r="P58" t="str">
        <f>IFERROR(SMALL(O$10:O$500, 49), "")</f>
        <v/>
      </c>
      <c r="R58">
        <f>IF(P58="", 0, INDEX(N$10:N$500, P58-9))</f>
        <v>0</v>
      </c>
      <c r="S58">
        <f>IF(R58=0, 0, COUNTIFS(TableData[Résultat], "VICTOIRE", TableData[DUO], R58))</f>
        <v>0</v>
      </c>
      <c r="T58">
        <f>IF(R58=0, 0, COUNTIF(TableData[DUO], R58))</f>
        <v>0</v>
      </c>
      <c r="U58">
        <f>IF(T58&gt;0, S58/T58, 0)</f>
        <v>0</v>
      </c>
      <c r="V58">
        <f>IF(T58&gt;0, INT(U58*10000000) + (S58*1000) + (10000-ROW()), -1)</f>
        <v>-1</v>
      </c>
      <c r="Y58">
        <f>T58-S58</f>
        <v>0</v>
      </c>
      <c r="AF58">
        <f>IF(A58=0, 0, COUNTIFS(TableData[Résultat], "VICTOIRE", TableData[Xhelo], A58))</f>
        <v>0</v>
      </c>
      <c r="AG58">
        <f>IF(A58=0, 0, COUNTIF(TableData[Xhelo], A58))</f>
        <v>0</v>
      </c>
      <c r="AH58">
        <f>IF(AG58&gt;0, AF58/AG58, 0)</f>
        <v>0</v>
      </c>
      <c r="AI58">
        <f>AG58-AF58</f>
        <v>0</v>
      </c>
      <c r="AJ58">
        <f>IF(AG58&gt;0, INT(AH58*10000000) + (AF58*1000) + (100-ROW()), -1)</f>
        <v>-1</v>
      </c>
      <c r="AK58">
        <f>SUMIF(TableData[Xhelo], A58, TableData[X_K])</f>
        <v>0</v>
      </c>
      <c r="AL58">
        <f>SUMIF(TableData[Xhelo], A58, TableData[X_D])</f>
        <v>0</v>
      </c>
      <c r="AM58">
        <f>SUMIF(TableData[Xhelo], A58, TableData[X_A])</f>
        <v>0</v>
      </c>
      <c r="AN58">
        <f>IF(AG58&gt;0, (AK58+AM58)/MAX(1, AL58), 0)</f>
        <v>0</v>
      </c>
      <c r="AO58">
        <f>IF(AG58&gt;0, AN58*10000 + (100-ROW()), -1)</f>
        <v>-1</v>
      </c>
      <c r="AQ58">
        <f>IF(A58=0, 0, COUNTIFS(TableData[Résultat], "VICTOIRE", TableData[J9], A58))</f>
        <v>0</v>
      </c>
      <c r="AR58">
        <f>IF(A58=0, 0, COUNTIF(TableData[J9], A58))</f>
        <v>0</v>
      </c>
      <c r="AS58">
        <f>IF(AR58&gt;0, AQ58/AR58, 0)</f>
        <v>0</v>
      </c>
      <c r="AT58">
        <f>AR58-AQ58</f>
        <v>0</v>
      </c>
      <c r="AU58">
        <f>IF(AR58&gt;0, INT(AS58*10000000) + (AQ58*1000) + (100-ROW()), -1)</f>
        <v>-1</v>
      </c>
      <c r="AV58">
        <f>SUMIF(TableData[J9], A58, TableData[J_K])</f>
        <v>0</v>
      </c>
      <c r="AW58">
        <f>SUMIF(TableData[J9], A58, TableData[J_D])</f>
        <v>0</v>
      </c>
      <c r="AX58">
        <f>SUMIF(TableData[J9], A58, TableData[J_A])</f>
        <v>0</v>
      </c>
      <c r="AY58">
        <f>IF(AR58&gt;0, (AV58+AX58)/MAX(1, AW58), 0)</f>
        <v>0</v>
      </c>
      <c r="AZ58">
        <f>IF(AR58&gt;0, AY58*10000 + (100-ROW()), -1)</f>
        <v>-1</v>
      </c>
    </row>
    <row r="59" spans="1:52">
      <c r="A59">
        <f>IF(PARAMETRES!A51="", 0, PARAMETRES!A51)</f>
        <v>0</v>
      </c>
      <c r="B59">
        <f>IF(A59=0, 0, COUNTIFS(TableData[Résultat], "VICTOIRE", TableData[Xhelo], A59) + COUNTIFS(TableData[Résultat], "VICTOIRE", TableData[J9], A59))</f>
        <v>0</v>
      </c>
      <c r="C59">
        <f>IF(A59=0, 0, COUNTIF(TableData[Xhelo], A59) + COUNTIF(TableData[J9], A59))</f>
        <v>0</v>
      </c>
      <c r="D59">
        <f>IF(C59&gt;0, B59/C59, 0)</f>
        <v>0</v>
      </c>
      <c r="E59">
        <f>IF(C59&gt;0, INT(D59*10000000) + (B59*1000) + (100-ROW()), -1)</f>
        <v>-1</v>
      </c>
      <c r="F59">
        <f>IF(A59=0, 0, PARAMETRES!B51)</f>
        <v>0</v>
      </c>
      <c r="L59">
        <f>C59-B59</f>
        <v>0</v>
      </c>
      <c r="N59" t="str">
        <f>IF(DATA!L51="", "", DATA!L51)</f>
        <v>Broly + Gotenks</v>
      </c>
      <c r="O59" t="str">
        <f>IF(N59="", "", IF(COUNTIF(N$10:N59, N59)=1, ROW(), ""))</f>
        <v/>
      </c>
      <c r="P59" t="str">
        <f>IFERROR(SMALL(O$10:O$500, 50), "")</f>
        <v/>
      </c>
      <c r="R59">
        <f>IF(P59="", 0, INDEX(N$10:N$500, P59-9))</f>
        <v>0</v>
      </c>
      <c r="S59">
        <f>IF(R59=0, 0, COUNTIFS(TableData[Résultat], "VICTOIRE", TableData[DUO], R59))</f>
        <v>0</v>
      </c>
      <c r="T59">
        <f>IF(R59=0, 0, COUNTIF(TableData[DUO], R59))</f>
        <v>0</v>
      </c>
      <c r="U59">
        <f>IF(T59&gt;0, S59/T59, 0)</f>
        <v>0</v>
      </c>
      <c r="V59">
        <f>IF(T59&gt;0, INT(U59*10000000) + (S59*1000) + (10000-ROW()), -1)</f>
        <v>-1</v>
      </c>
      <c r="Y59">
        <f>T59-S59</f>
        <v>0</v>
      </c>
      <c r="AF59">
        <f>IF(A59=0, 0, COUNTIFS(TableData[Résultat], "VICTOIRE", TableData[Xhelo], A59))</f>
        <v>0</v>
      </c>
      <c r="AG59">
        <f>IF(A59=0, 0, COUNTIF(TableData[Xhelo], A59))</f>
        <v>0</v>
      </c>
      <c r="AH59">
        <f>IF(AG59&gt;0, AF59/AG59, 0)</f>
        <v>0</v>
      </c>
      <c r="AI59">
        <f>AG59-AF59</f>
        <v>0</v>
      </c>
      <c r="AJ59">
        <f>IF(AG59&gt;0, INT(AH59*10000000) + (AF59*1000) + (100-ROW()), -1)</f>
        <v>-1</v>
      </c>
      <c r="AK59">
        <f>SUMIF(TableData[Xhelo], A59, TableData[X_K])</f>
        <v>0</v>
      </c>
      <c r="AL59">
        <f>SUMIF(TableData[Xhelo], A59, TableData[X_D])</f>
        <v>0</v>
      </c>
      <c r="AM59">
        <f>SUMIF(TableData[Xhelo], A59, TableData[X_A])</f>
        <v>0</v>
      </c>
      <c r="AN59">
        <f>IF(AG59&gt;0, (AK59+AM59)/MAX(1, AL59), 0)</f>
        <v>0</v>
      </c>
      <c r="AO59">
        <f>IF(AG59&gt;0, AN59*10000 + (100-ROW()), -1)</f>
        <v>-1</v>
      </c>
      <c r="AQ59">
        <f>IF(A59=0, 0, COUNTIFS(TableData[Résultat], "VICTOIRE", TableData[J9], A59))</f>
        <v>0</v>
      </c>
      <c r="AR59">
        <f>IF(A59=0, 0, COUNTIF(TableData[J9], A59))</f>
        <v>0</v>
      </c>
      <c r="AS59">
        <f>IF(AR59&gt;0, AQ59/AR59, 0)</f>
        <v>0</v>
      </c>
      <c r="AT59">
        <f>AR59-AQ59</f>
        <v>0</v>
      </c>
      <c r="AU59">
        <f>IF(AR59&gt;0, INT(AS59*10000000) + (AQ59*1000) + (100-ROW()), -1)</f>
        <v>-1</v>
      </c>
      <c r="AV59">
        <f>SUMIF(TableData[J9], A59, TableData[J_K])</f>
        <v>0</v>
      </c>
      <c r="AW59">
        <f>SUMIF(TableData[J9], A59, TableData[J_D])</f>
        <v>0</v>
      </c>
      <c r="AX59">
        <f>SUMIF(TableData[J9], A59, TableData[J_A])</f>
        <v>0</v>
      </c>
      <c r="AY59">
        <f>IF(AR59&gt;0, (AV59+AX59)/MAX(1, AW59), 0)</f>
        <v>0</v>
      </c>
      <c r="AZ59">
        <f>IF(AR59&gt;0, AY59*10000 + (100-ROW()), -1)</f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50"/>
  <sheetViews>
    <sheetView showGridLines="0" showRowColHeaders="0" topLeftCell="A72" zoomScale="90" zoomScaleNormal="90" workbookViewId="0">
      <selection activeCell="G79" sqref="G79"/>
    </sheetView>
  </sheetViews>
  <sheetFormatPr defaultRowHeight="15"/>
  <cols>
    <col min="1" max="1" width="2.7109375" customWidth="1"/>
    <col min="2" max="3" width="20.7109375" customWidth="1"/>
    <col min="4" max="4" width="30.7109375" customWidth="1"/>
    <col min="5" max="5" width="2.7109375" customWidth="1"/>
    <col min="6" max="12" width="12.7109375" customWidth="1"/>
  </cols>
  <sheetData>
    <row r="1" spans="1:29" s="3" customFormat="1" ht="20.100000000000001" customHeight="1"/>
    <row r="2" spans="1:29" s="3" customFormat="1" ht="20.100000000000001" customHeight="1">
      <c r="B2" s="27" t="s">
        <v>141</v>
      </c>
      <c r="C2" s="27"/>
      <c r="D2" s="27"/>
      <c r="E2" s="27"/>
      <c r="F2" s="27"/>
      <c r="G2" s="27"/>
      <c r="H2" s="27"/>
      <c r="J2" s="29" t="s">
        <v>142</v>
      </c>
      <c r="K2" s="29"/>
      <c r="L2" s="29"/>
    </row>
    <row r="3" spans="1:29" s="3" customFormat="1" ht="20.100000000000001" customHeight="1">
      <c r="B3" s="28" t="s">
        <v>143</v>
      </c>
      <c r="C3" s="28"/>
      <c r="D3" s="28"/>
      <c r="E3" s="28"/>
      <c r="F3" s="28"/>
      <c r="G3" s="28"/>
      <c r="H3" s="28"/>
      <c r="J3" s="29"/>
      <c r="K3" s="29"/>
      <c r="L3" s="29"/>
    </row>
    <row r="4" spans="1:29" s="3" customFormat="1" ht="20.100000000000001" customHeight="1"/>
    <row r="5" spans="1:29" s="3" customFormat="1" ht="20.100000000000001" customHeight="1">
      <c r="B5" s="4" t="s">
        <v>144</v>
      </c>
      <c r="C5" s="4" t="s">
        <v>145</v>
      </c>
      <c r="D5" s="4" t="s">
        <v>146</v>
      </c>
    </row>
    <row r="6" spans="1:29" ht="39.950000000000003" customHeight="1">
      <c r="A6" s="3"/>
      <c r="B6" s="5">
        <f>CALCULS!B2</f>
        <v>169</v>
      </c>
      <c r="C6" s="5">
        <f>CALCULS!B3</f>
        <v>104</v>
      </c>
      <c r="D6" s="6">
        <f>CALCULS!B4</f>
        <v>0.61538461538461542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s="3" customFormat="1" ht="20.100000000000001" customHeight="1"/>
    <row r="8" spans="1:29" s="3" customFormat="1" ht="20.100000000000001" customHeight="1"/>
    <row r="9" spans="1:29" s="3" customFormat="1" ht="20.100000000000001" customHeight="1"/>
    <row r="10" spans="1:29" s="3" customFormat="1" ht="20.100000000000001" customHeight="1"/>
    <row r="11" spans="1:29" s="3" customFormat="1" ht="20.100000000000001" customHeight="1"/>
    <row r="12" spans="1:29" s="3" customFormat="1" ht="20.100000000000001" customHeight="1"/>
    <row r="13" spans="1:29" s="3" customFormat="1" ht="20.100000000000001" customHeight="1"/>
    <row r="14" spans="1:29" s="3" customFormat="1" ht="20.100000000000001" customHeight="1"/>
    <row r="15" spans="1:29" s="3" customFormat="1" ht="20.100000000000001" customHeight="1"/>
    <row r="16" spans="1:29" s="3" customFormat="1" ht="20.100000000000001" customHeight="1"/>
    <row r="17" s="3" customFormat="1" ht="20.100000000000001" customHeight="1"/>
    <row r="18" s="3" customFormat="1" ht="20.100000000000001" customHeight="1"/>
    <row r="19" s="3" customFormat="1" ht="20.100000000000001" customHeight="1"/>
    <row r="20" s="3" customFormat="1" ht="20.100000000000001" customHeight="1"/>
    <row r="21" s="3" customFormat="1" ht="20.100000000000001" customHeight="1"/>
    <row r="22" s="3" customFormat="1" ht="20.100000000000001" customHeight="1"/>
    <row r="23" s="3" customFormat="1" ht="20.100000000000001" customHeight="1"/>
    <row r="24" s="3" customFormat="1" ht="20.100000000000001" customHeight="1"/>
    <row r="25" s="3" customFormat="1" ht="20.100000000000001" customHeight="1"/>
    <row r="26" s="3" customFormat="1" ht="20.100000000000001" customHeight="1"/>
    <row r="27" s="3" customFormat="1" ht="20.100000000000001" customHeight="1"/>
    <row r="28" s="3" customFormat="1" ht="20.100000000000001" customHeight="1"/>
    <row r="29" s="3" customFormat="1" ht="20.100000000000001" customHeight="1"/>
    <row r="30" s="3" customFormat="1" ht="20.100000000000001" customHeight="1"/>
    <row r="31" s="3" customFormat="1" ht="20.100000000000001" customHeight="1"/>
    <row r="32" s="3" customFormat="1" ht="20.100000000000001" customHeight="1"/>
    <row r="33" s="3" customFormat="1" ht="20.100000000000001" customHeight="1"/>
    <row r="34" s="3" customFormat="1" ht="20.100000000000001" customHeight="1"/>
    <row r="35" s="3" customFormat="1" ht="20.100000000000001" customHeight="1"/>
    <row r="36" s="3" customFormat="1" ht="20.100000000000001" customHeight="1"/>
    <row r="37" s="3" customFormat="1" ht="20.100000000000001" customHeight="1"/>
    <row r="38" s="3" customFormat="1" ht="20.100000000000001" customHeight="1"/>
    <row r="39" s="3" customFormat="1" ht="20.100000000000001" customHeight="1"/>
    <row r="40" s="3" customFormat="1" ht="20.100000000000001" customHeight="1"/>
    <row r="41" s="3" customFormat="1" ht="20.100000000000001" customHeight="1"/>
    <row r="42" s="3" customFormat="1" ht="20.100000000000001" customHeight="1"/>
    <row r="43" s="3" customFormat="1" ht="20.100000000000001" customHeight="1"/>
    <row r="44" s="3" customFormat="1" ht="20.100000000000001" customHeight="1"/>
    <row r="45" s="3" customFormat="1" ht="20.100000000000001" customHeight="1"/>
    <row r="46" s="3" customFormat="1" ht="20.100000000000001" customHeight="1"/>
    <row r="47" s="3" customFormat="1" ht="20.100000000000001" customHeight="1"/>
    <row r="48" s="3" customFormat="1" ht="20.100000000000001" customHeight="1"/>
    <row r="49" spans="2:16" s="3" customFormat="1" ht="20.100000000000001" customHeight="1"/>
    <row r="50" spans="2:16" s="3" customFormat="1" ht="20.100000000000001" customHeight="1"/>
    <row r="51" spans="2:16" s="3" customFormat="1" ht="20.100000000000001" customHeight="1">
      <c r="P51"/>
    </row>
    <row r="52" spans="2:16" s="3" customFormat="1" ht="20.100000000000001" customHeight="1"/>
    <row r="53" spans="2:16" s="3" customFormat="1" ht="20.100000000000001" customHeight="1"/>
    <row r="54" spans="2:16" s="3" customFormat="1" ht="20.100000000000001" customHeight="1"/>
    <row r="55" spans="2:16" s="3" customFormat="1" ht="20.100000000000001" customHeight="1"/>
    <row r="56" spans="2:16" s="3" customFormat="1" ht="20.100000000000001" customHeight="1"/>
    <row r="57" spans="2:16" s="3" customFormat="1" ht="20.100000000000001" customHeight="1"/>
    <row r="58" spans="2:16" s="3" customFormat="1" ht="20.100000000000001" customHeight="1"/>
    <row r="59" spans="2:16" s="3" customFormat="1" ht="20.100000000000001" customHeight="1"/>
    <row r="60" spans="2:16" s="3" customFormat="1" ht="20.100000000000001" customHeight="1">
      <c r="B60" s="30" t="s">
        <v>147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</row>
    <row r="61" spans="2:16" s="3" customFormat="1" ht="20.100000000000001" customHeight="1"/>
    <row r="62" spans="2:16" s="3" customFormat="1" ht="20.100000000000001" customHeight="1"/>
    <row r="63" spans="2:16" s="3" customFormat="1" ht="20.100000000000001" customHeight="1"/>
    <row r="64" spans="2:16" s="3" customFormat="1" ht="20.100000000000001" customHeight="1"/>
    <row r="65" s="3" customFormat="1" ht="20.100000000000001" customHeight="1"/>
    <row r="66" s="3" customFormat="1" ht="20.100000000000001" customHeight="1"/>
    <row r="67" s="3" customFormat="1" ht="20.100000000000001" customHeight="1"/>
    <row r="68" s="3" customFormat="1" ht="20.100000000000001" customHeight="1"/>
    <row r="69" s="3" customFormat="1" ht="20.100000000000001" customHeight="1"/>
    <row r="70" s="3" customFormat="1" ht="20.100000000000001" customHeight="1"/>
    <row r="71" s="3" customFormat="1" ht="20.100000000000001" customHeight="1"/>
    <row r="72" s="3" customFormat="1" ht="20.100000000000001" customHeight="1"/>
    <row r="73" s="3" customFormat="1" ht="20.100000000000001" customHeight="1"/>
    <row r="74" s="3" customFormat="1" ht="20.100000000000001" customHeight="1"/>
    <row r="75" s="3" customFormat="1" ht="20.100000000000001" customHeight="1"/>
    <row r="76" s="3" customFormat="1" ht="20.100000000000001" customHeight="1"/>
    <row r="77" s="3" customFormat="1" ht="20.100000000000001" customHeight="1"/>
    <row r="78" s="3" customFormat="1" ht="20.100000000000001" customHeight="1"/>
    <row r="79" s="3" customFormat="1" ht="20.100000000000001" customHeight="1"/>
    <row r="80" s="3" customFormat="1" ht="20.100000000000001" customHeight="1"/>
    <row r="81" s="3" customFormat="1" ht="20.100000000000001" customHeight="1"/>
    <row r="82" s="3" customFormat="1" ht="20.100000000000001" customHeight="1"/>
    <row r="83" s="3" customFormat="1" ht="20.100000000000001" customHeight="1"/>
    <row r="84" s="3" customFormat="1" ht="20.100000000000001" customHeight="1"/>
    <row r="85" s="3" customFormat="1" ht="20.100000000000001" customHeight="1"/>
    <row r="86" s="3" customFormat="1" ht="20.100000000000001" customHeight="1"/>
    <row r="87" s="3" customFormat="1" ht="20.100000000000001" customHeight="1"/>
    <row r="88" s="3" customFormat="1" ht="20.100000000000001" customHeight="1"/>
    <row r="89" s="3" customFormat="1" ht="20.100000000000001" customHeight="1"/>
    <row r="90" s="3" customFormat="1" ht="20.100000000000001" customHeight="1"/>
    <row r="91" s="3" customFormat="1" ht="20.100000000000001" customHeight="1"/>
    <row r="92" s="3" customFormat="1" ht="20.100000000000001" customHeight="1"/>
    <row r="93" s="3" customFormat="1" ht="20.100000000000001" customHeight="1"/>
    <row r="94" s="3" customFormat="1" ht="20.100000000000001" customHeight="1"/>
    <row r="95" s="3" customFormat="1" ht="20.100000000000001" customHeight="1"/>
    <row r="96" s="3" customFormat="1" ht="20.100000000000001" customHeight="1"/>
    <row r="97" s="3" customFormat="1" ht="20.100000000000001" customHeight="1"/>
    <row r="98" s="3" customFormat="1" ht="20.100000000000001" customHeight="1"/>
    <row r="99" s="3" customFormat="1" ht="20.100000000000001" customHeight="1"/>
    <row r="100" s="3" customFormat="1" ht="20.100000000000001" customHeight="1"/>
    <row r="101" s="3" customFormat="1" ht="20.100000000000001" customHeight="1"/>
    <row r="102" s="3" customFormat="1" ht="20.100000000000001" customHeight="1"/>
    <row r="103" s="3" customFormat="1" ht="20.100000000000001" customHeight="1"/>
    <row r="104" s="3" customFormat="1" ht="20.100000000000001" customHeight="1"/>
    <row r="105" s="3" customFormat="1" ht="20.100000000000001" customHeight="1"/>
    <row r="106" s="3" customFormat="1" ht="20.100000000000001" customHeight="1"/>
    <row r="107" s="3" customFormat="1" ht="20.100000000000001" customHeight="1"/>
    <row r="108" s="3" customFormat="1" ht="20.100000000000001" customHeight="1"/>
    <row r="109" s="3" customFormat="1" ht="20.100000000000001" customHeight="1"/>
    <row r="110" s="3" customFormat="1" ht="20.100000000000001" customHeight="1"/>
    <row r="111" s="3" customFormat="1" ht="20.100000000000001" customHeight="1"/>
    <row r="112" s="3" customFormat="1" ht="20.100000000000001" customHeight="1"/>
    <row r="113" s="3" customFormat="1" ht="20.100000000000001" customHeight="1"/>
    <row r="114" s="3" customFormat="1" ht="20.100000000000001" customHeight="1"/>
    <row r="115" s="3" customFormat="1" ht="20.100000000000001" customHeight="1"/>
    <row r="116" s="3" customFormat="1" ht="20.100000000000001" customHeight="1"/>
    <row r="117" s="3" customFormat="1" ht="20.100000000000001" customHeight="1"/>
    <row r="118" s="3" customFormat="1" ht="20.100000000000001" customHeight="1"/>
    <row r="119" s="3" customFormat="1" ht="20.100000000000001" customHeight="1"/>
    <row r="120" s="3" customFormat="1" ht="20.100000000000001" customHeight="1"/>
    <row r="121" s="3" customFormat="1" ht="20.100000000000001" customHeight="1"/>
    <row r="122" s="3" customFormat="1" ht="20.100000000000001" customHeight="1"/>
    <row r="123" s="3" customFormat="1" ht="20.100000000000001" customHeight="1"/>
    <row r="124" s="3" customFormat="1" ht="20.100000000000001" customHeight="1"/>
    <row r="125" s="3" customFormat="1" ht="20.100000000000001" customHeight="1"/>
    <row r="126" s="3" customFormat="1" ht="20.100000000000001" customHeight="1"/>
    <row r="127" s="3" customFormat="1" ht="20.100000000000001" customHeight="1"/>
    <row r="128" s="3" customFormat="1" ht="20.100000000000001" customHeight="1"/>
    <row r="129" s="3" customFormat="1" ht="20.100000000000001" customHeight="1"/>
    <row r="130" s="3" customFormat="1" ht="20.100000000000001" customHeight="1"/>
    <row r="131" s="3" customFormat="1" ht="20.100000000000001" customHeight="1"/>
    <row r="132" s="3" customFormat="1" ht="20.100000000000001" customHeight="1"/>
    <row r="133" s="3" customFormat="1" ht="20.100000000000001" customHeight="1"/>
    <row r="134" s="3" customFormat="1" ht="20.100000000000001" customHeight="1"/>
    <row r="135" s="3" customFormat="1" ht="20.100000000000001" customHeight="1"/>
    <row r="136" s="3" customFormat="1" ht="20.100000000000001" customHeight="1"/>
    <row r="137" s="3" customFormat="1" ht="20.100000000000001" customHeight="1"/>
    <row r="138" s="3" customFormat="1" ht="20.100000000000001" customHeight="1"/>
    <row r="139" s="3" customFormat="1" ht="20.100000000000001" customHeight="1"/>
    <row r="140" s="3" customFormat="1" ht="20.100000000000001" customHeight="1"/>
    <row r="141" s="3" customFormat="1" ht="20.100000000000001" customHeight="1"/>
    <row r="142" s="3" customFormat="1" ht="20.100000000000001" customHeight="1"/>
    <row r="143" s="3" customFormat="1" ht="20.100000000000001" customHeight="1"/>
    <row r="144" s="3" customFormat="1" ht="20.100000000000001" customHeight="1"/>
    <row r="145" s="3" customFormat="1" ht="20.100000000000001" customHeight="1"/>
    <row r="146" s="3" customFormat="1" ht="20.100000000000001" customHeight="1"/>
    <row r="147" s="3" customFormat="1" ht="20.100000000000001" customHeight="1"/>
    <row r="148" s="3" customFormat="1" ht="20.100000000000001" customHeight="1"/>
    <row r="149" s="3" customFormat="1" ht="20.100000000000001" customHeight="1"/>
    <row r="150" s="3" customFormat="1" ht="20.100000000000001" customHeight="1"/>
  </sheetData>
  <mergeCells count="4">
    <mergeCell ref="B2:H2"/>
    <mergeCell ref="B3:H3"/>
    <mergeCell ref="J2:L3"/>
    <mergeCell ref="B60:L60"/>
  </mergeCells>
  <hyperlinks>
    <hyperlink ref="J2" location="'DATA'!A30" display="NOUVEAU MATCH +" xr:uid="{00000000-0004-0000-03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2026-01-16T10:23:29Z</dcterms:created>
  <dcterms:modified xsi:type="dcterms:W3CDTF">2026-02-21T14:03:16Z</dcterms:modified>
  <cp:category/>
  <cp:contentStatus/>
</cp:coreProperties>
</file>