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9040" windowHeight="15225"/>
  </bookViews>
  <sheets>
    <sheet name="C金龙鱼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13" i="1"/>
  <c r="G13" i="1"/>
  <c r="H13" i="1"/>
  <c r="C12" i="1" l="1"/>
  <c r="G12" i="1"/>
  <c r="H12" i="1"/>
  <c r="G11" i="1" l="1"/>
  <c r="H11" i="1"/>
  <c r="C11" i="1" s="1"/>
  <c r="C10" i="1" l="1"/>
  <c r="G10" i="1"/>
  <c r="H10" i="1"/>
  <c r="C19" i="1" l="1"/>
  <c r="C20" i="1"/>
  <c r="H9" i="1" l="1"/>
  <c r="G9" i="1"/>
  <c r="C9" i="1" l="1"/>
  <c r="H3" i="1"/>
  <c r="H4" i="1"/>
  <c r="H5" i="1"/>
  <c r="H6" i="1"/>
  <c r="H7" i="1"/>
  <c r="H8" i="1"/>
  <c r="H2" i="1"/>
  <c r="G3" i="1"/>
  <c r="G4" i="1"/>
  <c r="G5" i="1"/>
  <c r="G6" i="1"/>
  <c r="G7" i="1"/>
  <c r="G8" i="1"/>
  <c r="G2" i="1"/>
  <c r="C18" i="1"/>
  <c r="C25" i="1" s="1"/>
  <c r="C2" i="1" l="1"/>
  <c r="C7" i="1"/>
  <c r="C6" i="1"/>
  <c r="C5" i="1"/>
  <c r="C4" i="1"/>
  <c r="C3" i="1"/>
  <c r="C8" i="1"/>
  <c r="C17" i="1" s="1"/>
  <c r="C26" i="1" s="1"/>
  <c r="C16" i="1" l="1"/>
  <c r="C27" i="1" l="1"/>
  <c r="C28" i="1" s="1"/>
  <c r="C29" i="1" s="1"/>
  <c r="C22" i="1"/>
</calcChain>
</file>

<file path=xl/sharedStrings.xml><?xml version="1.0" encoding="utf-8"?>
<sst xmlns="http://schemas.openxmlformats.org/spreadsheetml/2006/main" count="51" uniqueCount="42">
  <si>
    <t>交易日期</t>
    <phoneticPr fontId="1" type="noConversion"/>
  </si>
  <si>
    <t>交易类型</t>
    <phoneticPr fontId="1" type="noConversion"/>
  </si>
  <si>
    <t>金额</t>
    <phoneticPr fontId="1" type="noConversion"/>
  </si>
  <si>
    <t>单价</t>
    <phoneticPr fontId="1" type="noConversion"/>
  </si>
  <si>
    <t>佣金</t>
    <phoneticPr fontId="1" type="noConversion"/>
  </si>
  <si>
    <t>过户费</t>
    <phoneticPr fontId="1" type="noConversion"/>
  </si>
  <si>
    <t>印花税</t>
    <phoneticPr fontId="1" type="noConversion"/>
  </si>
  <si>
    <t>股数</t>
    <phoneticPr fontId="1" type="noConversion"/>
  </si>
  <si>
    <t>股票买入</t>
    <phoneticPr fontId="1" type="noConversion"/>
  </si>
  <si>
    <t>股票买入</t>
    <phoneticPr fontId="1" type="noConversion"/>
  </si>
  <si>
    <t>股票买入</t>
    <phoneticPr fontId="1" type="noConversion"/>
  </si>
  <si>
    <t>转账日期</t>
    <phoneticPr fontId="1" type="noConversion"/>
  </si>
  <si>
    <t>转账金额</t>
    <phoneticPr fontId="1" type="noConversion"/>
  </si>
  <si>
    <t>股票卖出</t>
  </si>
  <si>
    <t>持仓股数</t>
    <phoneticPr fontId="1" type="noConversion"/>
  </si>
  <si>
    <t>转账类型</t>
    <phoneticPr fontId="1" type="noConversion"/>
  </si>
  <si>
    <t>转入</t>
    <phoneticPr fontId="1" type="noConversion"/>
  </si>
  <si>
    <t>转出</t>
    <phoneticPr fontId="1" type="noConversion"/>
  </si>
  <si>
    <t>转入总金额</t>
    <phoneticPr fontId="1" type="noConversion"/>
  </si>
  <si>
    <t>转出总金额</t>
    <phoneticPr fontId="1" type="noConversion"/>
  </si>
  <si>
    <t>当前股价</t>
    <phoneticPr fontId="1" type="noConversion"/>
  </si>
  <si>
    <t>持仓市值</t>
    <phoneticPr fontId="1" type="noConversion"/>
  </si>
  <si>
    <t>清仓时价值</t>
    <phoneticPr fontId="1" type="noConversion"/>
  </si>
  <si>
    <t>持仓盈亏</t>
    <phoneticPr fontId="1" type="noConversion"/>
  </si>
  <si>
    <r>
      <t>公式：</t>
    </r>
    <r>
      <rPr>
        <sz val="11"/>
        <color rgb="FFFF0000"/>
        <rFont val="等线"/>
        <family val="3"/>
        <charset val="134"/>
        <scheme val="minor"/>
      </rPr>
      <t>持仓市值</t>
    </r>
    <r>
      <rPr>
        <sz val="11"/>
        <color rgb="FFFF0000"/>
        <rFont val="等线"/>
        <family val="2"/>
        <scheme val="minor"/>
      </rPr>
      <t xml:space="preserve"> </t>
    </r>
    <r>
      <rPr>
        <sz val="11"/>
        <color theme="1"/>
        <rFont val="等线"/>
        <family val="2"/>
        <scheme val="minor"/>
      </rPr>
      <t>= 当前股价 × 持仓股数</t>
    </r>
    <phoneticPr fontId="1" type="noConversion"/>
  </si>
  <si>
    <t>盈利赠送(10%)</t>
    <phoneticPr fontId="1" type="noConversion"/>
  </si>
  <si>
    <r>
      <t>公式：</t>
    </r>
    <r>
      <rPr>
        <sz val="11"/>
        <color rgb="FFFF0000"/>
        <rFont val="等线"/>
        <family val="3"/>
        <charset val="134"/>
        <scheme val="minor"/>
      </rPr>
      <t>盈利赠送</t>
    </r>
    <r>
      <rPr>
        <sz val="11"/>
        <color theme="1"/>
        <rFont val="等线"/>
        <family val="2"/>
        <scheme val="minor"/>
      </rPr>
      <t xml:space="preserve"> = 持仓盈利 × 10%，亏损不相干</t>
    </r>
    <phoneticPr fontId="1" type="noConversion"/>
  </si>
  <si>
    <t>最终结算金额</t>
    <phoneticPr fontId="1" type="noConversion"/>
  </si>
  <si>
    <r>
      <t>公式：</t>
    </r>
    <r>
      <rPr>
        <sz val="11"/>
        <color rgb="FFFF0000"/>
        <rFont val="等线"/>
        <family val="3"/>
        <charset val="134"/>
        <scheme val="minor"/>
      </rPr>
      <t>最终结算金额</t>
    </r>
    <r>
      <rPr>
        <sz val="11"/>
        <color theme="1"/>
        <rFont val="等线"/>
        <family val="2"/>
        <scheme val="minor"/>
      </rPr>
      <t xml:space="preserve"> = 转入总金额 - 转出总金额 + 持仓盈亏 - 盈利赠送</t>
    </r>
    <phoneticPr fontId="1" type="noConversion"/>
  </si>
  <si>
    <t>← 请更新股价</t>
    <phoneticPr fontId="1" type="noConversion"/>
  </si>
  <si>
    <t>股票买入金额</t>
    <phoneticPr fontId="1" type="noConversion"/>
  </si>
  <si>
    <t>股票卖出金额</t>
    <phoneticPr fontId="1" type="noConversion"/>
  </si>
  <si>
    <r>
      <t>公式：</t>
    </r>
    <r>
      <rPr>
        <sz val="11"/>
        <color rgb="FFFF0000"/>
        <rFont val="等线"/>
        <family val="3"/>
        <charset val="134"/>
        <scheme val="minor"/>
      </rPr>
      <t>清仓时价值</t>
    </r>
    <r>
      <rPr>
        <sz val="11"/>
        <color rgb="FFFF0000"/>
        <rFont val="等线"/>
        <family val="2"/>
        <scheme val="minor"/>
      </rPr>
      <t xml:space="preserve"> </t>
    </r>
    <r>
      <rPr>
        <sz val="11"/>
        <color theme="1"/>
        <rFont val="等线"/>
        <family val="2"/>
        <scheme val="minor"/>
      </rPr>
      <t>= 持仓市值 + 股票卖出金额</t>
    </r>
    <phoneticPr fontId="1" type="noConversion"/>
  </si>
  <si>
    <r>
      <t>公式：</t>
    </r>
    <r>
      <rPr>
        <sz val="11"/>
        <color rgb="FFFF0000"/>
        <rFont val="等线"/>
        <family val="3"/>
        <charset val="134"/>
        <scheme val="minor"/>
      </rPr>
      <t>持仓盈亏</t>
    </r>
    <r>
      <rPr>
        <sz val="11"/>
        <color theme="1"/>
        <rFont val="等线"/>
        <family val="2"/>
        <scheme val="minor"/>
      </rPr>
      <t xml:space="preserve"> = 股票买入金额(负数) + 清仓时价值</t>
    </r>
    <phoneticPr fontId="1" type="noConversion"/>
  </si>
  <si>
    <t>可用本金</t>
    <phoneticPr fontId="1" type="noConversion"/>
  </si>
  <si>
    <t>股票买入</t>
  </si>
  <si>
    <t>股票买入</t>
    <phoneticPr fontId="1" type="noConversion"/>
  </si>
  <si>
    <t>转入</t>
    <phoneticPr fontId="1" type="noConversion"/>
  </si>
  <si>
    <t>转入</t>
    <phoneticPr fontId="1" type="noConversion"/>
  </si>
  <si>
    <t>账面本金</t>
    <phoneticPr fontId="1" type="noConversion"/>
  </si>
  <si>
    <t>股票现金提回</t>
    <phoneticPr fontId="1" type="noConversion"/>
  </si>
  <si>
    <t>股票现金提出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</si>
</sst>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6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 applyAlignment="1">
      <alignment horizontal="center" vertical="center"/>
    </xf>
    <xf numFmtId="0" fontId="4" fillId="4" borderId="0" xfId="0" applyFont="1" applyFill="1" applyAlignment="1">
      <alignment horizontal="left" vertical="center"/>
    </xf>
    <xf numFmtId="0" fontId="5" fillId="3" borderId="0" xfId="0" applyFont="1" applyFill="1" applyAlignment="1">
      <alignment horizontal="center"/>
    </xf>
    <xf numFmtId="0" fontId="0" fillId="4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workbookViewId="0">
      <pane ySplit="1" topLeftCell="A2" activePane="bottomLeft" state="frozen"/>
      <selection pane="bottomLeft" activeCell="P22" sqref="P22"/>
    </sheetView>
  </sheetViews>
  <sheetFormatPr defaultRowHeight="14.25" x14ac:dyDescent="0.2"/>
  <cols>
    <col min="1" max="1" width="11.125" style="1" bestFit="1" customWidth="1"/>
    <col min="2" max="2" width="12.75" style="2" customWidth="1"/>
    <col min="3" max="3" width="10.875" style="2" customWidth="1"/>
    <col min="4" max="5" width="9" style="2"/>
    <col min="7" max="8" width="9" style="2"/>
    <col min="10" max="10" width="11.125" bestFit="1" customWidth="1"/>
    <col min="11" max="11" width="9" bestFit="1" customWidth="1"/>
    <col min="12" max="12" width="10.5" style="2" bestFit="1" customWidth="1"/>
    <col min="13" max="13" width="18" customWidth="1"/>
  </cols>
  <sheetData>
    <row r="1" spans="1:13" x14ac:dyDescent="0.2">
      <c r="A1" s="3" t="s">
        <v>0</v>
      </c>
      <c r="B1" s="4" t="s">
        <v>1</v>
      </c>
      <c r="C1" s="4" t="s">
        <v>2</v>
      </c>
      <c r="D1" s="4" t="s">
        <v>3</v>
      </c>
      <c r="E1" s="4" t="s">
        <v>7</v>
      </c>
      <c r="F1" s="4" t="s">
        <v>4</v>
      </c>
      <c r="G1" s="4" t="s">
        <v>5</v>
      </c>
      <c r="H1" s="4" t="s">
        <v>6</v>
      </c>
      <c r="J1" s="4" t="s">
        <v>11</v>
      </c>
      <c r="K1" s="4" t="s">
        <v>15</v>
      </c>
      <c r="L1" s="4" t="s">
        <v>12</v>
      </c>
    </row>
    <row r="2" spans="1:13" x14ac:dyDescent="0.2">
      <c r="A2" s="1">
        <v>44120</v>
      </c>
      <c r="B2" s="2" t="s">
        <v>8</v>
      </c>
      <c r="C2" s="2">
        <f>IF(B2="股票买入",(D2*E2+F2+G2+H2)*-1, D2*E2*-1-F2-G2-H2)</f>
        <v>-10290.209999999999</v>
      </c>
      <c r="D2" s="2">
        <v>51.424999999999997</v>
      </c>
      <c r="E2" s="2">
        <v>200</v>
      </c>
      <c r="F2" s="2">
        <v>5</v>
      </c>
      <c r="G2" s="2">
        <f>IF(E2&gt;0,ROUND(D2*E2*0.002%,2),-ROUND(D2*E2*0.002%,2))</f>
        <v>0.21</v>
      </c>
      <c r="H2" s="2">
        <f>ROUND(IF(B2="股票买入",0,-D2*E2*0.1%),2)</f>
        <v>0</v>
      </c>
      <c r="J2" s="1">
        <v>44120</v>
      </c>
      <c r="K2" s="1" t="s">
        <v>16</v>
      </c>
      <c r="L2" s="2">
        <v>10290.209999999999</v>
      </c>
    </row>
    <row r="3" spans="1:13" x14ac:dyDescent="0.2">
      <c r="A3" s="1">
        <v>44127</v>
      </c>
      <c r="B3" s="2" t="s">
        <v>8</v>
      </c>
      <c r="C3" s="2">
        <f t="shared" ref="C3:C7" si="0">IF(B3="股票买入",(D3*E3+F3+G3+H3)*-1, D3*E3*-1-F3-G3-H3)</f>
        <v>-9605.19</v>
      </c>
      <c r="D3" s="2">
        <v>48</v>
      </c>
      <c r="E3" s="2">
        <v>200</v>
      </c>
      <c r="F3" s="2">
        <v>5</v>
      </c>
      <c r="G3" s="2">
        <f t="shared" ref="G3:G13" si="1">IF(E3&gt;0,ROUND(D3*E3*0.002%,2),-ROUND(D3*E3*0.002%,2))</f>
        <v>0.19</v>
      </c>
      <c r="H3" s="2">
        <f t="shared" ref="H3:H8" si="2">ROUND(IF(B3="股票买入",0,-D3*E3*0.1%),2)</f>
        <v>0</v>
      </c>
      <c r="J3" s="1">
        <v>44127</v>
      </c>
      <c r="K3" s="1" t="s">
        <v>16</v>
      </c>
      <c r="L3" s="2">
        <v>10000</v>
      </c>
    </row>
    <row r="4" spans="1:13" x14ac:dyDescent="0.2">
      <c r="A4" s="1">
        <v>44130</v>
      </c>
      <c r="B4" s="2" t="s">
        <v>9</v>
      </c>
      <c r="C4" s="2">
        <f t="shared" si="0"/>
        <v>-9329.19</v>
      </c>
      <c r="D4" s="2">
        <v>46.62</v>
      </c>
      <c r="E4" s="2">
        <v>200</v>
      </c>
      <c r="F4" s="2">
        <v>5</v>
      </c>
      <c r="G4" s="2">
        <f t="shared" si="1"/>
        <v>0.19</v>
      </c>
      <c r="H4" s="2">
        <f t="shared" si="2"/>
        <v>0</v>
      </c>
      <c r="J4" s="1">
        <v>44130</v>
      </c>
      <c r="K4" s="1" t="s">
        <v>16</v>
      </c>
      <c r="L4" s="2">
        <v>10000</v>
      </c>
    </row>
    <row r="5" spans="1:13" x14ac:dyDescent="0.2">
      <c r="A5" s="1">
        <v>44131</v>
      </c>
      <c r="B5" s="2" t="s">
        <v>8</v>
      </c>
      <c r="C5" s="2">
        <f t="shared" si="0"/>
        <v>-9105.18</v>
      </c>
      <c r="D5" s="2">
        <v>45.5</v>
      </c>
      <c r="E5" s="2">
        <v>200</v>
      </c>
      <c r="F5" s="2">
        <v>5</v>
      </c>
      <c r="G5" s="2">
        <f t="shared" si="1"/>
        <v>0.18</v>
      </c>
      <c r="H5" s="2">
        <f t="shared" si="2"/>
        <v>0</v>
      </c>
      <c r="J5" s="1">
        <v>44131</v>
      </c>
      <c r="K5" s="1" t="s">
        <v>16</v>
      </c>
      <c r="L5" s="2">
        <v>10000</v>
      </c>
    </row>
    <row r="6" spans="1:13" x14ac:dyDescent="0.2">
      <c r="A6" s="1">
        <v>44131</v>
      </c>
      <c r="B6" s="2" t="s">
        <v>10</v>
      </c>
      <c r="C6" s="2">
        <f t="shared" si="0"/>
        <v>-4395.09</v>
      </c>
      <c r="D6" s="2">
        <v>43.9</v>
      </c>
      <c r="E6" s="2">
        <v>100</v>
      </c>
      <c r="F6" s="2">
        <v>5</v>
      </c>
      <c r="G6" s="2">
        <f t="shared" si="1"/>
        <v>0.09</v>
      </c>
      <c r="H6" s="2">
        <f t="shared" si="2"/>
        <v>0</v>
      </c>
      <c r="J6" s="1">
        <v>44131</v>
      </c>
      <c r="K6" s="1" t="s">
        <v>37</v>
      </c>
      <c r="L6" s="2">
        <v>10000</v>
      </c>
    </row>
    <row r="7" spans="1:13" x14ac:dyDescent="0.2">
      <c r="A7" s="1">
        <v>44134</v>
      </c>
      <c r="B7" s="2" t="s">
        <v>36</v>
      </c>
      <c r="C7" s="2">
        <f t="shared" si="0"/>
        <v>-9221.18</v>
      </c>
      <c r="D7" s="2">
        <v>46.08</v>
      </c>
      <c r="E7" s="2">
        <v>200</v>
      </c>
      <c r="F7" s="2">
        <v>5</v>
      </c>
      <c r="G7" s="2">
        <f t="shared" si="1"/>
        <v>0.18</v>
      </c>
      <c r="H7" s="2">
        <f t="shared" si="2"/>
        <v>0</v>
      </c>
      <c r="J7" s="1">
        <v>44138</v>
      </c>
      <c r="K7" s="1" t="s">
        <v>17</v>
      </c>
      <c r="L7" s="2">
        <v>10290.209999999999</v>
      </c>
      <c r="M7" t="s">
        <v>40</v>
      </c>
    </row>
    <row r="8" spans="1:13" x14ac:dyDescent="0.2">
      <c r="A8" s="1">
        <v>44137</v>
      </c>
      <c r="B8" s="2" t="s">
        <v>13</v>
      </c>
      <c r="C8" s="2">
        <f>IF(B8="股票买入",(D8*E8+F8+G8+H8)*-1, D8*E8*-1-F8-G8-H8)</f>
        <v>9605.1899999999987</v>
      </c>
      <c r="D8" s="2">
        <v>48.1</v>
      </c>
      <c r="E8" s="2">
        <v>-200</v>
      </c>
      <c r="F8" s="2">
        <v>5</v>
      </c>
      <c r="G8" s="2">
        <f t="shared" si="1"/>
        <v>0.19</v>
      </c>
      <c r="H8" s="2">
        <f t="shared" si="2"/>
        <v>9.6199999999999992</v>
      </c>
      <c r="J8" s="1">
        <v>44155</v>
      </c>
      <c r="K8" s="1" t="s">
        <v>38</v>
      </c>
      <c r="L8" s="2">
        <v>7000</v>
      </c>
      <c r="M8" t="s">
        <v>41</v>
      </c>
    </row>
    <row r="9" spans="1:13" x14ac:dyDescent="0.2">
      <c r="A9" s="1">
        <v>44137</v>
      </c>
      <c r="B9" s="2" t="s">
        <v>13</v>
      </c>
      <c r="C9" s="2">
        <f>IF(B9="股票买入",(D9*E9+F9+G9+H9)*-1, D9*E9*-1-F9-G9-H9)</f>
        <v>9984.7999999999993</v>
      </c>
      <c r="D9" s="2">
        <v>50</v>
      </c>
      <c r="E9" s="2">
        <v>-200</v>
      </c>
      <c r="F9" s="2">
        <v>5</v>
      </c>
      <c r="G9" s="2">
        <f t="shared" si="1"/>
        <v>0.2</v>
      </c>
      <c r="H9" s="2">
        <f>ROUND(IF(B9="股票买入",0,-D9*E9*0.1%),2)</f>
        <v>10</v>
      </c>
    </row>
    <row r="10" spans="1:13" x14ac:dyDescent="0.2">
      <c r="A10" s="1">
        <v>44144</v>
      </c>
      <c r="B10" s="2" t="s">
        <v>35</v>
      </c>
      <c r="C10" s="2">
        <f>IF(B10="股票买入",(D10*E10+F10+G10+H10)*-1, D10*E10*-1-F10-G10-H10)</f>
        <v>-5955.12</v>
      </c>
      <c r="D10" s="2">
        <v>59.5</v>
      </c>
      <c r="E10" s="2">
        <v>100</v>
      </c>
      <c r="F10" s="2">
        <v>5</v>
      </c>
      <c r="G10" s="2">
        <f t="shared" si="1"/>
        <v>0.12</v>
      </c>
      <c r="H10" s="2">
        <f>ROUND(IF(B10="股票买入",0,-D10*E10*0.1%),2)</f>
        <v>0</v>
      </c>
    </row>
    <row r="11" spans="1:13" x14ac:dyDescent="0.2">
      <c r="A11" s="1">
        <v>44148</v>
      </c>
      <c r="B11" s="2" t="s">
        <v>13</v>
      </c>
      <c r="C11" s="2">
        <f>IF(B11="股票买入",(D11*E11+F11+G11+H11)*-1, D11*E11*-1-F11-G11-H11)</f>
        <v>6488.37</v>
      </c>
      <c r="D11" s="2">
        <v>65</v>
      </c>
      <c r="E11" s="2">
        <v>-100</v>
      </c>
      <c r="F11" s="2">
        <v>5</v>
      </c>
      <c r="G11" s="2">
        <f t="shared" si="1"/>
        <v>0.13</v>
      </c>
      <c r="H11" s="2">
        <f>ROUND(IF(B11="股票买入",0,-D11*E11*0.1%),2)</f>
        <v>6.5</v>
      </c>
    </row>
    <row r="12" spans="1:13" x14ac:dyDescent="0.2">
      <c r="A12" s="1">
        <v>44152</v>
      </c>
      <c r="B12" s="2" t="s">
        <v>35</v>
      </c>
      <c r="C12" s="2">
        <f>IF(B12="股票买入",(D12*E12+F12+G12+H12)*-1, D12*E12*-1-F12-G12-H12)</f>
        <v>-7405.15</v>
      </c>
      <c r="D12" s="2">
        <v>74</v>
      </c>
      <c r="E12" s="2">
        <v>100</v>
      </c>
      <c r="F12" s="2">
        <v>5</v>
      </c>
      <c r="G12" s="2">
        <f t="shared" si="1"/>
        <v>0.15</v>
      </c>
      <c r="H12" s="2">
        <f>ROUND(IF(B12="股票买入",0,-D12*E12*0.1%),2)</f>
        <v>0</v>
      </c>
    </row>
    <row r="13" spans="1:13" x14ac:dyDescent="0.2">
      <c r="A13" s="1">
        <v>44155</v>
      </c>
      <c r="B13" s="2" t="s">
        <v>35</v>
      </c>
      <c r="C13" s="2">
        <f>IF(B13="股票买入",(D13*E13+F13+G13+H13)*-1, D13*E13*-1-F13-G13-H13)</f>
        <v>-7145.1400000000012</v>
      </c>
      <c r="D13" s="2">
        <v>71.400000000000006</v>
      </c>
      <c r="E13" s="2">
        <v>100</v>
      </c>
      <c r="F13" s="2">
        <v>5</v>
      </c>
      <c r="G13" s="2">
        <f t="shared" si="1"/>
        <v>0.14000000000000001</v>
      </c>
      <c r="H13" s="2">
        <f>ROUND(IF(B13="股票买入",0,-D13*E13*0.1%),2)</f>
        <v>0</v>
      </c>
    </row>
    <row r="16" spans="1:13" x14ac:dyDescent="0.2">
      <c r="B16" s="2" t="s">
        <v>30</v>
      </c>
      <c r="C16" s="2">
        <f>SUMIFS(C2:C15,B2:B15,"股票买入")</f>
        <v>-72451.450000000012</v>
      </c>
    </row>
    <row r="17" spans="1:12" x14ac:dyDescent="0.2">
      <c r="B17" s="2" t="s">
        <v>31</v>
      </c>
      <c r="C17" s="2">
        <f>SUMIFS(C2:C15,B2:B15,"股票卖出")</f>
        <v>26078.359999999997</v>
      </c>
    </row>
    <row r="18" spans="1:12" x14ac:dyDescent="0.2">
      <c r="B18" s="2" t="s">
        <v>14</v>
      </c>
      <c r="C18" s="2">
        <f>SUM(E2:E15)</f>
        <v>900</v>
      </c>
    </row>
    <row r="19" spans="1:12" x14ac:dyDescent="0.2">
      <c r="B19" s="2" t="s">
        <v>18</v>
      </c>
      <c r="C19" s="2">
        <f>SUMIF(K2:K15,"转入",L2:L15)</f>
        <v>57290.21</v>
      </c>
    </row>
    <row r="20" spans="1:12" x14ac:dyDescent="0.2">
      <c r="B20" s="2" t="s">
        <v>19</v>
      </c>
      <c r="C20" s="2">
        <f>SUMIF(K2:K15,"转出",L2:L15)</f>
        <v>10290.209999999999</v>
      </c>
    </row>
    <row r="21" spans="1:12" x14ac:dyDescent="0.2">
      <c r="B21" s="2" t="s">
        <v>39</v>
      </c>
      <c r="C21" s="2">
        <f>C19-C20</f>
        <v>47000</v>
      </c>
    </row>
    <row r="22" spans="1:12" x14ac:dyDescent="0.2">
      <c r="B22" s="2" t="s">
        <v>34</v>
      </c>
      <c r="C22" s="4">
        <f>C19-C20+C16+C17</f>
        <v>626.9099999999853</v>
      </c>
    </row>
    <row r="24" spans="1:12" s="9" customFormat="1" ht="21.75" customHeight="1" x14ac:dyDescent="0.2">
      <c r="A24" s="7"/>
      <c r="B24" s="10" t="s">
        <v>20</v>
      </c>
      <c r="C24" s="13">
        <v>72.5</v>
      </c>
      <c r="D24" s="11" t="s">
        <v>29</v>
      </c>
      <c r="E24" s="10"/>
      <c r="G24" s="8"/>
      <c r="H24" s="8"/>
      <c r="L24" s="8"/>
    </row>
    <row r="25" spans="1:12" x14ac:dyDescent="0.2">
      <c r="B25" s="2" t="s">
        <v>21</v>
      </c>
      <c r="C25" s="2">
        <f>C24*C18</f>
        <v>65250</v>
      </c>
      <c r="D25" s="6" t="s">
        <v>24</v>
      </c>
    </row>
    <row r="26" spans="1:12" x14ac:dyDescent="0.2">
      <c r="B26" s="2" t="s">
        <v>22</v>
      </c>
      <c r="C26" s="2">
        <f>C25+C17</f>
        <v>91328.36</v>
      </c>
      <c r="D26" s="6" t="s">
        <v>32</v>
      </c>
    </row>
    <row r="27" spans="1:12" x14ac:dyDescent="0.2">
      <c r="B27" s="2" t="s">
        <v>23</v>
      </c>
      <c r="C27" s="2">
        <f>C26+C16</f>
        <v>18876.909999999989</v>
      </c>
      <c r="D27" s="6" t="s">
        <v>33</v>
      </c>
    </row>
    <row r="28" spans="1:12" x14ac:dyDescent="0.2">
      <c r="B28" s="2" t="s">
        <v>25</v>
      </c>
      <c r="C28" s="2">
        <f>IF(C27&gt;0,ROUND(C27*10%,2),0)</f>
        <v>1887.69</v>
      </c>
      <c r="D28" s="6" t="s">
        <v>26</v>
      </c>
    </row>
    <row r="29" spans="1:12" x14ac:dyDescent="0.2">
      <c r="B29" s="5" t="s">
        <v>27</v>
      </c>
      <c r="C29" s="12">
        <f>C19-C20+C27-C28</f>
        <v>63989.219999999987</v>
      </c>
      <c r="D29" s="6" t="s">
        <v>28</v>
      </c>
    </row>
  </sheetData>
  <phoneticPr fontId="1" type="noConversion"/>
  <dataValidations count="1">
    <dataValidation type="list" allowBlank="1" showInputMessage="1" showErrorMessage="1" sqref="B2:B15">
      <formula1>"股票买入,股票卖出"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C金龙鱼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2020-11-20T02:50:59Z</dcterms:modified>
</cp:coreProperties>
</file>