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Users\C1\Documents\C1_Repos\Technion_Project_A\"/>
    </mc:Choice>
  </mc:AlternateContent>
  <xr:revisionPtr revIDLastSave="0" documentId="13_ncr:1_{0B2ACB6A-694B-4612-B68F-89D5958F28E6}" xr6:coauthVersionLast="36" xr6:coauthVersionMax="47" xr10:uidLastSave="{00000000-0000-0000-0000-000000000000}"/>
  <bookViews>
    <workbookView xWindow="27195" yWindow="4065" windowWidth="11205" windowHeight="15450" xr2:uid="{00000000-000D-0000-FFFF-FFFF00000000}"/>
  </bookViews>
  <sheets>
    <sheet name="Sheet1" sheetId="3" r:id="rId1"/>
    <sheet name="Core Materials" sheetId="2" r:id="rId2"/>
    <sheet name="Sheet1.old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B36" i="3" s="1"/>
  <c r="B34" i="3"/>
  <c r="B33" i="3"/>
  <c r="F6" i="3"/>
  <c r="H5" i="3"/>
  <c r="H4" i="3"/>
  <c r="B31" i="3"/>
  <c r="B29" i="3"/>
  <c r="B28" i="3"/>
  <c r="B27" i="3"/>
  <c r="B23" i="3"/>
  <c r="B16" i="3"/>
  <c r="B12" i="3"/>
  <c r="B20" i="3" s="1"/>
  <c r="B11" i="3"/>
  <c r="B17" i="3" l="1"/>
  <c r="B31" i="1"/>
  <c r="B30" i="1"/>
  <c r="B29" i="1"/>
  <c r="B34" i="1" s="1"/>
  <c r="B33" i="1"/>
  <c r="B23" i="1"/>
  <c r="B16" i="1" l="1"/>
  <c r="B11" i="1"/>
  <c r="B12" i="1"/>
  <c r="B20" i="1" s="1"/>
  <c r="B17" i="1" l="1"/>
  <c r="B26" i="1" s="1"/>
  <c r="B27" i="1" l="1"/>
</calcChain>
</file>

<file path=xl/sharedStrings.xml><?xml version="1.0" encoding="utf-8"?>
<sst xmlns="http://schemas.openxmlformats.org/spreadsheetml/2006/main" count="149" uniqueCount="71">
  <si>
    <t>Design Input</t>
  </si>
  <si>
    <t>Value</t>
  </si>
  <si>
    <t>Unit</t>
  </si>
  <si>
    <t>Output Diode Model</t>
  </si>
  <si>
    <t>Forward Voltage</t>
  </si>
  <si>
    <t>Primary Inductance</t>
  </si>
  <si>
    <t>PDS760</t>
  </si>
  <si>
    <t>V</t>
  </si>
  <si>
    <r>
      <t>Input voltage (V</t>
    </r>
    <r>
      <rPr>
        <vertAlign val="subscript"/>
        <sz val="13.5"/>
        <color theme="1"/>
        <rFont val="Calibri"/>
        <family val="2"/>
        <scheme val="minor"/>
      </rPr>
      <t>IN</t>
    </r>
    <r>
      <rPr>
        <sz val="13.5"/>
        <color theme="1"/>
        <rFont val="Calibri"/>
        <family val="2"/>
        <scheme val="minor"/>
      </rPr>
      <t>)</t>
    </r>
  </si>
  <si>
    <r>
      <t>Output voltage (V</t>
    </r>
    <r>
      <rPr>
        <vertAlign val="subscript"/>
        <sz val="13.5"/>
        <color theme="1"/>
        <rFont val="Calibri"/>
        <family val="2"/>
        <scheme val="minor"/>
      </rPr>
      <t>OUT</t>
    </r>
    <r>
      <rPr>
        <sz val="13.5"/>
        <color theme="1"/>
        <rFont val="Calibri"/>
        <family val="2"/>
        <scheme val="minor"/>
      </rPr>
      <t>)</t>
    </r>
  </si>
  <si>
    <r>
      <rPr>
        <sz val="11"/>
        <color rgb="FF000000"/>
        <rFont val="Calibri"/>
        <scheme val="minor"/>
      </rPr>
      <t>Output current (I</t>
    </r>
    <r>
      <rPr>
        <vertAlign val="subscript"/>
        <sz val="13.5"/>
        <color rgb="FF000000"/>
        <rFont val="Calibri"/>
        <scheme val="minor"/>
      </rPr>
      <t>OUT</t>
    </r>
    <r>
      <rPr>
        <sz val="13.5"/>
        <color rgb="FF000000"/>
        <rFont val="Calibri"/>
        <scheme val="minor"/>
      </rPr>
      <t>)</t>
    </r>
  </si>
  <si>
    <t>A</t>
  </si>
  <si>
    <t>Operation mode</t>
  </si>
  <si>
    <t>DCM</t>
  </si>
  <si>
    <r>
      <rPr>
        <sz val="11"/>
        <color rgb="FF000000"/>
        <rFont val="Calibri"/>
        <scheme val="minor"/>
      </rPr>
      <t>Ripple factor (K</t>
    </r>
    <r>
      <rPr>
        <vertAlign val="subscript"/>
        <sz val="13.5"/>
        <color rgb="FF000000"/>
        <rFont val="Calibri"/>
        <scheme val="minor"/>
      </rPr>
      <t>FR</t>
    </r>
    <r>
      <rPr>
        <sz val="13.5"/>
        <color rgb="FF000000"/>
        <rFont val="Calibri"/>
        <scheme val="minor"/>
      </rPr>
      <t>)</t>
    </r>
  </si>
  <si>
    <r>
      <t>Maximum duty cycle (D</t>
    </r>
    <r>
      <rPr>
        <vertAlign val="subscript"/>
        <sz val="13.5"/>
        <color theme="1"/>
        <rFont val="Calibri"/>
        <family val="2"/>
        <scheme val="minor"/>
      </rPr>
      <t>MAX</t>
    </r>
    <r>
      <rPr>
        <sz val="13.5"/>
        <color theme="1"/>
        <rFont val="Calibri"/>
        <family val="2"/>
        <scheme val="minor"/>
      </rPr>
      <t>)</t>
    </r>
  </si>
  <si>
    <r>
      <t>Switching frequency (f</t>
    </r>
    <r>
      <rPr>
        <vertAlign val="subscript"/>
        <sz val="13.5"/>
        <color theme="1"/>
        <rFont val="Calibri"/>
        <family val="2"/>
        <scheme val="minor"/>
      </rPr>
      <t>SW</t>
    </r>
    <r>
      <rPr>
        <sz val="13.5"/>
        <color theme="1"/>
        <rFont val="Calibri"/>
        <family val="2"/>
        <scheme val="minor"/>
      </rPr>
      <t>)</t>
    </r>
  </si>
  <si>
    <t>Estimated efficiency (η)</t>
  </si>
  <si>
    <t>uH</t>
  </si>
  <si>
    <t>Turn Ratio (ns1)</t>
  </si>
  <si>
    <t>Transistor Calculations</t>
  </si>
  <si>
    <t>Safty Margin</t>
  </si>
  <si>
    <t>%</t>
  </si>
  <si>
    <t>Input current (I_IN)</t>
  </si>
  <si>
    <r>
      <rPr>
        <b/>
        <sz val="11"/>
        <color rgb="FF3F3F3F"/>
        <rFont val="Calibri"/>
        <scheme val="minor"/>
      </rPr>
      <t>V</t>
    </r>
    <r>
      <rPr>
        <b/>
        <sz val="9"/>
        <color rgb="FF3F3F3F"/>
        <rFont val="Calibri"/>
        <scheme val="minor"/>
      </rPr>
      <t>DS_MAX</t>
    </r>
  </si>
  <si>
    <r>
      <rPr>
        <b/>
        <sz val="11"/>
        <color rgb="FF3F3F3F"/>
        <rFont val="Calibri"/>
        <scheme val="minor"/>
      </rPr>
      <t>I</t>
    </r>
    <r>
      <rPr>
        <b/>
        <sz val="9"/>
        <color rgb="FF3F3F3F"/>
        <rFont val="Calibri"/>
        <scheme val="minor"/>
      </rPr>
      <t>DS_MAX</t>
    </r>
  </si>
  <si>
    <t>Rectifier Diode Calculations</t>
  </si>
  <si>
    <r>
      <t>V</t>
    </r>
    <r>
      <rPr>
        <b/>
        <sz val="8"/>
        <color rgb="FF3F3F3F"/>
        <rFont val="Calibri"/>
        <family val="2"/>
        <scheme val="minor"/>
      </rPr>
      <t>D1 Max</t>
    </r>
  </si>
  <si>
    <t>KHz</t>
  </si>
  <si>
    <t>Output Capacitor Calculations</t>
  </si>
  <si>
    <t>Output Voltage Ripple</t>
  </si>
  <si>
    <t>uF</t>
  </si>
  <si>
    <t>C_(OUT) &gt;</t>
  </si>
  <si>
    <t>Transformer Calculations</t>
  </si>
  <si>
    <t>Minimum Transformer area</t>
  </si>
  <si>
    <t>I_RMS</t>
  </si>
  <si>
    <t>mm^4</t>
  </si>
  <si>
    <t>Bmax</t>
  </si>
  <si>
    <t>T</t>
  </si>
  <si>
    <t>mm^2</t>
  </si>
  <si>
    <t>Maximum Primary Inductance (L_P)</t>
  </si>
  <si>
    <t>Primary Turns (N_P) Ver.1</t>
  </si>
  <si>
    <t>Core permeability (μ)</t>
  </si>
  <si>
    <t>Core effective area (Ae)</t>
  </si>
  <si>
    <t>Core Material</t>
  </si>
  <si>
    <t>3F46</t>
  </si>
  <si>
    <t>Core effective length (Le)</t>
  </si>
  <si>
    <t>mm</t>
  </si>
  <si>
    <t>Primary Turns (N_P) Manual</t>
  </si>
  <si>
    <t>Core Type</t>
  </si>
  <si>
    <t>PQ32/20</t>
  </si>
  <si>
    <t>Ae</t>
  </si>
  <si>
    <t>Le</t>
  </si>
  <si>
    <t>EFD15/8/5</t>
  </si>
  <si>
    <t>MLT</t>
  </si>
  <si>
    <t>Mean length per turn (MLT)</t>
  </si>
  <si>
    <t>Toroid Inductance</t>
  </si>
  <si>
    <t>Turns (N)</t>
  </si>
  <si>
    <t>μ @ 1MHz</t>
  </si>
  <si>
    <t>T38</t>
  </si>
  <si>
    <t>Torroid 8.1mm</t>
  </si>
  <si>
    <t>m</t>
  </si>
  <si>
    <t>m^2</t>
  </si>
  <si>
    <t>Snubber Design</t>
  </si>
  <si>
    <t>Max capacitor voltage (Vcmax)</t>
  </si>
  <si>
    <t>Snubber estimated power (Psnubber)</t>
  </si>
  <si>
    <t>W</t>
  </si>
  <si>
    <t>Rsnubber</t>
  </si>
  <si>
    <t>Ohm</t>
  </si>
  <si>
    <t>Csnubber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</si>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</sst>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charset val="177"/>
      <scheme val="minor"/>
    </font>
    <font>
      <sz val="11"/>
      <color rgb="FF3F3F76"/>
      <name val="Calibri"/>
      <charset val="177"/>
      <scheme val="minor"/>
    </font>
    <font>
      <b/>
      <sz val="11"/>
      <color rgb="FFFA7D00"/>
      <name val="Calibri"/>
      <charset val="177"/>
      <scheme val="minor"/>
    </font>
    <font>
      <sz val="13.5"/>
      <color theme="1"/>
      <name val="Calibri"/>
      <family val="2"/>
      <scheme val="minor"/>
    </font>
    <font>
      <vertAlign val="subscript"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charset val="177"/>
      <scheme val="minor"/>
    </font>
    <font>
      <sz val="11"/>
      <color rgb="FF000000"/>
      <name val="Calibri"/>
      <scheme val="minor"/>
    </font>
    <font>
      <vertAlign val="subscript"/>
      <sz val="13.5"/>
      <color rgb="FF000000"/>
      <name val="Calibri"/>
      <scheme val="minor"/>
    </font>
    <font>
      <sz val="13.5"/>
      <color rgb="FF000000"/>
      <name val="Calibri"/>
      <scheme val="minor"/>
    </font>
    <font>
      <b/>
      <sz val="11"/>
      <color rgb="FF3F3F3F"/>
      <name val="Calibri"/>
      <scheme val="minor"/>
    </font>
    <font>
      <b/>
      <sz val="9"/>
      <color rgb="FF3F3F3F"/>
      <name val="Calibri"/>
      <scheme val="minor"/>
    </font>
    <font>
      <b/>
      <sz val="8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7" fillId="3" borderId="2" applyNumberFormat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3" fillId="3" borderId="1" xfId="2"/>
    <xf numFmtId="0" fontId="2" fillId="2" borderId="1" xfId="1"/>
    <xf numFmtId="0" fontId="8" fillId="0" borderId="0" xfId="0" applyFont="1"/>
    <xf numFmtId="0" fontId="7" fillId="3" borderId="2" xfId="3"/>
    <xf numFmtId="0" fontId="11" fillId="3" borderId="2" xfId="3" applyFont="1"/>
    <xf numFmtId="0" fontId="1" fillId="4" borderId="0" xfId="4"/>
    <xf numFmtId="0" fontId="14" fillId="3" borderId="2" xfId="3" applyFont="1"/>
    <xf numFmtId="0" fontId="0" fillId="4" borderId="0" xfId="4" applyFont="1"/>
  </cellXfs>
  <cellStyles count="5">
    <cellStyle name="20% - Accent1" xfId="4" builtinId="30"/>
    <cellStyle name="Calculation" xfId="2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A8C2-45E5-4683-96F9-FA806A289C77}">
  <dimension ref="A1:M36"/>
  <sheetViews>
    <sheetView tabSelected="1" topLeftCell="A13" workbookViewId="0">
      <selection activeCell="D33" sqref="D33"/>
    </sheetView>
  </sheetViews>
  <sheetFormatPr defaultRowHeight="15" customHeight="1" x14ac:dyDescent="0.25"/>
  <cols>
    <col min="1" max="1" width="35.140625" bestFit="1" customWidth="1"/>
    <col min="2" max="2" width="12.5703125" bestFit="1" customWidth="1"/>
    <col min="5" max="5" width="20.28515625" bestFit="1" customWidth="1"/>
    <col min="6" max="6" width="6" bestFit="1" customWidth="1"/>
    <col min="7" max="7" width="6.42578125" bestFit="1" customWidth="1"/>
    <col min="8" max="8" width="11" bestFit="1" customWidth="1"/>
  </cols>
  <sheetData>
    <row r="1" spans="1:13" ht="15" customHeight="1" x14ac:dyDescent="0.25">
      <c r="A1" s="1" t="s">
        <v>0</v>
      </c>
      <c r="B1" s="1" t="s">
        <v>1</v>
      </c>
      <c r="C1" s="1" t="s">
        <v>2</v>
      </c>
      <c r="K1" s="1" t="s">
        <v>3</v>
      </c>
      <c r="L1" s="1" t="s">
        <v>4</v>
      </c>
    </row>
    <row r="2" spans="1:13" ht="15" customHeight="1" x14ac:dyDescent="0.25">
      <c r="A2" s="7" t="s">
        <v>5</v>
      </c>
      <c r="B2" s="7"/>
      <c r="E2" t="s">
        <v>42</v>
      </c>
      <c r="F2">
        <v>3000</v>
      </c>
      <c r="K2" s="3" t="s">
        <v>6</v>
      </c>
      <c r="L2" s="3">
        <v>0.5</v>
      </c>
      <c r="M2" t="s">
        <v>7</v>
      </c>
    </row>
    <row r="3" spans="1:13" ht="15" customHeight="1" x14ac:dyDescent="0.35">
      <c r="A3" t="s">
        <v>8</v>
      </c>
      <c r="B3" s="3">
        <v>12</v>
      </c>
      <c r="C3" t="s">
        <v>7</v>
      </c>
      <c r="E3" t="s">
        <v>57</v>
      </c>
      <c r="F3">
        <v>12</v>
      </c>
    </row>
    <row r="4" spans="1:13" ht="15" customHeight="1" x14ac:dyDescent="0.35">
      <c r="A4" t="s">
        <v>9</v>
      </c>
      <c r="B4" s="3">
        <v>5</v>
      </c>
      <c r="C4" t="s">
        <v>7</v>
      </c>
      <c r="E4" t="s">
        <v>51</v>
      </c>
      <c r="F4">
        <v>33.630000000000003</v>
      </c>
      <c r="G4" t="s">
        <v>39</v>
      </c>
      <c r="H4">
        <f>F4*0.000001</f>
        <v>3.3630000000000002E-5</v>
      </c>
      <c r="I4" t="s">
        <v>62</v>
      </c>
    </row>
    <row r="5" spans="1:13" ht="15" customHeight="1" x14ac:dyDescent="0.35">
      <c r="A5" s="4" t="s">
        <v>10</v>
      </c>
      <c r="B5" s="3">
        <v>1</v>
      </c>
      <c r="C5" t="s">
        <v>11</v>
      </c>
      <c r="E5" t="s">
        <v>52</v>
      </c>
      <c r="F5">
        <v>43.55</v>
      </c>
      <c r="G5" t="s">
        <v>47</v>
      </c>
      <c r="H5">
        <f>F5*0.001</f>
        <v>4.3549999999999998E-2</v>
      </c>
      <c r="I5" t="s">
        <v>61</v>
      </c>
    </row>
    <row r="6" spans="1:13" ht="15" customHeight="1" x14ac:dyDescent="0.25">
      <c r="A6" t="s">
        <v>12</v>
      </c>
      <c r="B6" s="3" t="s">
        <v>13</v>
      </c>
      <c r="E6" t="s">
        <v>56</v>
      </c>
      <c r="F6">
        <f>(F2*F3*F3*H4)/(2*PI()*H5)</f>
        <v>53.093650471411031</v>
      </c>
    </row>
    <row r="7" spans="1:13" ht="15" customHeight="1" x14ac:dyDescent="0.35">
      <c r="A7" s="4" t="s">
        <v>14</v>
      </c>
      <c r="B7" s="3">
        <v>1</v>
      </c>
    </row>
    <row r="8" spans="1:13" ht="15" customHeight="1" x14ac:dyDescent="0.35">
      <c r="A8" t="s">
        <v>15</v>
      </c>
      <c r="B8" s="3">
        <v>0.5</v>
      </c>
    </row>
    <row r="9" spans="1:13" ht="15" customHeight="1" x14ac:dyDescent="0.35">
      <c r="A9" t="s">
        <v>16</v>
      </c>
      <c r="B9" s="3">
        <v>1000</v>
      </c>
      <c r="C9" t="s">
        <v>28</v>
      </c>
    </row>
    <row r="10" spans="1:13" ht="15" customHeight="1" x14ac:dyDescent="0.25">
      <c r="A10" t="s">
        <v>17</v>
      </c>
      <c r="B10" s="3">
        <v>0.9</v>
      </c>
    </row>
    <row r="11" spans="1:13" ht="15" customHeight="1" x14ac:dyDescent="0.25">
      <c r="A11" s="8" t="s">
        <v>40</v>
      </c>
      <c r="B11" s="2">
        <f>(B10*B8*B8*B3*B3)/(2*B9*B7*B4*B5)*1000</f>
        <v>3.2400000000000007</v>
      </c>
      <c r="C11" t="s">
        <v>18</v>
      </c>
    </row>
    <row r="12" spans="1:13" ht="15" customHeight="1" x14ac:dyDescent="0.25">
      <c r="A12" s="5" t="s">
        <v>19</v>
      </c>
      <c r="B12" s="2">
        <f>(B3*B8)/((1-B8)*(B4+L2))</f>
        <v>2.1818181818181817</v>
      </c>
    </row>
    <row r="13" spans="1:13" ht="15" customHeight="1" x14ac:dyDescent="0.25">
      <c r="A13" s="7" t="s">
        <v>20</v>
      </c>
      <c r="B13" s="7"/>
    </row>
    <row r="14" spans="1:13" ht="15" customHeight="1" x14ac:dyDescent="0.25">
      <c r="A14" t="s">
        <v>21</v>
      </c>
      <c r="B14" s="3">
        <v>20</v>
      </c>
      <c r="C14" t="s">
        <v>22</v>
      </c>
    </row>
    <row r="15" spans="1:13" ht="15" customHeight="1" x14ac:dyDescent="0.25">
      <c r="A15" t="s">
        <v>23</v>
      </c>
      <c r="B15" s="3">
        <v>0.8</v>
      </c>
      <c r="C15" t="s">
        <v>11</v>
      </c>
    </row>
    <row r="16" spans="1:13" ht="15" customHeight="1" x14ac:dyDescent="0.25">
      <c r="A16" s="6" t="s">
        <v>24</v>
      </c>
      <c r="B16" s="2">
        <f>(B3+(B8*B3)/(1-B8))*(100+B14)/100</f>
        <v>28.8</v>
      </c>
      <c r="C16" t="s">
        <v>7</v>
      </c>
    </row>
    <row r="17" spans="1:3" ht="15" customHeight="1" x14ac:dyDescent="0.25">
      <c r="A17" s="6" t="s">
        <v>25</v>
      </c>
      <c r="B17" s="2">
        <f>(B15*B3)/(B8*B3)+(B8*B3)/(2*B9*B11)</f>
        <v>1.6009259259259263</v>
      </c>
      <c r="C17" t="s">
        <v>11</v>
      </c>
    </row>
    <row r="18" spans="1:3" ht="15" customHeight="1" x14ac:dyDescent="0.25">
      <c r="A18" s="7" t="s">
        <v>26</v>
      </c>
      <c r="B18" s="7"/>
    </row>
    <row r="19" spans="1:3" ht="15" customHeight="1" x14ac:dyDescent="0.25">
      <c r="A19" t="s">
        <v>21</v>
      </c>
      <c r="B19" s="3">
        <v>40</v>
      </c>
      <c r="C19" t="s">
        <v>22</v>
      </c>
    </row>
    <row r="20" spans="1:3" ht="15" customHeight="1" x14ac:dyDescent="0.25">
      <c r="A20" s="8" t="s">
        <v>27</v>
      </c>
      <c r="B20" s="2">
        <f>(B4+B3/B12)*(100+B19)/100</f>
        <v>14.7</v>
      </c>
      <c r="C20" t="s">
        <v>7</v>
      </c>
    </row>
    <row r="21" spans="1:3" ht="15" customHeight="1" x14ac:dyDescent="0.25">
      <c r="A21" s="9" t="s">
        <v>29</v>
      </c>
      <c r="B21" s="7"/>
    </row>
    <row r="22" spans="1:3" ht="15" customHeight="1" x14ac:dyDescent="0.25">
      <c r="A22" t="s">
        <v>30</v>
      </c>
      <c r="B22" s="3">
        <v>0.25</v>
      </c>
      <c r="C22" t="s">
        <v>22</v>
      </c>
    </row>
    <row r="23" spans="1:3" ht="15" customHeight="1" x14ac:dyDescent="0.25">
      <c r="A23" s="5" t="s">
        <v>32</v>
      </c>
      <c r="B23" s="2">
        <f>(B8*B5)/(0.01*B22*B9*1000*B4)*1000000</f>
        <v>40</v>
      </c>
      <c r="C23" t="s">
        <v>31</v>
      </c>
    </row>
    <row r="24" spans="1:3" ht="15" customHeight="1" x14ac:dyDescent="0.25">
      <c r="A24" s="9" t="s">
        <v>33</v>
      </c>
      <c r="B24" s="7"/>
    </row>
    <row r="25" spans="1:3" ht="15" customHeight="1" x14ac:dyDescent="0.25">
      <c r="A25" t="s">
        <v>37</v>
      </c>
      <c r="B25" s="3">
        <v>0.2</v>
      </c>
      <c r="C25" t="s">
        <v>38</v>
      </c>
    </row>
    <row r="26" spans="1:3" ht="15" customHeight="1" x14ac:dyDescent="0.25">
      <c r="A26" t="s">
        <v>49</v>
      </c>
      <c r="B26" s="3" t="s">
        <v>50</v>
      </c>
    </row>
    <row r="27" spans="1:3" ht="15" customHeight="1" x14ac:dyDescent="0.25">
      <c r="A27" t="s">
        <v>43</v>
      </c>
      <c r="B27" s="2">
        <f>VLOOKUP(B26,'Core Materials'!D:G,2,FALSE)</f>
        <v>169</v>
      </c>
      <c r="C27" t="s">
        <v>39</v>
      </c>
    </row>
    <row r="28" spans="1:3" ht="15" customHeight="1" x14ac:dyDescent="0.25">
      <c r="A28" t="s">
        <v>46</v>
      </c>
      <c r="B28" s="2">
        <f>VLOOKUP(B26,'Core Materials'!D:G,3,FALSE)</f>
        <v>55.9</v>
      </c>
      <c r="C28" t="s">
        <v>47</v>
      </c>
    </row>
    <row r="29" spans="1:3" ht="15" customHeight="1" x14ac:dyDescent="0.25">
      <c r="A29" t="s">
        <v>55</v>
      </c>
      <c r="B29" s="2">
        <f>VLOOKUP(B26,'Core Materials'!D:GF,4,FALSE)</f>
        <v>67.099999999999994</v>
      </c>
      <c r="C29" t="s">
        <v>47</v>
      </c>
    </row>
    <row r="30" spans="1:3" ht="15" customHeight="1" x14ac:dyDescent="0.25">
      <c r="A30" t="s">
        <v>44</v>
      </c>
      <c r="B30" s="3" t="s">
        <v>45</v>
      </c>
    </row>
    <row r="31" spans="1:3" ht="15" customHeight="1" x14ac:dyDescent="0.25">
      <c r="A31" t="s">
        <v>42</v>
      </c>
      <c r="B31" s="2">
        <f>VLOOKUP(B30,'Core Materials'!A:B,2,FALSE)</f>
        <v>750</v>
      </c>
    </row>
    <row r="32" spans="1:3" ht="15" customHeight="1" x14ac:dyDescent="0.25">
      <c r="A32" s="9" t="s">
        <v>63</v>
      </c>
      <c r="B32" s="7"/>
    </row>
    <row r="33" spans="1:3" ht="15" customHeight="1" x14ac:dyDescent="0.25">
      <c r="A33" t="s">
        <v>64</v>
      </c>
      <c r="B33">
        <f>B16*0.1+B8/(1-B8)*B3</f>
        <v>14.88</v>
      </c>
      <c r="C33" t="s">
        <v>7</v>
      </c>
    </row>
    <row r="34" spans="1:3" ht="15" customHeight="1" x14ac:dyDescent="0.25">
      <c r="A34" t="s">
        <v>65</v>
      </c>
      <c r="B34">
        <f>(B17*B17*B9*0.001)/2</f>
        <v>1.2814819101508923</v>
      </c>
      <c r="C34" t="s">
        <v>66</v>
      </c>
    </row>
    <row r="35" spans="1:3" ht="15" customHeight="1" x14ac:dyDescent="0.25">
      <c r="A35" t="s">
        <v>67</v>
      </c>
      <c r="B35">
        <f>B33*B33/(B34*2.5)</f>
        <v>69.111986129848319</v>
      </c>
      <c r="C35" t="s">
        <v>68</v>
      </c>
    </row>
    <row r="36" spans="1:3" ht="15" customHeight="1" x14ac:dyDescent="0.25">
      <c r="A36" t="s">
        <v>69</v>
      </c>
      <c r="B36">
        <f>1/(0.1*B35*B9*1000)*1000000000</f>
        <v>144.69270180156443</v>
      </c>
      <c r="C36" t="s">
        <v>70</v>
      </c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100E4B-D272-498B-A222-85149117EB44}">
          <x14:formula1>
            <xm:f>'Core Materials'!$D:$D</xm:f>
          </x14:formula1>
          <xm:sqref>B26</xm:sqref>
        </x14:dataValidation>
        <x14:dataValidation type="list" allowBlank="1" showInputMessage="1" showErrorMessage="1" xr:uid="{967F43FF-686F-4C55-8A76-A7631E96A547}">
          <x14:formula1>
            <xm:f>'Core Materials'!$A:$A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AA32-B76B-435A-BEE8-94B5984CAA41}">
  <dimension ref="A1:G4"/>
  <sheetViews>
    <sheetView workbookViewId="0">
      <selection activeCell="F8" sqref="F8"/>
    </sheetView>
  </sheetViews>
  <sheetFormatPr defaultRowHeight="15" x14ac:dyDescent="0.25"/>
  <cols>
    <col min="1" max="1" width="13.140625" bestFit="1" customWidth="1"/>
    <col min="2" max="2" width="9.7109375" bestFit="1" customWidth="1"/>
    <col min="4" max="4" width="14" bestFit="1" customWidth="1"/>
  </cols>
  <sheetData>
    <row r="1" spans="1:7" x14ac:dyDescent="0.25">
      <c r="A1" t="s">
        <v>44</v>
      </c>
      <c r="B1" t="s">
        <v>58</v>
      </c>
      <c r="D1" t="s">
        <v>49</v>
      </c>
      <c r="E1" t="s">
        <v>51</v>
      </c>
      <c r="F1" t="s">
        <v>52</v>
      </c>
      <c r="G1" t="s">
        <v>54</v>
      </c>
    </row>
    <row r="2" spans="1:7" x14ac:dyDescent="0.25">
      <c r="A2" t="s">
        <v>45</v>
      </c>
      <c r="B2">
        <v>750</v>
      </c>
      <c r="D2" t="s">
        <v>50</v>
      </c>
      <c r="E2">
        <v>169</v>
      </c>
      <c r="F2">
        <v>55.9</v>
      </c>
      <c r="G2">
        <v>67.099999999999994</v>
      </c>
    </row>
    <row r="3" spans="1:7" x14ac:dyDescent="0.25">
      <c r="A3" t="s">
        <v>59</v>
      </c>
      <c r="B3">
        <v>3000</v>
      </c>
      <c r="D3" t="s">
        <v>53</v>
      </c>
      <c r="E3">
        <v>15</v>
      </c>
      <c r="F3">
        <v>34</v>
      </c>
    </row>
    <row r="4" spans="1:7" x14ac:dyDescent="0.25">
      <c r="D4" t="s">
        <v>60</v>
      </c>
      <c r="E4">
        <v>33.630000000000003</v>
      </c>
      <c r="F4">
        <v>43.55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26" sqref="B26"/>
    </sheetView>
  </sheetViews>
  <sheetFormatPr defaultRowHeight="15" x14ac:dyDescent="0.25"/>
  <cols>
    <col min="1" max="1" width="33" bestFit="1" customWidth="1"/>
    <col min="2" max="2" width="12.5703125" bestFit="1" customWidth="1"/>
    <col min="5" max="5" width="19.85546875" bestFit="1" customWidth="1"/>
    <col min="6" max="6" width="16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7" x14ac:dyDescent="0.25">
      <c r="A2" s="7" t="s">
        <v>5</v>
      </c>
      <c r="B2" s="7"/>
      <c r="E2" s="3" t="s">
        <v>6</v>
      </c>
      <c r="F2" s="3">
        <v>0.5</v>
      </c>
      <c r="G2" t="s">
        <v>7</v>
      </c>
    </row>
    <row r="3" spans="1:7" ht="19.5" x14ac:dyDescent="0.35">
      <c r="A3" t="s">
        <v>8</v>
      </c>
      <c r="B3" s="3">
        <v>12</v>
      </c>
      <c r="C3" t="s">
        <v>7</v>
      </c>
    </row>
    <row r="4" spans="1:7" ht="19.5" x14ac:dyDescent="0.35">
      <c r="A4" t="s">
        <v>9</v>
      </c>
      <c r="B4" s="3">
        <v>5</v>
      </c>
      <c r="C4" t="s">
        <v>7</v>
      </c>
    </row>
    <row r="5" spans="1:7" ht="19.5" x14ac:dyDescent="0.35">
      <c r="A5" s="4" t="s">
        <v>10</v>
      </c>
      <c r="B5" s="3">
        <v>1</v>
      </c>
      <c r="C5" t="s">
        <v>11</v>
      </c>
    </row>
    <row r="6" spans="1:7" x14ac:dyDescent="0.25">
      <c r="A6" t="s">
        <v>12</v>
      </c>
      <c r="B6" s="3" t="s">
        <v>13</v>
      </c>
    </row>
    <row r="7" spans="1:7" ht="19.5" x14ac:dyDescent="0.35">
      <c r="A7" s="4" t="s">
        <v>14</v>
      </c>
      <c r="B7" s="3">
        <v>1</v>
      </c>
    </row>
    <row r="8" spans="1:7" ht="19.5" x14ac:dyDescent="0.35">
      <c r="A8" t="s">
        <v>15</v>
      </c>
      <c r="B8" s="3">
        <v>0.5</v>
      </c>
    </row>
    <row r="9" spans="1:7" ht="19.5" x14ac:dyDescent="0.35">
      <c r="A9" t="s">
        <v>16</v>
      </c>
      <c r="B9" s="3">
        <v>1000</v>
      </c>
      <c r="C9" t="s">
        <v>28</v>
      </c>
    </row>
    <row r="10" spans="1:7" x14ac:dyDescent="0.25">
      <c r="A10" t="s">
        <v>17</v>
      </c>
      <c r="B10" s="3">
        <v>0.9</v>
      </c>
    </row>
    <row r="11" spans="1:7" x14ac:dyDescent="0.25">
      <c r="A11" s="8" t="s">
        <v>40</v>
      </c>
      <c r="B11" s="2">
        <f>(B10*B8*B8*B3*B3)/(2*B9*B7*B4*B5)*1000</f>
        <v>3.2400000000000007</v>
      </c>
      <c r="C11" t="s">
        <v>18</v>
      </c>
    </row>
    <row r="12" spans="1:7" x14ac:dyDescent="0.25">
      <c r="A12" s="5" t="s">
        <v>19</v>
      </c>
      <c r="B12" s="2">
        <f>(B3*B8)/((1-B8)*(B4+F2))</f>
        <v>2.1818181818181817</v>
      </c>
    </row>
    <row r="13" spans="1:7" x14ac:dyDescent="0.25">
      <c r="A13" s="7" t="s">
        <v>20</v>
      </c>
      <c r="B13" s="7"/>
    </row>
    <row r="14" spans="1:7" x14ac:dyDescent="0.25">
      <c r="A14" t="s">
        <v>21</v>
      </c>
      <c r="B14" s="3">
        <v>20</v>
      </c>
      <c r="C14" t="s">
        <v>22</v>
      </c>
    </row>
    <row r="15" spans="1:7" x14ac:dyDescent="0.25">
      <c r="A15" t="s">
        <v>23</v>
      </c>
      <c r="B15" s="3">
        <v>0.8</v>
      </c>
      <c r="C15" t="s">
        <v>11</v>
      </c>
    </row>
    <row r="16" spans="1:7" x14ac:dyDescent="0.25">
      <c r="A16" s="6" t="s">
        <v>24</v>
      </c>
      <c r="B16" s="2">
        <f>(B3+(B8*B3)/(1-B8))*(100+B14)/100</f>
        <v>28.8</v>
      </c>
      <c r="C16" t="s">
        <v>7</v>
      </c>
    </row>
    <row r="17" spans="1:3" x14ac:dyDescent="0.25">
      <c r="A17" s="6" t="s">
        <v>25</v>
      </c>
      <c r="B17" s="2">
        <f>(B15*B3)/(B8*B3)+(B8*B3)/(2*B9*B11)</f>
        <v>1.6009259259259263</v>
      </c>
      <c r="C17" t="s">
        <v>11</v>
      </c>
    </row>
    <row r="18" spans="1:3" x14ac:dyDescent="0.25">
      <c r="A18" s="7" t="s">
        <v>26</v>
      </c>
      <c r="B18" s="7"/>
    </row>
    <row r="19" spans="1:3" x14ac:dyDescent="0.25">
      <c r="A19" t="s">
        <v>21</v>
      </c>
      <c r="B19" s="3">
        <v>40</v>
      </c>
      <c r="C19" t="s">
        <v>22</v>
      </c>
    </row>
    <row r="20" spans="1:3" x14ac:dyDescent="0.25">
      <c r="A20" s="8" t="s">
        <v>27</v>
      </c>
      <c r="B20" s="2">
        <f>(B4+B3/B12)*(100+B19)/100</f>
        <v>14.7</v>
      </c>
      <c r="C20" t="s">
        <v>7</v>
      </c>
    </row>
    <row r="21" spans="1:3" x14ac:dyDescent="0.25">
      <c r="A21" s="9" t="s">
        <v>29</v>
      </c>
      <c r="B21" s="7"/>
    </row>
    <row r="22" spans="1:3" x14ac:dyDescent="0.25">
      <c r="A22" t="s">
        <v>30</v>
      </c>
      <c r="B22" s="3">
        <v>0.25</v>
      </c>
      <c r="C22" t="s">
        <v>22</v>
      </c>
    </row>
    <row r="23" spans="1:3" x14ac:dyDescent="0.25">
      <c r="A23" s="5" t="s">
        <v>32</v>
      </c>
      <c r="B23" s="2">
        <f>(B8*B5)/(0.01*B22*B9*1000*B4)*1000000</f>
        <v>40</v>
      </c>
      <c r="C23" t="s">
        <v>31</v>
      </c>
    </row>
    <row r="24" spans="1:3" x14ac:dyDescent="0.25">
      <c r="A24" s="9" t="s">
        <v>33</v>
      </c>
      <c r="B24" s="7"/>
    </row>
    <row r="25" spans="1:3" x14ac:dyDescent="0.25">
      <c r="A25" t="s">
        <v>37</v>
      </c>
      <c r="B25" s="3">
        <v>0.2</v>
      </c>
      <c r="C25" t="s">
        <v>38</v>
      </c>
    </row>
    <row r="26" spans="1:3" x14ac:dyDescent="0.25">
      <c r="A26" t="s">
        <v>35</v>
      </c>
      <c r="B26" s="2">
        <f>B17*SQRT(B8)</f>
        <v>1.132025578399575</v>
      </c>
      <c r="C26" t="s">
        <v>11</v>
      </c>
    </row>
    <row r="27" spans="1:3" x14ac:dyDescent="0.25">
      <c r="A27" s="5" t="s">
        <v>34</v>
      </c>
      <c r="B27" s="2">
        <f>POWER((B11*0.000001*B17*B26)/(B25*0.0085),4/3)*10000</f>
        <v>5.2211329894104264</v>
      </c>
      <c r="C27" t="s">
        <v>36</v>
      </c>
    </row>
    <row r="28" spans="1:3" x14ac:dyDescent="0.25">
      <c r="A28" t="s">
        <v>49</v>
      </c>
      <c r="B28" s="3" t="s">
        <v>50</v>
      </c>
    </row>
    <row r="29" spans="1:3" x14ac:dyDescent="0.25">
      <c r="A29" t="s">
        <v>43</v>
      </c>
      <c r="B29" s="2">
        <f>VLOOKUP(B28,'Core Materials'!D:G,2,FALSE)</f>
        <v>169</v>
      </c>
      <c r="C29" t="s">
        <v>39</v>
      </c>
    </row>
    <row r="30" spans="1:3" x14ac:dyDescent="0.25">
      <c r="A30" t="s">
        <v>46</v>
      </c>
      <c r="B30" s="2">
        <f>VLOOKUP(B28,'Core Materials'!D:G,3,FALSE)</f>
        <v>55.9</v>
      </c>
      <c r="C30" t="s">
        <v>47</v>
      </c>
    </row>
    <row r="31" spans="1:3" x14ac:dyDescent="0.25">
      <c r="A31" t="s">
        <v>55</v>
      </c>
      <c r="B31" s="2">
        <f>VLOOKUP(B28,'Core Materials'!D:GF,4,FALSE)</f>
        <v>67.099999999999994</v>
      </c>
      <c r="C31" t="s">
        <v>47</v>
      </c>
    </row>
    <row r="32" spans="1:3" x14ac:dyDescent="0.25">
      <c r="A32" t="s">
        <v>44</v>
      </c>
      <c r="B32" s="3" t="s">
        <v>45</v>
      </c>
    </row>
    <row r="33" spans="1:2" x14ac:dyDescent="0.25">
      <c r="A33" t="s">
        <v>42</v>
      </c>
      <c r="B33" s="2">
        <f>VLOOKUP(B32,'Core Materials'!A:B,2,FALSE)</f>
        <v>750</v>
      </c>
    </row>
    <row r="34" spans="1:2" x14ac:dyDescent="0.25">
      <c r="A34" s="5" t="s">
        <v>41</v>
      </c>
      <c r="B34" s="2">
        <f>(B11*B17)/(B25*B29)</f>
        <v>0.15346153846153851</v>
      </c>
    </row>
    <row r="35" spans="1:2" x14ac:dyDescent="0.25">
      <c r="A35" s="5" t="s">
        <v>48</v>
      </c>
      <c r="B35" s="3">
        <v>3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9ADA44E-05C9-4AFF-9E8A-B70EE65DDE08}">
          <x14:formula1>
            <xm:f>'Core Materials'!$A:$A</xm:f>
          </x14:formula1>
          <xm:sqref>B32</xm:sqref>
        </x14:dataValidation>
        <x14:dataValidation type="list" allowBlank="1" showInputMessage="1" showErrorMessage="1" xr:uid="{72C2218C-B30E-4678-99A2-8431ABFFA701}">
          <x14:formula1>
            <xm:f>'Core Materials'!$D:$D</xm:f>
          </x14:formula1>
          <xm:sqref>B28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07d419-a581-4edb-8fdc-5a066a49763e" xsi:nil="true"/>
    <lcf76f155ced4ddcb4097134ff3c332f xmlns="defe3374-08f6-46fb-9c00-ba37b864c9a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79E5223390BD9141B22F7A735B7D8B14" ma:contentTypeVersion="9" ma:contentTypeDescription="צור מסמך חדש." ma:contentTypeScope="" ma:versionID="9c475342160552f983cb4afd892d7a38">
  <xsd:schema xmlns:xsd="http://www.w3.org/2001/XMLSchema" xmlns:xs="http://www.w3.org/2001/XMLSchema" xmlns:p="http://schemas.microsoft.com/office/2006/metadata/properties" xmlns:ns2="defe3374-08f6-46fb-9c00-ba37b864c9ae" xmlns:ns3="e607d419-a581-4edb-8fdc-5a066a49763e" targetNamespace="http://schemas.microsoft.com/office/2006/metadata/properties" ma:root="true" ma:fieldsID="c0a766e725a948d87bdd05ab21e53aad" ns2:_="" ns3:_="">
    <xsd:import namespace="defe3374-08f6-46fb-9c00-ba37b864c9ae"/>
    <xsd:import namespace="e607d419-a581-4edb-8fdc-5a066a4976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e3374-08f6-46fb-9c00-ba37b864c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תגיות תמונה" ma:readOnly="false" ma:fieldId="{5cf76f15-5ced-4ddc-b409-7134ff3c332f}" ma:taxonomyMulti="true" ma:sspId="e3933a40-d7a1-4ae8-94a3-1b6c5b7c39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7d419-a581-4edb-8fdc-5a066a49763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21054fe-d05c-439e-8f5e-a1165db30c72}" ma:internalName="TaxCatchAll" ma:showField="CatchAllData" ma:web="e607d419-a581-4edb-8fdc-5a066a4976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AF71B-7709-475A-AEF0-6818FCD5C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EA9-C2C4-49AA-B324-B3AC88F76A39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defe3374-08f6-46fb-9c00-ba37b864c9ae"/>
    <ds:schemaRef ds:uri="http://schemas.openxmlformats.org/package/2006/metadata/core-properties"/>
    <ds:schemaRef ds:uri="e607d419-a581-4edb-8fdc-5a066a49763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3FE8409-F4F3-48B8-90E0-88705AAE6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e3374-08f6-46fb-9c00-ba37b864c9ae"/>
    <ds:schemaRef ds:uri="e607d419-a581-4edb-8fdc-5a066a49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Core Materials</vt:lpstr>
      <vt:lpstr>Sheet1.old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Sivan Zusin</dc:creator>
  <cp:keywords/>
  <dc:description/>
  <cp:lastModifiedBy>C1</cp:lastModifiedBy>
  <cp:revision/>
  <dcterms:created xsi:type="dcterms:W3CDTF">2015-06-05T18:17:20Z</dcterms:created>
  <dcterms:modified xsi:type="dcterms:W3CDTF">2024-01-11T14:47:07Z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0x01010079E5223390BD9141B22F7A735B7D8B14</vt:lpwstr>
  </property>
  <property fmtid="{D5CDD505-2E9C-101B-9397-08002B2CF9AE}" pid="3" name="MediaServiceImageTags">
    <vt:lpwstr/>
  </property>
</Properties>
</file>