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des\TUS\B3\レポート\2024_10_25_強誘電体\data\2024_11_01\"/>
    </mc:Choice>
  </mc:AlternateContent>
  <xr:revisionPtr revIDLastSave="0" documentId="13_ncr:1_{23B92122-7328-429F-A4D7-E9345DCBE877}" xr6:coauthVersionLast="47" xr6:coauthVersionMax="47" xr10:uidLastSave="{00000000-0000-0000-0000-000000000000}"/>
  <bookViews>
    <workbookView xWindow="28680" yWindow="1665" windowWidth="20730" windowHeight="11760" xr2:uid="{3617EC6F-1174-8F41-9A51-3923A81740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4" i="1"/>
  <c r="O30" i="1"/>
  <c r="O31" i="1"/>
  <c r="O32" i="1"/>
  <c r="O33" i="1"/>
  <c r="O34" i="1"/>
  <c r="G30" i="1"/>
  <c r="G31" i="1"/>
  <c r="G32" i="1"/>
  <c r="G33" i="1"/>
  <c r="G34" i="1"/>
  <c r="F30" i="1"/>
  <c r="F31" i="1"/>
  <c r="F32" i="1"/>
  <c r="F33" i="1"/>
  <c r="F34" i="1"/>
  <c r="D33" i="1"/>
  <c r="D32" i="1"/>
  <c r="D31" i="1"/>
  <c r="D30" i="1"/>
  <c r="D34" i="1"/>
  <c r="O43" i="1"/>
  <c r="O44" i="1"/>
  <c r="G43" i="1"/>
  <c r="G44" i="1"/>
  <c r="F43" i="1"/>
  <c r="F44" i="1"/>
  <c r="D44" i="1"/>
  <c r="D43" i="1"/>
  <c r="D45" i="1"/>
  <c r="D75" i="1"/>
  <c r="D74" i="1"/>
  <c r="D73" i="1"/>
  <c r="D72" i="1"/>
  <c r="D71" i="1"/>
  <c r="D70" i="1"/>
  <c r="D69" i="1"/>
  <c r="D68" i="1"/>
  <c r="D67" i="1"/>
  <c r="D66" i="1"/>
  <c r="D65" i="1"/>
  <c r="D63" i="1"/>
  <c r="D64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8" i="1"/>
  <c r="D42" i="1"/>
  <c r="D41" i="1"/>
  <c r="D40" i="1"/>
  <c r="D39" i="1"/>
  <c r="D38" i="1"/>
  <c r="D35" i="1"/>
  <c r="D37" i="1"/>
  <c r="D36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3" i="1"/>
  <c r="J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3" i="1"/>
  <c r="H31" i="1" l="1"/>
  <c r="I30" i="1"/>
  <c r="G39" i="1"/>
  <c r="G45" i="1"/>
  <c r="G50" i="1"/>
  <c r="G51" i="1"/>
  <c r="G58" i="1"/>
  <c r="G59" i="1"/>
  <c r="G62" i="1"/>
  <c r="G63" i="1"/>
  <c r="G66" i="1"/>
  <c r="G67" i="1"/>
  <c r="G71" i="1"/>
  <c r="G75" i="1"/>
  <c r="G38" i="1"/>
  <c r="G41" i="1"/>
  <c r="G18" i="1"/>
  <c r="G4" i="1"/>
  <c r="G20" i="1"/>
  <c r="G5" i="1"/>
  <c r="G6" i="1"/>
  <c r="G22" i="1"/>
  <c r="G23" i="1"/>
  <c r="G8" i="1"/>
  <c r="G24" i="1"/>
  <c r="G9" i="1"/>
  <c r="G25" i="1"/>
  <c r="G10" i="1"/>
  <c r="G26" i="1"/>
  <c r="G19" i="1"/>
  <c r="F65" i="1"/>
  <c r="F15" i="1"/>
  <c r="I15" i="1" s="1"/>
  <c r="G70" i="1"/>
  <c r="G54" i="1"/>
  <c r="F63" i="1"/>
  <c r="O63" i="1" s="1"/>
  <c r="F13" i="1"/>
  <c r="I13" i="1" s="1"/>
  <c r="G69" i="1"/>
  <c r="G53" i="1"/>
  <c r="G37" i="1"/>
  <c r="F64" i="1"/>
  <c r="O64" i="1" s="1"/>
  <c r="F48" i="1"/>
  <c r="O48" i="1" s="1"/>
  <c r="F14" i="1"/>
  <c r="I14" i="1" s="1"/>
  <c r="F62" i="1"/>
  <c r="O62" i="1" s="1"/>
  <c r="F29" i="1"/>
  <c r="O29" i="1" s="1"/>
  <c r="F12" i="1"/>
  <c r="I12" i="1" s="1"/>
  <c r="G68" i="1"/>
  <c r="G52" i="1"/>
  <c r="G36" i="1"/>
  <c r="G17" i="1"/>
  <c r="G35" i="1"/>
  <c r="G16" i="1"/>
  <c r="F21" i="1"/>
  <c r="O21" i="1" s="1"/>
  <c r="G15" i="1"/>
  <c r="F7" i="1"/>
  <c r="I7" i="1" s="1"/>
  <c r="F61" i="1"/>
  <c r="O61" i="1" s="1"/>
  <c r="F45" i="1"/>
  <c r="O45" i="1" s="1"/>
  <c r="F28" i="1"/>
  <c r="O28" i="1" s="1"/>
  <c r="F11" i="1"/>
  <c r="I11" i="1" s="1"/>
  <c r="F3" i="1"/>
  <c r="F27" i="1"/>
  <c r="O27" i="1" s="1"/>
  <c r="F10" i="1"/>
  <c r="I10" i="1" s="1"/>
  <c r="G14" i="1"/>
  <c r="F75" i="1"/>
  <c r="O75" i="1" s="1"/>
  <c r="F59" i="1"/>
  <c r="O59" i="1" s="1"/>
  <c r="F26" i="1"/>
  <c r="O26" i="1" s="1"/>
  <c r="F9" i="1"/>
  <c r="I9" i="1" s="1"/>
  <c r="G65" i="1"/>
  <c r="F74" i="1"/>
  <c r="O74" i="1" s="1"/>
  <c r="F58" i="1"/>
  <c r="O58" i="1" s="1"/>
  <c r="F42" i="1"/>
  <c r="O42" i="1" s="1"/>
  <c r="F25" i="1"/>
  <c r="O25" i="1" s="1"/>
  <c r="F8" i="1"/>
  <c r="I8" i="1" s="1"/>
  <c r="G64" i="1"/>
  <c r="G48" i="1"/>
  <c r="G13" i="1"/>
  <c r="G12" i="1"/>
  <c r="G28" i="1"/>
  <c r="G11" i="1"/>
  <c r="G27" i="1"/>
  <c r="F72" i="1"/>
  <c r="O72" i="1" s="1"/>
  <c r="F56" i="1"/>
  <c r="O56" i="1" s="1"/>
  <c r="F40" i="1"/>
  <c r="O40" i="1" s="1"/>
  <c r="F23" i="1"/>
  <c r="O23" i="1" s="1"/>
  <c r="F5" i="1"/>
  <c r="I5" i="1" s="1"/>
  <c r="F71" i="1"/>
  <c r="O71" i="1" s="1"/>
  <c r="F55" i="1"/>
  <c r="O55" i="1" s="1"/>
  <c r="F39" i="1"/>
  <c r="O39" i="1" s="1"/>
  <c r="F22" i="1"/>
  <c r="I22" i="1" s="1"/>
  <c r="F4" i="1"/>
  <c r="I4" i="1" s="1"/>
  <c r="G61" i="1"/>
  <c r="F70" i="1"/>
  <c r="O70" i="1" s="1"/>
  <c r="F54" i="1"/>
  <c r="O54" i="1" s="1"/>
  <c r="F38" i="1"/>
  <c r="O38" i="1" s="1"/>
  <c r="F20" i="1"/>
  <c r="O20" i="1" s="1"/>
  <c r="G3" i="1"/>
  <c r="G60" i="1"/>
  <c r="F69" i="1"/>
  <c r="O69" i="1" s="1"/>
  <c r="F53" i="1"/>
  <c r="O53" i="1" s="1"/>
  <c r="F37" i="1"/>
  <c r="O37" i="1" s="1"/>
  <c r="F19" i="1"/>
  <c r="O19" i="1" s="1"/>
  <c r="G29" i="1"/>
  <c r="G42" i="1"/>
  <c r="G7" i="1"/>
  <c r="F68" i="1"/>
  <c r="O68" i="1" s="1"/>
  <c r="F52" i="1"/>
  <c r="O52" i="1" s="1"/>
  <c r="F36" i="1"/>
  <c r="O36" i="1" s="1"/>
  <c r="F18" i="1"/>
  <c r="O18" i="1" s="1"/>
  <c r="G74" i="1"/>
  <c r="F67" i="1"/>
  <c r="O67" i="1" s="1"/>
  <c r="F51" i="1"/>
  <c r="O51" i="1" s="1"/>
  <c r="F35" i="1"/>
  <c r="O35" i="1" s="1"/>
  <c r="F17" i="1"/>
  <c r="O17" i="1" s="1"/>
  <c r="G73" i="1"/>
  <c r="G57" i="1"/>
  <c r="F66" i="1"/>
  <c r="F50" i="1"/>
  <c r="F16" i="1"/>
  <c r="I16" i="1" s="1"/>
  <c r="G72" i="1"/>
  <c r="G56" i="1"/>
  <c r="G40" i="1"/>
  <c r="F60" i="1"/>
  <c r="O60" i="1" s="1"/>
  <c r="F73" i="1"/>
  <c r="O73" i="1" s="1"/>
  <c r="F57" i="1"/>
  <c r="O57" i="1" s="1"/>
  <c r="F41" i="1"/>
  <c r="O41" i="1" s="1"/>
  <c r="F24" i="1"/>
  <c r="O24" i="1" s="1"/>
  <c r="F6" i="1"/>
  <c r="I6" i="1" s="1"/>
  <c r="G55" i="1"/>
  <c r="O5" i="1"/>
  <c r="I29" i="1"/>
  <c r="I25" i="1"/>
  <c r="I23" i="1"/>
  <c r="G21" i="1"/>
  <c r="I19" i="1"/>
  <c r="H32" i="1" l="1"/>
  <c r="I31" i="1"/>
  <c r="O15" i="1"/>
  <c r="O7" i="1"/>
  <c r="O8" i="1"/>
  <c r="O9" i="1"/>
  <c r="O11" i="1"/>
  <c r="I27" i="1"/>
  <c r="O10" i="1"/>
  <c r="I26" i="1"/>
  <c r="I20" i="1"/>
  <c r="O12" i="1"/>
  <c r="I21" i="1"/>
  <c r="O65" i="1"/>
  <c r="O4" i="1"/>
  <c r="O13" i="1"/>
  <c r="O14" i="1"/>
  <c r="O16" i="1"/>
  <c r="I18" i="1"/>
  <c r="I17" i="1"/>
  <c r="O22" i="1"/>
  <c r="O50" i="1"/>
  <c r="I24" i="1"/>
  <c r="I28" i="1"/>
  <c r="O66" i="1"/>
  <c r="I3" i="1"/>
  <c r="O3" i="1"/>
  <c r="O6" i="1"/>
  <c r="H33" i="1" l="1"/>
  <c r="I32" i="1"/>
  <c r="I33" i="1" l="1"/>
  <c r="H34" i="1"/>
  <c r="H35" i="1" l="1"/>
  <c r="I34" i="1"/>
  <c r="H36" i="1" l="1"/>
  <c r="I35" i="1"/>
  <c r="H37" i="1" l="1"/>
  <c r="I36" i="1"/>
  <c r="H38" i="1" l="1"/>
  <c r="I37" i="1"/>
  <c r="H39" i="1" l="1"/>
  <c r="I38" i="1"/>
  <c r="H40" i="1" l="1"/>
  <c r="I39" i="1"/>
  <c r="H41" i="1" l="1"/>
  <c r="I40" i="1"/>
  <c r="H42" i="1" l="1"/>
  <c r="I41" i="1"/>
  <c r="H43" i="1" l="1"/>
  <c r="I42" i="1"/>
  <c r="H44" i="1" l="1"/>
  <c r="I43" i="1"/>
  <c r="I44" i="1" l="1"/>
  <c r="H45" i="1"/>
  <c r="H46" i="1" l="1"/>
  <c r="H47" i="1" s="1"/>
  <c r="H48" i="1" s="1"/>
  <c r="I45" i="1"/>
  <c r="H49" i="1" l="1"/>
  <c r="H50" i="1" s="1"/>
  <c r="I48" i="1"/>
  <c r="H51" i="1" l="1"/>
  <c r="I50" i="1"/>
  <c r="H52" i="1" l="1"/>
  <c r="I51" i="1"/>
  <c r="H53" i="1" l="1"/>
  <c r="I52" i="1"/>
  <c r="H54" i="1" l="1"/>
  <c r="I53" i="1"/>
  <c r="H55" i="1" l="1"/>
  <c r="I54" i="1"/>
  <c r="H56" i="1" l="1"/>
  <c r="I55" i="1"/>
  <c r="H57" i="1" l="1"/>
  <c r="I56" i="1"/>
  <c r="H58" i="1" l="1"/>
  <c r="I57" i="1"/>
  <c r="H59" i="1" l="1"/>
  <c r="I58" i="1"/>
  <c r="H60" i="1" l="1"/>
  <c r="I59" i="1"/>
  <c r="H61" i="1" l="1"/>
  <c r="I60" i="1"/>
  <c r="H62" i="1" l="1"/>
  <c r="I61" i="1"/>
  <c r="H63" i="1" l="1"/>
  <c r="I62" i="1"/>
  <c r="H64" i="1" l="1"/>
  <c r="I63" i="1"/>
  <c r="H65" i="1" l="1"/>
  <c r="I64" i="1"/>
  <c r="H66" i="1" l="1"/>
  <c r="I65" i="1"/>
  <c r="H67" i="1" l="1"/>
  <c r="I66" i="1"/>
  <c r="H68" i="1" l="1"/>
  <c r="I67" i="1"/>
  <c r="H69" i="1" l="1"/>
  <c r="I68" i="1"/>
  <c r="H70" i="1" l="1"/>
  <c r="I69" i="1"/>
  <c r="H71" i="1" l="1"/>
  <c r="I70" i="1"/>
  <c r="H72" i="1" l="1"/>
  <c r="I71" i="1"/>
  <c r="H73" i="1" l="1"/>
  <c r="I72" i="1"/>
  <c r="H74" i="1" l="1"/>
  <c r="I73" i="1"/>
  <c r="H75" i="1" l="1"/>
  <c r="I75" i="1" s="1"/>
  <c r="I74" i="1"/>
</calcChain>
</file>

<file path=xl/sharedStrings.xml><?xml version="1.0" encoding="utf-8"?>
<sst xmlns="http://schemas.openxmlformats.org/spreadsheetml/2006/main" count="11" uniqueCount="11">
  <si>
    <t>Cp[pF]</t>
    <phoneticPr fontId="1"/>
  </si>
  <si>
    <t>D</t>
    <phoneticPr fontId="1"/>
  </si>
  <si>
    <t>K</t>
    <phoneticPr fontId="1"/>
  </si>
  <si>
    <t>℃</t>
    <phoneticPr fontId="1"/>
  </si>
  <si>
    <t>ε'</t>
    <phoneticPr fontId="1"/>
  </si>
  <si>
    <t>ε''</t>
    <phoneticPr fontId="1"/>
  </si>
  <si>
    <t>←C0</t>
    <phoneticPr fontId="1"/>
  </si>
  <si>
    <t>←ε0</t>
    <phoneticPr fontId="1"/>
  </si>
  <si>
    <t>ε∞</t>
    <phoneticPr fontId="1"/>
  </si>
  <si>
    <t>1/(ε'-ε∞)</t>
    <phoneticPr fontId="1"/>
  </si>
  <si>
    <t>1/ε'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</si>
</sst>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B0F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Sheet1!$B$3:$B$75</c:f>
              <c:numCache>
                <c:formatCode>General</c:formatCode>
                <c:ptCount val="73"/>
                <c:pt idx="0">
                  <c:v>290</c:v>
                </c:pt>
                <c:pt idx="1">
                  <c:v>280</c:v>
                </c:pt>
                <c:pt idx="2">
                  <c:v>270</c:v>
                </c:pt>
                <c:pt idx="3">
                  <c:v>260</c:v>
                </c:pt>
                <c:pt idx="4">
                  <c:v>250</c:v>
                </c:pt>
                <c:pt idx="5">
                  <c:v>240</c:v>
                </c:pt>
                <c:pt idx="6">
                  <c:v>230</c:v>
                </c:pt>
                <c:pt idx="7">
                  <c:v>220</c:v>
                </c:pt>
                <c:pt idx="8">
                  <c:v>210</c:v>
                </c:pt>
                <c:pt idx="9">
                  <c:v>200</c:v>
                </c:pt>
                <c:pt idx="10">
                  <c:v>190</c:v>
                </c:pt>
                <c:pt idx="11">
                  <c:v>180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</c:numCache>
            </c:numRef>
          </c:xVal>
          <c:yVal>
            <c:numRef>
              <c:f>Sheet1!$E$3:$E$75</c:f>
              <c:numCache>
                <c:formatCode>General</c:formatCode>
                <c:ptCount val="73"/>
                <c:pt idx="0">
                  <c:v>8.9999999999999993E-3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4.0000000000000001E-3</c:v>
                </c:pt>
                <c:pt idx="30">
                  <c:v>5.0000000000000001E-3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5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6.0000000000000001E-3</c:v>
                </c:pt>
                <c:pt idx="68">
                  <c:v>8.0000000000000002E-3</c:v>
                </c:pt>
                <c:pt idx="69">
                  <c:v>1.2E-2</c:v>
                </c:pt>
                <c:pt idx="70">
                  <c:v>1.6E-2</c:v>
                </c:pt>
                <c:pt idx="71">
                  <c:v>1.7000000000000001E-2</c:v>
                </c:pt>
                <c:pt idx="72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0-904D-9723-A7F5C9B4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77823"/>
        <c:axId val="1887817135"/>
      </c:scatterChart>
      <c:valAx>
        <c:axId val="1888177823"/>
        <c:scaling>
          <c:orientation val="minMax"/>
          <c:max val="3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Tempurature </a:t>
                </a:r>
                <a:r>
                  <a:rPr lang="en-US" altLang="ja-JP" i="1"/>
                  <a:t>T</a:t>
                </a:r>
                <a:r>
                  <a:rPr lang="en-US" altLang="ja-JP"/>
                  <a:t>[K]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817135"/>
        <c:crossesAt val="0"/>
        <c:crossBetween val="midCat"/>
      </c:valAx>
      <c:valAx>
        <c:axId val="1887817135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Dielectric loss</a:t>
                </a:r>
                <a:r>
                  <a:rPr lang="en-US" altLang="ja-JP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ja-JP" i="1" baseline="0">
                    <a:solidFill>
                      <a:schemeClr val="tx1"/>
                    </a:solidFill>
                  </a:rPr>
                  <a:t>D</a:t>
                </a:r>
                <a:endParaRPr lang="ja-JP" altLang="en-US" i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81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1/(ε'-ε</a:t>
            </a:r>
            <a:r>
              <a:rPr lang="ja-JP" altLang="en-US"/>
              <a:t>∞</a:t>
            </a:r>
            <a:r>
              <a:rPr lang="en-US" altLang="ja-JP"/>
              <a:t>)=T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1068211214529895E-2"/>
                  <c:y val="1.24277107368346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Sheet1!$B$3:$B$75</c:f>
              <c:numCache>
                <c:formatCode>General</c:formatCode>
                <c:ptCount val="73"/>
                <c:pt idx="0">
                  <c:v>290</c:v>
                </c:pt>
                <c:pt idx="1">
                  <c:v>280</c:v>
                </c:pt>
                <c:pt idx="2">
                  <c:v>270</c:v>
                </c:pt>
                <c:pt idx="3">
                  <c:v>260</c:v>
                </c:pt>
                <c:pt idx="4">
                  <c:v>250</c:v>
                </c:pt>
                <c:pt idx="5">
                  <c:v>240</c:v>
                </c:pt>
                <c:pt idx="6">
                  <c:v>230</c:v>
                </c:pt>
                <c:pt idx="7">
                  <c:v>220</c:v>
                </c:pt>
                <c:pt idx="8">
                  <c:v>210</c:v>
                </c:pt>
                <c:pt idx="9">
                  <c:v>200</c:v>
                </c:pt>
                <c:pt idx="10">
                  <c:v>190</c:v>
                </c:pt>
                <c:pt idx="11">
                  <c:v>180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</c:numCache>
            </c:numRef>
          </c:xVal>
          <c:yVal>
            <c:numRef>
              <c:f>Sheet1!$I$3:$I$75</c:f>
              <c:numCache>
                <c:formatCode>General</c:formatCode>
                <c:ptCount val="73"/>
                <c:pt idx="0">
                  <c:v>7.7672752130305098E-2</c:v>
                </c:pt>
                <c:pt idx="1">
                  <c:v>7.3760730634492455E-2</c:v>
                </c:pt>
                <c:pt idx="2">
                  <c:v>6.8579664297532678E-2</c:v>
                </c:pt>
                <c:pt idx="3">
                  <c:v>6.4078679980942535E-2</c:v>
                </c:pt>
                <c:pt idx="4">
                  <c:v>5.8922456570135964E-2</c:v>
                </c:pt>
                <c:pt idx="5">
                  <c:v>5.4534245781856373E-2</c:v>
                </c:pt>
                <c:pt idx="6">
                  <c:v>4.9889853668137779E-2</c:v>
                </c:pt>
                <c:pt idx="7">
                  <c:v>4.597445359861034E-2</c:v>
                </c:pt>
                <c:pt idx="8">
                  <c:v>4.1423156941991356E-2</c:v>
                </c:pt>
                <c:pt idx="9">
                  <c:v>3.6746084406206948E-2</c:v>
                </c:pt>
                <c:pt idx="10">
                  <c:v>3.2290038560096407E-2</c:v>
                </c:pt>
                <c:pt idx="11">
                  <c:v>2.797276705560766E-2</c:v>
                </c:pt>
                <c:pt idx="12">
                  <c:v>2.2934988011011074E-2</c:v>
                </c:pt>
                <c:pt idx="13">
                  <c:v>2.2408593083234438E-2</c:v>
                </c:pt>
                <c:pt idx="14">
                  <c:v>2.1905819237020802E-2</c:v>
                </c:pt>
                <c:pt idx="15">
                  <c:v>2.1425111428264899E-2</c:v>
                </c:pt>
                <c:pt idx="16">
                  <c:v>2.0965048179241406E-2</c:v>
                </c:pt>
                <c:pt idx="17">
                  <c:v>2.0524327539653123E-2</c:v>
                </c:pt>
                <c:pt idx="18">
                  <c:v>1.9964737637724658E-2</c:v>
                </c:pt>
                <c:pt idx="19">
                  <c:v>1.9564668825906122E-2</c:v>
                </c:pt>
                <c:pt idx="20">
                  <c:v>1.9055536118572657E-2</c:v>
                </c:pt>
                <c:pt idx="21">
                  <c:v>1.8572229721541957E-2</c:v>
                </c:pt>
                <c:pt idx="22">
                  <c:v>1.8339654985292764E-2</c:v>
                </c:pt>
                <c:pt idx="23">
                  <c:v>1.8001513260146897E-2</c:v>
                </c:pt>
                <c:pt idx="24">
                  <c:v>1.7361306859643249E-2</c:v>
                </c:pt>
                <c:pt idx="25">
                  <c:v>1.6959214816377889E-2</c:v>
                </c:pt>
                <c:pt idx="26">
                  <c:v>1.6389826335436466E-2</c:v>
                </c:pt>
                <c:pt idx="27">
                  <c:v>1.552130608553522E-2</c:v>
                </c:pt>
                <c:pt idx="28">
                  <c:v>1.5120673080232279E-2</c:v>
                </c:pt>
                <c:pt idx="29">
                  <c:v>1.4666393677937093E-2</c:v>
                </c:pt>
                <c:pt idx="30">
                  <c:v>1.4169732335405298E-2</c:v>
                </c:pt>
                <c:pt idx="31">
                  <c:v>1.3770040347097869E-2</c:v>
                </c:pt>
                <c:pt idx="32">
                  <c:v>1.5857429192222269E-2</c:v>
                </c:pt>
                <c:pt idx="33">
                  <c:v>1.5358531986940014E-2</c:v>
                </c:pt>
                <c:pt idx="34">
                  <c:v>1.4740201790662872E-2</c:v>
                </c:pt>
                <c:pt idx="35">
                  <c:v>1.4308169614652286E-2</c:v>
                </c:pt>
                <c:pt idx="36">
                  <c:v>1.3770040347097869E-2</c:v>
                </c:pt>
                <c:pt idx="37">
                  <c:v>1.3211064715233322E-2</c:v>
                </c:pt>
                <c:pt idx="38">
                  <c:v>1.2976939905128902E-2</c:v>
                </c:pt>
                <c:pt idx="39">
                  <c:v>1.2586588540423264E-2</c:v>
                </c:pt>
                <c:pt idx="40">
                  <c:v>9.7080785508369318E-3</c:v>
                </c:pt>
                <c:pt idx="41">
                  <c:v>9.2775784229397733E-3</c:v>
                </c:pt>
                <c:pt idx="42">
                  <c:v>1.2219035240763365E-2</c:v>
                </c:pt>
                <c:pt idx="45">
                  <c:v>1.1682919781526933E-2</c:v>
                </c:pt>
                <c:pt idx="47">
                  <c:v>1.0324008728794838E-2</c:v>
                </c:pt>
                <c:pt idx="48">
                  <c:v>9.9386665902575309E-3</c:v>
                </c:pt>
                <c:pt idx="49">
                  <c:v>9.4268749544054661E-3</c:v>
                </c:pt>
                <c:pt idx="50">
                  <c:v>8.9106635099926029E-3</c:v>
                </c:pt>
                <c:pt idx="51">
                  <c:v>8.4724888056391546E-3</c:v>
                </c:pt>
                <c:pt idx="52">
                  <c:v>7.879863262497502E-3</c:v>
                </c:pt>
                <c:pt idx="53">
                  <c:v>7.2552669849738028E-3</c:v>
                </c:pt>
                <c:pt idx="54">
                  <c:v>6.7070223092478383E-3</c:v>
                </c:pt>
                <c:pt idx="55">
                  <c:v>6.1185761356683738E-3</c:v>
                </c:pt>
                <c:pt idx="56">
                  <c:v>5.5086860250412283E-3</c:v>
                </c:pt>
                <c:pt idx="57">
                  <c:v>4.941747769378604E-3</c:v>
                </c:pt>
                <c:pt idx="58">
                  <c:v>4.7494337332813488E-3</c:v>
                </c:pt>
                <c:pt idx="59">
                  <c:v>4.5502217355371322E-3</c:v>
                </c:pt>
                <c:pt idx="60">
                  <c:v>4.3476023635630771E-3</c:v>
                </c:pt>
                <c:pt idx="61">
                  <c:v>4.0139550152967956E-3</c:v>
                </c:pt>
                <c:pt idx="62">
                  <c:v>3.6173729188016326E-3</c:v>
                </c:pt>
                <c:pt idx="63">
                  <c:v>3.2627718832168961E-3</c:v>
                </c:pt>
                <c:pt idx="64">
                  <c:v>2.866784957850609E-3</c:v>
                </c:pt>
                <c:pt idx="65">
                  <c:v>2.5234750997186772E-3</c:v>
                </c:pt>
                <c:pt idx="66">
                  <c:v>2.1213887736323696E-3</c:v>
                </c:pt>
                <c:pt idx="67">
                  <c:v>1.7121678149446477E-3</c:v>
                </c:pt>
                <c:pt idx="68">
                  <c:v>1.2407379550820588E-3</c:v>
                </c:pt>
                <c:pt idx="69">
                  <c:v>7.6461606128809057E-4</c:v>
                </c:pt>
                <c:pt idx="70">
                  <c:v>6.1524906136778651E-4</c:v>
                </c:pt>
                <c:pt idx="71">
                  <c:v>6.3115824140694168E-4</c:v>
                </c:pt>
                <c:pt idx="72">
                  <c:v>6.408243718432448E-4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C-F24D-ABA0-CF6AF272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656"/>
        <c:axId val="3232176"/>
      </c:scatterChart>
      <c:valAx>
        <c:axId val="32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2176"/>
        <c:crosses val="autoZero"/>
        <c:crossBetween val="midCat"/>
      </c:valAx>
      <c:valAx>
        <c:axId val="3232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ε'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Sheet1!$B$3:$B$75</c:f>
              <c:numCache>
                <c:formatCode>General</c:formatCode>
                <c:ptCount val="73"/>
                <c:pt idx="0">
                  <c:v>290</c:v>
                </c:pt>
                <c:pt idx="1">
                  <c:v>280</c:v>
                </c:pt>
                <c:pt idx="2">
                  <c:v>270</c:v>
                </c:pt>
                <c:pt idx="3">
                  <c:v>260</c:v>
                </c:pt>
                <c:pt idx="4">
                  <c:v>250</c:v>
                </c:pt>
                <c:pt idx="5">
                  <c:v>240</c:v>
                </c:pt>
                <c:pt idx="6">
                  <c:v>230</c:v>
                </c:pt>
                <c:pt idx="7">
                  <c:v>220</c:v>
                </c:pt>
                <c:pt idx="8">
                  <c:v>210</c:v>
                </c:pt>
                <c:pt idx="9">
                  <c:v>200</c:v>
                </c:pt>
                <c:pt idx="10">
                  <c:v>190</c:v>
                </c:pt>
                <c:pt idx="11">
                  <c:v>180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</c:numCache>
            </c:numRef>
          </c:xVal>
          <c:yVal>
            <c:numRef>
              <c:f>Sheet1!$F$3:$F$75</c:f>
              <c:numCache>
                <c:formatCode>General</c:formatCode>
                <c:ptCount val="73"/>
                <c:pt idx="0">
                  <c:v>22.874527714975045</c:v>
                </c:pt>
                <c:pt idx="1">
                  <c:v>23.557349437810121</c:v>
                </c:pt>
                <c:pt idx="2">
                  <c:v>24.581582022062733</c:v>
                </c:pt>
                <c:pt idx="3">
                  <c:v>25.605814606315349</c:v>
                </c:pt>
                <c:pt idx="4">
                  <c:v>26.971458051985501</c:v>
                </c:pt>
                <c:pt idx="5">
                  <c:v>28.337101497655652</c:v>
                </c:pt>
                <c:pt idx="6">
                  <c:v>30.044155804743347</c:v>
                </c:pt>
                <c:pt idx="7">
                  <c:v>31.751210111831035</c:v>
                </c:pt>
                <c:pt idx="8">
                  <c:v>34.141086141753796</c:v>
                </c:pt>
                <c:pt idx="9">
                  <c:v>37.213783894511643</c:v>
                </c:pt>
                <c:pt idx="10">
                  <c:v>40.969303370104562</c:v>
                </c:pt>
                <c:pt idx="11">
                  <c:v>45.74905542995009</c:v>
                </c:pt>
                <c:pt idx="12">
                  <c:v>53.601505242553458</c:v>
                </c:pt>
                <c:pt idx="13">
                  <c:v>54.625737826806073</c:v>
                </c:pt>
                <c:pt idx="14">
                  <c:v>55.649970411058696</c:v>
                </c:pt>
                <c:pt idx="15">
                  <c:v>56.674202995311305</c:v>
                </c:pt>
                <c:pt idx="16">
                  <c:v>57.698435579563913</c:v>
                </c:pt>
                <c:pt idx="17">
                  <c:v>58.722668163816529</c:v>
                </c:pt>
                <c:pt idx="18">
                  <c:v>60.088311609486695</c:v>
                </c:pt>
                <c:pt idx="19">
                  <c:v>61.112544193739289</c:v>
                </c:pt>
                <c:pt idx="20">
                  <c:v>62.478187639409455</c:v>
                </c:pt>
                <c:pt idx="21">
                  <c:v>63.843831085079593</c:v>
                </c:pt>
                <c:pt idx="22">
                  <c:v>64.526652807914672</c:v>
                </c:pt>
                <c:pt idx="23">
                  <c:v>65.550885392167288</c:v>
                </c:pt>
                <c:pt idx="24">
                  <c:v>67.599350560672519</c:v>
                </c:pt>
                <c:pt idx="25">
                  <c:v>68.964994006342664</c:v>
                </c:pt>
                <c:pt idx="26">
                  <c:v>71.01345917484791</c:v>
                </c:pt>
                <c:pt idx="27">
                  <c:v>74.427567789023286</c:v>
                </c:pt>
                <c:pt idx="28">
                  <c:v>76.134622096110974</c:v>
                </c:pt>
                <c:pt idx="29">
                  <c:v>78.183087264616191</c:v>
                </c:pt>
                <c:pt idx="30">
                  <c:v>80.572963294538965</c:v>
                </c:pt>
                <c:pt idx="31">
                  <c:v>82.621428463044182</c:v>
                </c:pt>
                <c:pt idx="32">
                  <c:v>73.061924343353127</c:v>
                </c:pt>
                <c:pt idx="33">
                  <c:v>75.110389511858344</c:v>
                </c:pt>
                <c:pt idx="34">
                  <c:v>77.841676403198662</c:v>
                </c:pt>
                <c:pt idx="35">
                  <c:v>79.890141571703879</c:v>
                </c:pt>
                <c:pt idx="36">
                  <c:v>82.621428463044182</c:v>
                </c:pt>
                <c:pt idx="37">
                  <c:v>85.694126215802044</c:v>
                </c:pt>
                <c:pt idx="38">
                  <c:v>87.059769661472188</c:v>
                </c:pt>
                <c:pt idx="39">
                  <c:v>89.449645691394934</c:v>
                </c:pt>
                <c:pt idx="40">
                  <c:v>113.00699512920507</c:v>
                </c:pt>
                <c:pt idx="41">
                  <c:v>117.78674718905059</c:v>
                </c:pt>
                <c:pt idx="42">
                  <c:v>91.839521721317709</c:v>
                </c:pt>
                <c:pt idx="45">
                  <c:v>95.595041196910628</c:v>
                </c:pt>
                <c:pt idx="47">
                  <c:v>106.86159962368939</c:v>
                </c:pt>
                <c:pt idx="48">
                  <c:v>110.61711909928231</c:v>
                </c:pt>
                <c:pt idx="49">
                  <c:v>116.07969288196291</c:v>
                </c:pt>
                <c:pt idx="50">
                  <c:v>122.22508838747858</c:v>
                </c:pt>
                <c:pt idx="51">
                  <c:v>128.02907303157673</c:v>
                </c:pt>
                <c:pt idx="52">
                  <c:v>136.90575542843274</c:v>
                </c:pt>
                <c:pt idx="53">
                  <c:v>147.83090299379393</c:v>
                </c:pt>
                <c:pt idx="54">
                  <c:v>159.0974614205727</c:v>
                </c:pt>
                <c:pt idx="55">
                  <c:v>173.43671760010929</c:v>
                </c:pt>
                <c:pt idx="56">
                  <c:v>191.53149325523881</c:v>
                </c:pt>
                <c:pt idx="57">
                  <c:v>212.35755580170863</c:v>
                </c:pt>
                <c:pt idx="58">
                  <c:v>220.5514164757295</c:v>
                </c:pt>
                <c:pt idx="59">
                  <c:v>229.76950973400304</c:v>
                </c:pt>
                <c:pt idx="60">
                  <c:v>240.01183557652917</c:v>
                </c:pt>
                <c:pt idx="61">
                  <c:v>259.13084381591136</c:v>
                </c:pt>
                <c:pt idx="62">
                  <c:v>286.44371272931437</c:v>
                </c:pt>
                <c:pt idx="63">
                  <c:v>316.48786853405772</c:v>
                </c:pt>
                <c:pt idx="64">
                  <c:v>358.82281534983241</c:v>
                </c:pt>
                <c:pt idx="65">
                  <c:v>406.27892508687017</c:v>
                </c:pt>
                <c:pt idx="66">
                  <c:v>481.38931459872856</c:v>
                </c:pt>
                <c:pt idx="67">
                  <c:v>594.05489886651606</c:v>
                </c:pt>
                <c:pt idx="68">
                  <c:v>815.97195878791581</c:v>
                </c:pt>
                <c:pt idx="69">
                  <c:v>1317.8459250716967</c:v>
                </c:pt>
                <c:pt idx="70">
                  <c:v>1635.358026190007</c:v>
                </c:pt>
                <c:pt idx="71">
                  <c:v>1594.3887228199026</c:v>
                </c:pt>
                <c:pt idx="72">
                  <c:v>1570.4899625206747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0-904D-9723-A7F5C9B4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77823"/>
        <c:axId val="1887817135"/>
      </c:scatterChart>
      <c:scatterChart>
        <c:scatterStyle val="lineMarker"/>
        <c:varyColors val="0"/>
        <c:ser>
          <c:idx val="1"/>
          <c:order val="1"/>
          <c:tx>
            <c:v>ε''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Sheet1!$B$3:$B$75</c:f>
              <c:numCache>
                <c:formatCode>General</c:formatCode>
                <c:ptCount val="73"/>
                <c:pt idx="0">
                  <c:v>290</c:v>
                </c:pt>
                <c:pt idx="1">
                  <c:v>280</c:v>
                </c:pt>
                <c:pt idx="2">
                  <c:v>270</c:v>
                </c:pt>
                <c:pt idx="3">
                  <c:v>260</c:v>
                </c:pt>
                <c:pt idx="4">
                  <c:v>250</c:v>
                </c:pt>
                <c:pt idx="5">
                  <c:v>240</c:v>
                </c:pt>
                <c:pt idx="6">
                  <c:v>230</c:v>
                </c:pt>
                <c:pt idx="7">
                  <c:v>220</c:v>
                </c:pt>
                <c:pt idx="8">
                  <c:v>210</c:v>
                </c:pt>
                <c:pt idx="9">
                  <c:v>200</c:v>
                </c:pt>
                <c:pt idx="10">
                  <c:v>190</c:v>
                </c:pt>
                <c:pt idx="11">
                  <c:v>180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</c:numCache>
            </c:numRef>
          </c:xVal>
          <c:yVal>
            <c:numRef>
              <c:f>Sheet1!$G$3:$G$75</c:f>
              <c:numCache>
                <c:formatCode>General</c:formatCode>
                <c:ptCount val="73"/>
                <c:pt idx="0">
                  <c:v>0.20587074943477537</c:v>
                </c:pt>
                <c:pt idx="1">
                  <c:v>0.16490144606467083</c:v>
                </c:pt>
                <c:pt idx="2">
                  <c:v>0.19665265617650188</c:v>
                </c:pt>
                <c:pt idx="3">
                  <c:v>0.20484651685052277</c:v>
                </c:pt>
                <c:pt idx="4">
                  <c:v>0.18880020636389852</c:v>
                </c:pt>
                <c:pt idx="5">
                  <c:v>0.19835971048358955</c:v>
                </c:pt>
                <c:pt idx="6">
                  <c:v>0.21030909063320344</c:v>
                </c:pt>
                <c:pt idx="7">
                  <c:v>0.25400968089464832</c:v>
                </c:pt>
                <c:pt idx="8">
                  <c:v>0.20484651685052277</c:v>
                </c:pt>
                <c:pt idx="9">
                  <c:v>0.26049648726158153</c:v>
                </c:pt>
                <c:pt idx="10">
                  <c:v>0.20484651685052283</c:v>
                </c:pt>
                <c:pt idx="11">
                  <c:v>0.18299622171980034</c:v>
                </c:pt>
                <c:pt idx="12">
                  <c:v>0.21440602097021383</c:v>
                </c:pt>
                <c:pt idx="13">
                  <c:v>0.21850295130722433</c:v>
                </c:pt>
                <c:pt idx="14">
                  <c:v>0.27824985205529346</c:v>
                </c:pt>
                <c:pt idx="15">
                  <c:v>0.22669681198124522</c:v>
                </c:pt>
                <c:pt idx="16">
                  <c:v>0.23079374231825567</c:v>
                </c:pt>
                <c:pt idx="17">
                  <c:v>0.29361334081908264</c:v>
                </c:pt>
                <c:pt idx="18">
                  <c:v>0.3004415580474335</c:v>
                </c:pt>
                <c:pt idx="19">
                  <c:v>0.30556272096869641</c:v>
                </c:pt>
                <c:pt idx="20">
                  <c:v>0.31239093819704727</c:v>
                </c:pt>
                <c:pt idx="21">
                  <c:v>0.31921915542539797</c:v>
                </c:pt>
                <c:pt idx="22">
                  <c:v>0.25810661123165868</c:v>
                </c:pt>
                <c:pt idx="23">
                  <c:v>0.26220354156866915</c:v>
                </c:pt>
                <c:pt idx="24">
                  <c:v>0.27039740224269004</c:v>
                </c:pt>
                <c:pt idx="25">
                  <c:v>0.27585997602537066</c:v>
                </c:pt>
                <c:pt idx="26">
                  <c:v>0.28405383669939166</c:v>
                </c:pt>
                <c:pt idx="27">
                  <c:v>0.29771027115609316</c:v>
                </c:pt>
                <c:pt idx="28">
                  <c:v>0.38067311048055485</c:v>
                </c:pt>
                <c:pt idx="29">
                  <c:v>0.31273234905846475</c:v>
                </c:pt>
                <c:pt idx="30">
                  <c:v>0.40286481647269484</c:v>
                </c:pt>
                <c:pt idx="31">
                  <c:v>0.33048571385217673</c:v>
                </c:pt>
                <c:pt idx="32">
                  <c:v>0.2922476973734125</c:v>
                </c:pt>
                <c:pt idx="33">
                  <c:v>0.30044155804743339</c:v>
                </c:pt>
                <c:pt idx="34">
                  <c:v>0.31136670561279467</c:v>
                </c:pt>
                <c:pt idx="35">
                  <c:v>0.31956056628681556</c:v>
                </c:pt>
                <c:pt idx="36">
                  <c:v>0.33048571385217673</c:v>
                </c:pt>
                <c:pt idx="37">
                  <c:v>0.34277650486320815</c:v>
                </c:pt>
                <c:pt idx="38">
                  <c:v>0.34823907864588871</c:v>
                </c:pt>
                <c:pt idx="39">
                  <c:v>0.3577985827655798</c:v>
                </c:pt>
                <c:pt idx="40">
                  <c:v>0.45202798051682025</c:v>
                </c:pt>
                <c:pt idx="41">
                  <c:v>0.47114698875620237</c:v>
                </c:pt>
                <c:pt idx="42">
                  <c:v>0.36735808688527088</c:v>
                </c:pt>
                <c:pt idx="45">
                  <c:v>0.38238016478764253</c:v>
                </c:pt>
                <c:pt idx="47">
                  <c:v>0.42744639849475752</c:v>
                </c:pt>
                <c:pt idx="48">
                  <c:v>0.44246847639712922</c:v>
                </c:pt>
                <c:pt idx="49">
                  <c:v>0.46431877152785167</c:v>
                </c:pt>
                <c:pt idx="50">
                  <c:v>0.48890035354991435</c:v>
                </c:pt>
                <c:pt idx="51">
                  <c:v>0.51211629212630694</c:v>
                </c:pt>
                <c:pt idx="52">
                  <c:v>0.5476230217137309</c:v>
                </c:pt>
                <c:pt idx="53">
                  <c:v>0.59132361197517569</c:v>
                </c:pt>
                <c:pt idx="54">
                  <c:v>0.63638984568229073</c:v>
                </c:pt>
                <c:pt idx="55">
                  <c:v>0.69374687040043714</c:v>
                </c:pt>
                <c:pt idx="56">
                  <c:v>0.7661259730209552</c:v>
                </c:pt>
                <c:pt idx="57">
                  <c:v>0.84943022320683448</c:v>
                </c:pt>
                <c:pt idx="58">
                  <c:v>0.88220566590291793</c:v>
                </c:pt>
                <c:pt idx="59">
                  <c:v>0.91907803893601203</c:v>
                </c:pt>
                <c:pt idx="60">
                  <c:v>0.96004734230611666</c:v>
                </c:pt>
                <c:pt idx="61">
                  <c:v>1.0365233752636454</c:v>
                </c:pt>
                <c:pt idx="62">
                  <c:v>1.1457748509172574</c:v>
                </c:pt>
                <c:pt idx="63">
                  <c:v>1.2659514741362308</c:v>
                </c:pt>
                <c:pt idx="64">
                  <c:v>1.4352912613993296</c:v>
                </c:pt>
                <c:pt idx="65">
                  <c:v>2.0313946254343511</c:v>
                </c:pt>
                <c:pt idx="66">
                  <c:v>2.4069465729936428</c:v>
                </c:pt>
                <c:pt idx="67">
                  <c:v>3.5643293931990963</c:v>
                </c:pt>
                <c:pt idx="68">
                  <c:v>6.5277756703033258</c:v>
                </c:pt>
                <c:pt idx="69">
                  <c:v>15.814151100860361</c:v>
                </c:pt>
                <c:pt idx="70">
                  <c:v>26.165728419040111</c:v>
                </c:pt>
                <c:pt idx="71">
                  <c:v>27.104608287938344</c:v>
                </c:pt>
                <c:pt idx="72">
                  <c:v>26.698329362851471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0-904D-9723-A7F5C9B4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144271"/>
        <c:axId val="1951373695"/>
      </c:scatterChart>
      <c:valAx>
        <c:axId val="1888177823"/>
        <c:scaling>
          <c:orientation val="minMax"/>
          <c:max val="3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Temperature </a:t>
                </a:r>
                <a:r>
                  <a:rPr lang="en-US" altLang="ja-JP" i="1">
                    <a:solidFill>
                      <a:schemeClr val="tx1"/>
                    </a:solidFill>
                  </a:rPr>
                  <a:t>T</a:t>
                </a:r>
                <a:r>
                  <a:rPr lang="en-US" altLang="ja-JP">
                    <a:solidFill>
                      <a:schemeClr val="tx1"/>
                    </a:solidFill>
                  </a:rPr>
                  <a:t>[K]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817135"/>
        <c:crossesAt val="0"/>
        <c:crossBetween val="midCat"/>
      </c:valAx>
      <c:valAx>
        <c:axId val="1887817135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Permittivity </a:t>
                </a:r>
                <a:r>
                  <a:rPr lang="en-US" altLang="ja-JP" i="1">
                    <a:solidFill>
                      <a:schemeClr val="tx1"/>
                    </a:solidFill>
                  </a:rPr>
                  <a:t>ε</a:t>
                </a:r>
                <a:r>
                  <a:rPr lang="en-US" altLang="ja-JP">
                    <a:solidFill>
                      <a:schemeClr val="tx1"/>
                    </a:solidFill>
                  </a:rPr>
                  <a:t>'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8177823"/>
        <c:crosses val="autoZero"/>
        <c:crossBetween val="midCat"/>
      </c:valAx>
      <c:valAx>
        <c:axId val="1951373695"/>
        <c:scaling>
          <c:orientation val="minMax"/>
          <c:max val="1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i="1">
                    <a:solidFill>
                      <a:schemeClr val="tx1"/>
                    </a:solidFill>
                  </a:rPr>
                  <a:t> ε</a:t>
                </a:r>
                <a:r>
                  <a:rPr lang="en-US" altLang="ja-JP">
                    <a:solidFill>
                      <a:schemeClr val="tx1"/>
                    </a:solidFill>
                  </a:rPr>
                  <a:t>''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144271"/>
        <c:crosses val="max"/>
        <c:crossBetween val="midCat"/>
      </c:valAx>
      <c:valAx>
        <c:axId val="1951144271"/>
        <c:scaling>
          <c:orientation val="minMax"/>
          <c:min val="100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37369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1/ε'-T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Sheet1!$B$3:$B$75</c:f>
              <c:numCache>
                <c:formatCode>General</c:formatCode>
                <c:ptCount val="73"/>
                <c:pt idx="0">
                  <c:v>290</c:v>
                </c:pt>
                <c:pt idx="1">
                  <c:v>280</c:v>
                </c:pt>
                <c:pt idx="2">
                  <c:v>270</c:v>
                </c:pt>
                <c:pt idx="3">
                  <c:v>260</c:v>
                </c:pt>
                <c:pt idx="4">
                  <c:v>250</c:v>
                </c:pt>
                <c:pt idx="5">
                  <c:v>240</c:v>
                </c:pt>
                <c:pt idx="6">
                  <c:v>230</c:v>
                </c:pt>
                <c:pt idx="7">
                  <c:v>220</c:v>
                </c:pt>
                <c:pt idx="8">
                  <c:v>210</c:v>
                </c:pt>
                <c:pt idx="9">
                  <c:v>200</c:v>
                </c:pt>
                <c:pt idx="10">
                  <c:v>190</c:v>
                </c:pt>
                <c:pt idx="11">
                  <c:v>180</c:v>
                </c:pt>
                <c:pt idx="12">
                  <c:v>170</c:v>
                </c:pt>
                <c:pt idx="13">
                  <c:v>169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165</c:v>
                </c:pt>
                <c:pt idx="18">
                  <c:v>164</c:v>
                </c:pt>
                <c:pt idx="19">
                  <c:v>163</c:v>
                </c:pt>
                <c:pt idx="20">
                  <c:v>162</c:v>
                </c:pt>
                <c:pt idx="21">
                  <c:v>161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155</c:v>
                </c:pt>
                <c:pt idx="28">
                  <c:v>154</c:v>
                </c:pt>
                <c:pt idx="29">
                  <c:v>153</c:v>
                </c:pt>
                <c:pt idx="30">
                  <c:v>152</c:v>
                </c:pt>
                <c:pt idx="31">
                  <c:v>151</c:v>
                </c:pt>
                <c:pt idx="32">
                  <c:v>150</c:v>
                </c:pt>
                <c:pt idx="33">
                  <c:v>149</c:v>
                </c:pt>
                <c:pt idx="34">
                  <c:v>148</c:v>
                </c:pt>
                <c:pt idx="35">
                  <c:v>147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140</c:v>
                </c:pt>
                <c:pt idx="43">
                  <c:v>139</c:v>
                </c:pt>
                <c:pt idx="44">
                  <c:v>138</c:v>
                </c:pt>
                <c:pt idx="45">
                  <c:v>137</c:v>
                </c:pt>
                <c:pt idx="46">
                  <c:v>136</c:v>
                </c:pt>
                <c:pt idx="47">
                  <c:v>135</c:v>
                </c:pt>
                <c:pt idx="48">
                  <c:v>134</c:v>
                </c:pt>
                <c:pt idx="49">
                  <c:v>133</c:v>
                </c:pt>
                <c:pt idx="50">
                  <c:v>132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126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119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110</c:v>
                </c:pt>
              </c:numCache>
            </c:numRef>
          </c:xVal>
          <c:yVal>
            <c:numRef>
              <c:f>Sheet1!$O$3:$O$75</c:f>
              <c:numCache>
                <c:formatCode>General</c:formatCode>
                <c:ptCount val="73"/>
                <c:pt idx="0">
                  <c:v>4.3716749585406292E-2</c:v>
                </c:pt>
                <c:pt idx="1">
                  <c:v>4.2449597423510455E-2</c:v>
                </c:pt>
                <c:pt idx="2">
                  <c:v>4.0680864197530857E-2</c:v>
                </c:pt>
                <c:pt idx="3">
                  <c:v>3.9053629629629619E-2</c:v>
                </c:pt>
                <c:pt idx="4">
                  <c:v>3.7076230661040779E-2</c:v>
                </c:pt>
                <c:pt idx="5">
                  <c:v>3.5289424364123148E-2</c:v>
                </c:pt>
                <c:pt idx="6">
                  <c:v>3.3284343434343423E-2</c:v>
                </c:pt>
                <c:pt idx="7">
                  <c:v>3.1494862604540014E-2</c:v>
                </c:pt>
                <c:pt idx="8">
                  <c:v>2.9290222222222217E-2</c:v>
                </c:pt>
                <c:pt idx="9">
                  <c:v>2.6871763506625884E-2</c:v>
                </c:pt>
                <c:pt idx="10">
                  <c:v>2.440851851851851E-2</c:v>
                </c:pt>
                <c:pt idx="11">
                  <c:v>2.1858374792703146E-2</c:v>
                </c:pt>
                <c:pt idx="12">
                  <c:v>1.8656192498230712E-2</c:v>
                </c:pt>
                <c:pt idx="13">
                  <c:v>1.8306388888888886E-2</c:v>
                </c:pt>
                <c:pt idx="14">
                  <c:v>1.7969461486025896E-2</c:v>
                </c:pt>
                <c:pt idx="15">
                  <c:v>1.7644712182061574E-2</c:v>
                </c:pt>
                <c:pt idx="16">
                  <c:v>1.7331492439184745E-2</c:v>
                </c:pt>
                <c:pt idx="17">
                  <c:v>1.7029198966408265E-2</c:v>
                </c:pt>
                <c:pt idx="18">
                  <c:v>1.6642171717171712E-2</c:v>
                </c:pt>
                <c:pt idx="19">
                  <c:v>1.636325263811297E-2</c:v>
                </c:pt>
                <c:pt idx="20">
                  <c:v>1.6005585913782629E-2</c:v>
                </c:pt>
                <c:pt idx="21">
                  <c:v>1.5663220439691025E-2</c:v>
                </c:pt>
                <c:pt idx="22">
                  <c:v>1.5497472075249851E-2</c:v>
                </c:pt>
                <c:pt idx="23">
                  <c:v>1.525532407407407E-2</c:v>
                </c:pt>
                <c:pt idx="24">
                  <c:v>1.4793041526374857E-2</c:v>
                </c:pt>
                <c:pt idx="25">
                  <c:v>1.4500110011001098E-2</c:v>
                </c:pt>
                <c:pt idx="26">
                  <c:v>1.4081837606837601E-2</c:v>
                </c:pt>
                <c:pt idx="27">
                  <c:v>1.3435881753312942E-2</c:v>
                </c:pt>
                <c:pt idx="28">
                  <c:v>1.3134628799202786E-2</c:v>
                </c:pt>
                <c:pt idx="29">
                  <c:v>1.2790490053372147E-2</c:v>
                </c:pt>
                <c:pt idx="30">
                  <c:v>1.2411111111111107E-2</c:v>
                </c:pt>
                <c:pt idx="31">
                  <c:v>1.210339761248852E-2</c:v>
                </c:pt>
                <c:pt idx="32">
                  <c:v>1.3687019730010382E-2</c:v>
                </c:pt>
                <c:pt idx="33">
                  <c:v>1.3313737373737372E-2</c:v>
                </c:pt>
                <c:pt idx="34">
                  <c:v>1.2846588693957111E-2</c:v>
                </c:pt>
                <c:pt idx="35">
                  <c:v>1.2517188983855648E-2</c:v>
                </c:pt>
                <c:pt idx="36">
                  <c:v>1.210339761248852E-2</c:v>
                </c:pt>
                <c:pt idx="37">
                  <c:v>1.1669411243913231E-2</c:v>
                </c:pt>
                <c:pt idx="38">
                  <c:v>1.1486361655773417E-2</c:v>
                </c:pt>
                <c:pt idx="39">
                  <c:v>1.1179474130619168E-2</c:v>
                </c:pt>
                <c:pt idx="40">
                  <c:v>8.8490097348103373E-3</c:v>
                </c:pt>
                <c:pt idx="41">
                  <c:v>8.489919484702093E-3</c:v>
                </c:pt>
                <c:pt idx="42">
                  <c:v>1.0888558446922757E-2</c:v>
                </c:pt>
                <c:pt idx="45">
                  <c:v>1.0460793650793649E-2</c:v>
                </c:pt>
                <c:pt idx="47">
                  <c:v>9.3578984735534238E-3</c:v>
                </c:pt>
                <c:pt idx="48">
                  <c:v>9.0401920438957454E-3</c:v>
                </c:pt>
                <c:pt idx="49">
                  <c:v>8.6147712418300632E-3</c:v>
                </c:pt>
                <c:pt idx="50">
                  <c:v>8.1816263190564852E-3</c:v>
                </c:pt>
                <c:pt idx="51">
                  <c:v>7.8107259259259246E-3</c:v>
                </c:pt>
                <c:pt idx="52">
                  <c:v>7.3042948185092797E-3</c:v>
                </c:pt>
                <c:pt idx="53">
                  <c:v>6.7644855016679491E-3</c:v>
                </c:pt>
                <c:pt idx="54">
                  <c:v>6.2854554124940377E-3</c:v>
                </c:pt>
                <c:pt idx="55">
                  <c:v>5.7657917760279955E-3</c:v>
                </c:pt>
                <c:pt idx="56">
                  <c:v>5.2210734798970081E-3</c:v>
                </c:pt>
                <c:pt idx="57">
                  <c:v>4.709038942479456E-3</c:v>
                </c:pt>
                <c:pt idx="58">
                  <c:v>4.5340901272789818E-3</c:v>
                </c:pt>
                <c:pt idx="59">
                  <c:v>4.3521875515931977E-3</c:v>
                </c:pt>
                <c:pt idx="60">
                  <c:v>4.1664611980401448E-3</c:v>
                </c:pt>
                <c:pt idx="61">
                  <c:v>3.8590543112282227E-3</c:v>
                </c:pt>
                <c:pt idx="62">
                  <c:v>3.4910872732088457E-3</c:v>
                </c:pt>
                <c:pt idx="63">
                  <c:v>3.1596787726237553E-3</c:v>
                </c:pt>
                <c:pt idx="64">
                  <c:v>2.78689079183846E-3</c:v>
                </c:pt>
                <c:pt idx="65">
                  <c:v>2.4613632119514467E-3</c:v>
                </c:pt>
                <c:pt idx="66">
                  <c:v>2.077320724980299E-3</c:v>
                </c:pt>
                <c:pt idx="67">
                  <c:v>1.6833461047254148E-3</c:v>
                </c:pt>
                <c:pt idx="68">
                  <c:v>1.2255323105532308E-3</c:v>
                </c:pt>
                <c:pt idx="69">
                  <c:v>7.5881404720782935E-4</c:v>
                </c:pt>
                <c:pt idx="70">
                  <c:v>6.1148689399211304E-4</c:v>
                </c:pt>
                <c:pt idx="71">
                  <c:v>6.2719961931953342E-4</c:v>
                </c:pt>
                <c:pt idx="72">
                  <c:v>6.3674396135265682E-4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4-2F4C-965E-DF89234A0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710479"/>
        <c:axId val="1925264031"/>
      </c:scatterChart>
      <c:valAx>
        <c:axId val="192571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64031"/>
        <c:crosses val="autoZero"/>
        <c:crossBetween val="midCat"/>
      </c:valAx>
      <c:valAx>
        <c:axId val="19252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71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13</xdr:row>
      <xdr:rowOff>247385</xdr:rowOff>
    </xdr:from>
    <xdr:to>
      <xdr:col>13</xdr:col>
      <xdr:colOff>723900</xdr:colOff>
      <xdr:row>24</xdr:row>
      <xdr:rowOff>196585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1DDC3CE-D76E-5CE7-F0EF-423F92562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179917</xdr:colOff>
      <xdr:row>24</xdr:row>
      <xdr:rowOff>241300</xdr:rowOff>
    </xdr:from>
    <xdr:to>
      <xdr:col>13</xdr:col>
      <xdr:colOff>738717</xdr:colOff>
      <xdr:row>35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7214934-867D-6FEB-BCAB-F642BDB7C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160979</xdr:colOff>
      <xdr:row>3</xdr:row>
      <xdr:rowOff>119374</xdr:rowOff>
    </xdr:from>
    <xdr:to>
      <xdr:col>13</xdr:col>
      <xdr:colOff>702846</xdr:colOff>
      <xdr:row>14</xdr:row>
      <xdr:rowOff>68574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97306B0-DA9A-070D-DA1F-FB26D58F1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188310</xdr:colOff>
      <xdr:row>36</xdr:row>
      <xdr:rowOff>24306</xdr:rowOff>
    </xdr:from>
    <xdr:to>
      <xdr:col>13</xdr:col>
      <xdr:colOff>742293</xdr:colOff>
      <xdr:row>46</xdr:row>
      <xdr:rowOff>249402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F79AC82-5CB0-5854-1A4C-6F8851633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C5BB-6AEA-694D-B397-3A606D8B9763}">
  <dimension ref="B2:O75"/>
  <sheetViews>
    <sheetView tabSelected="1" topLeftCell="C1" zoomScaleNormal="100" workbookViewId="0">
      <selection activeCell="C1" sqref="C1"/>
    </sheetView>
  </sheetViews>
  <sheetFormatPr defaultColWidth="11.5546875" defaultRowHeight="19.5" x14ac:dyDescent="0.4"/>
  <cols>
    <col min="4" max="4" width="11" bestFit="1" customWidth="1"/>
    <col min="6" max="7" width="13" bestFit="1" customWidth="1"/>
    <col min="9" max="10" width="13" bestFit="1" customWidth="1"/>
  </cols>
  <sheetData>
    <row r="2" spans="2:15" x14ac:dyDescent="0.4">
      <c r="B2" t="s">
        <v>2</v>
      </c>
      <c r="C2" t="s">
        <v>3</v>
      </c>
      <c r="D2" t="s">
        <v>0</v>
      </c>
      <c r="E2" t="s">
        <v>1</v>
      </c>
      <c r="F2" t="s">
        <v>4</v>
      </c>
      <c r="G2" t="s">
        <v>5</v>
      </c>
      <c r="H2" t="s">
        <v>8</v>
      </c>
      <c r="I2" t="s">
        <v>9</v>
      </c>
      <c r="J2">
        <f>(J3*4.468*10^(-5))/0.00135</f>
        <v>2.9290222222222215E-13</v>
      </c>
      <c r="K2" t="s">
        <v>6</v>
      </c>
      <c r="O2" t="s">
        <v>10</v>
      </c>
    </row>
    <row r="3" spans="2:15" x14ac:dyDescent="0.4">
      <c r="B3">
        <v>290</v>
      </c>
      <c r="C3">
        <f>B3-273</f>
        <v>17</v>
      </c>
      <c r="D3">
        <f>6.7*10^(-12)</f>
        <v>6.7000000000000001E-12</v>
      </c>
      <c r="E3">
        <v>8.9999999999999993E-3</v>
      </c>
      <c r="F3">
        <f>D3/$J$2</f>
        <v>22.874527714975045</v>
      </c>
      <c r="G3">
        <f>D3*E3/$J$2</f>
        <v>0.20587074943477537</v>
      </c>
      <c r="H3">
        <v>10</v>
      </c>
      <c r="I3">
        <f>1/(F3-H3)</f>
        <v>7.7672752130305098E-2</v>
      </c>
      <c r="J3">
        <f>8.85*10^(-12)</f>
        <v>8.8499999999999988E-12</v>
      </c>
      <c r="K3" t="s">
        <v>7</v>
      </c>
      <c r="O3">
        <f>1/F3</f>
        <v>4.3716749585406292E-2</v>
      </c>
    </row>
    <row r="4" spans="2:15" x14ac:dyDescent="0.4">
      <c r="B4">
        <v>280</v>
      </c>
      <c r="C4">
        <f t="shared" ref="C4:C67" si="0">B4-273</f>
        <v>7</v>
      </c>
      <c r="D4">
        <f>6.9*10^(-12)</f>
        <v>6.9000000000000001E-12</v>
      </c>
      <c r="E4">
        <v>7.0000000000000001E-3</v>
      </c>
      <c r="F4">
        <f t="shared" ref="F4:F67" si="1">D4/$J$2</f>
        <v>23.557349437810121</v>
      </c>
      <c r="G4">
        <f t="shared" ref="G4:G67" si="2">D4*E4/$J$2</f>
        <v>0.16490144606467083</v>
      </c>
      <c r="H4">
        <f>H3</f>
        <v>10</v>
      </c>
      <c r="I4">
        <f t="shared" ref="I4:I67" si="3">1/(F4-H4)</f>
        <v>7.3760730634492455E-2</v>
      </c>
      <c r="O4">
        <f t="shared" ref="O4:O67" si="4">1/F4</f>
        <v>4.2449597423510455E-2</v>
      </c>
    </row>
    <row r="5" spans="2:15" x14ac:dyDescent="0.4">
      <c r="B5">
        <v>270</v>
      </c>
      <c r="C5">
        <f t="shared" si="0"/>
        <v>-3</v>
      </c>
      <c r="D5">
        <f>7.2*10^(-12)</f>
        <v>7.2E-12</v>
      </c>
      <c r="E5">
        <v>8.0000000000000002E-3</v>
      </c>
      <c r="F5">
        <f t="shared" si="1"/>
        <v>24.581582022062733</v>
      </c>
      <c r="G5">
        <f t="shared" si="2"/>
        <v>0.19665265617650188</v>
      </c>
      <c r="H5">
        <f t="shared" ref="H5:H68" si="5">H4</f>
        <v>10</v>
      </c>
      <c r="I5">
        <f t="shared" si="3"/>
        <v>6.8579664297532678E-2</v>
      </c>
      <c r="O5">
        <f t="shared" si="4"/>
        <v>4.0680864197530857E-2</v>
      </c>
    </row>
    <row r="6" spans="2:15" x14ac:dyDescent="0.4">
      <c r="B6">
        <v>260</v>
      </c>
      <c r="C6">
        <f t="shared" si="0"/>
        <v>-13</v>
      </c>
      <c r="D6">
        <f>7.5*10^(-12)</f>
        <v>7.5E-12</v>
      </c>
      <c r="E6">
        <v>8.0000000000000002E-3</v>
      </c>
      <c r="F6">
        <f t="shared" si="1"/>
        <v>25.605814606315349</v>
      </c>
      <c r="G6">
        <f t="shared" si="2"/>
        <v>0.20484651685052277</v>
      </c>
      <c r="H6">
        <f t="shared" si="5"/>
        <v>10</v>
      </c>
      <c r="I6">
        <f t="shared" si="3"/>
        <v>6.4078679980942535E-2</v>
      </c>
      <c r="O6">
        <f t="shared" si="4"/>
        <v>3.9053629629629619E-2</v>
      </c>
    </row>
    <row r="7" spans="2:15" x14ac:dyDescent="0.4">
      <c r="B7">
        <v>250</v>
      </c>
      <c r="C7">
        <f t="shared" si="0"/>
        <v>-23</v>
      </c>
      <c r="D7">
        <f>7.9*10^(-12)</f>
        <v>7.8999999999999999E-12</v>
      </c>
      <c r="E7">
        <v>7.0000000000000001E-3</v>
      </c>
      <c r="F7">
        <f t="shared" si="1"/>
        <v>26.971458051985501</v>
      </c>
      <c r="G7">
        <f t="shared" si="2"/>
        <v>0.18880020636389852</v>
      </c>
      <c r="H7">
        <f t="shared" si="5"/>
        <v>10</v>
      </c>
      <c r="I7">
        <f t="shared" si="3"/>
        <v>5.8922456570135964E-2</v>
      </c>
      <c r="O7">
        <f t="shared" si="4"/>
        <v>3.7076230661040779E-2</v>
      </c>
    </row>
    <row r="8" spans="2:15" x14ac:dyDescent="0.4">
      <c r="B8">
        <v>240</v>
      </c>
      <c r="C8">
        <f t="shared" si="0"/>
        <v>-33</v>
      </c>
      <c r="D8">
        <f>8.3*10^(-12)</f>
        <v>8.2999999999999998E-12</v>
      </c>
      <c r="E8">
        <v>7.0000000000000001E-3</v>
      </c>
      <c r="F8">
        <f t="shared" si="1"/>
        <v>28.337101497655652</v>
      </c>
      <c r="G8">
        <f t="shared" si="2"/>
        <v>0.19835971048358955</v>
      </c>
      <c r="H8">
        <f t="shared" si="5"/>
        <v>10</v>
      </c>
      <c r="I8">
        <f t="shared" si="3"/>
        <v>5.4534245781856373E-2</v>
      </c>
      <c r="O8">
        <f t="shared" si="4"/>
        <v>3.5289424364123148E-2</v>
      </c>
    </row>
    <row r="9" spans="2:15" x14ac:dyDescent="0.4">
      <c r="B9">
        <v>230</v>
      </c>
      <c r="C9">
        <f t="shared" si="0"/>
        <v>-43</v>
      </c>
      <c r="D9">
        <f>8.8*10^(-12)</f>
        <v>8.8000000000000013E-12</v>
      </c>
      <c r="E9">
        <v>7.0000000000000001E-3</v>
      </c>
      <c r="F9">
        <f t="shared" si="1"/>
        <v>30.044155804743347</v>
      </c>
      <c r="G9">
        <f t="shared" si="2"/>
        <v>0.21030909063320344</v>
      </c>
      <c r="H9">
        <f t="shared" si="5"/>
        <v>10</v>
      </c>
      <c r="I9">
        <f t="shared" si="3"/>
        <v>4.9889853668137779E-2</v>
      </c>
      <c r="O9">
        <f t="shared" si="4"/>
        <v>3.3284343434343423E-2</v>
      </c>
    </row>
    <row r="10" spans="2:15" x14ac:dyDescent="0.4">
      <c r="B10">
        <v>220</v>
      </c>
      <c r="C10">
        <f t="shared" si="0"/>
        <v>-53</v>
      </c>
      <c r="D10">
        <f>9.3*10^(-12)</f>
        <v>9.3000000000000012E-12</v>
      </c>
      <c r="E10">
        <v>8.0000000000000002E-3</v>
      </c>
      <c r="F10">
        <f t="shared" si="1"/>
        <v>31.751210111831035</v>
      </c>
      <c r="G10">
        <f t="shared" si="2"/>
        <v>0.25400968089464832</v>
      </c>
      <c r="H10">
        <f t="shared" si="5"/>
        <v>10</v>
      </c>
      <c r="I10">
        <f t="shared" si="3"/>
        <v>4.597445359861034E-2</v>
      </c>
      <c r="O10">
        <f t="shared" si="4"/>
        <v>3.1494862604540014E-2</v>
      </c>
    </row>
    <row r="11" spans="2:15" x14ac:dyDescent="0.4">
      <c r="B11">
        <v>210</v>
      </c>
      <c r="C11">
        <f t="shared" si="0"/>
        <v>-63</v>
      </c>
      <c r="D11">
        <f>10*10^(-12)</f>
        <v>9.9999999999999994E-12</v>
      </c>
      <c r="E11">
        <v>6.0000000000000001E-3</v>
      </c>
      <c r="F11">
        <f t="shared" si="1"/>
        <v>34.141086141753796</v>
      </c>
      <c r="G11">
        <f t="shared" si="2"/>
        <v>0.20484651685052277</v>
      </c>
      <c r="H11">
        <f t="shared" si="5"/>
        <v>10</v>
      </c>
      <c r="I11">
        <f t="shared" si="3"/>
        <v>4.1423156941991356E-2</v>
      </c>
      <c r="O11">
        <f t="shared" si="4"/>
        <v>2.9290222222222217E-2</v>
      </c>
    </row>
    <row r="12" spans="2:15" x14ac:dyDescent="0.4">
      <c r="B12">
        <v>200</v>
      </c>
      <c r="C12">
        <f t="shared" si="0"/>
        <v>-73</v>
      </c>
      <c r="D12">
        <f>10.9*10^(-12)</f>
        <v>1.0900000000000001E-11</v>
      </c>
      <c r="E12">
        <v>7.0000000000000001E-3</v>
      </c>
      <c r="F12">
        <f t="shared" si="1"/>
        <v>37.213783894511643</v>
      </c>
      <c r="G12">
        <f t="shared" si="2"/>
        <v>0.26049648726158153</v>
      </c>
      <c r="H12">
        <f t="shared" si="5"/>
        <v>10</v>
      </c>
      <c r="I12">
        <f t="shared" si="3"/>
        <v>3.6746084406206948E-2</v>
      </c>
      <c r="O12">
        <f t="shared" si="4"/>
        <v>2.6871763506625884E-2</v>
      </c>
    </row>
    <row r="13" spans="2:15" x14ac:dyDescent="0.4">
      <c r="B13">
        <v>190</v>
      </c>
      <c r="C13">
        <f t="shared" si="0"/>
        <v>-83</v>
      </c>
      <c r="D13">
        <f>12*10^(-12)</f>
        <v>1.2000000000000001E-11</v>
      </c>
      <c r="E13">
        <v>5.0000000000000001E-3</v>
      </c>
      <c r="F13">
        <f t="shared" si="1"/>
        <v>40.969303370104562</v>
      </c>
      <c r="G13">
        <f t="shared" si="2"/>
        <v>0.20484651685052283</v>
      </c>
      <c r="H13">
        <f t="shared" si="5"/>
        <v>10</v>
      </c>
      <c r="I13">
        <f t="shared" si="3"/>
        <v>3.2290038560096407E-2</v>
      </c>
      <c r="O13">
        <f t="shared" si="4"/>
        <v>2.440851851851851E-2</v>
      </c>
    </row>
    <row r="14" spans="2:15" x14ac:dyDescent="0.4">
      <c r="B14">
        <v>180</v>
      </c>
      <c r="C14">
        <f t="shared" si="0"/>
        <v>-93</v>
      </c>
      <c r="D14">
        <f>13.4*10^(-12)</f>
        <v>1.34E-11</v>
      </c>
      <c r="E14">
        <v>4.0000000000000001E-3</v>
      </c>
      <c r="F14">
        <f t="shared" si="1"/>
        <v>45.74905542995009</v>
      </c>
      <c r="G14">
        <f t="shared" si="2"/>
        <v>0.18299622171980034</v>
      </c>
      <c r="H14">
        <f t="shared" si="5"/>
        <v>10</v>
      </c>
      <c r="I14">
        <f t="shared" si="3"/>
        <v>2.797276705560766E-2</v>
      </c>
      <c r="O14">
        <f t="shared" si="4"/>
        <v>2.1858374792703146E-2</v>
      </c>
    </row>
    <row r="15" spans="2:15" x14ac:dyDescent="0.4">
      <c r="B15">
        <v>170</v>
      </c>
      <c r="C15">
        <f t="shared" si="0"/>
        <v>-103</v>
      </c>
      <c r="D15">
        <f>15.7*10^(-12)</f>
        <v>1.5699999999999998E-11</v>
      </c>
      <c r="E15">
        <v>4.0000000000000001E-3</v>
      </c>
      <c r="F15">
        <f t="shared" si="1"/>
        <v>53.601505242553458</v>
      </c>
      <c r="G15">
        <f t="shared" si="2"/>
        <v>0.21440602097021383</v>
      </c>
      <c r="H15">
        <f t="shared" si="5"/>
        <v>10</v>
      </c>
      <c r="I15">
        <f t="shared" si="3"/>
        <v>2.2934988011011074E-2</v>
      </c>
      <c r="O15">
        <f t="shared" si="4"/>
        <v>1.8656192498230712E-2</v>
      </c>
    </row>
    <row r="16" spans="2:15" x14ac:dyDescent="0.4">
      <c r="B16">
        <v>169</v>
      </c>
      <c r="C16">
        <f t="shared" si="0"/>
        <v>-104</v>
      </c>
      <c r="D16">
        <f>16*10^(-12)</f>
        <v>1.6E-11</v>
      </c>
      <c r="E16">
        <v>4.0000000000000001E-3</v>
      </c>
      <c r="F16">
        <f t="shared" si="1"/>
        <v>54.625737826806073</v>
      </c>
      <c r="G16">
        <f t="shared" si="2"/>
        <v>0.21850295130722433</v>
      </c>
      <c r="H16">
        <f t="shared" si="5"/>
        <v>10</v>
      </c>
      <c r="I16">
        <f t="shared" si="3"/>
        <v>2.2408593083234438E-2</v>
      </c>
      <c r="O16">
        <f t="shared" si="4"/>
        <v>1.8306388888888886E-2</v>
      </c>
    </row>
    <row r="17" spans="2:15" x14ac:dyDescent="0.4">
      <c r="B17">
        <v>168</v>
      </c>
      <c r="C17">
        <f t="shared" si="0"/>
        <v>-105</v>
      </c>
      <c r="D17">
        <f>16.3*10^(-12)</f>
        <v>1.6300000000000001E-11</v>
      </c>
      <c r="E17">
        <v>5.0000000000000001E-3</v>
      </c>
      <c r="F17">
        <f t="shared" si="1"/>
        <v>55.649970411058696</v>
      </c>
      <c r="G17">
        <f t="shared" si="2"/>
        <v>0.27824985205529346</v>
      </c>
      <c r="H17">
        <f t="shared" si="5"/>
        <v>10</v>
      </c>
      <c r="I17">
        <f t="shared" si="3"/>
        <v>2.1905819237020802E-2</v>
      </c>
      <c r="O17">
        <f t="shared" si="4"/>
        <v>1.7969461486025896E-2</v>
      </c>
    </row>
    <row r="18" spans="2:15" x14ac:dyDescent="0.4">
      <c r="B18">
        <v>167</v>
      </c>
      <c r="C18">
        <f t="shared" si="0"/>
        <v>-106</v>
      </c>
      <c r="D18">
        <f>16.6*10^(-12)</f>
        <v>1.66E-11</v>
      </c>
      <c r="E18">
        <v>4.0000000000000001E-3</v>
      </c>
      <c r="F18">
        <f t="shared" si="1"/>
        <v>56.674202995311305</v>
      </c>
      <c r="G18">
        <f t="shared" si="2"/>
        <v>0.22669681198124522</v>
      </c>
      <c r="H18">
        <f t="shared" si="5"/>
        <v>10</v>
      </c>
      <c r="I18">
        <f t="shared" si="3"/>
        <v>2.1425111428264899E-2</v>
      </c>
      <c r="O18">
        <f t="shared" si="4"/>
        <v>1.7644712182061574E-2</v>
      </c>
    </row>
    <row r="19" spans="2:15" x14ac:dyDescent="0.4">
      <c r="B19">
        <v>166</v>
      </c>
      <c r="C19">
        <f t="shared" si="0"/>
        <v>-107</v>
      </c>
      <c r="D19">
        <f>16.9*10^(-12)</f>
        <v>1.6899999999999998E-11</v>
      </c>
      <c r="E19">
        <v>4.0000000000000001E-3</v>
      </c>
      <c r="F19">
        <f t="shared" si="1"/>
        <v>57.698435579563913</v>
      </c>
      <c r="G19">
        <f t="shared" si="2"/>
        <v>0.23079374231825567</v>
      </c>
      <c r="H19">
        <f t="shared" si="5"/>
        <v>10</v>
      </c>
      <c r="I19">
        <f t="shared" si="3"/>
        <v>2.0965048179241406E-2</v>
      </c>
      <c r="O19">
        <f t="shared" si="4"/>
        <v>1.7331492439184745E-2</v>
      </c>
    </row>
    <row r="20" spans="2:15" x14ac:dyDescent="0.4">
      <c r="B20">
        <v>165</v>
      </c>
      <c r="C20">
        <f t="shared" si="0"/>
        <v>-108</v>
      </c>
      <c r="D20">
        <f>17.2*10^(-12)</f>
        <v>1.7199999999999999E-11</v>
      </c>
      <c r="E20">
        <v>5.0000000000000001E-3</v>
      </c>
      <c r="F20">
        <f t="shared" si="1"/>
        <v>58.722668163816529</v>
      </c>
      <c r="G20">
        <f t="shared" si="2"/>
        <v>0.29361334081908264</v>
      </c>
      <c r="H20">
        <f t="shared" si="5"/>
        <v>10</v>
      </c>
      <c r="I20">
        <f t="shared" si="3"/>
        <v>2.0524327539653123E-2</v>
      </c>
      <c r="O20">
        <f t="shared" si="4"/>
        <v>1.7029198966408265E-2</v>
      </c>
    </row>
    <row r="21" spans="2:15" x14ac:dyDescent="0.4">
      <c r="B21">
        <v>164</v>
      </c>
      <c r="C21">
        <f t="shared" si="0"/>
        <v>-109</v>
      </c>
      <c r="D21">
        <f>17.6*10^(-12)</f>
        <v>1.7600000000000003E-11</v>
      </c>
      <c r="E21">
        <v>5.0000000000000001E-3</v>
      </c>
      <c r="F21">
        <f t="shared" si="1"/>
        <v>60.088311609486695</v>
      </c>
      <c r="G21">
        <f t="shared" si="2"/>
        <v>0.3004415580474335</v>
      </c>
      <c r="H21">
        <f t="shared" si="5"/>
        <v>10</v>
      </c>
      <c r="I21">
        <f t="shared" si="3"/>
        <v>1.9964737637724658E-2</v>
      </c>
      <c r="O21">
        <f t="shared" si="4"/>
        <v>1.6642171717171712E-2</v>
      </c>
    </row>
    <row r="22" spans="2:15" x14ac:dyDescent="0.4">
      <c r="B22">
        <v>163</v>
      </c>
      <c r="C22">
        <f t="shared" si="0"/>
        <v>-110</v>
      </c>
      <c r="D22">
        <f>17.9*10^(-12)</f>
        <v>1.7899999999999998E-11</v>
      </c>
      <c r="E22">
        <v>5.0000000000000001E-3</v>
      </c>
      <c r="F22">
        <f t="shared" si="1"/>
        <v>61.112544193739289</v>
      </c>
      <c r="G22">
        <f t="shared" si="2"/>
        <v>0.30556272096869641</v>
      </c>
      <c r="H22">
        <f t="shared" si="5"/>
        <v>10</v>
      </c>
      <c r="I22">
        <f t="shared" si="3"/>
        <v>1.9564668825906122E-2</v>
      </c>
      <c r="O22">
        <f t="shared" si="4"/>
        <v>1.636325263811297E-2</v>
      </c>
    </row>
    <row r="23" spans="2:15" x14ac:dyDescent="0.4">
      <c r="B23">
        <v>162</v>
      </c>
      <c r="C23">
        <f t="shared" si="0"/>
        <v>-111</v>
      </c>
      <c r="D23">
        <f>18.3*10^(-12)</f>
        <v>1.8300000000000001E-11</v>
      </c>
      <c r="E23">
        <v>5.0000000000000001E-3</v>
      </c>
      <c r="F23">
        <f t="shared" si="1"/>
        <v>62.478187639409455</v>
      </c>
      <c r="G23">
        <f t="shared" si="2"/>
        <v>0.31239093819704727</v>
      </c>
      <c r="H23">
        <f t="shared" si="5"/>
        <v>10</v>
      </c>
      <c r="I23">
        <f t="shared" si="3"/>
        <v>1.9055536118572657E-2</v>
      </c>
      <c r="O23">
        <f t="shared" si="4"/>
        <v>1.6005585913782629E-2</v>
      </c>
    </row>
    <row r="24" spans="2:15" x14ac:dyDescent="0.4">
      <c r="B24">
        <v>161</v>
      </c>
      <c r="C24">
        <f t="shared" si="0"/>
        <v>-112</v>
      </c>
      <c r="D24">
        <f>18.7*10^(-12)</f>
        <v>1.8699999999999997E-11</v>
      </c>
      <c r="E24">
        <v>5.0000000000000001E-3</v>
      </c>
      <c r="F24">
        <f t="shared" si="1"/>
        <v>63.843831085079593</v>
      </c>
      <c r="G24">
        <f t="shared" si="2"/>
        <v>0.31921915542539797</v>
      </c>
      <c r="H24">
        <f t="shared" si="5"/>
        <v>10</v>
      </c>
      <c r="I24">
        <f t="shared" si="3"/>
        <v>1.8572229721541957E-2</v>
      </c>
      <c r="O24">
        <f t="shared" si="4"/>
        <v>1.5663220439691025E-2</v>
      </c>
    </row>
    <row r="25" spans="2:15" x14ac:dyDescent="0.4">
      <c r="B25">
        <v>160</v>
      </c>
      <c r="C25">
        <f t="shared" si="0"/>
        <v>-113</v>
      </c>
      <c r="D25">
        <f>18.9*10^(-12)</f>
        <v>1.8899999999999997E-11</v>
      </c>
      <c r="E25">
        <v>4.0000000000000001E-3</v>
      </c>
      <c r="F25">
        <f t="shared" si="1"/>
        <v>64.526652807914672</v>
      </c>
      <c r="G25">
        <f t="shared" si="2"/>
        <v>0.25810661123165868</v>
      </c>
      <c r="H25">
        <f t="shared" si="5"/>
        <v>10</v>
      </c>
      <c r="I25">
        <f t="shared" si="3"/>
        <v>1.8339654985292764E-2</v>
      </c>
      <c r="O25">
        <f t="shared" si="4"/>
        <v>1.5497472075249851E-2</v>
      </c>
    </row>
    <row r="26" spans="2:15" x14ac:dyDescent="0.4">
      <c r="B26">
        <v>159</v>
      </c>
      <c r="C26">
        <f t="shared" si="0"/>
        <v>-114</v>
      </c>
      <c r="D26">
        <f>19.2*10^(-12)</f>
        <v>1.9199999999999999E-11</v>
      </c>
      <c r="E26">
        <v>4.0000000000000001E-3</v>
      </c>
      <c r="F26">
        <f>D26/$J$2</f>
        <v>65.550885392167288</v>
      </c>
      <c r="G26">
        <f>D26*E26/$J$2</f>
        <v>0.26220354156866915</v>
      </c>
      <c r="H26">
        <f t="shared" si="5"/>
        <v>10</v>
      </c>
      <c r="I26">
        <f t="shared" si="3"/>
        <v>1.8001513260146897E-2</v>
      </c>
      <c r="O26">
        <f t="shared" si="4"/>
        <v>1.525532407407407E-2</v>
      </c>
    </row>
    <row r="27" spans="2:15" x14ac:dyDescent="0.4">
      <c r="B27">
        <v>158</v>
      </c>
      <c r="C27">
        <f t="shared" si="0"/>
        <v>-115</v>
      </c>
      <c r="D27">
        <f>19.8*10^(-12)</f>
        <v>1.9799999999999999E-11</v>
      </c>
      <c r="E27">
        <v>4.0000000000000001E-3</v>
      </c>
      <c r="F27">
        <f>D27/$J$2</f>
        <v>67.599350560672519</v>
      </c>
      <c r="G27">
        <f>D27*E27/$J$2</f>
        <v>0.27039740224269004</v>
      </c>
      <c r="H27">
        <f t="shared" si="5"/>
        <v>10</v>
      </c>
      <c r="I27">
        <f t="shared" si="3"/>
        <v>1.7361306859643249E-2</v>
      </c>
      <c r="O27">
        <f t="shared" si="4"/>
        <v>1.4793041526374857E-2</v>
      </c>
    </row>
    <row r="28" spans="2:15" x14ac:dyDescent="0.4">
      <c r="B28">
        <v>157</v>
      </c>
      <c r="C28">
        <f t="shared" si="0"/>
        <v>-116</v>
      </c>
      <c r="D28">
        <f>20.2*10^(-12)</f>
        <v>2.0199999999999999E-11</v>
      </c>
      <c r="E28">
        <v>4.0000000000000001E-3</v>
      </c>
      <c r="F28">
        <f>D28/$J$2</f>
        <v>68.964994006342664</v>
      </c>
      <c r="G28">
        <f>D28*E28/$J$2</f>
        <v>0.27585997602537066</v>
      </c>
      <c r="H28">
        <f t="shared" si="5"/>
        <v>10</v>
      </c>
      <c r="I28">
        <f t="shared" si="3"/>
        <v>1.6959214816377889E-2</v>
      </c>
      <c r="O28">
        <f t="shared" si="4"/>
        <v>1.4500110011001098E-2</v>
      </c>
    </row>
    <row r="29" spans="2:15" x14ac:dyDescent="0.4">
      <c r="B29">
        <v>156</v>
      </c>
      <c r="C29">
        <f t="shared" si="0"/>
        <v>-117</v>
      </c>
      <c r="D29">
        <f>20.8*10^(-12)</f>
        <v>2.0800000000000002E-11</v>
      </c>
      <c r="E29">
        <v>4.0000000000000001E-3</v>
      </c>
      <c r="F29">
        <f>D29/$J$2</f>
        <v>71.01345917484791</v>
      </c>
      <c r="G29">
        <f>D29*E29/$J$2</f>
        <v>0.28405383669939166</v>
      </c>
      <c r="H29">
        <f t="shared" si="5"/>
        <v>10</v>
      </c>
      <c r="I29">
        <f t="shared" si="3"/>
        <v>1.6389826335436466E-2</v>
      </c>
      <c r="O29">
        <f t="shared" si="4"/>
        <v>1.4081837606837601E-2</v>
      </c>
    </row>
    <row r="30" spans="2:15" x14ac:dyDescent="0.4">
      <c r="B30">
        <v>155</v>
      </c>
      <c r="C30">
        <f t="shared" si="0"/>
        <v>-118</v>
      </c>
      <c r="D30" s="1">
        <f>21.8*10^(-12)</f>
        <v>2.1800000000000002E-11</v>
      </c>
      <c r="E30" s="1">
        <v>4.0000000000000001E-3</v>
      </c>
      <c r="F30" s="1">
        <f t="shared" ref="F30:F34" si="6">D30/$J$2</f>
        <v>74.427567789023286</v>
      </c>
      <c r="G30" s="1">
        <f t="shared" ref="G30:G34" si="7">D30*E30/$J$2</f>
        <v>0.29771027115609316</v>
      </c>
      <c r="H30">
        <f t="shared" si="5"/>
        <v>10</v>
      </c>
      <c r="I30" s="1">
        <f t="shared" si="3"/>
        <v>1.552130608553522E-2</v>
      </c>
      <c r="O30" s="1">
        <f t="shared" si="4"/>
        <v>1.3435881753312942E-2</v>
      </c>
    </row>
    <row r="31" spans="2:15" x14ac:dyDescent="0.4">
      <c r="B31">
        <v>154</v>
      </c>
      <c r="C31">
        <f t="shared" si="0"/>
        <v>-119</v>
      </c>
      <c r="D31" s="1">
        <f>22.3*10^(-12)</f>
        <v>2.23E-11</v>
      </c>
      <c r="E31" s="1">
        <v>5.0000000000000001E-3</v>
      </c>
      <c r="F31" s="1">
        <f t="shared" si="6"/>
        <v>76.134622096110974</v>
      </c>
      <c r="G31" s="1">
        <f t="shared" si="7"/>
        <v>0.38067311048055485</v>
      </c>
      <c r="H31">
        <f t="shared" si="5"/>
        <v>10</v>
      </c>
      <c r="I31" s="1">
        <f t="shared" si="3"/>
        <v>1.5120673080232279E-2</v>
      </c>
      <c r="O31" s="1">
        <f t="shared" si="4"/>
        <v>1.3134628799202786E-2</v>
      </c>
    </row>
    <row r="32" spans="2:15" x14ac:dyDescent="0.4">
      <c r="B32">
        <v>153</v>
      </c>
      <c r="C32">
        <f t="shared" si="0"/>
        <v>-120</v>
      </c>
      <c r="D32" s="1">
        <f>22.9*10^(-12)</f>
        <v>2.2899999999999997E-11</v>
      </c>
      <c r="E32" s="1">
        <v>4.0000000000000001E-3</v>
      </c>
      <c r="F32" s="1">
        <f t="shared" si="6"/>
        <v>78.183087264616191</v>
      </c>
      <c r="G32" s="1">
        <f t="shared" si="7"/>
        <v>0.31273234905846475</v>
      </c>
      <c r="H32">
        <f t="shared" si="5"/>
        <v>10</v>
      </c>
      <c r="I32" s="1">
        <f t="shared" si="3"/>
        <v>1.4666393677937093E-2</v>
      </c>
      <c r="O32" s="1">
        <f t="shared" si="4"/>
        <v>1.2790490053372147E-2</v>
      </c>
    </row>
    <row r="33" spans="2:15" x14ac:dyDescent="0.4">
      <c r="B33">
        <v>152</v>
      </c>
      <c r="C33">
        <f t="shared" si="0"/>
        <v>-121</v>
      </c>
      <c r="D33" s="1">
        <f>23.6*10^(-12)</f>
        <v>2.3600000000000001E-11</v>
      </c>
      <c r="E33" s="1">
        <v>5.0000000000000001E-3</v>
      </c>
      <c r="F33" s="1">
        <f t="shared" si="6"/>
        <v>80.572963294538965</v>
      </c>
      <c r="G33" s="1">
        <f t="shared" si="7"/>
        <v>0.40286481647269484</v>
      </c>
      <c r="H33">
        <f t="shared" si="5"/>
        <v>10</v>
      </c>
      <c r="I33" s="1">
        <f t="shared" si="3"/>
        <v>1.4169732335405298E-2</v>
      </c>
      <c r="O33" s="1">
        <f t="shared" si="4"/>
        <v>1.2411111111111107E-2</v>
      </c>
    </row>
    <row r="34" spans="2:15" x14ac:dyDescent="0.4">
      <c r="B34">
        <v>151</v>
      </c>
      <c r="C34">
        <f t="shared" si="0"/>
        <v>-122</v>
      </c>
      <c r="D34" s="1">
        <f>24.2*10^(-12)</f>
        <v>2.4199999999999998E-11</v>
      </c>
      <c r="E34" s="1">
        <v>4.0000000000000001E-3</v>
      </c>
      <c r="F34" s="1">
        <f t="shared" si="6"/>
        <v>82.621428463044182</v>
      </c>
      <c r="G34" s="1">
        <f t="shared" si="7"/>
        <v>0.33048571385217673</v>
      </c>
      <c r="H34">
        <f t="shared" si="5"/>
        <v>10</v>
      </c>
      <c r="I34" s="1">
        <f t="shared" si="3"/>
        <v>1.3770040347097869E-2</v>
      </c>
      <c r="O34" s="1">
        <f t="shared" si="4"/>
        <v>1.210339761248852E-2</v>
      </c>
    </row>
    <row r="35" spans="2:15" x14ac:dyDescent="0.4">
      <c r="B35">
        <v>150</v>
      </c>
      <c r="C35">
        <f t="shared" si="0"/>
        <v>-123</v>
      </c>
      <c r="D35">
        <f>21.4*10^(-12)</f>
        <v>2.1399999999999998E-11</v>
      </c>
      <c r="E35">
        <v>4.0000000000000001E-3</v>
      </c>
      <c r="F35">
        <f t="shared" si="1"/>
        <v>73.061924343353127</v>
      </c>
      <c r="G35">
        <f t="shared" si="2"/>
        <v>0.2922476973734125</v>
      </c>
      <c r="H35">
        <f t="shared" si="5"/>
        <v>10</v>
      </c>
      <c r="I35">
        <f t="shared" si="3"/>
        <v>1.5857429192222269E-2</v>
      </c>
      <c r="O35">
        <f t="shared" si="4"/>
        <v>1.3687019730010382E-2</v>
      </c>
    </row>
    <row r="36" spans="2:15" x14ac:dyDescent="0.4">
      <c r="B36">
        <v>149</v>
      </c>
      <c r="C36">
        <f t="shared" si="0"/>
        <v>-124</v>
      </c>
      <c r="D36">
        <f>22*10^(-12)</f>
        <v>2.1999999999999998E-11</v>
      </c>
      <c r="E36">
        <v>4.0000000000000001E-3</v>
      </c>
      <c r="F36">
        <f t="shared" si="1"/>
        <v>75.110389511858344</v>
      </c>
      <c r="G36">
        <f t="shared" si="2"/>
        <v>0.30044155804743339</v>
      </c>
      <c r="H36">
        <f t="shared" si="5"/>
        <v>10</v>
      </c>
      <c r="I36">
        <f t="shared" si="3"/>
        <v>1.5358531986940014E-2</v>
      </c>
      <c r="O36">
        <f t="shared" si="4"/>
        <v>1.3313737373737372E-2</v>
      </c>
    </row>
    <row r="37" spans="2:15" x14ac:dyDescent="0.4">
      <c r="B37">
        <v>148</v>
      </c>
      <c r="C37">
        <f t="shared" si="0"/>
        <v>-125</v>
      </c>
      <c r="D37">
        <f>22.8*10^(-12)</f>
        <v>2.2800000000000001E-11</v>
      </c>
      <c r="E37">
        <v>4.0000000000000001E-3</v>
      </c>
      <c r="F37">
        <f t="shared" si="1"/>
        <v>77.841676403198662</v>
      </c>
      <c r="G37">
        <f t="shared" si="2"/>
        <v>0.31136670561279467</v>
      </c>
      <c r="H37">
        <f t="shared" si="5"/>
        <v>10</v>
      </c>
      <c r="I37">
        <f t="shared" si="3"/>
        <v>1.4740201790662872E-2</v>
      </c>
      <c r="O37">
        <f t="shared" si="4"/>
        <v>1.2846588693957111E-2</v>
      </c>
    </row>
    <row r="38" spans="2:15" x14ac:dyDescent="0.4">
      <c r="B38">
        <v>147</v>
      </c>
      <c r="C38">
        <f t="shared" si="0"/>
        <v>-126</v>
      </c>
      <c r="D38">
        <f>23.4*10^(-12)</f>
        <v>2.3399999999999998E-11</v>
      </c>
      <c r="E38">
        <v>4.0000000000000001E-3</v>
      </c>
      <c r="F38">
        <f t="shared" si="1"/>
        <v>79.890141571703879</v>
      </c>
      <c r="G38">
        <f t="shared" si="2"/>
        <v>0.31956056628681556</v>
      </c>
      <c r="H38">
        <f t="shared" si="5"/>
        <v>10</v>
      </c>
      <c r="I38">
        <f t="shared" si="3"/>
        <v>1.4308169614652286E-2</v>
      </c>
      <c r="O38">
        <f t="shared" si="4"/>
        <v>1.2517188983855648E-2</v>
      </c>
    </row>
    <row r="39" spans="2:15" x14ac:dyDescent="0.4">
      <c r="B39">
        <v>146</v>
      </c>
      <c r="C39">
        <f t="shared" si="0"/>
        <v>-127</v>
      </c>
      <c r="D39">
        <f>24.2*10^(-12)</f>
        <v>2.4199999999999998E-11</v>
      </c>
      <c r="E39">
        <v>4.0000000000000001E-3</v>
      </c>
      <c r="F39">
        <f t="shared" si="1"/>
        <v>82.621428463044182</v>
      </c>
      <c r="G39">
        <f t="shared" si="2"/>
        <v>0.33048571385217673</v>
      </c>
      <c r="H39">
        <f t="shared" si="5"/>
        <v>10</v>
      </c>
      <c r="I39">
        <f t="shared" si="3"/>
        <v>1.3770040347097869E-2</v>
      </c>
      <c r="O39">
        <f t="shared" si="4"/>
        <v>1.210339761248852E-2</v>
      </c>
    </row>
    <row r="40" spans="2:15" x14ac:dyDescent="0.4">
      <c r="B40">
        <v>145</v>
      </c>
      <c r="C40">
        <f t="shared" si="0"/>
        <v>-128</v>
      </c>
      <c r="D40">
        <f>25.1*10^(-12)</f>
        <v>2.5100000000000003E-11</v>
      </c>
      <c r="E40">
        <v>4.0000000000000001E-3</v>
      </c>
      <c r="F40">
        <f t="shared" si="1"/>
        <v>85.694126215802044</v>
      </c>
      <c r="G40">
        <f t="shared" si="2"/>
        <v>0.34277650486320815</v>
      </c>
      <c r="H40">
        <f t="shared" si="5"/>
        <v>10</v>
      </c>
      <c r="I40">
        <f t="shared" si="3"/>
        <v>1.3211064715233322E-2</v>
      </c>
      <c r="O40">
        <f t="shared" si="4"/>
        <v>1.1669411243913231E-2</v>
      </c>
    </row>
    <row r="41" spans="2:15" x14ac:dyDescent="0.4">
      <c r="B41">
        <v>144</v>
      </c>
      <c r="C41">
        <f t="shared" si="0"/>
        <v>-129</v>
      </c>
      <c r="D41">
        <f>25.5*10^(-12)</f>
        <v>2.5499999999999999E-11</v>
      </c>
      <c r="E41">
        <v>4.0000000000000001E-3</v>
      </c>
      <c r="F41">
        <f t="shared" si="1"/>
        <v>87.059769661472188</v>
      </c>
      <c r="G41">
        <f t="shared" si="2"/>
        <v>0.34823907864588871</v>
      </c>
      <c r="H41">
        <f t="shared" si="5"/>
        <v>10</v>
      </c>
      <c r="I41">
        <f t="shared" si="3"/>
        <v>1.2976939905128902E-2</v>
      </c>
      <c r="O41">
        <f t="shared" si="4"/>
        <v>1.1486361655773417E-2</v>
      </c>
    </row>
    <row r="42" spans="2:15" x14ac:dyDescent="0.4">
      <c r="B42">
        <v>143</v>
      </c>
      <c r="C42">
        <f t="shared" si="0"/>
        <v>-130</v>
      </c>
      <c r="D42">
        <f>26.2*10^(-12)</f>
        <v>2.6199999999999997E-11</v>
      </c>
      <c r="E42">
        <v>4.0000000000000001E-3</v>
      </c>
      <c r="F42">
        <f t="shared" si="1"/>
        <v>89.449645691394934</v>
      </c>
      <c r="G42">
        <f t="shared" si="2"/>
        <v>0.3577985827655798</v>
      </c>
      <c r="H42">
        <f t="shared" si="5"/>
        <v>10</v>
      </c>
      <c r="I42">
        <f t="shared" si="3"/>
        <v>1.2586588540423264E-2</v>
      </c>
      <c r="O42">
        <f t="shared" si="4"/>
        <v>1.1179474130619168E-2</v>
      </c>
    </row>
    <row r="43" spans="2:15" x14ac:dyDescent="0.4">
      <c r="B43">
        <v>142</v>
      </c>
      <c r="C43">
        <f t="shared" si="0"/>
        <v>-131</v>
      </c>
      <c r="D43" s="1">
        <f>33.1*10^(-12)</f>
        <v>3.3100000000000001E-11</v>
      </c>
      <c r="E43" s="1">
        <v>4.0000000000000001E-3</v>
      </c>
      <c r="F43" s="1">
        <f t="shared" si="1"/>
        <v>113.00699512920507</v>
      </c>
      <c r="G43" s="1">
        <f t="shared" si="2"/>
        <v>0.45202798051682025</v>
      </c>
      <c r="H43">
        <f t="shared" si="5"/>
        <v>10</v>
      </c>
      <c r="I43" s="1">
        <f t="shared" si="3"/>
        <v>9.7080785508369318E-3</v>
      </c>
      <c r="O43" s="1">
        <f t="shared" si="4"/>
        <v>8.8490097348103373E-3</v>
      </c>
    </row>
    <row r="44" spans="2:15" x14ac:dyDescent="0.4">
      <c r="B44">
        <v>141</v>
      </c>
      <c r="C44">
        <f t="shared" si="0"/>
        <v>-132</v>
      </c>
      <c r="D44" s="1">
        <f>34.5*10^(-12)</f>
        <v>3.4499999999999997E-11</v>
      </c>
      <c r="E44" s="1">
        <v>4.0000000000000001E-3</v>
      </c>
      <c r="F44" s="1">
        <f t="shared" si="1"/>
        <v>117.78674718905059</v>
      </c>
      <c r="G44" s="1">
        <f t="shared" si="2"/>
        <v>0.47114698875620237</v>
      </c>
      <c r="H44">
        <f t="shared" si="5"/>
        <v>10</v>
      </c>
      <c r="I44" s="1">
        <f t="shared" si="3"/>
        <v>9.2775784229397733E-3</v>
      </c>
      <c r="O44" s="1">
        <f t="shared" si="4"/>
        <v>8.489919484702093E-3</v>
      </c>
    </row>
    <row r="45" spans="2:15" x14ac:dyDescent="0.4">
      <c r="B45">
        <v>140</v>
      </c>
      <c r="C45">
        <f t="shared" si="0"/>
        <v>-133</v>
      </c>
      <c r="D45">
        <f>26.9*10^(-12)</f>
        <v>2.6899999999999999E-11</v>
      </c>
      <c r="E45">
        <v>4.0000000000000001E-3</v>
      </c>
      <c r="F45">
        <f t="shared" si="1"/>
        <v>91.839521721317709</v>
      </c>
      <c r="G45">
        <f t="shared" si="2"/>
        <v>0.36735808688527088</v>
      </c>
      <c r="H45">
        <f t="shared" si="5"/>
        <v>10</v>
      </c>
      <c r="I45">
        <f t="shared" si="3"/>
        <v>1.2219035240763365E-2</v>
      </c>
      <c r="O45">
        <f t="shared" si="4"/>
        <v>1.0888558446922757E-2</v>
      </c>
    </row>
    <row r="46" spans="2:15" x14ac:dyDescent="0.4">
      <c r="B46">
        <v>139</v>
      </c>
      <c r="C46">
        <f t="shared" si="0"/>
        <v>-134</v>
      </c>
      <c r="D46" s="2"/>
      <c r="E46" s="2"/>
      <c r="F46" s="2"/>
      <c r="G46" s="2"/>
      <c r="H46">
        <f t="shared" si="5"/>
        <v>10</v>
      </c>
      <c r="I46" s="2"/>
      <c r="O46" s="2"/>
    </row>
    <row r="47" spans="2:15" x14ac:dyDescent="0.4">
      <c r="B47">
        <v>138</v>
      </c>
      <c r="C47">
        <f t="shared" si="0"/>
        <v>-135</v>
      </c>
      <c r="D47" s="2"/>
      <c r="E47" s="2"/>
      <c r="F47" s="2"/>
      <c r="G47" s="2"/>
      <c r="H47">
        <f t="shared" si="5"/>
        <v>10</v>
      </c>
      <c r="I47" s="2"/>
      <c r="O47" s="2"/>
    </row>
    <row r="48" spans="2:15" x14ac:dyDescent="0.4">
      <c r="B48">
        <v>137</v>
      </c>
      <c r="C48">
        <f t="shared" si="0"/>
        <v>-136</v>
      </c>
      <c r="D48">
        <f>28*10^(-12)</f>
        <v>2.8E-11</v>
      </c>
      <c r="E48">
        <v>4.0000000000000001E-3</v>
      </c>
      <c r="F48">
        <f t="shared" si="1"/>
        <v>95.595041196910628</v>
      </c>
      <c r="G48">
        <f t="shared" si="2"/>
        <v>0.38238016478764253</v>
      </c>
      <c r="H48">
        <f t="shared" si="5"/>
        <v>10</v>
      </c>
      <c r="I48">
        <f t="shared" si="3"/>
        <v>1.1682919781526933E-2</v>
      </c>
      <c r="O48">
        <f t="shared" si="4"/>
        <v>1.0460793650793649E-2</v>
      </c>
    </row>
    <row r="49" spans="2:15" x14ac:dyDescent="0.4">
      <c r="B49">
        <v>136</v>
      </c>
      <c r="C49">
        <f t="shared" si="0"/>
        <v>-137</v>
      </c>
      <c r="D49" s="2"/>
      <c r="E49" s="2"/>
      <c r="F49" s="2"/>
      <c r="G49" s="2"/>
      <c r="H49">
        <f t="shared" si="5"/>
        <v>10</v>
      </c>
      <c r="I49" s="2"/>
      <c r="O49" s="2"/>
    </row>
    <row r="50" spans="2:15" x14ac:dyDescent="0.4">
      <c r="B50">
        <v>135</v>
      </c>
      <c r="C50">
        <f t="shared" si="0"/>
        <v>-138</v>
      </c>
      <c r="D50">
        <f>31.3*10^(-12)</f>
        <v>3.1299999999999998E-11</v>
      </c>
      <c r="E50">
        <v>4.0000000000000001E-3</v>
      </c>
      <c r="F50">
        <f t="shared" si="1"/>
        <v>106.86159962368939</v>
      </c>
      <c r="G50">
        <f t="shared" si="2"/>
        <v>0.42744639849475752</v>
      </c>
      <c r="H50">
        <f t="shared" si="5"/>
        <v>10</v>
      </c>
      <c r="I50">
        <f t="shared" si="3"/>
        <v>1.0324008728794838E-2</v>
      </c>
      <c r="O50">
        <f t="shared" si="4"/>
        <v>9.3578984735534238E-3</v>
      </c>
    </row>
    <row r="51" spans="2:15" x14ac:dyDescent="0.4">
      <c r="B51">
        <v>134</v>
      </c>
      <c r="C51">
        <f t="shared" si="0"/>
        <v>-139</v>
      </c>
      <c r="D51">
        <f>32.4*10^(-12)</f>
        <v>3.2399999999999999E-11</v>
      </c>
      <c r="E51">
        <v>4.0000000000000001E-3</v>
      </c>
      <c r="F51">
        <f t="shared" si="1"/>
        <v>110.61711909928231</v>
      </c>
      <c r="G51">
        <f t="shared" si="2"/>
        <v>0.44246847639712922</v>
      </c>
      <c r="H51">
        <f t="shared" si="5"/>
        <v>10</v>
      </c>
      <c r="I51">
        <f t="shared" si="3"/>
        <v>9.9386665902575309E-3</v>
      </c>
      <c r="O51">
        <f t="shared" si="4"/>
        <v>9.0401920438957454E-3</v>
      </c>
    </row>
    <row r="52" spans="2:15" x14ac:dyDescent="0.4">
      <c r="B52">
        <v>133</v>
      </c>
      <c r="C52">
        <f t="shared" si="0"/>
        <v>-140</v>
      </c>
      <c r="D52">
        <f>34*10^(-12)</f>
        <v>3.3999999999999999E-11</v>
      </c>
      <c r="E52">
        <v>4.0000000000000001E-3</v>
      </c>
      <c r="F52">
        <f t="shared" si="1"/>
        <v>116.07969288196291</v>
      </c>
      <c r="G52">
        <f t="shared" si="2"/>
        <v>0.46431877152785167</v>
      </c>
      <c r="H52">
        <f t="shared" si="5"/>
        <v>10</v>
      </c>
      <c r="I52">
        <f t="shared" si="3"/>
        <v>9.4268749544054661E-3</v>
      </c>
      <c r="O52">
        <f t="shared" si="4"/>
        <v>8.6147712418300632E-3</v>
      </c>
    </row>
    <row r="53" spans="2:15" x14ac:dyDescent="0.4">
      <c r="B53">
        <v>132</v>
      </c>
      <c r="C53">
        <f t="shared" si="0"/>
        <v>-141</v>
      </c>
      <c r="D53">
        <f>35.8*10^(-12)</f>
        <v>3.5799999999999995E-11</v>
      </c>
      <c r="E53">
        <v>4.0000000000000001E-3</v>
      </c>
      <c r="F53">
        <f t="shared" si="1"/>
        <v>122.22508838747858</v>
      </c>
      <c r="G53">
        <f t="shared" si="2"/>
        <v>0.48890035354991435</v>
      </c>
      <c r="H53">
        <f t="shared" si="5"/>
        <v>10</v>
      </c>
      <c r="I53">
        <f t="shared" si="3"/>
        <v>8.9106635099926029E-3</v>
      </c>
      <c r="O53">
        <f t="shared" si="4"/>
        <v>8.1816263190564852E-3</v>
      </c>
    </row>
    <row r="54" spans="2:15" x14ac:dyDescent="0.4">
      <c r="B54">
        <v>131</v>
      </c>
      <c r="C54">
        <f t="shared" si="0"/>
        <v>-142</v>
      </c>
      <c r="D54">
        <f>37.5*10^(-12)</f>
        <v>3.75E-11</v>
      </c>
      <c r="E54">
        <v>4.0000000000000001E-3</v>
      </c>
      <c r="F54">
        <f t="shared" si="1"/>
        <v>128.02907303157673</v>
      </c>
      <c r="G54">
        <f t="shared" si="2"/>
        <v>0.51211629212630694</v>
      </c>
      <c r="H54">
        <f t="shared" si="5"/>
        <v>10</v>
      </c>
      <c r="I54">
        <f t="shared" si="3"/>
        <v>8.4724888056391546E-3</v>
      </c>
      <c r="O54">
        <f t="shared" si="4"/>
        <v>7.8107259259259246E-3</v>
      </c>
    </row>
    <row r="55" spans="2:15" x14ac:dyDescent="0.4">
      <c r="B55">
        <v>130</v>
      </c>
      <c r="C55">
        <f t="shared" si="0"/>
        <v>-143</v>
      </c>
      <c r="D55">
        <f>40.1*10^(-12)</f>
        <v>4.0100000000000002E-11</v>
      </c>
      <c r="E55">
        <v>4.0000000000000001E-3</v>
      </c>
      <c r="F55">
        <f t="shared" si="1"/>
        <v>136.90575542843274</v>
      </c>
      <c r="G55">
        <f t="shared" si="2"/>
        <v>0.5476230217137309</v>
      </c>
      <c r="H55">
        <f t="shared" si="5"/>
        <v>10</v>
      </c>
      <c r="I55">
        <f t="shared" si="3"/>
        <v>7.879863262497502E-3</v>
      </c>
      <c r="O55">
        <f t="shared" si="4"/>
        <v>7.3042948185092797E-3</v>
      </c>
    </row>
    <row r="56" spans="2:15" x14ac:dyDescent="0.4">
      <c r="B56">
        <v>129</v>
      </c>
      <c r="C56">
        <f t="shared" si="0"/>
        <v>-144</v>
      </c>
      <c r="D56">
        <f>43.3*10^(-12)</f>
        <v>4.3299999999999995E-11</v>
      </c>
      <c r="E56">
        <v>4.0000000000000001E-3</v>
      </c>
      <c r="F56">
        <f t="shared" si="1"/>
        <v>147.83090299379393</v>
      </c>
      <c r="G56">
        <f t="shared" si="2"/>
        <v>0.59132361197517569</v>
      </c>
      <c r="H56">
        <f t="shared" si="5"/>
        <v>10</v>
      </c>
      <c r="I56">
        <f t="shared" si="3"/>
        <v>7.2552669849738028E-3</v>
      </c>
      <c r="O56">
        <f t="shared" si="4"/>
        <v>6.7644855016679491E-3</v>
      </c>
    </row>
    <row r="57" spans="2:15" x14ac:dyDescent="0.4">
      <c r="B57">
        <v>128</v>
      </c>
      <c r="C57">
        <f t="shared" si="0"/>
        <v>-145</v>
      </c>
      <c r="D57">
        <f>46.6*10^(-12)</f>
        <v>4.6599999999999999E-11</v>
      </c>
      <c r="E57">
        <v>4.0000000000000001E-3</v>
      </c>
      <c r="F57">
        <f t="shared" si="1"/>
        <v>159.0974614205727</v>
      </c>
      <c r="G57">
        <f t="shared" si="2"/>
        <v>0.63638984568229073</v>
      </c>
      <c r="H57">
        <f t="shared" si="5"/>
        <v>10</v>
      </c>
      <c r="I57">
        <f t="shared" si="3"/>
        <v>6.7070223092478383E-3</v>
      </c>
      <c r="O57">
        <f t="shared" si="4"/>
        <v>6.2854554124940377E-3</v>
      </c>
    </row>
    <row r="58" spans="2:15" x14ac:dyDescent="0.4">
      <c r="B58">
        <v>127</v>
      </c>
      <c r="C58">
        <f t="shared" si="0"/>
        <v>-146</v>
      </c>
      <c r="D58">
        <f>50.8*10^(-12)</f>
        <v>5.0799999999999995E-11</v>
      </c>
      <c r="E58">
        <v>4.0000000000000001E-3</v>
      </c>
      <c r="F58">
        <f t="shared" si="1"/>
        <v>173.43671760010929</v>
      </c>
      <c r="G58">
        <f t="shared" si="2"/>
        <v>0.69374687040043714</v>
      </c>
      <c r="H58">
        <f t="shared" si="5"/>
        <v>10</v>
      </c>
      <c r="I58">
        <f t="shared" si="3"/>
        <v>6.1185761356683738E-3</v>
      </c>
      <c r="O58">
        <f t="shared" si="4"/>
        <v>5.7657917760279955E-3</v>
      </c>
    </row>
    <row r="59" spans="2:15" x14ac:dyDescent="0.4">
      <c r="B59">
        <v>126</v>
      </c>
      <c r="C59">
        <f t="shared" si="0"/>
        <v>-147</v>
      </c>
      <c r="D59">
        <f>56.1*10^(-12)</f>
        <v>5.6099999999999999E-11</v>
      </c>
      <c r="E59">
        <v>4.0000000000000001E-3</v>
      </c>
      <c r="F59">
        <f t="shared" si="1"/>
        <v>191.53149325523881</v>
      </c>
      <c r="G59">
        <f t="shared" si="2"/>
        <v>0.7661259730209552</v>
      </c>
      <c r="H59">
        <f t="shared" si="5"/>
        <v>10</v>
      </c>
      <c r="I59">
        <f t="shared" si="3"/>
        <v>5.5086860250412283E-3</v>
      </c>
      <c r="O59">
        <f t="shared" si="4"/>
        <v>5.2210734798970081E-3</v>
      </c>
    </row>
    <row r="60" spans="2:15" x14ac:dyDescent="0.4">
      <c r="B60">
        <v>125</v>
      </c>
      <c r="C60">
        <f t="shared" si="0"/>
        <v>-148</v>
      </c>
      <c r="D60">
        <f>62.2*10^(-12)</f>
        <v>6.2200000000000002E-11</v>
      </c>
      <c r="E60">
        <v>4.0000000000000001E-3</v>
      </c>
      <c r="F60">
        <f t="shared" si="1"/>
        <v>212.35755580170863</v>
      </c>
      <c r="G60">
        <f t="shared" si="2"/>
        <v>0.84943022320683448</v>
      </c>
      <c r="H60">
        <f t="shared" si="5"/>
        <v>10</v>
      </c>
      <c r="I60">
        <f t="shared" si="3"/>
        <v>4.941747769378604E-3</v>
      </c>
      <c r="O60">
        <f t="shared" si="4"/>
        <v>4.709038942479456E-3</v>
      </c>
    </row>
    <row r="61" spans="2:15" x14ac:dyDescent="0.4">
      <c r="B61">
        <v>124</v>
      </c>
      <c r="C61">
        <f t="shared" si="0"/>
        <v>-149</v>
      </c>
      <c r="D61">
        <f>64.6*10^(-12)</f>
        <v>6.4599999999999989E-11</v>
      </c>
      <c r="E61">
        <v>4.0000000000000001E-3</v>
      </c>
      <c r="F61">
        <f t="shared" si="1"/>
        <v>220.5514164757295</v>
      </c>
      <c r="G61">
        <f t="shared" si="2"/>
        <v>0.88220566590291793</v>
      </c>
      <c r="H61">
        <f t="shared" si="5"/>
        <v>10</v>
      </c>
      <c r="I61">
        <f t="shared" si="3"/>
        <v>4.7494337332813488E-3</v>
      </c>
      <c r="O61">
        <f t="shared" si="4"/>
        <v>4.5340901272789818E-3</v>
      </c>
    </row>
    <row r="62" spans="2:15" x14ac:dyDescent="0.4">
      <c r="B62">
        <v>123</v>
      </c>
      <c r="C62">
        <f t="shared" si="0"/>
        <v>-150</v>
      </c>
      <c r="D62">
        <f>67.3*10^(-12)</f>
        <v>6.729999999999999E-11</v>
      </c>
      <c r="E62">
        <v>4.0000000000000001E-3</v>
      </c>
      <c r="F62">
        <f t="shared" si="1"/>
        <v>229.76950973400304</v>
      </c>
      <c r="G62">
        <f t="shared" si="2"/>
        <v>0.91907803893601203</v>
      </c>
      <c r="H62">
        <f t="shared" si="5"/>
        <v>10</v>
      </c>
      <c r="I62">
        <f t="shared" si="3"/>
        <v>4.5502217355371322E-3</v>
      </c>
      <c r="O62">
        <f t="shared" si="4"/>
        <v>4.3521875515931977E-3</v>
      </c>
    </row>
    <row r="63" spans="2:15" x14ac:dyDescent="0.4">
      <c r="B63">
        <v>122</v>
      </c>
      <c r="C63">
        <f t="shared" si="0"/>
        <v>-151</v>
      </c>
      <c r="D63">
        <f>70.3*10^(-12)</f>
        <v>7.0299999999999992E-11</v>
      </c>
      <c r="E63">
        <v>4.0000000000000001E-3</v>
      </c>
      <c r="F63">
        <f t="shared" si="1"/>
        <v>240.01183557652917</v>
      </c>
      <c r="G63">
        <f t="shared" si="2"/>
        <v>0.96004734230611666</v>
      </c>
      <c r="H63">
        <f t="shared" si="5"/>
        <v>10</v>
      </c>
      <c r="I63">
        <f t="shared" si="3"/>
        <v>4.3476023635630771E-3</v>
      </c>
      <c r="O63">
        <f t="shared" si="4"/>
        <v>4.1664611980401448E-3</v>
      </c>
    </row>
    <row r="64" spans="2:15" x14ac:dyDescent="0.4">
      <c r="B64">
        <v>121</v>
      </c>
      <c r="C64">
        <f t="shared" si="0"/>
        <v>-152</v>
      </c>
      <c r="D64">
        <f>75.9*10^(-12)</f>
        <v>7.5900000000000004E-11</v>
      </c>
      <c r="E64">
        <v>4.0000000000000001E-3</v>
      </c>
      <c r="F64">
        <f t="shared" si="1"/>
        <v>259.13084381591136</v>
      </c>
      <c r="G64">
        <f t="shared" si="2"/>
        <v>1.0365233752636454</v>
      </c>
      <c r="H64">
        <f t="shared" si="5"/>
        <v>10</v>
      </c>
      <c r="I64">
        <f t="shared" si="3"/>
        <v>4.0139550152967956E-3</v>
      </c>
      <c r="O64">
        <f t="shared" si="4"/>
        <v>3.8590543112282227E-3</v>
      </c>
    </row>
    <row r="65" spans="2:15" x14ac:dyDescent="0.4">
      <c r="B65">
        <v>120</v>
      </c>
      <c r="C65">
        <f t="shared" si="0"/>
        <v>-153</v>
      </c>
      <c r="D65">
        <f>83.9*10^(-12)</f>
        <v>8.3900000000000002E-11</v>
      </c>
      <c r="E65">
        <v>4.0000000000000001E-3</v>
      </c>
      <c r="F65">
        <f t="shared" si="1"/>
        <v>286.44371272931437</v>
      </c>
      <c r="G65">
        <f t="shared" si="2"/>
        <v>1.1457748509172574</v>
      </c>
      <c r="H65">
        <f t="shared" si="5"/>
        <v>10</v>
      </c>
      <c r="I65">
        <f t="shared" si="3"/>
        <v>3.6173729188016326E-3</v>
      </c>
      <c r="O65">
        <f t="shared" si="4"/>
        <v>3.4910872732088457E-3</v>
      </c>
    </row>
    <row r="66" spans="2:15" x14ac:dyDescent="0.4">
      <c r="B66">
        <v>119</v>
      </c>
      <c r="C66">
        <f t="shared" si="0"/>
        <v>-154</v>
      </c>
      <c r="D66">
        <f>92.7*10^(-12)</f>
        <v>9.27E-11</v>
      </c>
      <c r="E66">
        <v>4.0000000000000001E-3</v>
      </c>
      <c r="F66">
        <f t="shared" si="1"/>
        <v>316.48786853405772</v>
      </c>
      <c r="G66">
        <f t="shared" si="2"/>
        <v>1.2659514741362308</v>
      </c>
      <c r="H66">
        <f t="shared" si="5"/>
        <v>10</v>
      </c>
      <c r="I66">
        <f t="shared" si="3"/>
        <v>3.2627718832168961E-3</v>
      </c>
      <c r="O66">
        <f t="shared" si="4"/>
        <v>3.1596787726237553E-3</v>
      </c>
    </row>
    <row r="67" spans="2:15" x14ac:dyDescent="0.4">
      <c r="B67">
        <v>118</v>
      </c>
      <c r="C67">
        <f t="shared" si="0"/>
        <v>-155</v>
      </c>
      <c r="D67">
        <f>105.1*10^(-12)</f>
        <v>1.0509999999999999E-10</v>
      </c>
      <c r="E67">
        <v>4.0000000000000001E-3</v>
      </c>
      <c r="F67">
        <f t="shared" si="1"/>
        <v>358.82281534983241</v>
      </c>
      <c r="G67">
        <f t="shared" si="2"/>
        <v>1.4352912613993296</v>
      </c>
      <c r="H67">
        <f t="shared" si="5"/>
        <v>10</v>
      </c>
      <c r="I67">
        <f t="shared" si="3"/>
        <v>2.866784957850609E-3</v>
      </c>
      <c r="O67">
        <f t="shared" si="4"/>
        <v>2.78689079183846E-3</v>
      </c>
    </row>
    <row r="68" spans="2:15" x14ac:dyDescent="0.4">
      <c r="B68">
        <v>117</v>
      </c>
      <c r="C68">
        <f t="shared" ref="C68:C75" si="8">B68-273</f>
        <v>-156</v>
      </c>
      <c r="D68">
        <f>119*10^(-12)</f>
        <v>1.19E-10</v>
      </c>
      <c r="E68">
        <v>5.0000000000000001E-3</v>
      </c>
      <c r="F68">
        <f t="shared" ref="F68:F75" si="9">D68/$J$2</f>
        <v>406.27892508687017</v>
      </c>
      <c r="G68">
        <f t="shared" ref="G68:G75" si="10">D68*E68/$J$2</f>
        <v>2.0313946254343511</v>
      </c>
      <c r="H68">
        <f t="shared" si="5"/>
        <v>10</v>
      </c>
      <c r="I68">
        <f t="shared" ref="I68:I75" si="11">1/(F68-H68)</f>
        <v>2.5234750997186772E-3</v>
      </c>
      <c r="O68">
        <f t="shared" ref="O68:O75" si="12">1/F68</f>
        <v>2.4613632119514467E-3</v>
      </c>
    </row>
    <row r="69" spans="2:15" x14ac:dyDescent="0.4">
      <c r="B69">
        <v>116</v>
      </c>
      <c r="C69">
        <f t="shared" si="8"/>
        <v>-157</v>
      </c>
      <c r="D69">
        <f>141*10^(-12)</f>
        <v>1.41E-10</v>
      </c>
      <c r="E69">
        <v>5.0000000000000001E-3</v>
      </c>
      <c r="F69">
        <f t="shared" si="9"/>
        <v>481.38931459872856</v>
      </c>
      <c r="G69">
        <f t="shared" si="10"/>
        <v>2.4069465729936428</v>
      </c>
      <c r="H69">
        <f t="shared" ref="H69:H75" si="13">H68</f>
        <v>10</v>
      </c>
      <c r="I69">
        <f t="shared" si="11"/>
        <v>2.1213887736323696E-3</v>
      </c>
      <c r="O69">
        <f t="shared" si="12"/>
        <v>2.077320724980299E-3</v>
      </c>
    </row>
    <row r="70" spans="2:15" x14ac:dyDescent="0.4">
      <c r="B70">
        <v>115</v>
      </c>
      <c r="C70">
        <f t="shared" si="8"/>
        <v>-158</v>
      </c>
      <c r="D70">
        <f>174*10^(-12)</f>
        <v>1.7399999999999999E-10</v>
      </c>
      <c r="E70">
        <v>6.0000000000000001E-3</v>
      </c>
      <c r="F70">
        <f t="shared" si="9"/>
        <v>594.05489886651606</v>
      </c>
      <c r="G70">
        <f t="shared" si="10"/>
        <v>3.5643293931990963</v>
      </c>
      <c r="H70">
        <f t="shared" si="13"/>
        <v>10</v>
      </c>
      <c r="I70">
        <f t="shared" si="11"/>
        <v>1.7121678149446477E-3</v>
      </c>
      <c r="O70">
        <f t="shared" si="12"/>
        <v>1.6833461047254148E-3</v>
      </c>
    </row>
    <row r="71" spans="2:15" x14ac:dyDescent="0.4">
      <c r="B71">
        <v>114</v>
      </c>
      <c r="C71">
        <f t="shared" si="8"/>
        <v>-159</v>
      </c>
      <c r="D71">
        <f>239*10^(-12)</f>
        <v>2.39E-10</v>
      </c>
      <c r="E71">
        <v>8.0000000000000002E-3</v>
      </c>
      <c r="F71">
        <f t="shared" si="9"/>
        <v>815.97195878791581</v>
      </c>
      <c r="G71">
        <f t="shared" si="10"/>
        <v>6.5277756703033258</v>
      </c>
      <c r="H71">
        <f t="shared" si="13"/>
        <v>10</v>
      </c>
      <c r="I71">
        <f t="shared" si="11"/>
        <v>1.2407379550820588E-3</v>
      </c>
      <c r="O71">
        <f t="shared" si="12"/>
        <v>1.2255323105532308E-3</v>
      </c>
    </row>
    <row r="72" spans="2:15" x14ac:dyDescent="0.4">
      <c r="B72">
        <v>113</v>
      </c>
      <c r="C72">
        <f t="shared" si="8"/>
        <v>-160</v>
      </c>
      <c r="D72">
        <f>386*10^(-12)</f>
        <v>3.8600000000000001E-10</v>
      </c>
      <c r="E72">
        <v>1.2E-2</v>
      </c>
      <c r="F72">
        <f t="shared" si="9"/>
        <v>1317.8459250716967</v>
      </c>
      <c r="G72">
        <f t="shared" si="10"/>
        <v>15.814151100860361</v>
      </c>
      <c r="H72">
        <f t="shared" si="13"/>
        <v>10</v>
      </c>
      <c r="I72">
        <f t="shared" si="11"/>
        <v>7.6461606128809057E-4</v>
      </c>
      <c r="O72">
        <f t="shared" si="12"/>
        <v>7.5881404720782935E-4</v>
      </c>
    </row>
    <row r="73" spans="2:15" x14ac:dyDescent="0.4">
      <c r="B73">
        <v>112</v>
      </c>
      <c r="C73">
        <f t="shared" si="8"/>
        <v>-161</v>
      </c>
      <c r="D73">
        <f>479*10^(-12)</f>
        <v>4.79E-10</v>
      </c>
      <c r="E73">
        <v>1.6E-2</v>
      </c>
      <c r="F73">
        <f t="shared" si="9"/>
        <v>1635.358026190007</v>
      </c>
      <c r="G73">
        <f t="shared" si="10"/>
        <v>26.165728419040111</v>
      </c>
      <c r="H73">
        <f t="shared" si="13"/>
        <v>10</v>
      </c>
      <c r="I73">
        <f t="shared" si="11"/>
        <v>6.1524906136778651E-4</v>
      </c>
      <c r="O73">
        <f t="shared" si="12"/>
        <v>6.1148689399211304E-4</v>
      </c>
    </row>
    <row r="74" spans="2:15" x14ac:dyDescent="0.4">
      <c r="B74">
        <v>111</v>
      </c>
      <c r="C74">
        <f t="shared" si="8"/>
        <v>-162</v>
      </c>
      <c r="D74">
        <f>467*10^(-12)</f>
        <v>4.6700000000000004E-10</v>
      </c>
      <c r="E74">
        <v>1.7000000000000001E-2</v>
      </c>
      <c r="F74">
        <f t="shared" si="9"/>
        <v>1594.3887228199026</v>
      </c>
      <c r="G74">
        <f t="shared" si="10"/>
        <v>27.104608287938344</v>
      </c>
      <c r="H74">
        <f t="shared" si="13"/>
        <v>10</v>
      </c>
      <c r="I74">
        <f t="shared" si="11"/>
        <v>6.3115824140694168E-4</v>
      </c>
      <c r="O74">
        <f t="shared" si="12"/>
        <v>6.2719961931953342E-4</v>
      </c>
    </row>
    <row r="75" spans="2:15" x14ac:dyDescent="0.4">
      <c r="B75">
        <v>110</v>
      </c>
      <c r="C75">
        <f t="shared" si="8"/>
        <v>-163</v>
      </c>
      <c r="D75">
        <f>460*10^(-12)</f>
        <v>4.6000000000000001E-10</v>
      </c>
      <c r="E75">
        <v>1.7000000000000001E-2</v>
      </c>
      <c r="F75">
        <f t="shared" si="9"/>
        <v>1570.4899625206747</v>
      </c>
      <c r="G75">
        <f t="shared" si="10"/>
        <v>26.698329362851471</v>
      </c>
      <c r="H75">
        <f t="shared" si="13"/>
        <v>10</v>
      </c>
      <c r="I75">
        <f t="shared" si="11"/>
        <v>6.408243718432448E-4</v>
      </c>
      <c r="O75">
        <f t="shared" si="12"/>
        <v>6.3674396135265682E-4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西原　翔</cp:lastModifiedBy>
  <dcterms:created xsi:type="dcterms:W3CDTF">2024-10-31T04:20:01Z</dcterms:created>
  <dcterms:modified xsi:type="dcterms:W3CDTF">2024-11-03T12:15:17Z</dcterms:modified>
</cp:coreProperties>
</file>