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C:\Users\hanxi\Desktop\智慧用电\08 核心技术\01 节能分析\东南大学溧阳研究院-节能数据分析\"/>
    </mc:Choice>
  </mc:AlternateContent>
  <xr:revisionPtr revIDLastSave="0" documentId="13_ncr:1_{9A93CC66-9828-4A7C-A284-BF1BE92332F7}" xr6:coauthVersionLast="36" xr6:coauthVersionMax="36" xr10:uidLastSave="{00000000-0000-0000-0000-000000000000}"/>
  <bookViews>
    <workbookView xWindow="0" yWindow="0" windowWidth="16725" windowHeight="7290" activeTab="1" xr2:uid="{00000000-000D-0000-FFFF-FFFF00000000}"/>
  </bookViews>
  <sheets>
    <sheet name="房屋结构矩阵" sheetId="1" r:id="rId1"/>
    <sheet name="房屋结构参数矩阵" sheetId="2" r:id="rId2"/>
    <sheet name="房屋体积" sheetId="3" r:id="rId3"/>
    <sheet name="空调负荷" sheetId="4" r:id="rId4"/>
    <sheet name="照明负荷" sheetId="5" r:id="rId5"/>
  </sheets>
  <definedNames>
    <definedName name="_xlnm._FilterDatabase" localSheetId="1" hidden="1">房屋结构参数矩阵!$A$1:$O$252</definedName>
    <definedName name="_xlnm.Print_Area" localSheetId="1">房屋结构参数矩阵!$A$1:$H$252</definedName>
    <definedName name="_xlnm.Print_Titles" localSheetId="1">房屋结构参数矩阵!$1:$1</definedName>
  </definedNames>
  <calcPr calcId="191029"/>
</workbook>
</file>

<file path=xl/calcChain.xml><?xml version="1.0" encoding="utf-8"?>
<calcChain xmlns="http://schemas.openxmlformats.org/spreadsheetml/2006/main">
  <c r="E51" i="5" l="1"/>
  <c r="D51" i="5"/>
  <c r="C51" i="5"/>
  <c r="C50" i="5"/>
  <c r="E49" i="5"/>
  <c r="D49" i="5"/>
  <c r="C49" i="5"/>
  <c r="E48" i="5"/>
  <c r="D48" i="5"/>
  <c r="C48" i="5"/>
  <c r="C47" i="5"/>
  <c r="C45" i="5"/>
  <c r="C44" i="5"/>
  <c r="D43" i="5"/>
  <c r="C42" i="5"/>
  <c r="D41" i="5"/>
  <c r="C41" i="5"/>
  <c r="G40" i="5"/>
  <c r="F40" i="5"/>
  <c r="E40" i="5"/>
  <c r="D40" i="5"/>
  <c r="C40" i="5"/>
  <c r="D39" i="5"/>
  <c r="C39" i="5"/>
  <c r="C36" i="5"/>
  <c r="C35" i="5"/>
  <c r="F34" i="5"/>
  <c r="E34" i="5"/>
  <c r="D34" i="5"/>
  <c r="C34" i="5"/>
  <c r="F33" i="5"/>
  <c r="E33" i="5"/>
  <c r="D33" i="5"/>
  <c r="C33" i="5"/>
  <c r="D32" i="5"/>
  <c r="C32" i="5"/>
  <c r="D31" i="5"/>
  <c r="C31" i="5"/>
  <c r="D30" i="5"/>
  <c r="C30" i="5"/>
  <c r="D29" i="5"/>
  <c r="C29" i="5"/>
  <c r="H28" i="5"/>
  <c r="G28" i="5"/>
  <c r="F28" i="5"/>
  <c r="E28" i="5"/>
  <c r="D28" i="5"/>
  <c r="C28" i="5"/>
  <c r="E24" i="5"/>
  <c r="D24" i="5"/>
  <c r="C24" i="5"/>
  <c r="F23" i="5"/>
  <c r="E23" i="5"/>
  <c r="D23" i="5"/>
  <c r="C23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F15" i="5"/>
  <c r="E15" i="5"/>
  <c r="D15" i="5"/>
  <c r="C15" i="5"/>
  <c r="F14" i="5"/>
  <c r="E14" i="5"/>
  <c r="D14" i="5"/>
  <c r="C14" i="5"/>
  <c r="G13" i="5"/>
  <c r="F13" i="5"/>
  <c r="E13" i="5"/>
  <c r="D13" i="5"/>
  <c r="C11" i="5"/>
  <c r="C10" i="5"/>
  <c r="C9" i="5"/>
  <c r="D8" i="5"/>
  <c r="C8" i="5"/>
  <c r="C7" i="5"/>
  <c r="C6" i="5"/>
  <c r="E76" i="3"/>
  <c r="E74" i="3"/>
  <c r="E72" i="3"/>
  <c r="E70" i="3"/>
  <c r="E69" i="3"/>
  <c r="E68" i="3"/>
  <c r="E66" i="3"/>
  <c r="E64" i="3"/>
  <c r="E63" i="3"/>
  <c r="E62" i="3"/>
  <c r="E60" i="3"/>
  <c r="E59" i="3"/>
  <c r="E57" i="3"/>
  <c r="E56" i="3"/>
  <c r="E55" i="3"/>
  <c r="E54" i="3"/>
  <c r="E52" i="3"/>
  <c r="E45" i="3"/>
  <c r="E44" i="3"/>
  <c r="E43" i="3"/>
  <c r="E42" i="3"/>
  <c r="E41" i="3"/>
  <c r="E40" i="3"/>
  <c r="E37" i="3"/>
  <c r="E36" i="3"/>
  <c r="E35" i="3"/>
  <c r="E34" i="3"/>
  <c r="E33" i="3"/>
  <c r="E31" i="3"/>
  <c r="E29" i="3"/>
  <c r="E28" i="3"/>
  <c r="E27" i="3"/>
  <c r="E26" i="3"/>
  <c r="E25" i="3"/>
  <c r="E24" i="3"/>
  <c r="E23" i="3"/>
  <c r="E22" i="3"/>
  <c r="E21" i="3"/>
  <c r="E18" i="3"/>
  <c r="E17" i="3"/>
  <c r="E15" i="3"/>
  <c r="E12" i="3"/>
  <c r="E11" i="3"/>
  <c r="E10" i="3"/>
  <c r="E8" i="3"/>
  <c r="E6" i="3"/>
  <c r="E5" i="3"/>
  <c r="E4" i="3"/>
  <c r="E3" i="3"/>
  <c r="E2" i="3"/>
  <c r="E252" i="2"/>
  <c r="E251" i="2"/>
  <c r="E250" i="2"/>
  <c r="E248" i="2"/>
  <c r="E247" i="2"/>
  <c r="E246" i="2"/>
  <c r="E249" i="2" s="1"/>
  <c r="E245" i="2"/>
  <c r="E244" i="2"/>
  <c r="E243" i="2"/>
  <c r="E242" i="2"/>
  <c r="E241" i="2"/>
  <c r="E240" i="2"/>
  <c r="E239" i="2"/>
  <c r="E237" i="2"/>
  <c r="E238" i="2" s="1"/>
  <c r="E236" i="2"/>
  <c r="E235" i="2"/>
  <c r="E234" i="2"/>
  <c r="E233" i="2"/>
  <c r="E232" i="2"/>
  <c r="E231" i="2"/>
  <c r="E228" i="2"/>
  <c r="E226" i="2"/>
  <c r="E227" i="2" s="1"/>
  <c r="E225" i="2"/>
  <c r="E224" i="2"/>
  <c r="E222" i="2"/>
  <c r="E223" i="2" s="1"/>
  <c r="E221" i="2"/>
  <c r="E220" i="2"/>
  <c r="E219" i="2"/>
  <c r="E217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4" i="2"/>
  <c r="E195" i="2" s="1"/>
  <c r="E193" i="2"/>
  <c r="E191" i="2"/>
  <c r="E192" i="2" s="1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2" i="2"/>
  <c r="E173" i="2" s="1"/>
  <c r="E171" i="2"/>
  <c r="E170" i="2"/>
  <c r="E169" i="2"/>
  <c r="E168" i="2"/>
  <c r="E167" i="2"/>
  <c r="E166" i="2"/>
  <c r="E165" i="2"/>
  <c r="E163" i="2"/>
  <c r="E164" i="2" s="1"/>
  <c r="E162" i="2"/>
  <c r="E161" i="2"/>
  <c r="E159" i="2"/>
  <c r="E157" i="2"/>
  <c r="E156" i="2"/>
  <c r="E155" i="2"/>
  <c r="E154" i="2"/>
  <c r="E153" i="2"/>
  <c r="E152" i="2"/>
  <c r="E151" i="2"/>
  <c r="E149" i="2"/>
  <c r="E150" i="2" s="1"/>
  <c r="E148" i="2"/>
  <c r="E147" i="2"/>
  <c r="E145" i="2"/>
  <c r="E143" i="2"/>
  <c r="E141" i="2"/>
  <c r="E139" i="2"/>
  <c r="E138" i="2"/>
  <c r="E137" i="2"/>
  <c r="E136" i="2"/>
  <c r="E135" i="2"/>
  <c r="E134" i="2"/>
  <c r="E132" i="2"/>
  <c r="E131" i="2"/>
  <c r="E129" i="2"/>
  <c r="E130" i="2" s="1"/>
  <c r="E128" i="2"/>
  <c r="E126" i="2"/>
  <c r="E127" i="2" s="1"/>
  <c r="E125" i="2"/>
  <c r="E124" i="2"/>
  <c r="E122" i="2"/>
  <c r="E120" i="2"/>
  <c r="E119" i="2"/>
  <c r="E118" i="2"/>
  <c r="E117" i="2"/>
  <c r="E116" i="2"/>
  <c r="E114" i="2"/>
  <c r="E113" i="2"/>
  <c r="E111" i="2"/>
  <c r="E112" i="2" s="1"/>
  <c r="E110" i="2"/>
  <c r="E109" i="2"/>
  <c r="E108" i="2"/>
  <c r="E107" i="2"/>
  <c r="E105" i="2"/>
  <c r="E106" i="2" s="1"/>
  <c r="E104" i="2"/>
  <c r="E103" i="2"/>
  <c r="E101" i="2"/>
  <c r="E102" i="2" s="1"/>
  <c r="E99" i="2"/>
  <c r="E100" i="2" s="1"/>
  <c r="E98" i="2"/>
  <c r="E95" i="2"/>
  <c r="E94" i="2"/>
  <c r="E93" i="2"/>
  <c r="E90" i="2"/>
  <c r="E91" i="2" s="1"/>
  <c r="E89" i="2"/>
  <c r="E85" i="2"/>
  <c r="E86" i="2" s="1"/>
  <c r="E84" i="2"/>
  <c r="E79" i="2"/>
  <c r="E76" i="2"/>
  <c r="E75" i="2"/>
  <c r="E74" i="2"/>
  <c r="E72" i="2"/>
  <c r="E73" i="2" s="1"/>
  <c r="E70" i="2"/>
  <c r="E71" i="2" s="1"/>
  <c r="E68" i="2"/>
  <c r="E67" i="2"/>
  <c r="E65" i="2"/>
  <c r="E66" i="2" s="1"/>
  <c r="E63" i="2"/>
  <c r="E62" i="2"/>
  <c r="E64" i="2" s="1"/>
  <c r="E61" i="2"/>
  <c r="E59" i="2"/>
  <c r="E60" i="2" s="1"/>
  <c r="E58" i="2"/>
  <c r="E57" i="2"/>
  <c r="E56" i="2"/>
  <c r="E55" i="2"/>
  <c r="E54" i="2"/>
  <c r="E53" i="2"/>
  <c r="E52" i="2"/>
  <c r="E51" i="2"/>
  <c r="E50" i="2"/>
  <c r="E49" i="2"/>
  <c r="E47" i="2"/>
  <c r="E46" i="2"/>
  <c r="E48" i="2" s="1"/>
  <c r="E45" i="2"/>
  <c r="E44" i="2"/>
  <c r="E43" i="2"/>
  <c r="E42" i="2"/>
  <c r="E39" i="2"/>
  <c r="E40" i="2" s="1"/>
  <c r="E38" i="2"/>
  <c r="E37" i="2" s="1"/>
  <c r="E41" i="2" s="1"/>
  <c r="E35" i="2"/>
  <c r="E36" i="2" s="1"/>
  <c r="E34" i="2"/>
  <c r="E32" i="2"/>
  <c r="E31" i="2"/>
  <c r="E30" i="2"/>
  <c r="E29" i="2"/>
  <c r="E28" i="2"/>
  <c r="E27" i="2"/>
  <c r="E26" i="2"/>
  <c r="E25" i="2"/>
  <c r="E24" i="2"/>
  <c r="E23" i="2"/>
  <c r="E21" i="2"/>
  <c r="E18" i="2"/>
  <c r="E19" i="2" s="1"/>
  <c r="E17" i="2"/>
  <c r="E16" i="2"/>
  <c r="E15" i="2"/>
  <c r="E14" i="2"/>
  <c r="E12" i="2"/>
  <c r="E13" i="2" s="1"/>
  <c r="E11" i="2"/>
  <c r="E9" i="2"/>
  <c r="E10" i="2" s="1"/>
  <c r="E8" i="2"/>
  <c r="E6" i="2"/>
  <c r="E7" i="2" s="1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A1" authorId="0" shapeId="0" xr:uid="{00000000-0006-0000-0400-000001000000}">
      <text>
        <r>
          <rPr>
            <b/>
            <sz val="9"/>
            <rFont val="宋体"/>
            <charset val="134"/>
          </rPr>
          <t>mac:</t>
        </r>
        <r>
          <rPr>
            <sz val="9"/>
            <rFont val="宋体"/>
            <charset val="134"/>
          </rPr>
          <t xml:space="preserve">
筒灯9W，射灯7W，LED灯55W，日光灯20W，灯带暂估18W</t>
        </r>
      </text>
    </comment>
  </commentList>
</comments>
</file>

<file path=xl/sharedStrings.xml><?xml version="1.0" encoding="utf-8"?>
<sst xmlns="http://schemas.openxmlformats.org/spreadsheetml/2006/main" count="37" uniqueCount="30">
  <si>
    <t>区域</t>
  </si>
  <si>
    <t>区域1</t>
  </si>
  <si>
    <t>区域2</t>
  </si>
  <si>
    <t>介质类型</t>
  </si>
  <si>
    <t>材质</t>
  </si>
  <si>
    <t>面积（㎡）</t>
  </si>
  <si>
    <t>厚度（m）</t>
  </si>
  <si>
    <t>朝向</t>
  </si>
  <si>
    <t>备注</t>
  </si>
  <si>
    <t>% 第1列：1-窗户；2-门；3-外墙；4-内墙；5-屋顶；6-地面；7-敞开 等
% 第2列：1-空；2-普通玻璃；3-水泥；4-木质；5-铁门 等
% 第3列：面积
% 第4列：厚度
% 第5列：朝向：1-向北；2-向东；3-向南；4-向西</t>
  </si>
  <si>
    <t>货梯门</t>
  </si>
  <si>
    <t>长（m）</t>
  </si>
  <si>
    <t>宽（m）</t>
  </si>
  <si>
    <t>高（m）</t>
  </si>
  <si>
    <t>体积（m³）</t>
  </si>
  <si>
    <t>电梯井</t>
  </si>
  <si>
    <t>智慧大课堂</t>
  </si>
  <si>
    <t>空调数量（台）</t>
  </si>
  <si>
    <t>第1台的运行功率（W）</t>
  </si>
  <si>
    <t>第2台的运行功率（W）</t>
  </si>
  <si>
    <t>第3台的运行功率（W）</t>
  </si>
  <si>
    <t>第4台的运行功率（W）</t>
  </si>
  <si>
    <t>2480（壁挂）</t>
  </si>
  <si>
    <t>开关触点数（个）</t>
  </si>
  <si>
    <t>第1触点功率（W）</t>
  </si>
  <si>
    <t>第2触点功率（W）</t>
  </si>
  <si>
    <t>第3触点功率（W）</t>
  </si>
  <si>
    <t>第4触点功率（W）</t>
  </si>
  <si>
    <t>第5触点功率（W）</t>
  </si>
  <si>
    <t>第6触点功率（W）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</si>
</sst>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workbookViewId="0">
      <pane xSplit="1" ySplit="1" topLeftCell="B2" activePane="bottomRight" state="frozenSplit"/>
      <selection pane="topRight"/>
      <selection pane="bottomLeft"/>
      <selection pane="bottomRight"/>
    </sheetView>
  </sheetViews>
  <sheetFormatPr defaultColWidth="8.875" defaultRowHeight="13.5" x14ac:dyDescent="0.15"/>
  <cols>
    <col min="1" max="1" width="5.125" style="4" customWidth="1"/>
    <col min="2" max="51" width="3.625" style="4" customWidth="1"/>
    <col min="52" max="16384" width="8.875" style="4"/>
  </cols>
  <sheetData>
    <row r="1" spans="1:51" x14ac:dyDescent="0.1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15">
      <c r="A2" s="4">
        <v>1</v>
      </c>
      <c r="B2" s="37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0</v>
      </c>
      <c r="J2" s="5">
        <v>0</v>
      </c>
      <c r="K2" s="5">
        <v>1</v>
      </c>
      <c r="L2" s="5">
        <v>0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0</v>
      </c>
      <c r="V2" s="5">
        <v>1</v>
      </c>
      <c r="W2" s="5">
        <v>0</v>
      </c>
      <c r="X2" s="5">
        <v>1</v>
      </c>
      <c r="Y2" s="5">
        <v>0</v>
      </c>
      <c r="Z2" s="5">
        <v>0</v>
      </c>
      <c r="AA2" s="5">
        <v>1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1</v>
      </c>
      <c r="AH2" s="5">
        <v>1</v>
      </c>
      <c r="AI2" s="5">
        <v>1</v>
      </c>
      <c r="AJ2" s="5">
        <v>1</v>
      </c>
      <c r="AK2" s="5">
        <v>0</v>
      </c>
      <c r="AL2" s="5">
        <v>1</v>
      </c>
      <c r="AM2" s="5">
        <v>1</v>
      </c>
      <c r="AN2" s="5">
        <v>1</v>
      </c>
      <c r="AO2" s="5">
        <v>1</v>
      </c>
      <c r="AP2" s="5">
        <v>0</v>
      </c>
      <c r="AQ2" s="5">
        <v>0</v>
      </c>
      <c r="AR2" s="5">
        <v>1</v>
      </c>
      <c r="AS2" s="5">
        <v>1</v>
      </c>
      <c r="AT2" s="5">
        <v>0</v>
      </c>
      <c r="AU2" s="5">
        <v>1</v>
      </c>
      <c r="AV2" s="5">
        <v>1</v>
      </c>
      <c r="AW2" s="5">
        <v>1</v>
      </c>
      <c r="AX2" s="5">
        <v>0</v>
      </c>
      <c r="AY2" s="5">
        <v>1</v>
      </c>
    </row>
    <row r="3" spans="1:51" x14ac:dyDescent="0.15">
      <c r="A3" s="4">
        <v>2</v>
      </c>
      <c r="B3" s="5">
        <v>1</v>
      </c>
      <c r="C3" s="37">
        <v>1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</row>
    <row r="4" spans="1:51" x14ac:dyDescent="0.15">
      <c r="A4" s="4">
        <v>3</v>
      </c>
      <c r="B4" s="5">
        <v>1</v>
      </c>
      <c r="C4" s="5">
        <v>1</v>
      </c>
      <c r="D4" s="37">
        <v>1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</row>
    <row r="5" spans="1:51" x14ac:dyDescent="0.15">
      <c r="A5" s="4">
        <v>4</v>
      </c>
      <c r="B5" s="5">
        <v>1</v>
      </c>
      <c r="C5" s="5">
        <v>0</v>
      </c>
      <c r="D5" s="5">
        <v>1</v>
      </c>
      <c r="E5" s="37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</row>
    <row r="6" spans="1:51" x14ac:dyDescent="0.15">
      <c r="A6" s="4">
        <v>5</v>
      </c>
      <c r="B6" s="5">
        <v>1</v>
      </c>
      <c r="C6" s="5">
        <v>0</v>
      </c>
      <c r="D6" s="5">
        <v>0</v>
      </c>
      <c r="E6" s="5">
        <v>1</v>
      </c>
      <c r="F6" s="37">
        <v>1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</row>
    <row r="7" spans="1:51" x14ac:dyDescent="0.15">
      <c r="A7" s="4">
        <v>6</v>
      </c>
      <c r="B7" s="5">
        <v>1</v>
      </c>
      <c r="C7" s="5">
        <v>0</v>
      </c>
      <c r="D7" s="5">
        <v>0</v>
      </c>
      <c r="E7" s="5">
        <v>0</v>
      </c>
      <c r="F7" s="5">
        <v>1</v>
      </c>
      <c r="G7" s="37">
        <v>1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</row>
    <row r="8" spans="1:51" x14ac:dyDescent="0.15">
      <c r="A8" s="4">
        <v>7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37">
        <v>1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</row>
    <row r="9" spans="1:51" x14ac:dyDescent="0.15">
      <c r="A9" s="4">
        <v>8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37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</row>
    <row r="10" spans="1:51" x14ac:dyDescent="0.15">
      <c r="A10" s="4">
        <v>9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0</v>
      </c>
      <c r="I10" s="5">
        <v>1</v>
      </c>
      <c r="J10" s="37">
        <v>2</v>
      </c>
      <c r="K10" s="5">
        <v>0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</row>
    <row r="11" spans="1:51" x14ac:dyDescent="0.15">
      <c r="A11" s="4">
        <v>10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1</v>
      </c>
      <c r="K11" s="37">
        <v>1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</row>
    <row r="12" spans="1:51" x14ac:dyDescent="0.15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1</v>
      </c>
      <c r="K12" s="5">
        <v>0</v>
      </c>
      <c r="L12" s="37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</row>
    <row r="13" spans="1:51" x14ac:dyDescent="0.15">
      <c r="A13" s="4">
        <v>12</v>
      </c>
      <c r="B13" s="5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37">
        <v>2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</row>
    <row r="14" spans="1:51" x14ac:dyDescent="0.15">
      <c r="A14" s="4">
        <v>13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37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</row>
    <row r="15" spans="1:51" x14ac:dyDescent="0.15">
      <c r="A15" s="4">
        <v>14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37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</row>
    <row r="16" spans="1:51" x14ac:dyDescent="0.15">
      <c r="A16" s="4">
        <v>15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0</v>
      </c>
      <c r="P16" s="37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</row>
    <row r="17" spans="1:51" x14ac:dyDescent="0.15">
      <c r="A17" s="4">
        <v>16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1</v>
      </c>
      <c r="P17" s="5">
        <v>0</v>
      </c>
      <c r="Q17" s="37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</row>
    <row r="18" spans="1:51" x14ac:dyDescent="0.15">
      <c r="A18" s="4">
        <v>17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1</v>
      </c>
      <c r="Q18" s="5">
        <v>0</v>
      </c>
      <c r="R18" s="37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</row>
    <row r="19" spans="1:51" x14ac:dyDescent="0.15">
      <c r="A19" s="4">
        <v>18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1</v>
      </c>
      <c r="R19" s="5">
        <v>0</v>
      </c>
      <c r="S19" s="37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</row>
    <row r="20" spans="1:51" x14ac:dyDescent="0.15">
      <c r="A20" s="4">
        <v>19</v>
      </c>
      <c r="B20" s="5">
        <v>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  <c r="T20" s="37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</row>
    <row r="21" spans="1:51" x14ac:dyDescent="0.15">
      <c r="A21" s="4">
        <v>20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37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</row>
    <row r="22" spans="1:51" x14ac:dyDescent="0.15">
      <c r="A22" s="4">
        <v>21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37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</row>
    <row r="23" spans="1:51" x14ac:dyDescent="0.15">
      <c r="A23" s="4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1</v>
      </c>
      <c r="V23" s="5">
        <v>1</v>
      </c>
      <c r="W23" s="37">
        <v>2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</row>
    <row r="24" spans="1:51" x14ac:dyDescent="0.15">
      <c r="A24" s="4">
        <v>23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37">
        <v>2</v>
      </c>
      <c r="Y24" s="5">
        <v>0</v>
      </c>
      <c r="Z24" s="5">
        <v>0</v>
      </c>
      <c r="AA24" s="5">
        <v>0</v>
      </c>
      <c r="AB24" s="5">
        <v>1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</row>
    <row r="25" spans="1:51" x14ac:dyDescent="0.15">
      <c r="A25" s="4">
        <v>24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</v>
      </c>
      <c r="Y25" s="37">
        <v>1</v>
      </c>
      <c r="Z25" s="5">
        <v>0</v>
      </c>
      <c r="AA25" s="5">
        <v>1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</row>
    <row r="26" spans="1:51" x14ac:dyDescent="0.15">
      <c r="A26" s="4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1</v>
      </c>
      <c r="Z26" s="37">
        <v>1</v>
      </c>
      <c r="AA26" s="5">
        <v>0</v>
      </c>
      <c r="AB26" s="5">
        <v>1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</row>
    <row r="27" spans="1:51" x14ac:dyDescent="0.15">
      <c r="A27" s="4">
        <v>26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1</v>
      </c>
      <c r="Z27" s="5">
        <v>1</v>
      </c>
      <c r="AA27" s="37">
        <v>2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</row>
    <row r="28" spans="1:51" x14ac:dyDescent="0.15">
      <c r="A28" s="4">
        <v>27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0</v>
      </c>
      <c r="Z28" s="5">
        <v>1</v>
      </c>
      <c r="AA28" s="5">
        <v>0</v>
      </c>
      <c r="AB28" s="37">
        <v>2</v>
      </c>
      <c r="AC28" s="5">
        <v>0</v>
      </c>
      <c r="AD28" s="5">
        <v>0</v>
      </c>
      <c r="AE28" s="5">
        <v>1</v>
      </c>
      <c r="AF28" s="5">
        <v>1</v>
      </c>
      <c r="AG28" s="5">
        <v>0</v>
      </c>
      <c r="AH28" s="5">
        <v>0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</row>
    <row r="29" spans="1:51" x14ac:dyDescent="0.15">
      <c r="A29" s="4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0</v>
      </c>
      <c r="W29" s="5">
        <v>1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37">
        <v>1</v>
      </c>
      <c r="AD29" s="5">
        <v>0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</row>
    <row r="30" spans="1:51" x14ac:dyDescent="0.15">
      <c r="A30" s="4">
        <v>29</v>
      </c>
      <c r="B30" s="5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37">
        <v>1</v>
      </c>
      <c r="AE30" s="5">
        <v>0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</row>
    <row r="31" spans="1:51" x14ac:dyDescent="0.15">
      <c r="A31" s="4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0</v>
      </c>
      <c r="Z31" s="5">
        <v>0</v>
      </c>
      <c r="AA31" s="5">
        <v>0</v>
      </c>
      <c r="AB31" s="5">
        <v>1</v>
      </c>
      <c r="AC31" s="5">
        <v>1</v>
      </c>
      <c r="AD31" s="5">
        <v>0</v>
      </c>
      <c r="AE31" s="37">
        <v>1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</row>
    <row r="32" spans="1:51" x14ac:dyDescent="0.15">
      <c r="A32" s="4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1</v>
      </c>
      <c r="AC32" s="5">
        <v>0</v>
      </c>
      <c r="AD32" s="5">
        <v>1</v>
      </c>
      <c r="AE32" s="5">
        <v>1</v>
      </c>
      <c r="AF32" s="37">
        <v>1</v>
      </c>
      <c r="AG32" s="5">
        <v>0</v>
      </c>
      <c r="AH32" s="5">
        <v>0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</row>
    <row r="33" spans="1:51" x14ac:dyDescent="0.15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1</v>
      </c>
      <c r="AE33" s="5">
        <v>0</v>
      </c>
      <c r="AF33" s="5">
        <v>1</v>
      </c>
      <c r="AG33" s="37">
        <v>1</v>
      </c>
      <c r="AH33" s="5">
        <v>0</v>
      </c>
      <c r="AI33" s="5">
        <v>1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</row>
    <row r="34" spans="1:51" x14ac:dyDescent="0.15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</v>
      </c>
      <c r="AH34" s="37">
        <v>1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</row>
    <row r="35" spans="1:51" x14ac:dyDescent="0.15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1</v>
      </c>
      <c r="AG35" s="5">
        <v>1</v>
      </c>
      <c r="AH35" s="5">
        <v>1</v>
      </c>
      <c r="AI35" s="37">
        <v>2</v>
      </c>
      <c r="AJ35" s="5">
        <v>1</v>
      </c>
      <c r="AK35" s="5">
        <v>1</v>
      </c>
      <c r="AL35" s="5">
        <v>0</v>
      </c>
      <c r="AM35" s="5">
        <v>1</v>
      </c>
      <c r="AN35" s="5">
        <v>1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1</v>
      </c>
      <c r="AW35" s="5">
        <v>1</v>
      </c>
      <c r="AX35" s="5">
        <v>1</v>
      </c>
      <c r="AY35" s="5">
        <v>0</v>
      </c>
    </row>
    <row r="36" spans="1:51" x14ac:dyDescent="0.15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  <c r="AJ36" s="37">
        <v>1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</row>
    <row r="37" spans="1:51" x14ac:dyDescent="0.15">
      <c r="A37" s="4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1</v>
      </c>
      <c r="AJ37" s="5">
        <v>1</v>
      </c>
      <c r="AK37" s="37">
        <v>1</v>
      </c>
      <c r="AL37" s="5">
        <v>1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</row>
    <row r="38" spans="1:51" x14ac:dyDescent="0.15">
      <c r="A38" s="4">
        <v>37</v>
      </c>
      <c r="B38" s="5">
        <v>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</v>
      </c>
      <c r="AK38" s="5">
        <v>1</v>
      </c>
      <c r="AL38" s="37">
        <v>1</v>
      </c>
      <c r="AM38" s="5">
        <v>1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</row>
    <row r="39" spans="1:51" x14ac:dyDescent="0.15">
      <c r="A39" s="4">
        <v>38</v>
      </c>
      <c r="B39" s="5">
        <v>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1</v>
      </c>
      <c r="AL39" s="5">
        <v>1</v>
      </c>
      <c r="AM39" s="37">
        <v>2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</row>
    <row r="40" spans="1:51" x14ac:dyDescent="0.15">
      <c r="A40" s="4">
        <v>39</v>
      </c>
      <c r="B40" s="5">
        <v>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1</v>
      </c>
      <c r="AI40" s="5">
        <v>1</v>
      </c>
      <c r="AJ40" s="5">
        <v>0</v>
      </c>
      <c r="AK40" s="5">
        <v>0</v>
      </c>
      <c r="AL40" s="5">
        <v>0</v>
      </c>
      <c r="AM40" s="5">
        <v>0</v>
      </c>
      <c r="AN40" s="37">
        <v>2</v>
      </c>
      <c r="AO40" s="5">
        <v>1</v>
      </c>
      <c r="AP40" s="5">
        <v>1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</row>
    <row r="41" spans="1:51" x14ac:dyDescent="0.15">
      <c r="A41" s="4">
        <v>40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1</v>
      </c>
      <c r="AO41" s="37">
        <v>1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</row>
    <row r="42" spans="1:51" x14ac:dyDescent="0.15">
      <c r="A42" s="4"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1</v>
      </c>
      <c r="AJ42" s="5">
        <v>0</v>
      </c>
      <c r="AK42" s="5">
        <v>0</v>
      </c>
      <c r="AL42" s="5">
        <v>0</v>
      </c>
      <c r="AM42" s="5">
        <v>0</v>
      </c>
      <c r="AN42" s="5">
        <v>1</v>
      </c>
      <c r="AO42" s="5">
        <v>0</v>
      </c>
      <c r="AP42" s="37">
        <v>2</v>
      </c>
      <c r="AQ42" s="5">
        <v>1</v>
      </c>
      <c r="AR42" s="5">
        <v>0</v>
      </c>
      <c r="AS42" s="5">
        <v>0</v>
      </c>
      <c r="AT42" s="5">
        <v>1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</row>
    <row r="43" spans="1:51" x14ac:dyDescent="0.15">
      <c r="A43" s="4"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1</v>
      </c>
      <c r="AQ43" s="37">
        <v>2</v>
      </c>
      <c r="AR43" s="5">
        <v>1</v>
      </c>
      <c r="AS43" s="5">
        <v>1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</row>
    <row r="44" spans="1:51" x14ac:dyDescent="0.15">
      <c r="A44" s="4">
        <v>43</v>
      </c>
      <c r="B44" s="5">
        <v>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1</v>
      </c>
      <c r="AR44" s="37">
        <v>1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</row>
    <row r="45" spans="1:51" x14ac:dyDescent="0.15">
      <c r="A45" s="4">
        <v>44</v>
      </c>
      <c r="B45" s="5">
        <v>1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1</v>
      </c>
      <c r="AR45" s="5">
        <v>1</v>
      </c>
      <c r="AS45" s="37">
        <v>1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</row>
    <row r="46" spans="1:51" x14ac:dyDescent="0.15">
      <c r="A46" s="4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1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1</v>
      </c>
      <c r="AQ46" s="5">
        <v>1</v>
      </c>
      <c r="AR46" s="5">
        <v>0</v>
      </c>
      <c r="AS46" s="5">
        <v>1</v>
      </c>
      <c r="AT46" s="37">
        <v>2</v>
      </c>
      <c r="AU46" s="5">
        <v>1</v>
      </c>
      <c r="AV46" s="5">
        <v>0</v>
      </c>
      <c r="AW46" s="5">
        <v>0</v>
      </c>
      <c r="AX46" s="5">
        <v>0</v>
      </c>
      <c r="AY46" s="5">
        <v>0</v>
      </c>
    </row>
    <row r="47" spans="1:51" x14ac:dyDescent="0.15">
      <c r="A47" s="4">
        <v>46</v>
      </c>
      <c r="B47" s="5">
        <v>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1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</v>
      </c>
      <c r="AT47" s="5">
        <v>1</v>
      </c>
      <c r="AU47" s="37">
        <v>1</v>
      </c>
      <c r="AV47" s="5">
        <v>0</v>
      </c>
      <c r="AW47" s="5">
        <v>0</v>
      </c>
      <c r="AX47" s="5">
        <v>0</v>
      </c>
      <c r="AY47" s="5">
        <v>0</v>
      </c>
    </row>
    <row r="48" spans="1:51" x14ac:dyDescent="0.15">
      <c r="A48" s="4">
        <v>47</v>
      </c>
      <c r="B48" s="5">
        <v>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1</v>
      </c>
      <c r="AJ48" s="5">
        <v>0</v>
      </c>
      <c r="AK48" s="5">
        <v>0</v>
      </c>
      <c r="AL48" s="5">
        <v>0</v>
      </c>
      <c r="AM48" s="5">
        <v>1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37">
        <v>1</v>
      </c>
      <c r="AW48" s="5">
        <v>0</v>
      </c>
      <c r="AX48" s="5">
        <v>0</v>
      </c>
      <c r="AY48" s="5">
        <v>0</v>
      </c>
    </row>
    <row r="49" spans="1:51" x14ac:dyDescent="0.15">
      <c r="A49" s="4">
        <v>48</v>
      </c>
      <c r="B49" s="5">
        <v>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1</v>
      </c>
      <c r="AW49" s="37">
        <v>1</v>
      </c>
      <c r="AX49" s="5">
        <v>0</v>
      </c>
      <c r="AY49" s="5">
        <v>0</v>
      </c>
    </row>
    <row r="50" spans="1:51" x14ac:dyDescent="0.15">
      <c r="A50" s="4">
        <v>49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1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1</v>
      </c>
      <c r="AX50" s="37">
        <v>1</v>
      </c>
      <c r="AY50" s="5">
        <v>0</v>
      </c>
    </row>
    <row r="51" spans="1:51" x14ac:dyDescent="0.15">
      <c r="A51" s="4">
        <v>50</v>
      </c>
      <c r="B51" s="5">
        <v>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1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1</v>
      </c>
      <c r="AY51" s="37">
        <v>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2"/>
  <sheetViews>
    <sheetView tabSelected="1" workbookViewId="0">
      <pane xSplit="1" ySplit="1" topLeftCell="B221" activePane="bottomRight" state="frozen"/>
      <selection pane="topRight"/>
      <selection pane="bottomLeft"/>
      <selection pane="bottomRight" activeCell="H113" sqref="H113"/>
    </sheetView>
  </sheetViews>
  <sheetFormatPr defaultColWidth="8.875" defaultRowHeight="13.5" x14ac:dyDescent="0.15"/>
  <cols>
    <col min="1" max="2" width="7.5" style="14" customWidth="1"/>
    <col min="3" max="4" width="8.875" style="14"/>
    <col min="5" max="5" width="11.25" style="15" customWidth="1"/>
    <col min="6" max="6" width="9.5" style="14" customWidth="1"/>
    <col min="7" max="7" width="8.875" style="14"/>
    <col min="8" max="8" width="11.5" style="16" customWidth="1"/>
    <col min="9" max="16384" width="8.875" style="14"/>
  </cols>
  <sheetData>
    <row r="1" spans="1:15" s="11" customFormat="1" x14ac:dyDescent="0.15">
      <c r="A1" s="17" t="s">
        <v>1</v>
      </c>
      <c r="B1" s="17" t="s">
        <v>2</v>
      </c>
      <c r="C1" s="17" t="s">
        <v>3</v>
      </c>
      <c r="D1" s="17" t="s">
        <v>4</v>
      </c>
      <c r="E1" s="18" t="s">
        <v>5</v>
      </c>
      <c r="F1" s="17" t="s">
        <v>6</v>
      </c>
      <c r="G1" s="17" t="s">
        <v>7</v>
      </c>
      <c r="H1" s="19" t="s">
        <v>8</v>
      </c>
    </row>
    <row r="2" spans="1:15" x14ac:dyDescent="0.15">
      <c r="A2" s="20">
        <v>2</v>
      </c>
      <c r="B2" s="20">
        <v>1</v>
      </c>
      <c r="C2" s="20">
        <v>3</v>
      </c>
      <c r="D2" s="20">
        <v>3</v>
      </c>
      <c r="E2" s="21">
        <f>房屋体积!B3*房屋体积!D3</f>
        <v>0</v>
      </c>
      <c r="F2" s="20">
        <v>0.2</v>
      </c>
      <c r="G2" s="20">
        <v>1</v>
      </c>
      <c r="H2" s="22"/>
      <c r="I2" s="38" t="s">
        <v>9</v>
      </c>
      <c r="J2" s="38"/>
      <c r="K2" s="38"/>
      <c r="L2" s="38"/>
      <c r="M2" s="38"/>
      <c r="N2" s="38"/>
      <c r="O2" s="38"/>
    </row>
    <row r="3" spans="1:15" x14ac:dyDescent="0.15">
      <c r="A3" s="20">
        <v>2</v>
      </c>
      <c r="B3" s="20">
        <v>1</v>
      </c>
      <c r="C3" s="20">
        <v>3</v>
      </c>
      <c r="D3" s="20">
        <v>3</v>
      </c>
      <c r="E3" s="21">
        <f>房屋体积!C3*房屋体积!D3</f>
        <v>0</v>
      </c>
      <c r="F3" s="20">
        <v>0.2</v>
      </c>
      <c r="G3" s="20">
        <v>4</v>
      </c>
      <c r="H3" s="22"/>
      <c r="I3" s="38"/>
      <c r="J3" s="38"/>
      <c r="K3" s="38"/>
      <c r="L3" s="38"/>
      <c r="M3" s="38"/>
      <c r="N3" s="38"/>
      <c r="O3" s="38"/>
    </row>
    <row r="4" spans="1:15" x14ac:dyDescent="0.15">
      <c r="A4" s="20">
        <v>3</v>
      </c>
      <c r="B4" s="20">
        <v>1</v>
      </c>
      <c r="C4" s="20">
        <v>3</v>
      </c>
      <c r="D4" s="20">
        <v>3</v>
      </c>
      <c r="E4" s="21">
        <f>房屋体积!C4*房屋体积!D4</f>
        <v>12.474</v>
      </c>
      <c r="F4" s="20">
        <v>0.2</v>
      </c>
      <c r="G4" s="20">
        <v>1</v>
      </c>
      <c r="H4" s="22"/>
      <c r="I4" s="38"/>
      <c r="J4" s="38"/>
      <c r="K4" s="38"/>
      <c r="L4" s="38"/>
      <c r="M4" s="38"/>
      <c r="N4" s="38"/>
      <c r="O4" s="38"/>
    </row>
    <row r="5" spans="1:15" x14ac:dyDescent="0.15">
      <c r="A5" s="20">
        <v>3</v>
      </c>
      <c r="B5" s="20">
        <v>2</v>
      </c>
      <c r="C5" s="20">
        <v>4</v>
      </c>
      <c r="D5" s="20">
        <v>3</v>
      </c>
      <c r="E5" s="21">
        <f>房屋体积!B4*房屋体积!D4</f>
        <v>20.411999999999999</v>
      </c>
      <c r="F5" s="20">
        <v>0.2</v>
      </c>
      <c r="G5" s="20">
        <v>4</v>
      </c>
      <c r="H5" s="22"/>
      <c r="I5" s="38"/>
      <c r="J5" s="38"/>
      <c r="K5" s="38"/>
      <c r="L5" s="38"/>
      <c r="M5" s="38"/>
      <c r="N5" s="38"/>
      <c r="O5" s="38"/>
    </row>
    <row r="6" spans="1:15" x14ac:dyDescent="0.15">
      <c r="A6" s="23">
        <v>1</v>
      </c>
      <c r="B6" s="24">
        <v>4</v>
      </c>
      <c r="C6" s="20">
        <v>1</v>
      </c>
      <c r="D6" s="20">
        <v>2</v>
      </c>
      <c r="E6" s="21">
        <f>2.73*1.13*2</f>
        <v>6.1697999999999995</v>
      </c>
      <c r="F6" s="20">
        <v>6.0000000000000001E-3</v>
      </c>
      <c r="G6" s="20">
        <v>1</v>
      </c>
      <c r="H6" s="22"/>
      <c r="I6" s="38"/>
      <c r="J6" s="38"/>
      <c r="K6" s="38"/>
      <c r="L6" s="38"/>
      <c r="M6" s="38"/>
      <c r="N6" s="38"/>
      <c r="O6" s="38"/>
    </row>
    <row r="7" spans="1:15" x14ac:dyDescent="0.15">
      <c r="A7" s="23">
        <v>4</v>
      </c>
      <c r="B7" s="24">
        <v>1</v>
      </c>
      <c r="C7" s="20">
        <v>3</v>
      </c>
      <c r="D7" s="20">
        <v>3</v>
      </c>
      <c r="E7" s="21">
        <f>房屋体积!C5*房屋体积!D5-E6</f>
        <v>11.590200000000003</v>
      </c>
      <c r="F7" s="20">
        <v>0.2</v>
      </c>
      <c r="G7" s="20">
        <v>1</v>
      </c>
      <c r="H7" s="22"/>
      <c r="I7" s="38"/>
      <c r="J7" s="38"/>
      <c r="K7" s="38"/>
      <c r="L7" s="38"/>
      <c r="M7" s="38"/>
      <c r="N7" s="38"/>
      <c r="O7" s="38"/>
    </row>
    <row r="8" spans="1:15" x14ac:dyDescent="0.15">
      <c r="A8" s="20">
        <v>4</v>
      </c>
      <c r="B8" s="20">
        <v>3</v>
      </c>
      <c r="C8" s="20">
        <v>4</v>
      </c>
      <c r="D8" s="20">
        <v>3</v>
      </c>
      <c r="E8" s="21">
        <f>房屋体积!B4*房屋体积!D5</f>
        <v>13.32</v>
      </c>
      <c r="F8" s="20">
        <v>0.2</v>
      </c>
      <c r="G8" s="20">
        <v>4</v>
      </c>
      <c r="H8" s="22"/>
      <c r="I8" s="38"/>
      <c r="J8" s="38"/>
      <c r="K8" s="38"/>
      <c r="L8" s="38"/>
      <c r="M8" s="38"/>
      <c r="N8" s="38"/>
      <c r="O8" s="38"/>
    </row>
    <row r="9" spans="1:15" x14ac:dyDescent="0.15">
      <c r="A9" s="23">
        <v>1</v>
      </c>
      <c r="B9" s="24">
        <v>5</v>
      </c>
      <c r="C9" s="20">
        <v>1</v>
      </c>
      <c r="D9" s="20">
        <v>2</v>
      </c>
      <c r="E9" s="21">
        <f>2.04*1.1</f>
        <v>2.2440000000000002</v>
      </c>
      <c r="F9" s="20">
        <v>6.0000000000000001E-3</v>
      </c>
      <c r="G9" s="20">
        <v>1</v>
      </c>
      <c r="H9" s="22"/>
      <c r="I9" s="38"/>
      <c r="J9" s="38"/>
      <c r="K9" s="38"/>
      <c r="L9" s="38"/>
      <c r="M9" s="38"/>
      <c r="N9" s="38"/>
      <c r="O9" s="38"/>
    </row>
    <row r="10" spans="1:15" x14ac:dyDescent="0.15">
      <c r="A10" s="23">
        <v>5</v>
      </c>
      <c r="B10" s="24">
        <v>1</v>
      </c>
      <c r="C10" s="20">
        <v>3</v>
      </c>
      <c r="D10" s="20">
        <v>3</v>
      </c>
      <c r="E10" s="21">
        <f>房屋体积!C6*房屋体积!D6-E9</f>
        <v>5.2560000000000002</v>
      </c>
      <c r="F10" s="20">
        <v>0.2</v>
      </c>
      <c r="G10" s="20">
        <v>1</v>
      </c>
      <c r="H10" s="22"/>
      <c r="I10" s="38"/>
      <c r="J10" s="38"/>
      <c r="K10" s="38"/>
      <c r="L10" s="38"/>
      <c r="M10" s="38"/>
      <c r="N10" s="38"/>
      <c r="O10" s="38"/>
    </row>
    <row r="11" spans="1:15" x14ac:dyDescent="0.15">
      <c r="A11" s="20">
        <v>5</v>
      </c>
      <c r="B11" s="20">
        <v>4</v>
      </c>
      <c r="C11" s="20">
        <v>4</v>
      </c>
      <c r="D11" s="20">
        <v>3</v>
      </c>
      <c r="E11" s="21">
        <f>房屋体积!B6*房屋体积!D6</f>
        <v>11.850000000000001</v>
      </c>
      <c r="F11" s="20">
        <v>0.2</v>
      </c>
      <c r="G11" s="20">
        <v>4</v>
      </c>
      <c r="H11" s="22"/>
      <c r="I11" s="38"/>
      <c r="J11" s="38"/>
      <c r="K11" s="38"/>
      <c r="L11" s="38"/>
      <c r="M11" s="38"/>
      <c r="N11" s="38"/>
      <c r="O11" s="38"/>
    </row>
    <row r="12" spans="1:15" x14ac:dyDescent="0.15">
      <c r="A12" s="23">
        <v>1</v>
      </c>
      <c r="B12" s="24">
        <v>6</v>
      </c>
      <c r="C12" s="20">
        <v>1</v>
      </c>
      <c r="D12" s="20">
        <v>2</v>
      </c>
      <c r="E12" s="21">
        <f>2.04*1.1</f>
        <v>2.2440000000000002</v>
      </c>
      <c r="F12" s="20">
        <v>6.0000000000000001E-3</v>
      </c>
      <c r="G12" s="20">
        <v>1</v>
      </c>
      <c r="H12" s="22"/>
      <c r="I12" s="38"/>
      <c r="J12" s="38"/>
      <c r="K12" s="38"/>
      <c r="L12" s="38"/>
      <c r="M12" s="38"/>
      <c r="N12" s="38"/>
      <c r="O12" s="38"/>
    </row>
    <row r="13" spans="1:15" x14ac:dyDescent="0.15">
      <c r="A13" s="23">
        <v>6</v>
      </c>
      <c r="B13" s="24">
        <v>1</v>
      </c>
      <c r="C13" s="20">
        <v>3</v>
      </c>
      <c r="D13" s="20">
        <v>3</v>
      </c>
      <c r="E13" s="21">
        <f>房屋体积!C8*房屋体积!D8-E12</f>
        <v>7.0560000000000009</v>
      </c>
      <c r="F13" s="20">
        <v>0.2</v>
      </c>
      <c r="G13" s="20">
        <v>1</v>
      </c>
      <c r="H13" s="22"/>
      <c r="I13" s="30"/>
      <c r="J13" s="30"/>
      <c r="K13" s="30"/>
      <c r="L13" s="30"/>
      <c r="M13" s="30"/>
      <c r="N13" s="30"/>
      <c r="O13" s="30"/>
    </row>
    <row r="14" spans="1:15" s="12" customFormat="1" x14ac:dyDescent="0.15">
      <c r="A14" s="25">
        <v>6</v>
      </c>
      <c r="B14" s="25">
        <v>1</v>
      </c>
      <c r="C14" s="26">
        <v>3</v>
      </c>
      <c r="D14" s="26">
        <v>3</v>
      </c>
      <c r="E14" s="27">
        <f>3.5*3</f>
        <v>10.5</v>
      </c>
      <c r="F14" s="26">
        <v>0.2</v>
      </c>
      <c r="G14" s="26">
        <v>2</v>
      </c>
      <c r="H14" s="28"/>
      <c r="I14" s="31"/>
      <c r="J14" s="31"/>
      <c r="K14" s="31"/>
      <c r="L14" s="31"/>
      <c r="M14" s="31"/>
      <c r="N14" s="31"/>
      <c r="O14" s="31"/>
    </row>
    <row r="15" spans="1:15" x14ac:dyDescent="0.15">
      <c r="A15" s="20">
        <v>6</v>
      </c>
      <c r="B15" s="20">
        <v>5</v>
      </c>
      <c r="C15" s="20">
        <v>4</v>
      </c>
      <c r="D15" s="20">
        <v>3</v>
      </c>
      <c r="E15" s="21">
        <f>房屋体积!B6*房屋体积!D6</f>
        <v>11.850000000000001</v>
      </c>
      <c r="F15" s="20">
        <v>0.2</v>
      </c>
      <c r="G15" s="20">
        <v>4</v>
      </c>
      <c r="H15" s="22"/>
    </row>
    <row r="16" spans="1:15" x14ac:dyDescent="0.15">
      <c r="A16" s="23">
        <v>1</v>
      </c>
      <c r="B16" s="24">
        <v>7</v>
      </c>
      <c r="C16" s="20">
        <v>1</v>
      </c>
      <c r="D16" s="20">
        <v>2</v>
      </c>
      <c r="E16" s="21">
        <f>2.73*1.13*5</f>
        <v>15.424499999999998</v>
      </c>
      <c r="F16" s="20">
        <v>6.0000000000000001E-3</v>
      </c>
      <c r="G16" s="20">
        <v>4</v>
      </c>
      <c r="H16" s="22"/>
    </row>
    <row r="17" spans="1:8" x14ac:dyDescent="0.15">
      <c r="A17" s="23">
        <v>7</v>
      </c>
      <c r="B17" s="24">
        <v>1</v>
      </c>
      <c r="C17" s="20">
        <v>3</v>
      </c>
      <c r="D17" s="20">
        <v>3</v>
      </c>
      <c r="E17" s="21">
        <f>房屋体积!B10*房屋体积!D10-E16</f>
        <v>14.6355</v>
      </c>
      <c r="F17" s="20">
        <v>0.2</v>
      </c>
      <c r="G17" s="20">
        <v>4</v>
      </c>
      <c r="H17" s="22"/>
    </row>
    <row r="18" spans="1:8" x14ac:dyDescent="0.15">
      <c r="A18" s="23">
        <v>2</v>
      </c>
      <c r="B18" s="24">
        <v>7</v>
      </c>
      <c r="C18" s="20">
        <v>2</v>
      </c>
      <c r="D18" s="20">
        <v>5</v>
      </c>
      <c r="E18" s="21">
        <f>2.28*2.39</f>
        <v>5.4491999999999994</v>
      </c>
      <c r="F18" s="20">
        <v>0.2</v>
      </c>
      <c r="G18" s="20">
        <v>1</v>
      </c>
      <c r="H18" s="22" t="s">
        <v>10</v>
      </c>
    </row>
    <row r="19" spans="1:8" x14ac:dyDescent="0.15">
      <c r="A19" s="23">
        <v>7</v>
      </c>
      <c r="B19" s="24">
        <v>2</v>
      </c>
      <c r="C19" s="20">
        <v>4</v>
      </c>
      <c r="D19" s="20">
        <v>3</v>
      </c>
      <c r="E19" s="21">
        <f>房屋体积!B3*房屋体积!D10-E18</f>
        <v>14.530800000000001</v>
      </c>
      <c r="F19" s="20">
        <v>0.2</v>
      </c>
      <c r="G19" s="20">
        <v>1</v>
      </c>
      <c r="H19" s="22"/>
    </row>
    <row r="20" spans="1:8" x14ac:dyDescent="0.15">
      <c r="A20" s="23">
        <v>3</v>
      </c>
      <c r="B20" s="24">
        <v>7</v>
      </c>
      <c r="C20" s="20">
        <v>2</v>
      </c>
      <c r="D20" s="20">
        <v>4</v>
      </c>
      <c r="E20" s="21">
        <v>2.87</v>
      </c>
      <c r="F20" s="20">
        <v>0.04</v>
      </c>
      <c r="G20" s="20">
        <v>1</v>
      </c>
      <c r="H20" s="22"/>
    </row>
    <row r="21" spans="1:8" x14ac:dyDescent="0.15">
      <c r="A21" s="23">
        <v>7</v>
      </c>
      <c r="B21" s="24">
        <v>3</v>
      </c>
      <c r="C21" s="20">
        <v>4</v>
      </c>
      <c r="D21" s="20">
        <v>3</v>
      </c>
      <c r="E21" s="21">
        <f>房屋体积!C4*房屋体积!D10-E20</f>
        <v>5.0500000000000007</v>
      </c>
      <c r="F21" s="20">
        <v>0.2</v>
      </c>
      <c r="G21" s="20">
        <v>1</v>
      </c>
      <c r="H21" s="22"/>
    </row>
    <row r="22" spans="1:8" x14ac:dyDescent="0.15">
      <c r="A22" s="23">
        <v>4</v>
      </c>
      <c r="B22" s="24">
        <v>7</v>
      </c>
      <c r="C22" s="20">
        <v>2</v>
      </c>
      <c r="D22" s="20">
        <v>4</v>
      </c>
      <c r="E22" s="21">
        <v>1.9</v>
      </c>
      <c r="F22" s="20">
        <v>4.2000000000000003E-2</v>
      </c>
      <c r="G22" s="20">
        <v>2</v>
      </c>
      <c r="H22" s="22"/>
    </row>
    <row r="23" spans="1:8" x14ac:dyDescent="0.15">
      <c r="A23" s="23">
        <v>7</v>
      </c>
      <c r="B23" s="24">
        <v>4</v>
      </c>
      <c r="C23" s="20">
        <v>4</v>
      </c>
      <c r="D23" s="20">
        <v>3</v>
      </c>
      <c r="E23" s="21">
        <f>1*房屋体积!D10-E22</f>
        <v>1.7000000000000002</v>
      </c>
      <c r="F23" s="20">
        <v>0.2</v>
      </c>
      <c r="G23" s="20">
        <v>2</v>
      </c>
      <c r="H23" s="22"/>
    </row>
    <row r="24" spans="1:8" x14ac:dyDescent="0.15">
      <c r="A24" s="20">
        <v>8</v>
      </c>
      <c r="B24" s="20">
        <v>4</v>
      </c>
      <c r="C24" s="20">
        <v>4</v>
      </c>
      <c r="D24" s="20">
        <v>3</v>
      </c>
      <c r="E24" s="21">
        <f>房屋体积!C11*房屋体积!D11</f>
        <v>7.1999999999999993</v>
      </c>
      <c r="F24" s="20">
        <v>0.2</v>
      </c>
      <c r="G24" s="20">
        <v>1</v>
      </c>
      <c r="H24" s="22"/>
    </row>
    <row r="25" spans="1:8" x14ac:dyDescent="0.15">
      <c r="A25" s="23">
        <v>9</v>
      </c>
      <c r="B25" s="24">
        <v>4</v>
      </c>
      <c r="C25" s="20">
        <v>4</v>
      </c>
      <c r="D25" s="20">
        <v>3</v>
      </c>
      <c r="E25" s="15">
        <f>2.2*房屋体积!D12</f>
        <v>6.6000000000000005</v>
      </c>
      <c r="F25" s="20">
        <v>0.2</v>
      </c>
      <c r="G25" s="20">
        <v>1</v>
      </c>
      <c r="H25" s="22"/>
    </row>
    <row r="26" spans="1:8" x14ac:dyDescent="0.15">
      <c r="A26" s="23">
        <v>9</v>
      </c>
      <c r="B26" s="24">
        <v>4</v>
      </c>
      <c r="C26" s="20">
        <v>4</v>
      </c>
      <c r="D26" s="20">
        <v>3</v>
      </c>
      <c r="E26" s="21">
        <f>0.6*房屋体积!D12</f>
        <v>1.7999999999999998</v>
      </c>
      <c r="F26" s="20">
        <v>0.2</v>
      </c>
      <c r="G26" s="20">
        <v>4</v>
      </c>
      <c r="H26" s="22"/>
    </row>
    <row r="27" spans="1:8" x14ac:dyDescent="0.15">
      <c r="A27" s="23">
        <v>5</v>
      </c>
      <c r="B27" s="24">
        <v>9</v>
      </c>
      <c r="C27" s="20">
        <v>2</v>
      </c>
      <c r="D27" s="20">
        <v>4</v>
      </c>
      <c r="E27" s="15">
        <f>0.97*2.06</f>
        <v>1.9982</v>
      </c>
      <c r="F27" s="20">
        <v>4.2000000000000003E-2</v>
      </c>
      <c r="G27" s="20">
        <v>1</v>
      </c>
      <c r="H27" s="22"/>
    </row>
    <row r="28" spans="1:8" x14ac:dyDescent="0.15">
      <c r="A28" s="23">
        <v>9</v>
      </c>
      <c r="B28" s="24">
        <v>5</v>
      </c>
      <c r="C28" s="20">
        <v>4</v>
      </c>
      <c r="D28" s="20">
        <v>3</v>
      </c>
      <c r="E28" s="21">
        <f>(房屋体积!C6-1.018)*房屋体积!D12-E27</f>
        <v>2.4478</v>
      </c>
      <c r="F28" s="20">
        <v>0.2</v>
      </c>
      <c r="G28" s="20">
        <v>1</v>
      </c>
      <c r="H28" s="22"/>
    </row>
    <row r="29" spans="1:8" x14ac:dyDescent="0.15">
      <c r="A29" s="23">
        <v>9</v>
      </c>
      <c r="B29" s="24">
        <v>5</v>
      </c>
      <c r="C29" s="20">
        <v>4</v>
      </c>
      <c r="D29" s="20">
        <v>3</v>
      </c>
      <c r="E29" s="21">
        <f>0.6*房屋体积!D12</f>
        <v>1.7999999999999998</v>
      </c>
      <c r="F29" s="20">
        <v>0.2</v>
      </c>
      <c r="G29" s="20">
        <v>4</v>
      </c>
      <c r="H29" s="22"/>
    </row>
    <row r="30" spans="1:8" x14ac:dyDescent="0.15">
      <c r="A30" s="23">
        <v>9</v>
      </c>
      <c r="B30" s="24">
        <v>5</v>
      </c>
      <c r="C30" s="20">
        <v>4</v>
      </c>
      <c r="D30" s="20">
        <v>3</v>
      </c>
      <c r="E30" s="21">
        <f>(1.018-0.2)*3</f>
        <v>2.4540000000000002</v>
      </c>
      <c r="F30" s="20">
        <v>0.2</v>
      </c>
      <c r="G30" s="20">
        <v>1</v>
      </c>
      <c r="H30" s="22"/>
    </row>
    <row r="31" spans="1:8" x14ac:dyDescent="0.15">
      <c r="A31" s="23">
        <v>6</v>
      </c>
      <c r="B31" s="24">
        <v>9</v>
      </c>
      <c r="C31" s="20">
        <v>2</v>
      </c>
      <c r="D31" s="20">
        <v>4</v>
      </c>
      <c r="E31" s="15">
        <f>0.97*2.06</f>
        <v>1.9982</v>
      </c>
      <c r="F31" s="20">
        <v>4.2000000000000003E-2</v>
      </c>
      <c r="G31" s="20">
        <v>1</v>
      </c>
      <c r="H31" s="22"/>
    </row>
    <row r="32" spans="1:8" x14ac:dyDescent="0.15">
      <c r="A32" s="23">
        <v>9</v>
      </c>
      <c r="B32" s="24">
        <v>6</v>
      </c>
      <c r="C32" s="20">
        <v>4</v>
      </c>
      <c r="D32" s="20">
        <v>3</v>
      </c>
      <c r="E32" s="21">
        <f>(房屋体积!C8-1.7)*房屋体积!D12-E31</f>
        <v>2.2018000000000004</v>
      </c>
      <c r="F32" s="20">
        <v>0.2</v>
      </c>
      <c r="G32" s="20">
        <v>1</v>
      </c>
      <c r="H32" s="22"/>
    </row>
    <row r="33" spans="1:8" x14ac:dyDescent="0.15">
      <c r="A33" s="23">
        <v>9</v>
      </c>
      <c r="B33" s="24">
        <v>6</v>
      </c>
      <c r="C33" s="20">
        <v>4</v>
      </c>
      <c r="D33" s="20">
        <v>3</v>
      </c>
      <c r="E33" s="21">
        <v>1.8</v>
      </c>
      <c r="F33" s="20">
        <v>0.2</v>
      </c>
      <c r="G33" s="20">
        <v>2</v>
      </c>
      <c r="H33" s="22"/>
    </row>
    <row r="34" spans="1:8" x14ac:dyDescent="0.15">
      <c r="A34" s="23">
        <v>9</v>
      </c>
      <c r="B34" s="24">
        <v>6</v>
      </c>
      <c r="C34" s="20">
        <v>4</v>
      </c>
      <c r="D34" s="20">
        <v>3</v>
      </c>
      <c r="E34" s="21">
        <f>1.5*3</f>
        <v>4.5</v>
      </c>
      <c r="F34" s="20">
        <v>0.2</v>
      </c>
      <c r="G34" s="20">
        <v>1</v>
      </c>
      <c r="H34" s="22"/>
    </row>
    <row r="35" spans="1:8" x14ac:dyDescent="0.15">
      <c r="A35" s="23">
        <v>8</v>
      </c>
      <c r="B35" s="24">
        <v>9</v>
      </c>
      <c r="C35" s="20">
        <v>2</v>
      </c>
      <c r="D35" s="20">
        <v>4</v>
      </c>
      <c r="E35" s="21">
        <f>2.1*0.96</f>
        <v>2.016</v>
      </c>
      <c r="F35" s="20">
        <v>4.2000000000000003E-2</v>
      </c>
      <c r="G35" s="20">
        <v>4</v>
      </c>
      <c r="H35" s="22"/>
    </row>
    <row r="36" spans="1:8" x14ac:dyDescent="0.15">
      <c r="A36" s="23">
        <v>9</v>
      </c>
      <c r="B36" s="24">
        <v>8</v>
      </c>
      <c r="C36" s="20">
        <v>4</v>
      </c>
      <c r="D36" s="20">
        <v>3</v>
      </c>
      <c r="E36" s="21">
        <f>1.24*3-E35</f>
        <v>1.7039999999999997</v>
      </c>
      <c r="F36" s="20">
        <v>0.2</v>
      </c>
      <c r="G36" s="20">
        <v>4</v>
      </c>
      <c r="H36" s="22"/>
    </row>
    <row r="37" spans="1:8" x14ac:dyDescent="0.15">
      <c r="A37" s="23">
        <v>10</v>
      </c>
      <c r="B37" s="24">
        <v>1</v>
      </c>
      <c r="C37" s="20">
        <v>1</v>
      </c>
      <c r="D37" s="20">
        <v>2</v>
      </c>
      <c r="E37" s="27">
        <f>12.74-E38</f>
        <v>9.3127999999999993</v>
      </c>
      <c r="F37" s="20">
        <v>6.0000000000000001E-3</v>
      </c>
      <c r="G37" s="20">
        <v>2</v>
      </c>
      <c r="H37" s="22"/>
    </row>
    <row r="38" spans="1:8" s="13" customFormat="1" x14ac:dyDescent="0.15">
      <c r="A38" s="29">
        <v>1</v>
      </c>
      <c r="B38" s="25">
        <v>10</v>
      </c>
      <c r="C38" s="26">
        <v>3</v>
      </c>
      <c r="D38" s="26">
        <v>2</v>
      </c>
      <c r="E38" s="27">
        <f>1.12*1.53*2</f>
        <v>3.4272000000000005</v>
      </c>
      <c r="F38" s="26">
        <v>6.0000000000000001E-3</v>
      </c>
      <c r="G38" s="26">
        <v>2</v>
      </c>
      <c r="H38" s="28"/>
    </row>
    <row r="39" spans="1:8" s="13" customFormat="1" x14ac:dyDescent="0.15">
      <c r="A39" s="29">
        <v>1</v>
      </c>
      <c r="B39" s="25">
        <v>10</v>
      </c>
      <c r="C39" s="26">
        <v>2</v>
      </c>
      <c r="D39" s="26">
        <v>4</v>
      </c>
      <c r="E39" s="27">
        <f>1.48*2.34</f>
        <v>3.4631999999999996</v>
      </c>
      <c r="F39" s="26">
        <v>0.05</v>
      </c>
      <c r="G39" s="26">
        <v>1</v>
      </c>
      <c r="H39" s="28"/>
    </row>
    <row r="40" spans="1:8" s="12" customFormat="1" x14ac:dyDescent="0.15">
      <c r="A40" s="29">
        <v>10</v>
      </c>
      <c r="B40" s="25">
        <v>1</v>
      </c>
      <c r="C40" s="26">
        <v>3</v>
      </c>
      <c r="D40" s="26">
        <v>3</v>
      </c>
      <c r="E40" s="27">
        <f>11.02*3.6-E39</f>
        <v>36.208799999999997</v>
      </c>
      <c r="F40" s="26">
        <v>0.2</v>
      </c>
      <c r="G40" s="26">
        <v>1</v>
      </c>
      <c r="H40" s="28"/>
    </row>
    <row r="41" spans="1:8" x14ac:dyDescent="0.15">
      <c r="A41" s="23">
        <v>10</v>
      </c>
      <c r="B41" s="24">
        <v>1</v>
      </c>
      <c r="C41" s="20">
        <v>3</v>
      </c>
      <c r="D41" s="20">
        <v>3</v>
      </c>
      <c r="E41" s="21">
        <f>4.8*3.6-E37</f>
        <v>7.9672000000000018</v>
      </c>
      <c r="F41" s="20">
        <v>0.2</v>
      </c>
      <c r="G41" s="20">
        <v>2</v>
      </c>
      <c r="H41" s="22"/>
    </row>
    <row r="42" spans="1:8" x14ac:dyDescent="0.15">
      <c r="A42" s="20">
        <v>10</v>
      </c>
      <c r="B42" s="20">
        <v>9</v>
      </c>
      <c r="C42" s="20">
        <v>4</v>
      </c>
      <c r="D42" s="20">
        <v>3</v>
      </c>
      <c r="E42" s="21">
        <f>0.5*3.6</f>
        <v>1.8</v>
      </c>
      <c r="F42" s="20">
        <v>0.2</v>
      </c>
      <c r="G42" s="20">
        <v>4</v>
      </c>
      <c r="H42" s="22"/>
    </row>
    <row r="43" spans="1:8" x14ac:dyDescent="0.15">
      <c r="A43" s="20">
        <v>11</v>
      </c>
      <c r="B43" s="20">
        <v>8</v>
      </c>
      <c r="C43" s="20">
        <v>4</v>
      </c>
      <c r="D43" s="20">
        <v>3</v>
      </c>
      <c r="E43" s="21">
        <f>2.1*3</f>
        <v>6.3000000000000007</v>
      </c>
      <c r="F43" s="20">
        <v>0.2</v>
      </c>
      <c r="G43" s="20">
        <v>4</v>
      </c>
      <c r="H43" s="22"/>
    </row>
    <row r="44" spans="1:8" x14ac:dyDescent="0.15">
      <c r="A44" s="23">
        <v>9</v>
      </c>
      <c r="B44" s="24">
        <v>11</v>
      </c>
      <c r="C44" s="20">
        <v>2</v>
      </c>
      <c r="D44" s="20">
        <v>4</v>
      </c>
      <c r="E44" s="21">
        <f>2.1*0.96</f>
        <v>2.016</v>
      </c>
      <c r="F44" s="20">
        <v>4.2000000000000003E-2</v>
      </c>
      <c r="G44" s="20">
        <v>1</v>
      </c>
      <c r="H44" s="22"/>
    </row>
    <row r="45" spans="1:8" x14ac:dyDescent="0.15">
      <c r="A45" s="23">
        <v>11</v>
      </c>
      <c r="B45" s="24">
        <v>9</v>
      </c>
      <c r="C45" s="20">
        <v>4</v>
      </c>
      <c r="D45" s="20">
        <v>3</v>
      </c>
      <c r="E45" s="21">
        <f>2.2*3-E44</f>
        <v>4.5840000000000005</v>
      </c>
      <c r="F45" s="20">
        <v>0.2</v>
      </c>
      <c r="G45" s="20">
        <v>1</v>
      </c>
      <c r="H45" s="22"/>
    </row>
    <row r="46" spans="1:8" x14ac:dyDescent="0.15">
      <c r="A46" s="23">
        <v>1</v>
      </c>
      <c r="B46" s="24">
        <v>12</v>
      </c>
      <c r="C46" s="20">
        <v>1</v>
      </c>
      <c r="D46" s="20">
        <v>2</v>
      </c>
      <c r="E46" s="21">
        <f>2.73*1.14</f>
        <v>3.1121999999999996</v>
      </c>
      <c r="F46" s="20">
        <v>6.0000000000000001E-3</v>
      </c>
      <c r="G46" s="20">
        <v>2</v>
      </c>
      <c r="H46" s="22"/>
    </row>
    <row r="47" spans="1:8" x14ac:dyDescent="0.15">
      <c r="A47" s="23">
        <v>12</v>
      </c>
      <c r="B47" s="24">
        <v>1</v>
      </c>
      <c r="C47" s="20">
        <v>3</v>
      </c>
      <c r="D47" s="20">
        <v>3</v>
      </c>
      <c r="E47" s="21">
        <f>1.12*(3.6-0.9)</f>
        <v>3.0240000000000005</v>
      </c>
      <c r="F47" s="20">
        <v>0.2</v>
      </c>
      <c r="G47" s="20">
        <v>1</v>
      </c>
      <c r="H47" s="22"/>
    </row>
    <row r="48" spans="1:8" x14ac:dyDescent="0.15">
      <c r="A48" s="23">
        <v>12</v>
      </c>
      <c r="B48" s="24">
        <v>1</v>
      </c>
      <c r="C48" s="20">
        <v>3</v>
      </c>
      <c r="D48" s="20">
        <v>3</v>
      </c>
      <c r="E48" s="21">
        <f>3.5*3.6-E46</f>
        <v>9.4878</v>
      </c>
      <c r="F48" s="20">
        <v>0.2</v>
      </c>
      <c r="G48" s="20">
        <v>2</v>
      </c>
      <c r="H48" s="22"/>
    </row>
    <row r="49" spans="1:8" x14ac:dyDescent="0.15">
      <c r="A49" s="23">
        <v>7</v>
      </c>
      <c r="B49" s="24">
        <v>12</v>
      </c>
      <c r="C49" s="20">
        <v>2</v>
      </c>
      <c r="D49" s="20">
        <v>2</v>
      </c>
      <c r="E49" s="21">
        <f>1.8*2.6</f>
        <v>4.6800000000000006</v>
      </c>
      <c r="F49" s="20">
        <v>1.4999999999999999E-2</v>
      </c>
      <c r="G49" s="20">
        <v>4</v>
      </c>
      <c r="H49" s="22"/>
    </row>
    <row r="50" spans="1:8" x14ac:dyDescent="0.15">
      <c r="A50" s="23">
        <v>12</v>
      </c>
      <c r="B50" s="24">
        <v>7</v>
      </c>
      <c r="C50" s="20">
        <v>4</v>
      </c>
      <c r="D50" s="20">
        <v>2</v>
      </c>
      <c r="E50" s="21">
        <f>3*3.6-E49</f>
        <v>6.12</v>
      </c>
      <c r="F50" s="20">
        <v>0.01</v>
      </c>
      <c r="G50" s="20">
        <v>4</v>
      </c>
      <c r="H50" s="22"/>
    </row>
    <row r="51" spans="1:8" x14ac:dyDescent="0.15">
      <c r="A51" s="20">
        <v>12</v>
      </c>
      <c r="B51" s="20">
        <v>8</v>
      </c>
      <c r="C51" s="20">
        <v>4</v>
      </c>
      <c r="D51" s="20">
        <v>3</v>
      </c>
      <c r="E51" s="21">
        <f>2.4*3.6</f>
        <v>8.64</v>
      </c>
      <c r="F51" s="20">
        <v>0.2</v>
      </c>
      <c r="G51" s="20">
        <v>1</v>
      </c>
      <c r="H51" s="22"/>
    </row>
    <row r="52" spans="1:8" x14ac:dyDescent="0.15">
      <c r="A52" s="23">
        <v>12</v>
      </c>
      <c r="B52" s="24">
        <v>9</v>
      </c>
      <c r="C52" s="20">
        <v>7</v>
      </c>
      <c r="D52" s="20">
        <v>1</v>
      </c>
      <c r="E52" s="21">
        <f>2.93*2.4</f>
        <v>7.032</v>
      </c>
      <c r="F52" s="20">
        <v>0</v>
      </c>
      <c r="G52" s="20">
        <v>1</v>
      </c>
      <c r="H52" s="22"/>
    </row>
    <row r="53" spans="1:8" x14ac:dyDescent="0.15">
      <c r="A53" s="23">
        <v>12</v>
      </c>
      <c r="B53" s="24">
        <v>9</v>
      </c>
      <c r="C53" s="20">
        <v>4</v>
      </c>
      <c r="D53" s="20">
        <v>3</v>
      </c>
      <c r="E53" s="21">
        <f>5.9*3.6-2.93*2.4</f>
        <v>14.208000000000002</v>
      </c>
      <c r="F53" s="20">
        <v>0.2</v>
      </c>
      <c r="G53" s="20">
        <v>1</v>
      </c>
      <c r="H53" s="22"/>
    </row>
    <row r="54" spans="1:8" x14ac:dyDescent="0.15">
      <c r="A54" s="23">
        <v>10</v>
      </c>
      <c r="B54" s="24">
        <v>12</v>
      </c>
      <c r="C54" s="20">
        <v>2</v>
      </c>
      <c r="D54" s="20">
        <v>2</v>
      </c>
      <c r="E54" s="21">
        <f>3.6*2.4</f>
        <v>8.64</v>
      </c>
      <c r="F54" s="20">
        <v>1.4999999999999999E-2</v>
      </c>
      <c r="G54" s="20">
        <v>1</v>
      </c>
      <c r="H54" s="22"/>
    </row>
    <row r="55" spans="1:8" x14ac:dyDescent="0.15">
      <c r="A55" s="23">
        <v>12</v>
      </c>
      <c r="B55" s="24">
        <v>10</v>
      </c>
      <c r="C55" s="20">
        <v>4</v>
      </c>
      <c r="D55" s="20">
        <v>3</v>
      </c>
      <c r="E55" s="21">
        <f>2.3*3.6</f>
        <v>8.2799999999999994</v>
      </c>
      <c r="F55" s="20">
        <v>0.2</v>
      </c>
      <c r="G55" s="20">
        <v>2</v>
      </c>
      <c r="H55" s="22"/>
    </row>
    <row r="56" spans="1:8" x14ac:dyDescent="0.15">
      <c r="A56" s="23">
        <v>12</v>
      </c>
      <c r="B56" s="24">
        <v>10</v>
      </c>
      <c r="C56" s="20">
        <v>4</v>
      </c>
      <c r="D56" s="20">
        <v>3</v>
      </c>
      <c r="E56" s="15">
        <f>9.3*3.6-E54</f>
        <v>24.840000000000003</v>
      </c>
      <c r="F56" s="20">
        <v>0.2</v>
      </c>
      <c r="G56" s="20">
        <v>1</v>
      </c>
      <c r="H56" s="22"/>
    </row>
    <row r="57" spans="1:8" x14ac:dyDescent="0.15">
      <c r="A57" s="23">
        <v>12</v>
      </c>
      <c r="B57" s="24">
        <v>11</v>
      </c>
      <c r="C57" s="20">
        <v>4</v>
      </c>
      <c r="D57" s="20">
        <v>3</v>
      </c>
      <c r="E57" s="21">
        <f>2.2*3.6</f>
        <v>7.9200000000000008</v>
      </c>
      <c r="F57" s="20">
        <v>0.2</v>
      </c>
      <c r="G57" s="20">
        <v>1</v>
      </c>
      <c r="H57" s="22"/>
    </row>
    <row r="58" spans="1:8" x14ac:dyDescent="0.15">
      <c r="A58" s="23">
        <v>12</v>
      </c>
      <c r="B58" s="24">
        <v>11</v>
      </c>
      <c r="C58" s="20">
        <v>4</v>
      </c>
      <c r="D58" s="20">
        <v>3</v>
      </c>
      <c r="E58" s="21">
        <f>2.1*3.6</f>
        <v>7.5600000000000005</v>
      </c>
      <c r="F58" s="20">
        <v>0.2</v>
      </c>
      <c r="G58" s="20">
        <v>4</v>
      </c>
      <c r="H58" s="22"/>
    </row>
    <row r="59" spans="1:8" x14ac:dyDescent="0.15">
      <c r="A59" s="23">
        <v>1</v>
      </c>
      <c r="B59" s="24">
        <v>13</v>
      </c>
      <c r="C59" s="20">
        <v>1</v>
      </c>
      <c r="D59" s="20">
        <v>2</v>
      </c>
      <c r="E59" s="21">
        <f>2.73*1.13*4</f>
        <v>12.339599999999999</v>
      </c>
      <c r="F59" s="20">
        <v>6.0000000000000001E-3</v>
      </c>
      <c r="G59" s="20">
        <v>4</v>
      </c>
      <c r="H59" s="22"/>
    </row>
    <row r="60" spans="1:8" x14ac:dyDescent="0.15">
      <c r="A60" s="23">
        <v>13</v>
      </c>
      <c r="B60" s="24">
        <v>1</v>
      </c>
      <c r="C60" s="20">
        <v>3</v>
      </c>
      <c r="D60" s="20">
        <v>3</v>
      </c>
      <c r="E60" s="21">
        <f>13.75*3.6-E59</f>
        <v>37.160400000000003</v>
      </c>
      <c r="F60" s="20">
        <v>0.2</v>
      </c>
      <c r="G60" s="20">
        <v>4</v>
      </c>
      <c r="H60" s="22"/>
    </row>
    <row r="61" spans="1:8" x14ac:dyDescent="0.15">
      <c r="A61" s="20">
        <v>13</v>
      </c>
      <c r="B61" s="20">
        <v>7</v>
      </c>
      <c r="C61" s="20">
        <v>4</v>
      </c>
      <c r="D61" s="20">
        <v>3</v>
      </c>
      <c r="E61" s="21">
        <f>8.15*3.6</f>
        <v>29.340000000000003</v>
      </c>
      <c r="F61" s="20">
        <v>0.2</v>
      </c>
      <c r="G61" s="20">
        <v>1</v>
      </c>
      <c r="H61" s="22"/>
    </row>
    <row r="62" spans="1:8" x14ac:dyDescent="0.15">
      <c r="A62" s="23">
        <v>12</v>
      </c>
      <c r="B62" s="24">
        <v>13</v>
      </c>
      <c r="C62" s="20">
        <v>2</v>
      </c>
      <c r="D62" s="20">
        <v>5</v>
      </c>
      <c r="E62" s="21">
        <f>1.35*2.1*2</f>
        <v>5.6700000000000008</v>
      </c>
      <c r="F62" s="20">
        <v>7.0000000000000007E-2</v>
      </c>
      <c r="G62" s="20">
        <v>2</v>
      </c>
      <c r="H62" s="22"/>
    </row>
    <row r="63" spans="1:8" x14ac:dyDescent="0.15">
      <c r="A63" s="23">
        <v>13</v>
      </c>
      <c r="B63" s="24">
        <v>12</v>
      </c>
      <c r="C63" s="20">
        <v>4</v>
      </c>
      <c r="D63" s="20">
        <v>3</v>
      </c>
      <c r="E63" s="21">
        <f>(13.2-8.15)*3.6</f>
        <v>18.179999999999996</v>
      </c>
      <c r="F63" s="20">
        <v>0.2</v>
      </c>
      <c r="G63" s="20">
        <v>1</v>
      </c>
      <c r="H63" s="22"/>
    </row>
    <row r="64" spans="1:8" x14ac:dyDescent="0.15">
      <c r="A64" s="23">
        <v>13</v>
      </c>
      <c r="B64" s="24">
        <v>12</v>
      </c>
      <c r="C64" s="20">
        <v>4</v>
      </c>
      <c r="D64" s="20">
        <v>3</v>
      </c>
      <c r="E64" s="21">
        <f>13.75*3.6-E62</f>
        <v>43.83</v>
      </c>
      <c r="F64" s="20">
        <v>0.2</v>
      </c>
      <c r="G64" s="20">
        <v>2</v>
      </c>
      <c r="H64" s="22"/>
    </row>
    <row r="65" spans="1:15" x14ac:dyDescent="0.15">
      <c r="A65" s="23">
        <v>1</v>
      </c>
      <c r="B65" s="24">
        <v>14</v>
      </c>
      <c r="C65" s="20">
        <v>1</v>
      </c>
      <c r="D65" s="20">
        <v>2</v>
      </c>
      <c r="E65" s="21">
        <f>2.73*1.13*5</f>
        <v>15.424499999999998</v>
      </c>
      <c r="F65" s="20">
        <v>6.0000000000000001E-3</v>
      </c>
      <c r="G65" s="20">
        <v>2</v>
      </c>
      <c r="H65" s="22"/>
    </row>
    <row r="66" spans="1:15" x14ac:dyDescent="0.15">
      <c r="A66" s="23">
        <v>14</v>
      </c>
      <c r="B66" s="24">
        <v>1</v>
      </c>
      <c r="C66" s="20">
        <v>3</v>
      </c>
      <c r="D66" s="20">
        <v>3</v>
      </c>
      <c r="E66" s="21">
        <f>13.75*3.6-E65</f>
        <v>34.075500000000005</v>
      </c>
      <c r="F66" s="20">
        <v>0.2</v>
      </c>
      <c r="G66" s="20">
        <v>2</v>
      </c>
      <c r="H66" s="22"/>
    </row>
    <row r="67" spans="1:15" x14ac:dyDescent="0.15">
      <c r="A67" s="23">
        <v>12</v>
      </c>
      <c r="B67" s="24">
        <v>14</v>
      </c>
      <c r="C67" s="20">
        <v>2</v>
      </c>
      <c r="D67" s="20">
        <v>5</v>
      </c>
      <c r="E67" s="21">
        <f>1.35*2.1*2</f>
        <v>5.6700000000000008</v>
      </c>
      <c r="F67" s="20">
        <v>7.0000000000000007E-2</v>
      </c>
      <c r="G67" s="20">
        <v>4</v>
      </c>
      <c r="H67" s="22"/>
      <c r="I67" s="35"/>
      <c r="J67" s="35"/>
      <c r="K67" s="35"/>
      <c r="L67" s="35"/>
      <c r="M67" s="35"/>
      <c r="N67" s="35"/>
      <c r="O67" s="35"/>
    </row>
    <row r="68" spans="1:15" x14ac:dyDescent="0.15">
      <c r="A68" s="23">
        <v>14</v>
      </c>
      <c r="B68" s="24">
        <v>12</v>
      </c>
      <c r="C68" s="20">
        <v>4</v>
      </c>
      <c r="D68" s="20">
        <v>3</v>
      </c>
      <c r="E68" s="21">
        <f>13.2*3.6</f>
        <v>47.519999999999996</v>
      </c>
      <c r="F68" s="20">
        <v>0.2</v>
      </c>
      <c r="G68" s="20">
        <v>1</v>
      </c>
      <c r="H68" s="22"/>
      <c r="I68" s="35"/>
      <c r="J68" s="35"/>
      <c r="K68" s="35"/>
      <c r="L68" s="35"/>
      <c r="M68" s="35"/>
      <c r="N68" s="35"/>
      <c r="O68" s="35"/>
    </row>
    <row r="69" spans="1:15" x14ac:dyDescent="0.15">
      <c r="A69" s="23">
        <v>14</v>
      </c>
      <c r="B69" s="24">
        <v>12</v>
      </c>
      <c r="C69" s="20">
        <v>4</v>
      </c>
      <c r="D69" s="20">
        <v>3</v>
      </c>
      <c r="E69" s="21">
        <v>43.83</v>
      </c>
      <c r="F69" s="20">
        <v>0.2</v>
      </c>
      <c r="G69" s="20">
        <v>4</v>
      </c>
      <c r="H69" s="22"/>
      <c r="I69" s="35"/>
      <c r="J69" s="35"/>
      <c r="K69" s="35"/>
      <c r="L69" s="35"/>
      <c r="M69" s="35"/>
      <c r="N69" s="35"/>
      <c r="O69" s="35"/>
    </row>
    <row r="70" spans="1:15" x14ac:dyDescent="0.15">
      <c r="A70" s="23">
        <v>1</v>
      </c>
      <c r="B70" s="24">
        <v>15</v>
      </c>
      <c r="C70" s="20">
        <v>1</v>
      </c>
      <c r="D70" s="20">
        <v>2</v>
      </c>
      <c r="E70" s="21">
        <f>2.73*1.13*4</f>
        <v>12.339599999999999</v>
      </c>
      <c r="F70" s="20">
        <v>6.0000000000000001E-3</v>
      </c>
      <c r="G70" s="20">
        <v>4</v>
      </c>
      <c r="H70" s="22"/>
      <c r="I70" s="35"/>
      <c r="J70" s="35"/>
      <c r="K70" s="35"/>
      <c r="L70" s="35"/>
      <c r="M70" s="35"/>
      <c r="N70" s="35"/>
      <c r="O70" s="35"/>
    </row>
    <row r="71" spans="1:15" x14ac:dyDescent="0.15">
      <c r="A71" s="23">
        <v>15</v>
      </c>
      <c r="B71" s="24">
        <v>1</v>
      </c>
      <c r="C71" s="20">
        <v>3</v>
      </c>
      <c r="D71" s="20">
        <v>3</v>
      </c>
      <c r="E71" s="21">
        <f>8.5*3.6-E70</f>
        <v>18.260400000000004</v>
      </c>
      <c r="F71" s="20">
        <v>0.2</v>
      </c>
      <c r="G71" s="20">
        <v>4</v>
      </c>
      <c r="H71" s="22"/>
      <c r="I71" s="35"/>
      <c r="J71" s="35"/>
      <c r="K71" s="35"/>
      <c r="L71" s="35"/>
      <c r="M71" s="35"/>
      <c r="N71" s="35"/>
      <c r="O71" s="35"/>
    </row>
    <row r="72" spans="1:15" x14ac:dyDescent="0.15">
      <c r="A72" s="23">
        <v>12</v>
      </c>
      <c r="B72" s="24">
        <v>15</v>
      </c>
      <c r="C72" s="20">
        <v>2</v>
      </c>
      <c r="D72" s="20">
        <v>5</v>
      </c>
      <c r="E72" s="21">
        <f>1.35*2.1</f>
        <v>2.8350000000000004</v>
      </c>
      <c r="F72" s="20">
        <v>7.0000000000000007E-2</v>
      </c>
      <c r="G72" s="20">
        <v>2</v>
      </c>
      <c r="H72" s="22"/>
      <c r="I72" s="35"/>
      <c r="J72" s="35"/>
      <c r="K72" s="35"/>
      <c r="L72" s="35"/>
      <c r="M72" s="35"/>
      <c r="N72" s="35"/>
      <c r="O72" s="35"/>
    </row>
    <row r="73" spans="1:15" x14ac:dyDescent="0.15">
      <c r="A73" s="23">
        <v>15</v>
      </c>
      <c r="B73" s="24">
        <v>12</v>
      </c>
      <c r="C73" s="20">
        <v>4</v>
      </c>
      <c r="D73" s="20">
        <v>3</v>
      </c>
      <c r="E73" s="21">
        <f>8.5*3.6-E72</f>
        <v>27.765000000000001</v>
      </c>
      <c r="F73" s="20">
        <v>0.2</v>
      </c>
      <c r="G73" s="20">
        <v>2</v>
      </c>
      <c r="H73" s="22"/>
      <c r="I73" s="35"/>
      <c r="J73" s="35"/>
      <c r="K73" s="35"/>
      <c r="L73" s="35"/>
      <c r="M73" s="35"/>
      <c r="N73" s="35"/>
      <c r="O73" s="35"/>
    </row>
    <row r="74" spans="1:15" x14ac:dyDescent="0.15">
      <c r="A74" s="20">
        <v>15</v>
      </c>
      <c r="B74" s="20">
        <v>13</v>
      </c>
      <c r="C74" s="20">
        <v>4</v>
      </c>
      <c r="D74" s="20">
        <v>3</v>
      </c>
      <c r="E74" s="21">
        <f>13.2*3.6</f>
        <v>47.519999999999996</v>
      </c>
      <c r="F74" s="20">
        <v>0.2</v>
      </c>
      <c r="G74" s="20">
        <v>1</v>
      </c>
      <c r="H74" s="22"/>
      <c r="I74" s="35"/>
      <c r="J74" s="35"/>
      <c r="K74" s="35"/>
      <c r="L74" s="35"/>
      <c r="M74" s="35"/>
      <c r="N74" s="35"/>
      <c r="O74" s="35"/>
    </row>
    <row r="75" spans="1:15" x14ac:dyDescent="0.15">
      <c r="A75" s="23">
        <v>1</v>
      </c>
      <c r="B75" s="24">
        <v>16</v>
      </c>
      <c r="C75" s="20">
        <v>1</v>
      </c>
      <c r="D75" s="20">
        <v>2</v>
      </c>
      <c r="E75" s="21">
        <f>2.73*1.13*4</f>
        <v>12.339599999999999</v>
      </c>
      <c r="F75" s="20">
        <v>6.0000000000000001E-3</v>
      </c>
      <c r="G75" s="20">
        <v>2</v>
      </c>
      <c r="H75" s="22"/>
      <c r="I75" s="35"/>
      <c r="J75" s="35"/>
      <c r="K75" s="35"/>
      <c r="L75" s="35"/>
      <c r="M75" s="35"/>
      <c r="N75" s="35"/>
      <c r="O75" s="35"/>
    </row>
    <row r="76" spans="1:15" x14ac:dyDescent="0.15">
      <c r="A76" s="23">
        <v>16</v>
      </c>
      <c r="B76" s="24">
        <v>1</v>
      </c>
      <c r="C76" s="20">
        <v>3</v>
      </c>
      <c r="D76" s="20">
        <v>3</v>
      </c>
      <c r="E76" s="21">
        <f>8.5*3.6-E75</f>
        <v>18.260400000000004</v>
      </c>
      <c r="F76" s="20">
        <v>0.2</v>
      </c>
      <c r="G76" s="20">
        <v>2</v>
      </c>
      <c r="H76" s="22"/>
      <c r="I76" s="35"/>
      <c r="J76" s="35"/>
      <c r="K76" s="35"/>
      <c r="L76" s="35"/>
      <c r="M76" s="35"/>
      <c r="N76" s="35"/>
      <c r="O76" s="35"/>
    </row>
    <row r="77" spans="1:15" x14ac:dyDescent="0.15">
      <c r="A77" s="23">
        <v>12</v>
      </c>
      <c r="B77" s="24">
        <v>16</v>
      </c>
      <c r="C77" s="20">
        <v>2</v>
      </c>
      <c r="D77" s="20">
        <v>5</v>
      </c>
      <c r="E77" s="21">
        <v>2.835</v>
      </c>
      <c r="F77" s="20">
        <v>7.0000000000000007E-2</v>
      </c>
      <c r="G77" s="20">
        <v>4</v>
      </c>
      <c r="H77" s="22"/>
      <c r="I77" s="35"/>
      <c r="J77" s="35"/>
      <c r="K77" s="35"/>
      <c r="L77" s="35"/>
      <c r="M77" s="35"/>
      <c r="N77" s="35"/>
      <c r="O77" s="35"/>
    </row>
    <row r="78" spans="1:15" x14ac:dyDescent="0.15">
      <c r="A78" s="23">
        <v>16</v>
      </c>
      <c r="B78" s="24">
        <v>12</v>
      </c>
      <c r="C78" s="20">
        <v>4</v>
      </c>
      <c r="D78" s="20">
        <v>3</v>
      </c>
      <c r="E78" s="21">
        <v>27.765000000000001</v>
      </c>
      <c r="F78" s="20">
        <v>0.2</v>
      </c>
      <c r="G78" s="20">
        <v>4</v>
      </c>
      <c r="H78" s="22"/>
      <c r="I78" s="35"/>
      <c r="J78" s="35"/>
      <c r="K78" s="35"/>
      <c r="L78" s="35"/>
      <c r="M78" s="35"/>
      <c r="N78" s="35"/>
      <c r="O78" s="35"/>
    </row>
    <row r="79" spans="1:15" x14ac:dyDescent="0.15">
      <c r="A79" s="20">
        <v>16</v>
      </c>
      <c r="B79" s="20">
        <v>14</v>
      </c>
      <c r="C79" s="20">
        <v>4</v>
      </c>
      <c r="D79" s="20">
        <v>3</v>
      </c>
      <c r="E79" s="21">
        <f>13.2*3.6</f>
        <v>47.519999999999996</v>
      </c>
      <c r="F79" s="20">
        <v>0.2</v>
      </c>
      <c r="G79" s="20">
        <v>1</v>
      </c>
      <c r="H79" s="22"/>
      <c r="I79" s="35"/>
      <c r="J79" s="35"/>
      <c r="K79" s="35"/>
      <c r="L79" s="35"/>
      <c r="M79" s="35"/>
      <c r="N79" s="35"/>
      <c r="O79" s="35"/>
    </row>
    <row r="80" spans="1:15" x14ac:dyDescent="0.15">
      <c r="A80" s="23">
        <v>1</v>
      </c>
      <c r="B80" s="24">
        <v>17</v>
      </c>
      <c r="C80" s="20">
        <v>1</v>
      </c>
      <c r="D80" s="20">
        <v>2</v>
      </c>
      <c r="E80" s="21">
        <v>12.339600000000001</v>
      </c>
      <c r="F80" s="20">
        <v>6.0000000000000001E-3</v>
      </c>
      <c r="G80" s="20">
        <v>4</v>
      </c>
      <c r="H80" s="22"/>
      <c r="I80" s="35"/>
      <c r="J80" s="35"/>
      <c r="K80" s="35"/>
      <c r="L80" s="35"/>
      <c r="M80" s="35"/>
      <c r="N80" s="35"/>
      <c r="O80" s="35"/>
    </row>
    <row r="81" spans="1:15" x14ac:dyDescent="0.15">
      <c r="A81" s="23">
        <v>17</v>
      </c>
      <c r="B81" s="24">
        <v>1</v>
      </c>
      <c r="C81" s="20">
        <v>3</v>
      </c>
      <c r="D81" s="20">
        <v>3</v>
      </c>
      <c r="E81" s="21">
        <v>18.260400000000001</v>
      </c>
      <c r="F81" s="20">
        <v>0.2</v>
      </c>
      <c r="G81" s="20">
        <v>4</v>
      </c>
      <c r="H81" s="22"/>
      <c r="I81" s="35"/>
      <c r="J81" s="35"/>
      <c r="K81" s="35"/>
      <c r="L81" s="35"/>
      <c r="M81" s="35"/>
      <c r="N81" s="35"/>
      <c r="O81" s="35"/>
    </row>
    <row r="82" spans="1:15" x14ac:dyDescent="0.15">
      <c r="A82" s="23">
        <v>12</v>
      </c>
      <c r="B82" s="24">
        <v>17</v>
      </c>
      <c r="C82" s="20">
        <v>2</v>
      </c>
      <c r="D82" s="20">
        <v>5</v>
      </c>
      <c r="E82" s="21">
        <v>2.835</v>
      </c>
      <c r="F82" s="20">
        <v>7.0000000000000007E-2</v>
      </c>
      <c r="G82" s="20">
        <v>2</v>
      </c>
      <c r="H82" s="22"/>
      <c r="I82" s="35"/>
      <c r="J82" s="35"/>
      <c r="K82" s="35"/>
      <c r="L82" s="35"/>
      <c r="M82" s="35"/>
      <c r="N82" s="35"/>
      <c r="O82" s="35"/>
    </row>
    <row r="83" spans="1:15" x14ac:dyDescent="0.15">
      <c r="A83" s="23">
        <v>17</v>
      </c>
      <c r="B83" s="24">
        <v>12</v>
      </c>
      <c r="C83" s="20">
        <v>4</v>
      </c>
      <c r="D83" s="20">
        <v>3</v>
      </c>
      <c r="E83" s="21">
        <v>27.765000000000001</v>
      </c>
      <c r="F83" s="20">
        <v>0.2</v>
      </c>
      <c r="G83" s="20">
        <v>2</v>
      </c>
      <c r="H83" s="22"/>
      <c r="I83" s="30"/>
      <c r="J83" s="30"/>
      <c r="K83" s="30"/>
      <c r="L83" s="30"/>
      <c r="M83" s="30"/>
      <c r="N83" s="30"/>
      <c r="O83" s="30"/>
    </row>
    <row r="84" spans="1:15" x14ac:dyDescent="0.15">
      <c r="A84" s="20">
        <v>17</v>
      </c>
      <c r="B84" s="20">
        <v>15</v>
      </c>
      <c r="C84" s="20">
        <v>4</v>
      </c>
      <c r="D84" s="20">
        <v>3</v>
      </c>
      <c r="E84" s="21">
        <f>13.2*3.6</f>
        <v>47.519999999999996</v>
      </c>
      <c r="F84" s="20">
        <v>0.2</v>
      </c>
      <c r="G84" s="20">
        <v>1</v>
      </c>
      <c r="H84" s="22"/>
    </row>
    <row r="85" spans="1:15" s="12" customFormat="1" x14ac:dyDescent="0.15">
      <c r="A85" s="26">
        <v>1</v>
      </c>
      <c r="B85" s="26">
        <v>18</v>
      </c>
      <c r="C85" s="26">
        <v>1</v>
      </c>
      <c r="D85" s="26">
        <v>2</v>
      </c>
      <c r="E85" s="27">
        <f>0.93*1.13*4</f>
        <v>4.2035999999999998</v>
      </c>
      <c r="F85" s="26">
        <v>0.01</v>
      </c>
      <c r="G85" s="26">
        <v>2</v>
      </c>
      <c r="H85" s="28"/>
    </row>
    <row r="86" spans="1:15" s="12" customFormat="1" x14ac:dyDescent="0.15">
      <c r="A86" s="26">
        <v>18</v>
      </c>
      <c r="B86" s="26">
        <v>1</v>
      </c>
      <c r="C86" s="26">
        <v>3</v>
      </c>
      <c r="D86" s="26">
        <v>2</v>
      </c>
      <c r="E86" s="27">
        <f>8.25*3.6-E85</f>
        <v>25.496400000000001</v>
      </c>
      <c r="F86" s="26">
        <v>0.01</v>
      </c>
      <c r="G86" s="26">
        <v>2</v>
      </c>
      <c r="H86" s="28"/>
    </row>
    <row r="87" spans="1:15" x14ac:dyDescent="0.15">
      <c r="A87" s="23">
        <v>12</v>
      </c>
      <c r="B87" s="24">
        <v>18</v>
      </c>
      <c r="C87" s="20">
        <v>2</v>
      </c>
      <c r="D87" s="20">
        <v>5</v>
      </c>
      <c r="E87" s="21">
        <v>2.835</v>
      </c>
      <c r="F87" s="20">
        <v>7.0000000000000007E-2</v>
      </c>
      <c r="G87" s="20">
        <v>4</v>
      </c>
      <c r="H87" s="22"/>
    </row>
    <row r="88" spans="1:15" x14ac:dyDescent="0.15">
      <c r="A88" s="23">
        <v>18</v>
      </c>
      <c r="B88" s="24">
        <v>12</v>
      </c>
      <c r="C88" s="20">
        <v>4</v>
      </c>
      <c r="D88" s="20">
        <v>3</v>
      </c>
      <c r="E88" s="21">
        <v>27.765000000000001</v>
      </c>
      <c r="F88" s="20">
        <v>0.2</v>
      </c>
      <c r="G88" s="20">
        <v>4</v>
      </c>
      <c r="H88" s="22"/>
    </row>
    <row r="89" spans="1:15" x14ac:dyDescent="0.15">
      <c r="A89" s="20">
        <v>18</v>
      </c>
      <c r="B89" s="20">
        <v>16</v>
      </c>
      <c r="C89" s="20">
        <v>4</v>
      </c>
      <c r="D89" s="20">
        <v>3</v>
      </c>
      <c r="E89" s="21">
        <f>12.15*3.6</f>
        <v>43.74</v>
      </c>
      <c r="F89" s="20">
        <v>0.2</v>
      </c>
      <c r="G89" s="20">
        <v>1</v>
      </c>
      <c r="H89" s="22"/>
    </row>
    <row r="90" spans="1:15" x14ac:dyDescent="0.15">
      <c r="A90" s="23">
        <v>1</v>
      </c>
      <c r="B90" s="24">
        <v>19</v>
      </c>
      <c r="C90" s="20">
        <v>1</v>
      </c>
      <c r="D90" s="20">
        <v>2</v>
      </c>
      <c r="E90" s="21">
        <f>2.73*1.13*2</f>
        <v>6.1697999999999995</v>
      </c>
      <c r="F90" s="20">
        <v>6.0000000000000001E-3</v>
      </c>
      <c r="G90" s="20">
        <v>4</v>
      </c>
      <c r="H90" s="22"/>
    </row>
    <row r="91" spans="1:15" x14ac:dyDescent="0.15">
      <c r="A91" s="23">
        <v>19</v>
      </c>
      <c r="B91" s="24">
        <v>1</v>
      </c>
      <c r="C91" s="20">
        <v>3</v>
      </c>
      <c r="D91" s="20">
        <v>3</v>
      </c>
      <c r="E91" s="21">
        <f>8.75*3.6-E90</f>
        <v>25.330200000000001</v>
      </c>
      <c r="F91" s="20">
        <v>0.2</v>
      </c>
      <c r="G91" s="20">
        <v>4</v>
      </c>
      <c r="H91" s="22"/>
    </row>
    <row r="92" spans="1:15" x14ac:dyDescent="0.15">
      <c r="A92" s="23">
        <v>12</v>
      </c>
      <c r="B92" s="24">
        <v>19</v>
      </c>
      <c r="C92" s="20">
        <v>2</v>
      </c>
      <c r="D92" s="20">
        <v>5</v>
      </c>
      <c r="E92" s="21">
        <v>2.835</v>
      </c>
      <c r="F92" s="20">
        <v>7.0000000000000007E-2</v>
      </c>
      <c r="G92" s="20">
        <v>2</v>
      </c>
      <c r="H92" s="22"/>
    </row>
    <row r="93" spans="1:15" x14ac:dyDescent="0.15">
      <c r="A93" s="23">
        <v>19</v>
      </c>
      <c r="B93" s="24">
        <v>12</v>
      </c>
      <c r="C93" s="20">
        <v>4</v>
      </c>
      <c r="D93" s="20">
        <v>3</v>
      </c>
      <c r="E93" s="21">
        <f>8.75*3.6-E92</f>
        <v>28.664999999999999</v>
      </c>
      <c r="F93" s="20">
        <v>0.2</v>
      </c>
      <c r="G93" s="20">
        <v>2</v>
      </c>
      <c r="H93" s="22"/>
    </row>
    <row r="94" spans="1:15" x14ac:dyDescent="0.15">
      <c r="A94" s="20">
        <v>19</v>
      </c>
      <c r="B94" s="20">
        <v>17</v>
      </c>
      <c r="C94" s="20">
        <v>4</v>
      </c>
      <c r="D94" s="20">
        <v>3</v>
      </c>
      <c r="E94" s="21">
        <f>13.2*3.6</f>
        <v>47.519999999999996</v>
      </c>
      <c r="F94" s="20">
        <v>0.2</v>
      </c>
      <c r="G94" s="20">
        <v>1</v>
      </c>
      <c r="H94" s="22"/>
    </row>
    <row r="95" spans="1:15" x14ac:dyDescent="0.15">
      <c r="A95" s="20">
        <v>20</v>
      </c>
      <c r="B95" s="20">
        <v>1</v>
      </c>
      <c r="C95" s="20">
        <v>3</v>
      </c>
      <c r="D95" s="20">
        <v>3</v>
      </c>
      <c r="E95" s="21">
        <f>8.75*3.6</f>
        <v>31.5</v>
      </c>
      <c r="F95" s="20">
        <v>0.2</v>
      </c>
      <c r="G95" s="20">
        <v>2</v>
      </c>
      <c r="H95" s="22"/>
    </row>
    <row r="96" spans="1:15" x14ac:dyDescent="0.15">
      <c r="A96" s="23">
        <v>12</v>
      </c>
      <c r="B96" s="24">
        <v>20</v>
      </c>
      <c r="C96" s="20">
        <v>2</v>
      </c>
      <c r="D96" s="20">
        <v>5</v>
      </c>
      <c r="E96" s="21">
        <v>2.835</v>
      </c>
      <c r="F96" s="20">
        <v>7.0000000000000007E-2</v>
      </c>
      <c r="G96" s="20">
        <v>4</v>
      </c>
      <c r="H96" s="22"/>
    </row>
    <row r="97" spans="1:8" x14ac:dyDescent="0.15">
      <c r="A97" s="23">
        <v>20</v>
      </c>
      <c r="B97" s="24">
        <v>12</v>
      </c>
      <c r="C97" s="20">
        <v>4</v>
      </c>
      <c r="D97" s="20">
        <v>3</v>
      </c>
      <c r="E97" s="21">
        <v>28.664999999999999</v>
      </c>
      <c r="F97" s="20">
        <v>0.2</v>
      </c>
      <c r="G97" s="20">
        <v>4</v>
      </c>
      <c r="H97" s="22"/>
    </row>
    <row r="98" spans="1:8" x14ac:dyDescent="0.15">
      <c r="A98" s="20">
        <v>20</v>
      </c>
      <c r="B98" s="20">
        <v>18</v>
      </c>
      <c r="C98" s="20">
        <v>4</v>
      </c>
      <c r="D98" s="20">
        <v>3</v>
      </c>
      <c r="E98" s="21">
        <f>11.45*3.6</f>
        <v>41.22</v>
      </c>
      <c r="F98" s="20">
        <v>0.2</v>
      </c>
      <c r="G98" s="20">
        <v>1</v>
      </c>
      <c r="H98" s="22"/>
    </row>
    <row r="99" spans="1:8" s="12" customFormat="1" x14ac:dyDescent="0.15">
      <c r="A99" s="29">
        <v>1</v>
      </c>
      <c r="B99" s="25">
        <v>21</v>
      </c>
      <c r="C99" s="26">
        <v>1</v>
      </c>
      <c r="D99" s="26">
        <v>2</v>
      </c>
      <c r="E99" s="27">
        <f>1.13*1.53*2</f>
        <v>3.4577999999999998</v>
      </c>
      <c r="F99" s="26">
        <v>6.0000000000000001E-3</v>
      </c>
      <c r="G99" s="26">
        <v>4</v>
      </c>
      <c r="H99" s="28"/>
    </row>
    <row r="100" spans="1:8" x14ac:dyDescent="0.15">
      <c r="A100" s="23">
        <v>21</v>
      </c>
      <c r="B100" s="24">
        <v>1</v>
      </c>
      <c r="C100" s="20">
        <v>3</v>
      </c>
      <c r="D100" s="20">
        <v>2</v>
      </c>
      <c r="E100" s="21">
        <f>5.5*3.08-E99</f>
        <v>13.482200000000002</v>
      </c>
      <c r="F100" s="20">
        <v>6.0000000000000001E-3</v>
      </c>
      <c r="G100" s="20">
        <v>4</v>
      </c>
      <c r="H100" s="22"/>
    </row>
    <row r="101" spans="1:8" s="12" customFormat="1" x14ac:dyDescent="0.15">
      <c r="A101" s="25">
        <v>1</v>
      </c>
      <c r="B101" s="25">
        <v>21</v>
      </c>
      <c r="C101" s="26">
        <v>2</v>
      </c>
      <c r="D101" s="26">
        <v>5</v>
      </c>
      <c r="E101" s="27">
        <f>1.44*2.3</f>
        <v>3.3119999999999998</v>
      </c>
      <c r="F101" s="26">
        <v>0.05</v>
      </c>
      <c r="G101" s="26">
        <v>1</v>
      </c>
      <c r="H101" s="28"/>
    </row>
    <row r="102" spans="1:8" s="12" customFormat="1" x14ac:dyDescent="0.15">
      <c r="A102" s="25">
        <v>21</v>
      </c>
      <c r="B102" s="25">
        <v>1</v>
      </c>
      <c r="C102" s="26">
        <v>3</v>
      </c>
      <c r="D102" s="26">
        <v>3</v>
      </c>
      <c r="E102" s="27">
        <f>6.66*3.6-E101</f>
        <v>20.664000000000001</v>
      </c>
      <c r="F102" s="26">
        <v>0.2</v>
      </c>
      <c r="G102" s="26">
        <v>1</v>
      </c>
      <c r="H102" s="28"/>
    </row>
    <row r="103" spans="1:8" x14ac:dyDescent="0.15">
      <c r="A103" s="20">
        <v>21</v>
      </c>
      <c r="B103" s="20">
        <v>19</v>
      </c>
      <c r="C103" s="20">
        <v>4</v>
      </c>
      <c r="D103" s="20">
        <v>3</v>
      </c>
      <c r="E103" s="21">
        <f>9.15*3.8</f>
        <v>34.770000000000003</v>
      </c>
      <c r="F103" s="20">
        <v>0.2</v>
      </c>
      <c r="G103" s="20">
        <v>1</v>
      </c>
      <c r="H103" s="22"/>
    </row>
    <row r="104" spans="1:8" s="12" customFormat="1" x14ac:dyDescent="0.15">
      <c r="A104" s="25">
        <v>22</v>
      </c>
      <c r="B104" s="25">
        <v>1</v>
      </c>
      <c r="C104" s="26">
        <v>3</v>
      </c>
      <c r="D104" s="26">
        <v>3</v>
      </c>
      <c r="E104" s="27">
        <f>3.64*3.8</f>
        <v>13.831999999999999</v>
      </c>
      <c r="F104" s="26">
        <v>0.2</v>
      </c>
      <c r="G104" s="26">
        <v>2</v>
      </c>
      <c r="H104" s="28"/>
    </row>
    <row r="105" spans="1:8" x14ac:dyDescent="0.15">
      <c r="A105" s="23">
        <v>12</v>
      </c>
      <c r="B105" s="24">
        <v>22</v>
      </c>
      <c r="C105" s="20">
        <v>2</v>
      </c>
      <c r="D105" s="20">
        <v>2</v>
      </c>
      <c r="E105" s="21">
        <f>1.8*2.6</f>
        <v>4.6800000000000006</v>
      </c>
      <c r="F105" s="20">
        <v>1.4999999999999999E-2</v>
      </c>
      <c r="G105" s="20">
        <v>1</v>
      </c>
      <c r="H105" s="22"/>
    </row>
    <row r="106" spans="1:8" x14ac:dyDescent="0.15">
      <c r="A106" s="23">
        <v>22</v>
      </c>
      <c r="B106" s="24">
        <v>12</v>
      </c>
      <c r="C106" s="20">
        <v>4</v>
      </c>
      <c r="D106" s="20">
        <v>2</v>
      </c>
      <c r="E106" s="21">
        <f>3*3.6-E105</f>
        <v>6.12</v>
      </c>
      <c r="F106" s="20">
        <v>1.4999999999999999E-2</v>
      </c>
      <c r="G106" s="20">
        <v>1</v>
      </c>
      <c r="H106" s="22"/>
    </row>
    <row r="107" spans="1:8" x14ac:dyDescent="0.15">
      <c r="A107" s="20">
        <v>22</v>
      </c>
      <c r="B107" s="20">
        <v>19</v>
      </c>
      <c r="C107" s="20">
        <v>4</v>
      </c>
      <c r="D107" s="20">
        <v>3</v>
      </c>
      <c r="E107" s="21">
        <f>2.5*3.6</f>
        <v>9</v>
      </c>
      <c r="F107" s="20">
        <v>0.2</v>
      </c>
      <c r="G107" s="20">
        <v>1</v>
      </c>
      <c r="H107" s="22"/>
    </row>
    <row r="108" spans="1:8" x14ac:dyDescent="0.15">
      <c r="A108" s="20">
        <v>22</v>
      </c>
      <c r="B108" s="20">
        <v>20</v>
      </c>
      <c r="C108" s="20">
        <v>4</v>
      </c>
      <c r="D108" s="20">
        <v>3</v>
      </c>
      <c r="E108" s="21">
        <f>2.6*3.6</f>
        <v>9.3600000000000012</v>
      </c>
      <c r="F108" s="20">
        <v>0.2</v>
      </c>
      <c r="G108" s="20">
        <v>1</v>
      </c>
      <c r="H108" s="22"/>
    </row>
    <row r="109" spans="1:8" x14ac:dyDescent="0.15">
      <c r="A109" s="23">
        <v>21</v>
      </c>
      <c r="B109" s="24">
        <v>22</v>
      </c>
      <c r="C109" s="20">
        <v>2</v>
      </c>
      <c r="D109" s="20">
        <v>2</v>
      </c>
      <c r="E109" s="21">
        <f>1.8*2.6</f>
        <v>4.6800000000000006</v>
      </c>
      <c r="F109" s="20">
        <v>1.4999999999999999E-2</v>
      </c>
      <c r="G109" s="20">
        <v>4</v>
      </c>
      <c r="H109" s="22"/>
    </row>
    <row r="110" spans="1:8" x14ac:dyDescent="0.15">
      <c r="A110" s="23">
        <v>22</v>
      </c>
      <c r="B110" s="24">
        <v>21</v>
      </c>
      <c r="C110" s="20">
        <v>4</v>
      </c>
      <c r="D110" s="20">
        <v>2</v>
      </c>
      <c r="E110" s="21">
        <f>2.89*3.6-E109</f>
        <v>5.7239999999999993</v>
      </c>
      <c r="F110" s="20">
        <v>1E-3</v>
      </c>
      <c r="G110" s="20">
        <v>4</v>
      </c>
      <c r="H110" s="22"/>
    </row>
    <row r="111" spans="1:8" x14ac:dyDescent="0.15">
      <c r="A111" s="23">
        <v>1</v>
      </c>
      <c r="B111" s="24">
        <v>23</v>
      </c>
      <c r="C111" s="20">
        <v>1</v>
      </c>
      <c r="D111" s="20">
        <v>2</v>
      </c>
      <c r="E111" s="21">
        <f>3.06*1.14*4</f>
        <v>13.9536</v>
      </c>
      <c r="F111" s="20">
        <v>6.0000000000000001E-3</v>
      </c>
      <c r="G111" s="20">
        <v>4</v>
      </c>
      <c r="H111" s="22"/>
    </row>
    <row r="112" spans="1:8" x14ac:dyDescent="0.15">
      <c r="A112" s="20">
        <v>23</v>
      </c>
      <c r="B112" s="20">
        <v>1</v>
      </c>
      <c r="C112" s="20">
        <v>3</v>
      </c>
      <c r="D112" s="20">
        <v>3</v>
      </c>
      <c r="E112" s="21">
        <f>10*4-E111</f>
        <v>26.046399999999998</v>
      </c>
      <c r="F112" s="20">
        <v>0.2</v>
      </c>
      <c r="G112" s="20">
        <v>4</v>
      </c>
      <c r="H112" s="22"/>
    </row>
    <row r="113" spans="1:15" s="12" customFormat="1" x14ac:dyDescent="0.15">
      <c r="A113" s="32">
        <v>23</v>
      </c>
      <c r="B113" s="32">
        <v>1</v>
      </c>
      <c r="C113" s="26">
        <v>3</v>
      </c>
      <c r="D113" s="26">
        <v>3</v>
      </c>
      <c r="E113" s="27">
        <f>10.6*3.8</f>
        <v>40.279999999999994</v>
      </c>
      <c r="F113" s="26">
        <v>0.2</v>
      </c>
      <c r="G113" s="26">
        <v>1</v>
      </c>
      <c r="H113" s="28"/>
    </row>
    <row r="114" spans="1:15" x14ac:dyDescent="0.15">
      <c r="A114" s="33">
        <v>23</v>
      </c>
      <c r="B114" s="34">
        <v>22</v>
      </c>
      <c r="C114" s="20">
        <v>7</v>
      </c>
      <c r="D114" s="20">
        <v>1</v>
      </c>
      <c r="E114" s="21">
        <f>8.25*3.65</f>
        <v>30.112500000000001</v>
      </c>
      <c r="F114" s="20">
        <v>0</v>
      </c>
      <c r="G114" s="20">
        <v>1</v>
      </c>
      <c r="H114" s="22"/>
    </row>
    <row r="115" spans="1:15" x14ac:dyDescent="0.15">
      <c r="A115" s="20">
        <v>24</v>
      </c>
      <c r="B115" s="20">
        <v>1</v>
      </c>
      <c r="C115" s="20">
        <v>3</v>
      </c>
      <c r="D115" s="20">
        <v>3</v>
      </c>
      <c r="E115" s="21">
        <v>0</v>
      </c>
      <c r="F115" s="20">
        <v>0.2</v>
      </c>
      <c r="G115" s="20">
        <v>4</v>
      </c>
      <c r="H115" s="22"/>
    </row>
    <row r="116" spans="1:15" x14ac:dyDescent="0.15">
      <c r="A116" s="20">
        <v>24</v>
      </c>
      <c r="B116" s="20">
        <v>23</v>
      </c>
      <c r="C116" s="20">
        <v>4</v>
      </c>
      <c r="D116" s="20">
        <v>3</v>
      </c>
      <c r="E116" s="21">
        <f>4.05*3.8</f>
        <v>15.389999999999999</v>
      </c>
      <c r="F116" s="20">
        <v>0.2</v>
      </c>
      <c r="G116" s="20">
        <v>1</v>
      </c>
      <c r="H116" s="22"/>
    </row>
    <row r="117" spans="1:15" x14ac:dyDescent="0.15">
      <c r="A117" s="20">
        <v>25</v>
      </c>
      <c r="B117" s="20">
        <v>23</v>
      </c>
      <c r="C117" s="20">
        <v>4</v>
      </c>
      <c r="D117" s="20">
        <v>3</v>
      </c>
      <c r="E117" s="21">
        <f>2.7*3.8</f>
        <v>10.26</v>
      </c>
      <c r="F117" s="20">
        <v>0.2</v>
      </c>
      <c r="G117" s="20">
        <v>1</v>
      </c>
      <c r="H117" s="22"/>
    </row>
    <row r="118" spans="1:15" x14ac:dyDescent="0.15">
      <c r="A118" s="20">
        <v>25</v>
      </c>
      <c r="B118" s="20">
        <v>24</v>
      </c>
      <c r="C118" s="20">
        <v>4</v>
      </c>
      <c r="D118" s="20">
        <v>3</v>
      </c>
      <c r="E118" s="21">
        <f>3.71*5.67</f>
        <v>21.035699999999999</v>
      </c>
      <c r="F118" s="20">
        <v>0.2</v>
      </c>
      <c r="G118" s="20">
        <v>4</v>
      </c>
      <c r="H118" s="22"/>
    </row>
    <row r="119" spans="1:15" x14ac:dyDescent="0.15">
      <c r="A119" s="23">
        <v>1</v>
      </c>
      <c r="B119" s="24">
        <v>26</v>
      </c>
      <c r="C119" s="20">
        <v>1</v>
      </c>
      <c r="D119" s="20">
        <v>2</v>
      </c>
      <c r="E119" s="21">
        <f>1.14*2.8*3</f>
        <v>9.5759999999999987</v>
      </c>
      <c r="F119" s="20">
        <v>6.0000000000000001E-3</v>
      </c>
      <c r="G119" s="20">
        <v>4</v>
      </c>
      <c r="H119" s="22"/>
      <c r="I119" s="35"/>
      <c r="J119" s="35"/>
      <c r="K119" s="35"/>
      <c r="L119" s="35"/>
      <c r="M119" s="35"/>
      <c r="N119" s="35"/>
      <c r="O119" s="35"/>
    </row>
    <row r="120" spans="1:15" x14ac:dyDescent="0.15">
      <c r="A120" s="23">
        <v>26</v>
      </c>
      <c r="B120" s="24">
        <v>1</v>
      </c>
      <c r="C120" s="20">
        <v>3</v>
      </c>
      <c r="D120" s="20">
        <v>3</v>
      </c>
      <c r="E120" s="21">
        <f>7.25*房屋体积!D36-E119</f>
        <v>16.886499999999998</v>
      </c>
      <c r="F120" s="20">
        <v>0.2</v>
      </c>
      <c r="G120" s="20">
        <v>4</v>
      </c>
      <c r="H120" s="22"/>
      <c r="I120" s="35"/>
      <c r="J120" s="35"/>
      <c r="K120" s="35"/>
      <c r="L120" s="35"/>
      <c r="M120" s="35"/>
      <c r="N120" s="35"/>
      <c r="O120" s="35"/>
    </row>
    <row r="121" spans="1:15" x14ac:dyDescent="0.15">
      <c r="A121" s="23">
        <v>1</v>
      </c>
      <c r="B121" s="24">
        <v>26</v>
      </c>
      <c r="C121" s="20">
        <v>1</v>
      </c>
      <c r="D121" s="20">
        <v>2</v>
      </c>
      <c r="E121" s="21">
        <v>9.5760000000000005</v>
      </c>
      <c r="F121" s="20">
        <v>6.0000000000000001E-3</v>
      </c>
      <c r="G121" s="20">
        <v>3</v>
      </c>
      <c r="H121" s="22"/>
      <c r="I121" s="35"/>
      <c r="J121" s="35"/>
      <c r="K121" s="35"/>
      <c r="L121" s="35"/>
      <c r="M121" s="35"/>
      <c r="N121" s="35"/>
      <c r="O121" s="35"/>
    </row>
    <row r="122" spans="1:15" x14ac:dyDescent="0.15">
      <c r="A122" s="23">
        <v>26</v>
      </c>
      <c r="B122" s="24">
        <v>1</v>
      </c>
      <c r="C122" s="20">
        <v>3</v>
      </c>
      <c r="D122" s="20">
        <v>3</v>
      </c>
      <c r="E122" s="21">
        <f>8.15*3.65-E121</f>
        <v>20.171500000000002</v>
      </c>
      <c r="F122" s="20">
        <v>0.2</v>
      </c>
      <c r="G122" s="20">
        <v>3</v>
      </c>
      <c r="H122" s="22"/>
      <c r="I122" s="35"/>
      <c r="J122" s="35"/>
      <c r="K122" s="35"/>
      <c r="L122" s="35"/>
      <c r="M122" s="35"/>
      <c r="N122" s="35"/>
      <c r="O122" s="35"/>
    </row>
    <row r="123" spans="1:15" x14ac:dyDescent="0.15">
      <c r="A123" s="23">
        <v>24</v>
      </c>
      <c r="B123" s="24">
        <v>26</v>
      </c>
      <c r="C123" s="20">
        <v>2</v>
      </c>
      <c r="D123" s="20">
        <v>5</v>
      </c>
      <c r="E123" s="15">
        <v>5.4492000000000003</v>
      </c>
      <c r="F123" s="20">
        <v>0.2</v>
      </c>
      <c r="G123" s="20">
        <v>1</v>
      </c>
      <c r="H123" s="22" t="s">
        <v>10</v>
      </c>
      <c r="I123" s="35"/>
      <c r="J123" s="35"/>
      <c r="K123" s="35"/>
      <c r="L123" s="35"/>
      <c r="M123" s="35"/>
      <c r="N123" s="35"/>
      <c r="O123" s="35"/>
    </row>
    <row r="124" spans="1:15" x14ac:dyDescent="0.15">
      <c r="A124" s="23">
        <v>26</v>
      </c>
      <c r="B124" s="24">
        <v>24</v>
      </c>
      <c r="C124" s="20">
        <v>4</v>
      </c>
      <c r="D124" s="20">
        <v>3</v>
      </c>
      <c r="E124" s="21">
        <f>(8.15-2.7-0.4)*3.65-E123</f>
        <v>12.983299999999996</v>
      </c>
      <c r="F124" s="20">
        <v>0.2</v>
      </c>
      <c r="G124" s="20">
        <v>1</v>
      </c>
      <c r="H124" s="22"/>
      <c r="I124" s="35"/>
      <c r="J124" s="35"/>
      <c r="K124" s="35"/>
      <c r="L124" s="35"/>
      <c r="M124" s="35"/>
      <c r="N124" s="35"/>
      <c r="O124" s="35"/>
    </row>
    <row r="125" spans="1:15" x14ac:dyDescent="0.15">
      <c r="A125" s="20">
        <v>26</v>
      </c>
      <c r="B125" s="20">
        <v>25</v>
      </c>
      <c r="C125" s="20">
        <v>4</v>
      </c>
      <c r="D125" s="20">
        <v>3</v>
      </c>
      <c r="E125" s="21">
        <f>3.1*3.65</f>
        <v>11.315</v>
      </c>
      <c r="F125" s="20">
        <v>0.2</v>
      </c>
      <c r="G125" s="20">
        <v>1</v>
      </c>
      <c r="H125" s="22"/>
      <c r="I125" s="35"/>
      <c r="J125" s="35"/>
      <c r="K125" s="35"/>
      <c r="L125" s="35"/>
      <c r="M125" s="35"/>
      <c r="N125" s="35"/>
      <c r="O125" s="35"/>
    </row>
    <row r="126" spans="1:15" x14ac:dyDescent="0.15">
      <c r="A126" s="23">
        <v>1</v>
      </c>
      <c r="B126" s="24">
        <v>27</v>
      </c>
      <c r="C126" s="20">
        <v>1</v>
      </c>
      <c r="D126" s="20">
        <v>2</v>
      </c>
      <c r="E126" s="21">
        <f>1.14*2.8*7</f>
        <v>22.343999999999998</v>
      </c>
      <c r="F126" s="20">
        <v>6.0000000000000001E-3</v>
      </c>
      <c r="G126" s="20">
        <v>3</v>
      </c>
      <c r="H126" s="22"/>
      <c r="I126" s="35"/>
      <c r="J126" s="35"/>
      <c r="K126" s="35"/>
      <c r="L126" s="35"/>
      <c r="M126" s="35"/>
      <c r="N126" s="35"/>
      <c r="O126" s="35"/>
    </row>
    <row r="127" spans="1:15" x14ac:dyDescent="0.15">
      <c r="A127" s="23">
        <v>27</v>
      </c>
      <c r="B127" s="24">
        <v>1</v>
      </c>
      <c r="C127" s="20">
        <v>3</v>
      </c>
      <c r="D127" s="20">
        <v>3</v>
      </c>
      <c r="E127" s="21">
        <f>20.55*3.65-E126</f>
        <v>52.663500000000013</v>
      </c>
      <c r="F127" s="20">
        <v>0.2</v>
      </c>
      <c r="G127" s="20">
        <v>3</v>
      </c>
      <c r="H127" s="22"/>
      <c r="I127" s="35"/>
      <c r="J127" s="35"/>
      <c r="K127" s="35"/>
      <c r="L127" s="35"/>
      <c r="M127" s="35"/>
      <c r="N127" s="35"/>
      <c r="O127" s="35"/>
    </row>
    <row r="128" spans="1:15" x14ac:dyDescent="0.15">
      <c r="A128" s="23">
        <v>27</v>
      </c>
      <c r="B128" s="24">
        <v>1</v>
      </c>
      <c r="C128" s="20">
        <v>3</v>
      </c>
      <c r="D128" s="20">
        <v>3</v>
      </c>
      <c r="E128" s="21">
        <f>0.83*3.65</f>
        <v>3.0294999999999996</v>
      </c>
      <c r="F128" s="20">
        <v>0.2</v>
      </c>
      <c r="G128" s="20">
        <v>2</v>
      </c>
      <c r="H128" s="22"/>
      <c r="I128" s="35"/>
      <c r="J128" s="35"/>
      <c r="K128" s="35"/>
      <c r="L128" s="35"/>
      <c r="M128" s="35"/>
      <c r="N128" s="35"/>
      <c r="O128" s="35"/>
    </row>
    <row r="129" spans="1:15" s="12" customFormat="1" x14ac:dyDescent="0.15">
      <c r="A129" s="29">
        <v>1</v>
      </c>
      <c r="B129" s="25">
        <v>27</v>
      </c>
      <c r="C129" s="26">
        <v>1</v>
      </c>
      <c r="D129" s="26">
        <v>2</v>
      </c>
      <c r="E129" s="27">
        <f>1.13*0.93*2</f>
        <v>2.1017999999999999</v>
      </c>
      <c r="F129" s="26">
        <v>0.01</v>
      </c>
      <c r="G129" s="26">
        <v>3</v>
      </c>
      <c r="H129" s="28"/>
      <c r="I129" s="36"/>
      <c r="J129" s="36"/>
      <c r="K129" s="36"/>
      <c r="L129" s="36"/>
      <c r="M129" s="36"/>
      <c r="N129" s="36"/>
      <c r="O129" s="36"/>
    </row>
    <row r="130" spans="1:15" x14ac:dyDescent="0.15">
      <c r="A130" s="23">
        <v>27</v>
      </c>
      <c r="B130" s="24">
        <v>1</v>
      </c>
      <c r="C130" s="20">
        <v>3</v>
      </c>
      <c r="D130" s="20">
        <v>2</v>
      </c>
      <c r="E130" s="21">
        <f>4.05*3.65-E129</f>
        <v>12.680699999999998</v>
      </c>
      <c r="F130" s="20">
        <v>0.01</v>
      </c>
      <c r="G130" s="20">
        <v>3</v>
      </c>
      <c r="H130" s="22"/>
      <c r="I130" s="35"/>
      <c r="J130" s="35"/>
      <c r="K130" s="35"/>
      <c r="L130" s="35"/>
      <c r="M130" s="35"/>
      <c r="N130" s="35"/>
      <c r="O130" s="35"/>
    </row>
    <row r="131" spans="1:15" x14ac:dyDescent="0.15">
      <c r="A131" s="23">
        <v>23</v>
      </c>
      <c r="B131" s="24">
        <v>27</v>
      </c>
      <c r="C131" s="20">
        <v>2</v>
      </c>
      <c r="D131" s="20">
        <v>2</v>
      </c>
      <c r="E131" s="21">
        <f>1.8*2.6</f>
        <v>4.6800000000000006</v>
      </c>
      <c r="F131" s="20">
        <v>1.4999999999999999E-2</v>
      </c>
      <c r="G131" s="20">
        <v>1</v>
      </c>
      <c r="H131" s="22"/>
      <c r="I131" s="35"/>
      <c r="J131" s="35"/>
      <c r="K131" s="35"/>
      <c r="L131" s="35"/>
      <c r="M131" s="35"/>
      <c r="N131" s="35"/>
      <c r="O131" s="35"/>
    </row>
    <row r="132" spans="1:15" x14ac:dyDescent="0.15">
      <c r="A132" s="23">
        <v>27</v>
      </c>
      <c r="B132" s="24">
        <v>23</v>
      </c>
      <c r="C132" s="20">
        <v>4</v>
      </c>
      <c r="D132" s="20">
        <v>2</v>
      </c>
      <c r="E132" s="21">
        <f>8.25*3.6-E131</f>
        <v>25.02</v>
      </c>
      <c r="F132" s="20">
        <v>0.01</v>
      </c>
      <c r="G132" s="20">
        <v>1</v>
      </c>
      <c r="H132" s="22"/>
      <c r="I132" s="35"/>
      <c r="J132" s="35"/>
      <c r="K132" s="35"/>
      <c r="L132" s="35"/>
      <c r="M132" s="35"/>
      <c r="N132" s="35"/>
      <c r="O132" s="35"/>
    </row>
    <row r="133" spans="1:15" x14ac:dyDescent="0.15">
      <c r="A133" s="23">
        <v>25</v>
      </c>
      <c r="B133" s="24">
        <v>27</v>
      </c>
      <c r="C133" s="20">
        <v>2</v>
      </c>
      <c r="D133" s="20">
        <v>4</v>
      </c>
      <c r="E133" s="21">
        <v>2.87</v>
      </c>
      <c r="F133" s="20">
        <v>0.04</v>
      </c>
      <c r="G133" s="20">
        <v>4</v>
      </c>
      <c r="H133" s="22"/>
      <c r="I133" s="35"/>
      <c r="J133" s="35"/>
      <c r="K133" s="35"/>
      <c r="L133" s="35"/>
      <c r="M133" s="35"/>
      <c r="N133" s="35"/>
      <c r="O133" s="35"/>
    </row>
    <row r="134" spans="1:15" x14ac:dyDescent="0.15">
      <c r="A134" s="23">
        <v>27</v>
      </c>
      <c r="B134" s="24">
        <v>25</v>
      </c>
      <c r="C134" s="20">
        <v>4</v>
      </c>
      <c r="D134" s="20">
        <v>3</v>
      </c>
      <c r="E134" s="21">
        <f>3.71*3.55-E133</f>
        <v>10.3005</v>
      </c>
      <c r="F134" s="20">
        <v>0.2</v>
      </c>
      <c r="G134" s="20">
        <v>4</v>
      </c>
      <c r="H134" s="22"/>
      <c r="I134" s="35"/>
      <c r="J134" s="35"/>
      <c r="K134" s="35"/>
      <c r="L134" s="35"/>
      <c r="M134" s="35"/>
      <c r="N134" s="35"/>
      <c r="O134" s="35"/>
    </row>
    <row r="135" spans="1:15" x14ac:dyDescent="0.15">
      <c r="A135" s="20">
        <v>28</v>
      </c>
      <c r="B135" s="20">
        <v>20</v>
      </c>
      <c r="C135" s="20">
        <v>4</v>
      </c>
      <c r="D135" s="20">
        <v>3</v>
      </c>
      <c r="E135" s="21">
        <f>9*3.6</f>
        <v>32.4</v>
      </c>
      <c r="F135" s="20">
        <v>0.2</v>
      </c>
      <c r="G135" s="20">
        <v>1</v>
      </c>
      <c r="H135" s="22"/>
      <c r="I135" s="35"/>
      <c r="J135" s="35"/>
      <c r="K135" s="35"/>
      <c r="L135" s="35"/>
      <c r="M135" s="35"/>
      <c r="N135" s="35"/>
      <c r="O135" s="35"/>
    </row>
    <row r="136" spans="1:15" x14ac:dyDescent="0.15">
      <c r="A136" s="20">
        <v>28</v>
      </c>
      <c r="B136" s="20">
        <v>22</v>
      </c>
      <c r="C136" s="20">
        <v>4</v>
      </c>
      <c r="D136" s="20">
        <v>3</v>
      </c>
      <c r="E136" s="21">
        <f>10.45*3.6</f>
        <v>37.619999999999997</v>
      </c>
      <c r="F136" s="20">
        <v>0.2</v>
      </c>
      <c r="G136" s="20">
        <v>4</v>
      </c>
      <c r="H136" s="22"/>
      <c r="I136" s="35"/>
      <c r="J136" s="35"/>
      <c r="K136" s="35"/>
      <c r="L136" s="35"/>
      <c r="M136" s="35"/>
      <c r="N136" s="35"/>
      <c r="O136" s="35"/>
    </row>
    <row r="137" spans="1:15" x14ac:dyDescent="0.15">
      <c r="A137" s="20">
        <v>29</v>
      </c>
      <c r="B137" s="20">
        <v>1</v>
      </c>
      <c r="C137" s="20">
        <v>3</v>
      </c>
      <c r="D137" s="20">
        <v>3</v>
      </c>
      <c r="E137" s="21">
        <f>8.7*3.6</f>
        <v>31.319999999999997</v>
      </c>
      <c r="F137" s="20">
        <v>0.2</v>
      </c>
      <c r="G137" s="20">
        <v>1</v>
      </c>
      <c r="H137" s="22"/>
      <c r="I137" s="35"/>
      <c r="J137" s="35"/>
      <c r="K137" s="35"/>
      <c r="L137" s="35"/>
      <c r="M137" s="35"/>
      <c r="N137" s="35"/>
      <c r="O137" s="35"/>
    </row>
    <row r="138" spans="1:15" x14ac:dyDescent="0.15">
      <c r="A138" s="20">
        <v>29</v>
      </c>
      <c r="B138" s="20">
        <v>28</v>
      </c>
      <c r="C138" s="20">
        <v>4</v>
      </c>
      <c r="D138" s="20">
        <v>3</v>
      </c>
      <c r="E138" s="21">
        <f>9.66*3.6</f>
        <v>34.776000000000003</v>
      </c>
      <c r="F138" s="20">
        <v>0.2</v>
      </c>
      <c r="G138" s="20">
        <v>4</v>
      </c>
      <c r="H138" s="22"/>
      <c r="I138" s="35"/>
      <c r="J138" s="35"/>
      <c r="K138" s="35"/>
      <c r="L138" s="35"/>
      <c r="M138" s="35"/>
      <c r="N138" s="35"/>
      <c r="O138" s="35"/>
    </row>
    <row r="139" spans="1:15" x14ac:dyDescent="0.15">
      <c r="A139" s="20">
        <v>30</v>
      </c>
      <c r="B139" s="20">
        <v>23</v>
      </c>
      <c r="C139" s="20">
        <v>4</v>
      </c>
      <c r="D139" s="20">
        <v>3</v>
      </c>
      <c r="E139" s="21">
        <f>10.01*3.6</f>
        <v>36.036000000000001</v>
      </c>
      <c r="F139" s="20">
        <v>0.2</v>
      </c>
      <c r="G139" s="20">
        <v>4</v>
      </c>
      <c r="H139" s="22"/>
      <c r="I139" s="35"/>
      <c r="J139" s="35"/>
      <c r="K139" s="35"/>
      <c r="L139" s="35"/>
      <c r="M139" s="35"/>
      <c r="N139" s="35"/>
      <c r="O139" s="35"/>
    </row>
    <row r="140" spans="1:15" x14ac:dyDescent="0.15">
      <c r="A140" s="23">
        <v>27</v>
      </c>
      <c r="B140" s="24">
        <v>30</v>
      </c>
      <c r="C140" s="20">
        <v>2</v>
      </c>
      <c r="D140" s="20">
        <v>5</v>
      </c>
      <c r="E140" s="21">
        <v>7.88</v>
      </c>
      <c r="F140" s="20">
        <v>7.0000000000000007E-2</v>
      </c>
      <c r="G140" s="20">
        <v>3</v>
      </c>
      <c r="H140" s="22"/>
      <c r="I140" s="35"/>
      <c r="J140" s="35"/>
      <c r="K140" s="35"/>
      <c r="L140" s="35"/>
      <c r="M140" s="35"/>
      <c r="N140" s="35"/>
      <c r="O140" s="35"/>
    </row>
    <row r="141" spans="1:15" x14ac:dyDescent="0.15">
      <c r="A141" s="23">
        <v>30</v>
      </c>
      <c r="B141" s="24">
        <v>27</v>
      </c>
      <c r="C141" s="20">
        <v>4</v>
      </c>
      <c r="D141" s="20">
        <v>3</v>
      </c>
      <c r="E141" s="21">
        <f>9*3.6-E140</f>
        <v>24.52</v>
      </c>
      <c r="F141" s="20">
        <v>0.2</v>
      </c>
      <c r="G141" s="20">
        <v>3</v>
      </c>
      <c r="H141" s="22"/>
      <c r="I141" s="35"/>
      <c r="J141" s="35"/>
      <c r="K141" s="35"/>
      <c r="L141" s="35"/>
      <c r="M141" s="35"/>
      <c r="N141" s="35"/>
      <c r="O141" s="35"/>
    </row>
    <row r="142" spans="1:15" x14ac:dyDescent="0.15">
      <c r="A142" s="23">
        <v>28</v>
      </c>
      <c r="B142" s="24">
        <v>30</v>
      </c>
      <c r="C142" s="20">
        <v>2</v>
      </c>
      <c r="D142" s="20">
        <v>5</v>
      </c>
      <c r="E142" s="21">
        <v>2.84</v>
      </c>
      <c r="F142" s="20">
        <v>7.0000000000000007E-2</v>
      </c>
      <c r="G142" s="20">
        <v>1</v>
      </c>
      <c r="H142" s="22"/>
      <c r="I142" s="35"/>
      <c r="J142" s="35"/>
      <c r="K142" s="35"/>
      <c r="L142" s="35"/>
      <c r="M142" s="35"/>
      <c r="N142" s="35"/>
      <c r="O142" s="35"/>
    </row>
    <row r="143" spans="1:15" x14ac:dyDescent="0.15">
      <c r="A143" s="23">
        <v>30</v>
      </c>
      <c r="B143" s="24">
        <v>28</v>
      </c>
      <c r="C143" s="20">
        <v>4</v>
      </c>
      <c r="D143" s="20">
        <v>3</v>
      </c>
      <c r="E143" s="21">
        <f>9*3.6-E142</f>
        <v>29.56</v>
      </c>
      <c r="F143" s="20">
        <v>0.2</v>
      </c>
      <c r="G143" s="20">
        <v>1</v>
      </c>
      <c r="H143" s="22"/>
      <c r="I143" s="35"/>
      <c r="J143" s="35"/>
      <c r="K143" s="35"/>
      <c r="L143" s="35"/>
      <c r="M143" s="35"/>
      <c r="N143" s="35"/>
      <c r="O143" s="35"/>
    </row>
    <row r="144" spans="1:15" x14ac:dyDescent="0.15">
      <c r="A144" s="23">
        <v>27</v>
      </c>
      <c r="B144" s="24">
        <v>31</v>
      </c>
      <c r="C144" s="20">
        <v>2</v>
      </c>
      <c r="D144" s="20">
        <v>5</v>
      </c>
      <c r="E144" s="21">
        <v>7.88</v>
      </c>
      <c r="F144" s="20">
        <v>7.0000000000000007E-2</v>
      </c>
      <c r="G144" s="20">
        <v>3</v>
      </c>
      <c r="H144" s="22"/>
      <c r="I144" s="35"/>
      <c r="J144" s="35"/>
      <c r="K144" s="35"/>
      <c r="L144" s="35"/>
      <c r="M144" s="35"/>
      <c r="N144" s="35"/>
      <c r="O144" s="35"/>
    </row>
    <row r="145" spans="1:15" x14ac:dyDescent="0.15">
      <c r="A145" s="23">
        <v>31</v>
      </c>
      <c r="B145" s="24">
        <v>27</v>
      </c>
      <c r="C145" s="20">
        <v>4</v>
      </c>
      <c r="D145" s="20">
        <v>3</v>
      </c>
      <c r="E145" s="21">
        <f>8.7*3.6-E144</f>
        <v>23.439999999999998</v>
      </c>
      <c r="F145" s="20">
        <v>0.2</v>
      </c>
      <c r="G145" s="20">
        <v>3</v>
      </c>
      <c r="H145" s="22"/>
      <c r="I145" s="35"/>
      <c r="J145" s="35"/>
      <c r="K145" s="35"/>
      <c r="L145" s="35"/>
      <c r="M145" s="35"/>
      <c r="N145" s="35"/>
      <c r="O145" s="35"/>
    </row>
    <row r="146" spans="1:15" x14ac:dyDescent="0.15">
      <c r="A146" s="23">
        <v>29</v>
      </c>
      <c r="B146" s="24">
        <v>31</v>
      </c>
      <c r="C146" s="20">
        <v>2</v>
      </c>
      <c r="D146" s="20">
        <v>5</v>
      </c>
      <c r="E146" s="21">
        <v>2.84</v>
      </c>
      <c r="F146" s="20">
        <v>7.0000000000000007E-2</v>
      </c>
      <c r="G146" s="20">
        <v>1</v>
      </c>
      <c r="H146" s="22"/>
      <c r="I146" s="35"/>
      <c r="J146" s="35"/>
      <c r="K146" s="35"/>
      <c r="L146" s="35"/>
      <c r="M146" s="35"/>
      <c r="N146" s="35"/>
      <c r="O146" s="35"/>
    </row>
    <row r="147" spans="1:15" x14ac:dyDescent="0.15">
      <c r="A147" s="23">
        <v>31</v>
      </c>
      <c r="B147" s="24">
        <v>29</v>
      </c>
      <c r="C147" s="20">
        <v>4</v>
      </c>
      <c r="D147" s="20">
        <v>3</v>
      </c>
      <c r="E147" s="21">
        <f>8.7*3.6-E146</f>
        <v>28.479999999999997</v>
      </c>
      <c r="F147" s="20">
        <v>0.2</v>
      </c>
      <c r="G147" s="20">
        <v>1</v>
      </c>
      <c r="H147" s="22"/>
      <c r="I147" s="35"/>
      <c r="J147" s="35"/>
      <c r="K147" s="35"/>
      <c r="L147" s="35"/>
      <c r="M147" s="35"/>
      <c r="N147" s="35"/>
      <c r="O147" s="35"/>
    </row>
    <row r="148" spans="1:15" x14ac:dyDescent="0.15">
      <c r="A148" s="20">
        <v>31</v>
      </c>
      <c r="B148" s="20">
        <v>30</v>
      </c>
      <c r="C148" s="20">
        <v>4</v>
      </c>
      <c r="D148" s="20">
        <v>3</v>
      </c>
      <c r="E148" s="21">
        <f>10.01*3.6</f>
        <v>36.036000000000001</v>
      </c>
      <c r="F148" s="20">
        <v>0.2</v>
      </c>
      <c r="G148" s="20">
        <v>4</v>
      </c>
      <c r="H148" s="22"/>
    </row>
    <row r="149" spans="1:15" x14ac:dyDescent="0.15">
      <c r="A149" s="23">
        <v>1</v>
      </c>
      <c r="B149" s="24">
        <v>32</v>
      </c>
      <c r="C149" s="20">
        <v>1</v>
      </c>
      <c r="D149" s="20">
        <v>2</v>
      </c>
      <c r="E149" s="21">
        <f>1.14*2.8*2</f>
        <v>6.3839999999999995</v>
      </c>
      <c r="F149" s="20">
        <v>6.0000000000000001E-3</v>
      </c>
      <c r="G149" s="20">
        <v>1</v>
      </c>
      <c r="H149" s="22"/>
    </row>
    <row r="150" spans="1:15" x14ac:dyDescent="0.15">
      <c r="A150" s="23">
        <v>32</v>
      </c>
      <c r="B150" s="24">
        <v>1</v>
      </c>
      <c r="C150" s="20">
        <v>3</v>
      </c>
      <c r="D150" s="20">
        <v>3</v>
      </c>
      <c r="E150" s="21">
        <f>9*3.6-E149</f>
        <v>26.015999999999998</v>
      </c>
      <c r="F150" s="20">
        <v>0.2</v>
      </c>
      <c r="G150" s="20">
        <v>1</v>
      </c>
      <c r="H150" s="22"/>
    </row>
    <row r="151" spans="1:15" x14ac:dyDescent="0.15">
      <c r="A151" s="20">
        <v>32</v>
      </c>
      <c r="B151" s="20">
        <v>29</v>
      </c>
      <c r="C151" s="20">
        <v>4</v>
      </c>
      <c r="D151" s="20">
        <v>3</v>
      </c>
      <c r="E151" s="21">
        <f>9.66*3.6</f>
        <v>34.776000000000003</v>
      </c>
      <c r="F151" s="20">
        <v>0.2</v>
      </c>
      <c r="G151" s="20">
        <v>4</v>
      </c>
      <c r="H151" s="22"/>
    </row>
    <row r="152" spans="1:15" x14ac:dyDescent="0.15">
      <c r="A152" s="20">
        <v>32</v>
      </c>
      <c r="B152" s="20">
        <v>31</v>
      </c>
      <c r="C152" s="20">
        <v>4</v>
      </c>
      <c r="D152" s="20">
        <v>3</v>
      </c>
      <c r="E152" s="21">
        <f>10.01*3.6</f>
        <v>36.036000000000001</v>
      </c>
      <c r="F152" s="20">
        <v>0.2</v>
      </c>
      <c r="G152" s="20">
        <v>4</v>
      </c>
      <c r="H152" s="22"/>
    </row>
    <row r="153" spans="1:15" x14ac:dyDescent="0.15">
      <c r="A153" s="23">
        <v>1</v>
      </c>
      <c r="B153" s="24">
        <v>33</v>
      </c>
      <c r="C153" s="20">
        <v>1</v>
      </c>
      <c r="D153" s="20">
        <v>2</v>
      </c>
      <c r="E153" s="21">
        <f>1.13*2.86*5</f>
        <v>16.158999999999995</v>
      </c>
      <c r="F153" s="20">
        <v>6.0000000000000001E-3</v>
      </c>
      <c r="G153" s="20">
        <v>1</v>
      </c>
      <c r="H153" s="22"/>
    </row>
    <row r="154" spans="1:15" x14ac:dyDescent="0.15">
      <c r="A154" s="23">
        <v>33</v>
      </c>
      <c r="B154" s="24">
        <v>1</v>
      </c>
      <c r="C154" s="20">
        <v>3</v>
      </c>
      <c r="D154" s="20">
        <v>3</v>
      </c>
      <c r="E154" s="21">
        <f>8.8*3.37-E153</f>
        <v>13.497000000000007</v>
      </c>
      <c r="F154" s="20">
        <v>0.2</v>
      </c>
      <c r="G154" s="20">
        <v>1</v>
      </c>
      <c r="H154" s="22"/>
    </row>
    <row r="155" spans="1:15" x14ac:dyDescent="0.15">
      <c r="A155" s="20">
        <v>33</v>
      </c>
      <c r="B155" s="20">
        <v>32</v>
      </c>
      <c r="C155" s="20">
        <v>4</v>
      </c>
      <c r="D155" s="20">
        <v>3</v>
      </c>
      <c r="E155" s="21">
        <f>4.16*5+3*3.76+3*3.46+3*3.14+3.5*2.86+0.6*3.16+0.2*3.37</f>
        <v>64.459999999999994</v>
      </c>
      <c r="F155" s="20">
        <v>0.2</v>
      </c>
      <c r="G155" s="20">
        <v>4</v>
      </c>
      <c r="H155" s="22"/>
    </row>
    <row r="156" spans="1:15" s="12" customFormat="1" x14ac:dyDescent="0.15">
      <c r="A156" s="26">
        <v>1</v>
      </c>
      <c r="B156" s="26">
        <v>34</v>
      </c>
      <c r="C156" s="26">
        <v>1</v>
      </c>
      <c r="D156" s="26">
        <v>2</v>
      </c>
      <c r="E156" s="27">
        <f>1.13*0.93</f>
        <v>1.0508999999999999</v>
      </c>
      <c r="F156" s="26">
        <v>0.01</v>
      </c>
      <c r="G156" s="26">
        <v>2</v>
      </c>
      <c r="H156" s="28"/>
    </row>
    <row r="157" spans="1:15" x14ac:dyDescent="0.15">
      <c r="A157" s="20">
        <v>34</v>
      </c>
      <c r="B157" s="20">
        <v>1</v>
      </c>
      <c r="C157" s="20">
        <v>3</v>
      </c>
      <c r="D157" s="20">
        <v>2</v>
      </c>
      <c r="E157" s="21">
        <f>2.64*3.6-E156</f>
        <v>8.4531000000000009</v>
      </c>
      <c r="F157" s="20">
        <v>0.01</v>
      </c>
      <c r="G157" s="20">
        <v>2</v>
      </c>
      <c r="H157" s="22"/>
    </row>
    <row r="158" spans="1:15" x14ac:dyDescent="0.15">
      <c r="A158" s="23">
        <v>31</v>
      </c>
      <c r="B158" s="24">
        <v>34</v>
      </c>
      <c r="C158" s="20">
        <v>2</v>
      </c>
      <c r="D158" s="20">
        <v>5</v>
      </c>
      <c r="E158" s="21">
        <v>2.84</v>
      </c>
      <c r="F158" s="20">
        <v>7.0000000000000007E-2</v>
      </c>
      <c r="G158" s="20">
        <v>1</v>
      </c>
      <c r="H158" s="22"/>
    </row>
    <row r="159" spans="1:15" x14ac:dyDescent="0.15">
      <c r="A159" s="23">
        <v>34</v>
      </c>
      <c r="B159" s="24">
        <v>31</v>
      </c>
      <c r="C159" s="20">
        <v>4</v>
      </c>
      <c r="D159" s="20">
        <v>3</v>
      </c>
      <c r="E159" s="21">
        <f>4.5*3.6-E158</f>
        <v>13.36</v>
      </c>
      <c r="F159" s="20">
        <v>0.2</v>
      </c>
      <c r="G159" s="20">
        <v>1</v>
      </c>
      <c r="H159" s="22"/>
    </row>
    <row r="160" spans="1:15" x14ac:dyDescent="0.15">
      <c r="A160" s="23">
        <v>32</v>
      </c>
      <c r="B160" s="24">
        <v>34</v>
      </c>
      <c r="C160" s="20">
        <v>2</v>
      </c>
      <c r="D160" s="20">
        <v>5</v>
      </c>
      <c r="E160" s="21">
        <v>7.88</v>
      </c>
      <c r="F160" s="20">
        <v>7.0000000000000007E-2</v>
      </c>
      <c r="G160" s="20">
        <v>1</v>
      </c>
      <c r="H160" s="22"/>
    </row>
    <row r="161" spans="1:15" x14ac:dyDescent="0.15">
      <c r="A161" s="23">
        <v>34</v>
      </c>
      <c r="B161" s="24">
        <v>32</v>
      </c>
      <c r="C161" s="20">
        <v>4</v>
      </c>
      <c r="D161" s="20">
        <v>3</v>
      </c>
      <c r="E161" s="21">
        <f>9*3.6-E160</f>
        <v>24.52</v>
      </c>
      <c r="F161" s="20">
        <v>0.2</v>
      </c>
      <c r="G161" s="20">
        <v>1</v>
      </c>
      <c r="H161" s="22"/>
    </row>
    <row r="162" spans="1:15" x14ac:dyDescent="0.15">
      <c r="A162" s="23">
        <v>34</v>
      </c>
      <c r="B162" s="24">
        <v>32</v>
      </c>
      <c r="C162" s="20">
        <v>4</v>
      </c>
      <c r="D162" s="20">
        <v>3</v>
      </c>
      <c r="E162" s="21">
        <f>3*3.6</f>
        <v>10.8</v>
      </c>
      <c r="F162" s="20">
        <v>0.2</v>
      </c>
      <c r="G162" s="20">
        <v>4</v>
      </c>
      <c r="H162" s="22"/>
    </row>
    <row r="163" spans="1:15" x14ac:dyDescent="0.15">
      <c r="A163" s="23">
        <v>33</v>
      </c>
      <c r="B163" s="24">
        <v>34</v>
      </c>
      <c r="C163" s="20">
        <v>2</v>
      </c>
      <c r="D163" s="20">
        <v>4</v>
      </c>
      <c r="E163" s="21">
        <f>1.8*2.07*2</f>
        <v>7.452</v>
      </c>
      <c r="F163" s="20">
        <v>4.2000000000000003E-2</v>
      </c>
      <c r="G163" s="20">
        <v>1</v>
      </c>
      <c r="H163" s="22"/>
      <c r="I163" s="35"/>
      <c r="J163" s="35"/>
      <c r="K163" s="35"/>
      <c r="L163" s="35"/>
      <c r="M163" s="35"/>
      <c r="N163" s="35"/>
      <c r="O163" s="35"/>
    </row>
    <row r="164" spans="1:15" x14ac:dyDescent="0.15">
      <c r="A164" s="23">
        <v>34</v>
      </c>
      <c r="B164" s="24">
        <v>33</v>
      </c>
      <c r="C164" s="20">
        <v>4</v>
      </c>
      <c r="D164" s="20">
        <v>3</v>
      </c>
      <c r="E164" s="21">
        <f>8.4*3.6-E163</f>
        <v>22.788000000000004</v>
      </c>
      <c r="F164" s="20">
        <v>0.2</v>
      </c>
      <c r="G164" s="20">
        <v>1</v>
      </c>
      <c r="H164" s="22"/>
      <c r="I164" s="35"/>
      <c r="J164" s="35"/>
      <c r="K164" s="35"/>
      <c r="L164" s="35"/>
      <c r="M164" s="35"/>
      <c r="N164" s="35"/>
      <c r="O164" s="35"/>
    </row>
    <row r="165" spans="1:15" s="12" customFormat="1" x14ac:dyDescent="0.15">
      <c r="A165" s="29">
        <v>1</v>
      </c>
      <c r="B165" s="25">
        <v>35</v>
      </c>
      <c r="C165" s="26">
        <v>1</v>
      </c>
      <c r="D165" s="26">
        <v>2</v>
      </c>
      <c r="E165" s="27">
        <f>1.13*0.93*2</f>
        <v>2.1017999999999999</v>
      </c>
      <c r="F165" s="26">
        <v>0.01</v>
      </c>
      <c r="G165" s="26">
        <v>3</v>
      </c>
      <c r="H165" s="28"/>
      <c r="I165" s="36"/>
      <c r="J165" s="36"/>
      <c r="K165" s="36"/>
      <c r="L165" s="36"/>
      <c r="M165" s="36"/>
      <c r="N165" s="36"/>
      <c r="O165" s="36"/>
    </row>
    <row r="166" spans="1:15" x14ac:dyDescent="0.15">
      <c r="A166" s="23">
        <v>35</v>
      </c>
      <c r="B166" s="24">
        <v>1</v>
      </c>
      <c r="C166" s="20">
        <v>3</v>
      </c>
      <c r="D166" s="20">
        <v>2</v>
      </c>
      <c r="E166" s="21">
        <f>4.3*3.2-E165</f>
        <v>11.658200000000001</v>
      </c>
      <c r="F166" s="20">
        <v>0.01</v>
      </c>
      <c r="G166" s="20">
        <v>3</v>
      </c>
      <c r="H166" s="22"/>
      <c r="I166" s="35"/>
      <c r="J166" s="35"/>
      <c r="K166" s="35"/>
      <c r="L166" s="35"/>
      <c r="M166" s="35"/>
      <c r="N166" s="35"/>
      <c r="O166" s="35"/>
    </row>
    <row r="167" spans="1:15" x14ac:dyDescent="0.15">
      <c r="A167" s="20">
        <v>35</v>
      </c>
      <c r="B167" s="20">
        <v>27</v>
      </c>
      <c r="C167" s="20">
        <v>4</v>
      </c>
      <c r="D167" s="20">
        <v>3</v>
      </c>
      <c r="E167" s="21">
        <f>7.2*3.2</f>
        <v>23.040000000000003</v>
      </c>
      <c r="F167" s="20">
        <v>0.2</v>
      </c>
      <c r="G167" s="20">
        <v>4</v>
      </c>
      <c r="H167" s="22"/>
      <c r="I167" s="35"/>
      <c r="J167" s="35"/>
      <c r="K167" s="35"/>
      <c r="L167" s="35"/>
      <c r="M167" s="35"/>
      <c r="N167" s="35"/>
      <c r="O167" s="35"/>
    </row>
    <row r="168" spans="1:15" x14ac:dyDescent="0.15">
      <c r="A168" s="23">
        <v>34</v>
      </c>
      <c r="B168" s="24">
        <v>35</v>
      </c>
      <c r="C168" s="20">
        <v>2</v>
      </c>
      <c r="D168" s="20">
        <v>4</v>
      </c>
      <c r="E168" s="21">
        <f>1.14*3.2</f>
        <v>3.6479999999999997</v>
      </c>
      <c r="F168" s="20">
        <v>4.2000000000000003E-2</v>
      </c>
      <c r="G168" s="20">
        <v>1</v>
      </c>
      <c r="H168" s="22"/>
      <c r="I168" s="35"/>
      <c r="J168" s="35"/>
      <c r="K168" s="35"/>
      <c r="L168" s="35"/>
      <c r="M168" s="35"/>
      <c r="N168" s="35"/>
      <c r="O168" s="35"/>
    </row>
    <row r="169" spans="1:15" x14ac:dyDescent="0.15">
      <c r="A169" s="23">
        <v>35</v>
      </c>
      <c r="B169" s="24">
        <v>34</v>
      </c>
      <c r="C169" s="20">
        <v>4</v>
      </c>
      <c r="D169" s="20">
        <v>2</v>
      </c>
      <c r="E169" s="21">
        <f>3.03*3.2</f>
        <v>9.6959999999999997</v>
      </c>
      <c r="F169" s="20">
        <v>0.01</v>
      </c>
      <c r="G169" s="20">
        <v>1</v>
      </c>
      <c r="H169" s="22"/>
      <c r="I169" s="35"/>
      <c r="J169" s="35"/>
      <c r="K169" s="35"/>
      <c r="L169" s="35"/>
      <c r="M169" s="35"/>
      <c r="N169" s="35"/>
      <c r="O169" s="35"/>
    </row>
    <row r="170" spans="1:15" x14ac:dyDescent="0.15">
      <c r="A170" s="23">
        <v>36</v>
      </c>
      <c r="B170" s="24">
        <v>34</v>
      </c>
      <c r="C170" s="20">
        <v>4</v>
      </c>
      <c r="D170" s="20">
        <v>2</v>
      </c>
      <c r="E170" s="21">
        <f>4.16*3.2</f>
        <v>13.312000000000001</v>
      </c>
      <c r="F170" s="20">
        <v>0.01</v>
      </c>
      <c r="G170" s="20">
        <v>1</v>
      </c>
      <c r="H170" s="22"/>
      <c r="I170" s="35"/>
      <c r="J170" s="35"/>
      <c r="K170" s="35"/>
      <c r="L170" s="35"/>
      <c r="M170" s="35"/>
      <c r="N170" s="35"/>
      <c r="O170" s="35"/>
    </row>
    <row r="171" spans="1:15" x14ac:dyDescent="0.15">
      <c r="A171" s="20">
        <v>36</v>
      </c>
      <c r="B171" s="20">
        <v>35</v>
      </c>
      <c r="C171" s="20">
        <v>4</v>
      </c>
      <c r="D171" s="20">
        <v>3</v>
      </c>
      <c r="E171" s="21">
        <f>3.6*3.2</f>
        <v>11.520000000000001</v>
      </c>
      <c r="F171" s="20">
        <v>0.2</v>
      </c>
      <c r="G171" s="20">
        <v>4</v>
      </c>
      <c r="H171" s="22"/>
      <c r="I171" s="35"/>
      <c r="J171" s="35"/>
      <c r="K171" s="35"/>
      <c r="L171" s="35"/>
      <c r="M171" s="35"/>
      <c r="N171" s="35"/>
      <c r="O171" s="35"/>
    </row>
    <row r="172" spans="1:15" s="12" customFormat="1" x14ac:dyDescent="0.15">
      <c r="A172" s="29">
        <v>1</v>
      </c>
      <c r="B172" s="25">
        <v>37</v>
      </c>
      <c r="C172" s="26">
        <v>1</v>
      </c>
      <c r="D172" s="26">
        <v>2</v>
      </c>
      <c r="E172" s="27">
        <f>1.13*0.93*2</f>
        <v>2.1017999999999999</v>
      </c>
      <c r="F172" s="26">
        <v>0.01</v>
      </c>
      <c r="G172" s="26">
        <v>3</v>
      </c>
      <c r="H172" s="28"/>
      <c r="I172" s="36"/>
      <c r="J172" s="36"/>
      <c r="K172" s="36"/>
      <c r="L172" s="36"/>
      <c r="M172" s="36"/>
      <c r="N172" s="36"/>
      <c r="O172" s="36"/>
    </row>
    <row r="173" spans="1:15" x14ac:dyDescent="0.15">
      <c r="A173" s="23">
        <v>37</v>
      </c>
      <c r="B173" s="24">
        <v>1</v>
      </c>
      <c r="C173" s="20">
        <v>3</v>
      </c>
      <c r="D173" s="20">
        <v>2</v>
      </c>
      <c r="E173" s="21">
        <f>4.45*3.2-E172</f>
        <v>12.138200000000001</v>
      </c>
      <c r="F173" s="20">
        <v>0.01</v>
      </c>
      <c r="G173" s="20">
        <v>3</v>
      </c>
      <c r="H173" s="22"/>
      <c r="I173" s="35"/>
      <c r="J173" s="35"/>
      <c r="K173" s="35"/>
      <c r="L173" s="35"/>
      <c r="M173" s="35"/>
      <c r="N173" s="35"/>
      <c r="O173" s="35"/>
    </row>
    <row r="174" spans="1:15" x14ac:dyDescent="0.15">
      <c r="A174" s="20">
        <v>37</v>
      </c>
      <c r="B174" s="20">
        <v>35</v>
      </c>
      <c r="C174" s="20">
        <v>4</v>
      </c>
      <c r="D174" s="20">
        <v>3</v>
      </c>
      <c r="E174" s="21">
        <v>11.52</v>
      </c>
      <c r="F174" s="20">
        <v>0.2</v>
      </c>
      <c r="G174" s="20">
        <v>4</v>
      </c>
      <c r="H174" s="22"/>
      <c r="I174" s="35"/>
      <c r="J174" s="35"/>
      <c r="K174" s="35"/>
      <c r="L174" s="35"/>
      <c r="M174" s="35"/>
      <c r="N174" s="35"/>
      <c r="O174" s="35"/>
    </row>
    <row r="175" spans="1:15" x14ac:dyDescent="0.15">
      <c r="A175" s="23">
        <v>36</v>
      </c>
      <c r="B175" s="24">
        <v>37</v>
      </c>
      <c r="C175" s="20">
        <v>2</v>
      </c>
      <c r="D175" s="20">
        <v>4</v>
      </c>
      <c r="E175" s="21">
        <f>0.95*2.1</f>
        <v>1.9949999999999999</v>
      </c>
      <c r="F175" s="20">
        <v>4.2000000000000003E-2</v>
      </c>
      <c r="G175" s="20">
        <v>1</v>
      </c>
      <c r="H175" s="22"/>
      <c r="I175" s="35"/>
      <c r="J175" s="35"/>
      <c r="K175" s="35"/>
      <c r="L175" s="35"/>
      <c r="M175" s="35"/>
      <c r="N175" s="35"/>
      <c r="O175" s="35"/>
    </row>
    <row r="176" spans="1:15" x14ac:dyDescent="0.15">
      <c r="A176" s="23">
        <v>37</v>
      </c>
      <c r="B176" s="24">
        <v>36</v>
      </c>
      <c r="C176" s="20">
        <v>4</v>
      </c>
      <c r="D176" s="20">
        <v>3</v>
      </c>
      <c r="E176" s="21">
        <f>4.45*3.2-E175</f>
        <v>12.245000000000003</v>
      </c>
      <c r="F176" s="20">
        <v>0.2</v>
      </c>
      <c r="G176" s="20">
        <v>1</v>
      </c>
      <c r="H176" s="22"/>
      <c r="I176" s="35"/>
      <c r="J176" s="35"/>
      <c r="K176" s="35"/>
      <c r="L176" s="35"/>
      <c r="M176" s="35"/>
      <c r="N176" s="35"/>
      <c r="O176" s="35"/>
    </row>
    <row r="177" spans="1:15" s="12" customFormat="1" x14ac:dyDescent="0.15">
      <c r="A177" s="29">
        <v>1</v>
      </c>
      <c r="B177" s="25">
        <v>38</v>
      </c>
      <c r="C177" s="26">
        <v>1</v>
      </c>
      <c r="D177" s="26">
        <v>2</v>
      </c>
      <c r="E177" s="27">
        <f>1.13*0.93*2</f>
        <v>2.1017999999999999</v>
      </c>
      <c r="F177" s="26">
        <v>0.01</v>
      </c>
      <c r="G177" s="26">
        <v>3</v>
      </c>
      <c r="H177" s="28"/>
      <c r="I177" s="36"/>
      <c r="J177" s="36"/>
      <c r="K177" s="36"/>
      <c r="L177" s="36"/>
      <c r="M177" s="36"/>
      <c r="N177" s="36"/>
      <c r="O177" s="36"/>
    </row>
    <row r="178" spans="1:15" x14ac:dyDescent="0.15">
      <c r="A178" s="23">
        <v>38</v>
      </c>
      <c r="B178" s="24">
        <v>1</v>
      </c>
      <c r="C178" s="20">
        <v>3</v>
      </c>
      <c r="D178" s="20">
        <v>2</v>
      </c>
      <c r="E178" s="21">
        <f>4.2*3.7-E177</f>
        <v>13.438200000000002</v>
      </c>
      <c r="F178" s="20">
        <v>0.01</v>
      </c>
      <c r="G178" s="20">
        <v>3</v>
      </c>
      <c r="H178" s="22"/>
      <c r="I178" s="35"/>
      <c r="J178" s="35"/>
      <c r="K178" s="35"/>
      <c r="L178" s="35"/>
      <c r="M178" s="35"/>
      <c r="N178" s="35"/>
      <c r="O178" s="35"/>
    </row>
    <row r="179" spans="1:15" x14ac:dyDescent="0.15">
      <c r="A179" s="23">
        <v>38</v>
      </c>
      <c r="B179" s="24">
        <v>1</v>
      </c>
      <c r="C179" s="20">
        <v>3</v>
      </c>
      <c r="D179" s="20">
        <v>3</v>
      </c>
      <c r="E179" s="21">
        <f>0.9*3.7</f>
        <v>3.33</v>
      </c>
      <c r="F179" s="20">
        <v>0.2</v>
      </c>
      <c r="G179" s="20">
        <v>4</v>
      </c>
      <c r="H179" s="22"/>
      <c r="I179" s="35"/>
      <c r="J179" s="35"/>
      <c r="K179" s="35"/>
      <c r="L179" s="35"/>
      <c r="M179" s="35"/>
      <c r="N179" s="35"/>
      <c r="O179" s="35"/>
    </row>
    <row r="180" spans="1:15" x14ac:dyDescent="0.15">
      <c r="A180" s="23">
        <v>1</v>
      </c>
      <c r="B180" s="24">
        <v>38</v>
      </c>
      <c r="C180" s="20">
        <v>1</v>
      </c>
      <c r="D180" s="20">
        <v>2</v>
      </c>
      <c r="E180" s="21">
        <f>1.14*2.8</f>
        <v>3.1919999999999997</v>
      </c>
      <c r="F180" s="20">
        <v>6.0000000000000001E-3</v>
      </c>
      <c r="G180" s="20">
        <v>3</v>
      </c>
      <c r="H180" s="22"/>
      <c r="I180" s="35"/>
      <c r="J180" s="35"/>
      <c r="K180" s="35"/>
      <c r="L180" s="35"/>
      <c r="M180" s="35"/>
      <c r="N180" s="35"/>
      <c r="O180" s="35"/>
    </row>
    <row r="181" spans="1:15" x14ac:dyDescent="0.15">
      <c r="A181" s="23">
        <v>38</v>
      </c>
      <c r="B181" s="24">
        <v>1</v>
      </c>
      <c r="C181" s="20">
        <v>3</v>
      </c>
      <c r="D181" s="20">
        <v>3</v>
      </c>
      <c r="E181" s="21">
        <f>8.22*3.7-E180</f>
        <v>27.222000000000005</v>
      </c>
      <c r="F181" s="20">
        <v>0.2</v>
      </c>
      <c r="G181" s="20">
        <v>3</v>
      </c>
      <c r="H181" s="22"/>
      <c r="I181" s="35"/>
      <c r="J181" s="35"/>
      <c r="K181" s="35"/>
      <c r="L181" s="35"/>
      <c r="M181" s="35"/>
      <c r="N181" s="35"/>
      <c r="O181" s="35"/>
    </row>
    <row r="182" spans="1:15" x14ac:dyDescent="0.15">
      <c r="A182" s="23">
        <v>36</v>
      </c>
      <c r="B182" s="24">
        <v>38</v>
      </c>
      <c r="C182" s="20">
        <v>2</v>
      </c>
      <c r="D182" s="20">
        <v>4</v>
      </c>
      <c r="E182" s="21">
        <f>1.15*3.2</f>
        <v>3.6799999999999997</v>
      </c>
      <c r="F182" s="20">
        <v>4.2000000000000003E-2</v>
      </c>
      <c r="G182" s="20">
        <v>4</v>
      </c>
      <c r="H182" s="22"/>
      <c r="I182" s="35"/>
      <c r="J182" s="35"/>
      <c r="K182" s="35"/>
      <c r="L182" s="35"/>
      <c r="M182" s="35"/>
      <c r="N182" s="35"/>
      <c r="O182" s="35"/>
    </row>
    <row r="183" spans="1:15" x14ac:dyDescent="0.15">
      <c r="A183" s="23">
        <v>38</v>
      </c>
      <c r="B183" s="24">
        <v>36</v>
      </c>
      <c r="C183" s="20">
        <v>4</v>
      </c>
      <c r="D183" s="20">
        <v>2</v>
      </c>
      <c r="E183" s="21">
        <f>2.05*3.2</f>
        <v>6.56</v>
      </c>
      <c r="F183" s="20">
        <v>0.01</v>
      </c>
      <c r="G183" s="20">
        <v>4</v>
      </c>
      <c r="H183" s="22"/>
      <c r="I183" s="35"/>
      <c r="J183" s="35"/>
      <c r="K183" s="35"/>
      <c r="L183" s="35"/>
      <c r="M183" s="35"/>
      <c r="N183" s="35"/>
      <c r="O183" s="35"/>
    </row>
    <row r="184" spans="1:15" x14ac:dyDescent="0.15">
      <c r="A184" s="23">
        <v>37</v>
      </c>
      <c r="B184" s="24">
        <v>38</v>
      </c>
      <c r="C184" s="20">
        <v>2</v>
      </c>
      <c r="D184" s="20">
        <v>4</v>
      </c>
      <c r="E184" s="21">
        <f>1.15*3.2</f>
        <v>3.6799999999999997</v>
      </c>
      <c r="F184" s="20">
        <v>4.2000000000000003E-2</v>
      </c>
      <c r="G184" s="20">
        <v>4</v>
      </c>
      <c r="H184" s="22"/>
      <c r="I184" s="35"/>
      <c r="J184" s="35"/>
      <c r="K184" s="35"/>
      <c r="L184" s="35"/>
      <c r="M184" s="35"/>
      <c r="N184" s="35"/>
      <c r="O184" s="35"/>
    </row>
    <row r="185" spans="1:15" x14ac:dyDescent="0.15">
      <c r="A185" s="23">
        <v>38</v>
      </c>
      <c r="B185" s="24">
        <v>37</v>
      </c>
      <c r="C185" s="20">
        <v>4</v>
      </c>
      <c r="D185" s="20">
        <v>2</v>
      </c>
      <c r="E185" s="21">
        <f>2.05*3.2</f>
        <v>6.56</v>
      </c>
      <c r="F185" s="20">
        <v>0.01</v>
      </c>
      <c r="G185" s="20">
        <v>4</v>
      </c>
      <c r="H185" s="22"/>
      <c r="I185" s="35"/>
      <c r="J185" s="35"/>
      <c r="K185" s="35"/>
      <c r="L185" s="35"/>
      <c r="M185" s="35"/>
      <c r="N185" s="35"/>
      <c r="O185" s="35"/>
    </row>
    <row r="186" spans="1:15" x14ac:dyDescent="0.15">
      <c r="A186" s="23">
        <v>1</v>
      </c>
      <c r="B186" s="24">
        <v>39</v>
      </c>
      <c r="C186" s="20">
        <v>1</v>
      </c>
      <c r="D186" s="20">
        <v>2</v>
      </c>
      <c r="E186" s="21">
        <f>1.14*2.8*5</f>
        <v>15.959999999999999</v>
      </c>
      <c r="F186" s="20">
        <v>6.0000000000000001E-3</v>
      </c>
      <c r="G186" s="20">
        <v>1</v>
      </c>
      <c r="H186" s="22"/>
      <c r="I186" s="35"/>
      <c r="J186" s="35"/>
      <c r="K186" s="35"/>
      <c r="L186" s="35"/>
      <c r="M186" s="35"/>
      <c r="N186" s="35"/>
      <c r="O186" s="35"/>
    </row>
    <row r="187" spans="1:15" s="12" customFormat="1" x14ac:dyDescent="0.15">
      <c r="A187" s="29">
        <v>39</v>
      </c>
      <c r="B187" s="25">
        <v>1</v>
      </c>
      <c r="C187" s="26">
        <v>3</v>
      </c>
      <c r="D187" s="26">
        <v>3</v>
      </c>
      <c r="E187" s="27">
        <f>3.34*3.64</f>
        <v>12.1576</v>
      </c>
      <c r="F187" s="26">
        <v>0.2</v>
      </c>
      <c r="G187" s="26">
        <v>2</v>
      </c>
      <c r="H187" s="28"/>
      <c r="I187" s="36"/>
      <c r="J187" s="36"/>
      <c r="K187" s="36"/>
      <c r="L187" s="36"/>
      <c r="M187" s="36"/>
      <c r="N187" s="36"/>
      <c r="O187" s="36"/>
    </row>
    <row r="188" spans="1:15" x14ac:dyDescent="0.15">
      <c r="A188" s="23">
        <v>39</v>
      </c>
      <c r="B188" s="24">
        <v>1</v>
      </c>
      <c r="C188" s="20">
        <v>3</v>
      </c>
      <c r="D188" s="20">
        <v>3</v>
      </c>
      <c r="E188" s="21">
        <f>8.55*3.64-E186</f>
        <v>15.162000000000004</v>
      </c>
      <c r="F188" s="20">
        <v>0.2</v>
      </c>
      <c r="G188" s="20">
        <v>1</v>
      </c>
      <c r="H188" s="22"/>
      <c r="I188" s="35"/>
      <c r="J188" s="35"/>
      <c r="K188" s="35"/>
      <c r="L188" s="35"/>
      <c r="M188" s="35"/>
      <c r="N188" s="35"/>
      <c r="O188" s="35"/>
    </row>
    <row r="189" spans="1:15" x14ac:dyDescent="0.15">
      <c r="A189" s="20">
        <v>39</v>
      </c>
      <c r="B189" s="20">
        <v>33</v>
      </c>
      <c r="C189" s="20">
        <v>4</v>
      </c>
      <c r="D189" s="20">
        <v>3</v>
      </c>
      <c r="E189" s="21">
        <f>4.16*5+3*3.76+3*3.46+3*3.14+3.5*2.86+0.6*3.16+0.2*3.37</f>
        <v>64.459999999999994</v>
      </c>
      <c r="F189" s="20">
        <v>0.2</v>
      </c>
      <c r="G189" s="20">
        <v>4</v>
      </c>
      <c r="H189" s="22"/>
    </row>
    <row r="190" spans="1:15" x14ac:dyDescent="0.15">
      <c r="A190" s="20">
        <v>39</v>
      </c>
      <c r="B190" s="20">
        <v>34</v>
      </c>
      <c r="C190" s="20">
        <v>7</v>
      </c>
      <c r="D190" s="20">
        <v>1</v>
      </c>
      <c r="E190" s="21">
        <f>8.55*3.6</f>
        <v>30.780000000000005</v>
      </c>
      <c r="F190" s="20">
        <v>0.2</v>
      </c>
      <c r="G190" s="20">
        <v>3</v>
      </c>
      <c r="H190" s="22"/>
    </row>
    <row r="191" spans="1:15" s="12" customFormat="1" x14ac:dyDescent="0.15">
      <c r="A191" s="25">
        <v>1</v>
      </c>
      <c r="B191" s="25">
        <v>40</v>
      </c>
      <c r="C191" s="26">
        <v>2</v>
      </c>
      <c r="D191" s="26">
        <v>4</v>
      </c>
      <c r="E191" s="27">
        <f>1.49*2.36</f>
        <v>3.5164</v>
      </c>
      <c r="F191" s="26">
        <v>0.05</v>
      </c>
      <c r="G191" s="26">
        <v>1</v>
      </c>
      <c r="H191" s="28"/>
    </row>
    <row r="192" spans="1:15" s="12" customFormat="1" x14ac:dyDescent="0.15">
      <c r="A192" s="25">
        <v>40</v>
      </c>
      <c r="B192" s="25">
        <v>1</v>
      </c>
      <c r="C192" s="26">
        <v>3</v>
      </c>
      <c r="D192" s="26">
        <v>3</v>
      </c>
      <c r="E192" s="27">
        <f>9.5*3.6-E191</f>
        <v>30.683600000000002</v>
      </c>
      <c r="F192" s="26">
        <v>0.2</v>
      </c>
      <c r="G192" s="26">
        <v>1</v>
      </c>
      <c r="H192" s="28"/>
    </row>
    <row r="193" spans="1:8" s="12" customFormat="1" x14ac:dyDescent="0.15">
      <c r="A193" s="29">
        <v>1</v>
      </c>
      <c r="B193" s="25">
        <v>40</v>
      </c>
      <c r="C193" s="26">
        <v>1</v>
      </c>
      <c r="D193" s="26">
        <v>2</v>
      </c>
      <c r="E193" s="27">
        <f>1.13*1.53*2</f>
        <v>3.4577999999999998</v>
      </c>
      <c r="F193" s="26">
        <v>6.0000000000000001E-3</v>
      </c>
      <c r="G193" s="26">
        <v>1</v>
      </c>
      <c r="H193" s="28"/>
    </row>
    <row r="194" spans="1:8" x14ac:dyDescent="0.15">
      <c r="A194" s="23">
        <v>40</v>
      </c>
      <c r="B194" s="24">
        <v>1</v>
      </c>
      <c r="C194" s="20">
        <v>3</v>
      </c>
      <c r="D194" s="20">
        <v>2</v>
      </c>
      <c r="E194" s="21">
        <f>5.94*2.62-E193</f>
        <v>12.105</v>
      </c>
      <c r="F194" s="20">
        <v>6.0000000000000001E-3</v>
      </c>
      <c r="G194" s="20">
        <v>1</v>
      </c>
      <c r="H194" s="22"/>
    </row>
    <row r="195" spans="1:8" x14ac:dyDescent="0.15">
      <c r="A195" s="23">
        <v>40</v>
      </c>
      <c r="B195" s="24">
        <v>1</v>
      </c>
      <c r="C195" s="20">
        <v>3</v>
      </c>
      <c r="D195" s="20">
        <v>3</v>
      </c>
      <c r="E195" s="21">
        <f>9.5*3.6-E194</f>
        <v>22.095000000000002</v>
      </c>
      <c r="F195" s="20">
        <v>0.2</v>
      </c>
      <c r="G195" s="20">
        <v>1</v>
      </c>
      <c r="H195" s="22"/>
    </row>
    <row r="196" spans="1:8" s="12" customFormat="1" x14ac:dyDescent="0.15">
      <c r="A196" s="29">
        <v>1</v>
      </c>
      <c r="B196" s="25">
        <v>40</v>
      </c>
      <c r="C196" s="26">
        <v>1</v>
      </c>
      <c r="D196" s="26">
        <v>2</v>
      </c>
      <c r="E196" s="27">
        <f>1.13*0.93</f>
        <v>1.0508999999999999</v>
      </c>
      <c r="F196" s="26">
        <v>0.01</v>
      </c>
      <c r="G196" s="26">
        <v>2</v>
      </c>
      <c r="H196" s="28"/>
    </row>
    <row r="197" spans="1:8" x14ac:dyDescent="0.15">
      <c r="A197" s="23">
        <v>40</v>
      </c>
      <c r="B197" s="24">
        <v>1</v>
      </c>
      <c r="C197" s="20">
        <v>3</v>
      </c>
      <c r="D197" s="20">
        <v>2</v>
      </c>
      <c r="E197" s="21">
        <f>3.55*3.6-E196</f>
        <v>11.729099999999999</v>
      </c>
      <c r="F197" s="20">
        <v>0.01</v>
      </c>
      <c r="G197" s="20">
        <v>2</v>
      </c>
      <c r="H197" s="22"/>
    </row>
    <row r="198" spans="1:8" x14ac:dyDescent="0.15">
      <c r="A198" s="23">
        <v>39</v>
      </c>
      <c r="B198" s="24">
        <v>40</v>
      </c>
      <c r="C198" s="20">
        <v>2</v>
      </c>
      <c r="D198" s="20">
        <v>2</v>
      </c>
      <c r="E198" s="21">
        <f>1.8*2.6</f>
        <v>4.6800000000000006</v>
      </c>
      <c r="F198" s="20">
        <v>1.4999999999999999E-2</v>
      </c>
      <c r="G198" s="20">
        <v>4</v>
      </c>
      <c r="H198" s="22"/>
    </row>
    <row r="199" spans="1:8" x14ac:dyDescent="0.15">
      <c r="A199" s="23">
        <v>40</v>
      </c>
      <c r="B199" s="24">
        <v>39</v>
      </c>
      <c r="C199" s="20">
        <v>4</v>
      </c>
      <c r="D199" s="20">
        <v>2</v>
      </c>
      <c r="E199" s="21">
        <f>6*3.6-E198</f>
        <v>16.920000000000002</v>
      </c>
      <c r="F199" s="20">
        <v>0.01</v>
      </c>
      <c r="G199" s="20">
        <v>4</v>
      </c>
      <c r="H199" s="22"/>
    </row>
    <row r="200" spans="1:8" s="12" customFormat="1" x14ac:dyDescent="0.15">
      <c r="A200" s="25">
        <v>41</v>
      </c>
      <c r="B200" s="25">
        <v>1</v>
      </c>
      <c r="C200" s="26">
        <v>3</v>
      </c>
      <c r="D200" s="26">
        <v>3</v>
      </c>
      <c r="E200" s="27">
        <f>2.37*3</f>
        <v>7.11</v>
      </c>
      <c r="F200" s="26">
        <v>0.2</v>
      </c>
      <c r="G200" s="26">
        <v>1</v>
      </c>
      <c r="H200" s="28"/>
    </row>
    <row r="201" spans="1:8" x14ac:dyDescent="0.15">
      <c r="A201" s="20">
        <v>41</v>
      </c>
      <c r="B201" s="20">
        <v>34</v>
      </c>
      <c r="C201" s="20">
        <v>4</v>
      </c>
      <c r="D201" s="20">
        <v>3</v>
      </c>
      <c r="E201" s="21">
        <f>2.3*3</f>
        <v>6.8999999999999995</v>
      </c>
      <c r="F201" s="20">
        <v>0.2</v>
      </c>
      <c r="G201" s="20">
        <v>3</v>
      </c>
      <c r="H201" s="22"/>
    </row>
    <row r="202" spans="1:8" x14ac:dyDescent="0.15">
      <c r="A202" s="23">
        <v>41</v>
      </c>
      <c r="B202" s="24">
        <v>39</v>
      </c>
      <c r="C202" s="20">
        <v>7</v>
      </c>
      <c r="D202" s="20">
        <v>1</v>
      </c>
      <c r="E202" s="21">
        <f>3.5*2.55</f>
        <v>8.9249999999999989</v>
      </c>
      <c r="F202" s="20">
        <v>0</v>
      </c>
      <c r="G202" s="20">
        <v>4</v>
      </c>
      <c r="H202" s="22"/>
    </row>
    <row r="203" spans="1:8" x14ac:dyDescent="0.15">
      <c r="A203" s="20">
        <v>41</v>
      </c>
      <c r="B203" s="20">
        <v>39</v>
      </c>
      <c r="C203" s="20">
        <v>4</v>
      </c>
      <c r="D203" s="20">
        <v>3</v>
      </c>
      <c r="E203" s="21">
        <f>9.8*3-E202</f>
        <v>20.475000000000001</v>
      </c>
      <c r="F203" s="20">
        <v>0.2</v>
      </c>
      <c r="G203" s="20">
        <v>4</v>
      </c>
      <c r="H203" s="22"/>
    </row>
    <row r="204" spans="1:8" s="12" customFormat="1" x14ac:dyDescent="0.15">
      <c r="A204" s="26">
        <v>42</v>
      </c>
      <c r="B204" s="26">
        <v>1</v>
      </c>
      <c r="C204" s="26">
        <v>3</v>
      </c>
      <c r="D204" s="26">
        <v>3</v>
      </c>
      <c r="E204" s="27">
        <f>1.94*3</f>
        <v>5.82</v>
      </c>
      <c r="F204" s="26">
        <v>0.2</v>
      </c>
      <c r="G204" s="26">
        <v>1</v>
      </c>
      <c r="H204" s="28"/>
    </row>
    <row r="205" spans="1:8" x14ac:dyDescent="0.15">
      <c r="A205" s="20">
        <v>42</v>
      </c>
      <c r="B205" s="20">
        <v>41</v>
      </c>
      <c r="C205" s="20">
        <v>7</v>
      </c>
      <c r="D205" s="20">
        <v>1</v>
      </c>
      <c r="E205" s="21">
        <f>2.4*2.9</f>
        <v>6.96</v>
      </c>
      <c r="F205" s="20">
        <v>0</v>
      </c>
      <c r="G205" s="20">
        <v>4</v>
      </c>
      <c r="H205" s="22"/>
    </row>
    <row r="206" spans="1:8" x14ac:dyDescent="0.15">
      <c r="A206" s="20">
        <v>42</v>
      </c>
      <c r="B206" s="20">
        <v>41</v>
      </c>
      <c r="C206" s="20">
        <v>4</v>
      </c>
      <c r="D206" s="20">
        <v>3</v>
      </c>
      <c r="E206" s="21">
        <f>5.83*3-E205</f>
        <v>10.530000000000001</v>
      </c>
      <c r="F206" s="20">
        <v>0.2</v>
      </c>
      <c r="G206" s="20">
        <v>4</v>
      </c>
      <c r="H206" s="22"/>
    </row>
    <row r="207" spans="1:8" s="12" customFormat="1" x14ac:dyDescent="0.15">
      <c r="A207" s="26">
        <v>43</v>
      </c>
      <c r="B207" s="26">
        <v>1</v>
      </c>
      <c r="C207" s="26">
        <v>3</v>
      </c>
      <c r="D207" s="26">
        <v>3</v>
      </c>
      <c r="E207" s="27">
        <f>4.85*2.95</f>
        <v>14.307499999999999</v>
      </c>
      <c r="F207" s="26">
        <v>0.2</v>
      </c>
      <c r="G207" s="26">
        <v>1</v>
      </c>
      <c r="H207" s="28"/>
    </row>
    <row r="208" spans="1:8" s="12" customFormat="1" x14ac:dyDescent="0.15">
      <c r="A208" s="26">
        <v>1</v>
      </c>
      <c r="B208" s="26">
        <v>43</v>
      </c>
      <c r="C208" s="26">
        <v>1</v>
      </c>
      <c r="D208" s="26">
        <v>2</v>
      </c>
      <c r="E208" s="27">
        <f>1.13*0.93</f>
        <v>1.0508999999999999</v>
      </c>
      <c r="F208" s="26">
        <v>0.01</v>
      </c>
      <c r="G208" s="26">
        <v>2</v>
      </c>
      <c r="H208" s="28"/>
    </row>
    <row r="209" spans="1:15" x14ac:dyDescent="0.15">
      <c r="A209" s="20">
        <v>43</v>
      </c>
      <c r="B209" s="20">
        <v>1</v>
      </c>
      <c r="C209" s="20">
        <v>3</v>
      </c>
      <c r="D209" s="20">
        <v>2</v>
      </c>
      <c r="E209" s="21">
        <f>3.04*2.95-E208</f>
        <v>7.9170999999999996</v>
      </c>
      <c r="F209" s="20">
        <v>0.01</v>
      </c>
      <c r="G209" s="20">
        <v>2</v>
      </c>
      <c r="H209" s="22"/>
    </row>
    <row r="210" spans="1:15" x14ac:dyDescent="0.15">
      <c r="A210" s="23">
        <v>42</v>
      </c>
      <c r="B210" s="24">
        <v>43</v>
      </c>
      <c r="C210" s="20">
        <v>2</v>
      </c>
      <c r="D210" s="20">
        <v>4</v>
      </c>
      <c r="E210" s="21">
        <f>0.95*2.06</f>
        <v>1.9569999999999999</v>
      </c>
      <c r="F210" s="20">
        <v>4.2000000000000003E-2</v>
      </c>
      <c r="G210" s="20">
        <v>4</v>
      </c>
      <c r="H210" s="22"/>
    </row>
    <row r="211" spans="1:15" x14ac:dyDescent="0.15">
      <c r="A211" s="23">
        <v>43</v>
      </c>
      <c r="B211" s="24">
        <v>42</v>
      </c>
      <c r="C211" s="20">
        <v>4</v>
      </c>
      <c r="D211" s="20">
        <v>3</v>
      </c>
      <c r="E211" s="21">
        <f>(3.04-1.67)*2.95-E210</f>
        <v>2.0845000000000011</v>
      </c>
      <c r="F211" s="20">
        <v>0.2</v>
      </c>
      <c r="G211" s="20">
        <v>4</v>
      </c>
      <c r="H211" s="22"/>
    </row>
    <row r="212" spans="1:15" x14ac:dyDescent="0.15">
      <c r="A212" s="23">
        <v>43</v>
      </c>
      <c r="B212" s="24">
        <v>42</v>
      </c>
      <c r="C212" s="20">
        <v>4</v>
      </c>
      <c r="D212" s="20">
        <v>3</v>
      </c>
      <c r="E212" s="21">
        <f>0.6*2.95</f>
        <v>1.77</v>
      </c>
      <c r="F212" s="20">
        <v>0.2</v>
      </c>
      <c r="G212" s="20">
        <v>3</v>
      </c>
      <c r="H212" s="22"/>
    </row>
    <row r="213" spans="1:15" x14ac:dyDescent="0.15">
      <c r="A213" s="23">
        <v>43</v>
      </c>
      <c r="B213" s="24">
        <v>42</v>
      </c>
      <c r="C213" s="20">
        <v>4</v>
      </c>
      <c r="D213" s="20">
        <v>3</v>
      </c>
      <c r="E213" s="21">
        <f>1.67*2.95</f>
        <v>4.9264999999999999</v>
      </c>
      <c r="F213" s="20">
        <v>0.2</v>
      </c>
      <c r="G213" s="20">
        <v>4</v>
      </c>
      <c r="H213" s="22"/>
    </row>
    <row r="214" spans="1:15" s="12" customFormat="1" x14ac:dyDescent="0.15">
      <c r="A214" s="26">
        <v>1</v>
      </c>
      <c r="B214" s="26">
        <v>44</v>
      </c>
      <c r="C214" s="26">
        <v>1</v>
      </c>
      <c r="D214" s="26">
        <v>2</v>
      </c>
      <c r="E214" s="27">
        <f>1.13*0.93</f>
        <v>1.0508999999999999</v>
      </c>
      <c r="F214" s="26">
        <v>0.01</v>
      </c>
      <c r="G214" s="26">
        <v>2</v>
      </c>
      <c r="H214" s="28"/>
    </row>
    <row r="215" spans="1:15" x14ac:dyDescent="0.15">
      <c r="A215" s="20">
        <v>44</v>
      </c>
      <c r="B215" s="20">
        <v>1</v>
      </c>
      <c r="C215" s="20">
        <v>3</v>
      </c>
      <c r="D215" s="20">
        <v>2</v>
      </c>
      <c r="E215" s="21">
        <f>2.54*2.95-E214</f>
        <v>6.4420999999999999</v>
      </c>
      <c r="F215" s="20">
        <v>0.01</v>
      </c>
      <c r="G215" s="20">
        <v>2</v>
      </c>
      <c r="H215" s="22"/>
    </row>
    <row r="216" spans="1:15" x14ac:dyDescent="0.15">
      <c r="A216" s="23">
        <v>42</v>
      </c>
      <c r="B216" s="24">
        <v>44</v>
      </c>
      <c r="C216" s="20">
        <v>2</v>
      </c>
      <c r="D216" s="20">
        <v>4</v>
      </c>
      <c r="E216" s="15">
        <v>1.9570000000000001</v>
      </c>
      <c r="F216" s="20">
        <v>4.2000000000000003E-2</v>
      </c>
      <c r="G216" s="20">
        <v>4</v>
      </c>
      <c r="H216" s="22"/>
    </row>
    <row r="217" spans="1:15" x14ac:dyDescent="0.15">
      <c r="A217" s="23">
        <v>44</v>
      </c>
      <c r="B217" s="24">
        <v>42</v>
      </c>
      <c r="C217" s="20">
        <v>4</v>
      </c>
      <c r="D217" s="20">
        <v>3</v>
      </c>
      <c r="E217" s="21">
        <f>(2.54-1.25)*2.95-E216</f>
        <v>1.8485000000000003</v>
      </c>
      <c r="F217" s="20">
        <v>0.2</v>
      </c>
      <c r="G217" s="20">
        <v>4</v>
      </c>
      <c r="H217" s="22"/>
    </row>
    <row r="218" spans="1:15" x14ac:dyDescent="0.15">
      <c r="A218" s="23">
        <v>44</v>
      </c>
      <c r="B218" s="24">
        <v>42</v>
      </c>
      <c r="C218" s="20">
        <v>4</v>
      </c>
      <c r="D218" s="20">
        <v>3</v>
      </c>
      <c r="E218" s="21">
        <v>1.77</v>
      </c>
      <c r="F218" s="20">
        <v>0.2</v>
      </c>
      <c r="G218" s="20">
        <v>1</v>
      </c>
      <c r="H218" s="22"/>
    </row>
    <row r="219" spans="1:15" x14ac:dyDescent="0.15">
      <c r="A219" s="23">
        <v>44</v>
      </c>
      <c r="B219" s="24">
        <v>42</v>
      </c>
      <c r="C219" s="20">
        <v>4</v>
      </c>
      <c r="D219" s="20">
        <v>3</v>
      </c>
      <c r="E219" s="21">
        <f>1.25*2.95</f>
        <v>3.6875</v>
      </c>
      <c r="F219" s="20">
        <v>0.2</v>
      </c>
      <c r="G219" s="20">
        <v>4</v>
      </c>
      <c r="H219" s="22"/>
    </row>
    <row r="220" spans="1:15" x14ac:dyDescent="0.15">
      <c r="A220" s="20">
        <v>44</v>
      </c>
      <c r="B220" s="20">
        <v>43</v>
      </c>
      <c r="C220" s="20">
        <v>4</v>
      </c>
      <c r="D220" s="20">
        <v>3</v>
      </c>
      <c r="E220" s="21">
        <f>4*2.95</f>
        <v>11.8</v>
      </c>
      <c r="F220" s="20">
        <v>0.2</v>
      </c>
      <c r="G220" s="20">
        <v>1</v>
      </c>
      <c r="H220" s="22"/>
    </row>
    <row r="221" spans="1:15" x14ac:dyDescent="0.15">
      <c r="A221" s="20">
        <v>45</v>
      </c>
      <c r="B221" s="20">
        <v>34</v>
      </c>
      <c r="C221" s="20">
        <v>4</v>
      </c>
      <c r="D221" s="20">
        <v>3</v>
      </c>
      <c r="E221" s="21">
        <f>2.51*3</f>
        <v>7.5299999999999994</v>
      </c>
      <c r="F221" s="20">
        <v>0.2</v>
      </c>
      <c r="G221" s="20">
        <v>3</v>
      </c>
      <c r="H221" s="22"/>
    </row>
    <row r="222" spans="1:15" x14ac:dyDescent="0.15">
      <c r="A222" s="23">
        <v>45</v>
      </c>
      <c r="B222" s="24">
        <v>41</v>
      </c>
      <c r="C222" s="20">
        <v>7</v>
      </c>
      <c r="D222" s="20">
        <v>1</v>
      </c>
      <c r="E222" s="21">
        <f>1.65*2.55</f>
        <v>4.2074999999999996</v>
      </c>
      <c r="F222" s="20">
        <v>0</v>
      </c>
      <c r="G222" s="20">
        <v>4</v>
      </c>
      <c r="H222" s="22"/>
    </row>
    <row r="223" spans="1:15" x14ac:dyDescent="0.15">
      <c r="A223" s="23">
        <v>45</v>
      </c>
      <c r="B223" s="24">
        <v>41</v>
      </c>
      <c r="C223" s="20">
        <v>4</v>
      </c>
      <c r="D223" s="20">
        <v>3</v>
      </c>
      <c r="E223" s="21">
        <f>3.7*3-E222</f>
        <v>6.8925000000000018</v>
      </c>
      <c r="F223" s="20">
        <v>0.2</v>
      </c>
      <c r="G223" s="20">
        <v>4</v>
      </c>
      <c r="H223" s="22"/>
      <c r="I223" s="35"/>
      <c r="J223" s="35"/>
      <c r="K223" s="35"/>
      <c r="L223" s="35"/>
      <c r="M223" s="35"/>
      <c r="N223" s="35"/>
      <c r="O223" s="35"/>
    </row>
    <row r="224" spans="1:15" x14ac:dyDescent="0.15">
      <c r="A224" s="20">
        <v>45</v>
      </c>
      <c r="B224" s="20">
        <v>42</v>
      </c>
      <c r="C224" s="20">
        <v>4</v>
      </c>
      <c r="D224" s="20">
        <v>3</v>
      </c>
      <c r="E224" s="21">
        <f>(2.51-0.6)*3</f>
        <v>5.7299999999999986</v>
      </c>
      <c r="F224" s="20">
        <v>0.2</v>
      </c>
      <c r="G224" s="20">
        <v>1</v>
      </c>
      <c r="H224" s="22"/>
      <c r="I224" s="35"/>
      <c r="J224" s="35"/>
      <c r="K224" s="35"/>
      <c r="L224" s="35"/>
      <c r="M224" s="35"/>
      <c r="N224" s="35"/>
      <c r="O224" s="35"/>
    </row>
    <row r="225" spans="1:15" x14ac:dyDescent="0.15">
      <c r="A225" s="20">
        <v>45</v>
      </c>
      <c r="B225" s="20">
        <v>44</v>
      </c>
      <c r="C225" s="20">
        <v>4</v>
      </c>
      <c r="D225" s="20">
        <v>3</v>
      </c>
      <c r="E225" s="21">
        <f>0.6*3</f>
        <v>1.7999999999999998</v>
      </c>
      <c r="F225" s="20">
        <v>0.2</v>
      </c>
      <c r="G225" s="20">
        <v>1</v>
      </c>
      <c r="H225" s="22"/>
      <c r="I225" s="35"/>
      <c r="J225" s="35"/>
      <c r="K225" s="35"/>
      <c r="L225" s="35"/>
      <c r="M225" s="35"/>
      <c r="N225" s="35"/>
      <c r="O225" s="35"/>
    </row>
    <row r="226" spans="1:15" s="12" customFormat="1" x14ac:dyDescent="0.15">
      <c r="A226" s="26">
        <v>1</v>
      </c>
      <c r="B226" s="26">
        <v>46</v>
      </c>
      <c r="C226" s="26">
        <v>1</v>
      </c>
      <c r="D226" s="26">
        <v>2</v>
      </c>
      <c r="E226" s="27">
        <f>1.13*0.93</f>
        <v>1.0508999999999999</v>
      </c>
      <c r="F226" s="26">
        <v>0.01</v>
      </c>
      <c r="G226" s="26">
        <v>4</v>
      </c>
      <c r="H226" s="28"/>
      <c r="I226" s="36"/>
      <c r="J226" s="36"/>
      <c r="K226" s="36"/>
      <c r="L226" s="36"/>
      <c r="M226" s="36"/>
      <c r="N226" s="36"/>
      <c r="O226" s="36"/>
    </row>
    <row r="227" spans="1:15" x14ac:dyDescent="0.15">
      <c r="A227" s="20">
        <v>46</v>
      </c>
      <c r="B227" s="20">
        <v>1</v>
      </c>
      <c r="C227" s="20">
        <v>3</v>
      </c>
      <c r="D227" s="20">
        <v>2</v>
      </c>
      <c r="E227" s="21">
        <f>3.7*3.04-E226</f>
        <v>10.197100000000001</v>
      </c>
      <c r="F227" s="20">
        <v>0.01</v>
      </c>
      <c r="G227" s="20">
        <v>4</v>
      </c>
      <c r="H227" s="22"/>
      <c r="I227" s="35"/>
      <c r="J227" s="35"/>
      <c r="K227" s="35"/>
      <c r="L227" s="35"/>
      <c r="M227" s="35"/>
      <c r="N227" s="35"/>
      <c r="O227" s="35"/>
    </row>
    <row r="228" spans="1:15" x14ac:dyDescent="0.15">
      <c r="A228" s="20">
        <v>46</v>
      </c>
      <c r="B228" s="20">
        <v>34</v>
      </c>
      <c r="C228" s="20">
        <v>4</v>
      </c>
      <c r="D228" s="20">
        <v>3</v>
      </c>
      <c r="E228" s="21">
        <f>4.2*3.04</f>
        <v>12.768000000000001</v>
      </c>
      <c r="F228" s="20">
        <v>0.2</v>
      </c>
      <c r="G228" s="20">
        <v>3</v>
      </c>
      <c r="H228" s="22"/>
      <c r="I228" s="35"/>
      <c r="J228" s="35"/>
      <c r="K228" s="35"/>
      <c r="L228" s="35"/>
      <c r="M228" s="35"/>
      <c r="N228" s="35"/>
      <c r="O228" s="35"/>
    </row>
    <row r="229" spans="1:15" x14ac:dyDescent="0.15">
      <c r="A229" s="20">
        <v>46</v>
      </c>
      <c r="B229" s="20">
        <v>44</v>
      </c>
      <c r="C229" s="20">
        <v>4</v>
      </c>
      <c r="D229" s="20">
        <v>3</v>
      </c>
      <c r="E229" s="21">
        <v>12.768000000000001</v>
      </c>
      <c r="F229" s="20">
        <v>0.2</v>
      </c>
      <c r="G229" s="20">
        <v>1</v>
      </c>
      <c r="H229" s="22"/>
      <c r="I229" s="35"/>
      <c r="J229" s="35"/>
      <c r="K229" s="35"/>
      <c r="L229" s="35"/>
      <c r="M229" s="35"/>
      <c r="N229" s="35"/>
      <c r="O229" s="35"/>
    </row>
    <row r="230" spans="1:15" x14ac:dyDescent="0.15">
      <c r="A230" s="23">
        <v>45</v>
      </c>
      <c r="B230" s="24">
        <v>46</v>
      </c>
      <c r="C230" s="20">
        <v>2</v>
      </c>
      <c r="D230" s="20">
        <v>4</v>
      </c>
      <c r="E230" s="21">
        <v>2.0499999999999998</v>
      </c>
      <c r="F230" s="20">
        <v>4.2000000000000003E-2</v>
      </c>
      <c r="G230" s="20">
        <v>4</v>
      </c>
      <c r="H230" s="22"/>
      <c r="I230" s="35"/>
      <c r="J230" s="35"/>
      <c r="K230" s="35"/>
      <c r="L230" s="35"/>
      <c r="M230" s="35"/>
      <c r="N230" s="35"/>
      <c r="O230" s="35"/>
    </row>
    <row r="231" spans="1:15" x14ac:dyDescent="0.15">
      <c r="A231" s="23">
        <v>46</v>
      </c>
      <c r="B231" s="24">
        <v>45</v>
      </c>
      <c r="C231" s="20">
        <v>4</v>
      </c>
      <c r="D231" s="20">
        <v>3</v>
      </c>
      <c r="E231" s="21">
        <f>11.248-E230</f>
        <v>9.1980000000000004</v>
      </c>
      <c r="F231" s="20">
        <v>0.2</v>
      </c>
      <c r="G231" s="20">
        <v>4</v>
      </c>
      <c r="H231" s="22"/>
      <c r="I231" s="35"/>
      <c r="J231" s="35"/>
      <c r="K231" s="35"/>
      <c r="L231" s="35"/>
      <c r="M231" s="35"/>
      <c r="N231" s="35"/>
      <c r="O231" s="35"/>
    </row>
    <row r="232" spans="1:15" x14ac:dyDescent="0.15">
      <c r="A232" s="23">
        <v>1</v>
      </c>
      <c r="B232" s="24">
        <v>47</v>
      </c>
      <c r="C232" s="20">
        <v>1</v>
      </c>
      <c r="D232" s="20">
        <v>2</v>
      </c>
      <c r="E232" s="21">
        <f>1.14*2.46*2</f>
        <v>5.6087999999999996</v>
      </c>
      <c r="F232" s="20">
        <v>6.0000000000000001E-3</v>
      </c>
      <c r="G232" s="20">
        <v>3</v>
      </c>
      <c r="H232" s="22"/>
      <c r="I232" s="35"/>
      <c r="J232" s="35"/>
      <c r="K232" s="35"/>
      <c r="L232" s="35"/>
      <c r="M232" s="35"/>
      <c r="N232" s="35"/>
      <c r="O232" s="35"/>
    </row>
    <row r="233" spans="1:15" x14ac:dyDescent="0.15">
      <c r="A233" s="23">
        <v>47</v>
      </c>
      <c r="B233" s="24">
        <v>1</v>
      </c>
      <c r="C233" s="20">
        <v>3</v>
      </c>
      <c r="D233" s="20">
        <v>3</v>
      </c>
      <c r="E233" s="21">
        <f>4.29*3.5-E232</f>
        <v>9.4062000000000019</v>
      </c>
      <c r="F233" s="20">
        <v>0.2</v>
      </c>
      <c r="G233" s="20">
        <v>3</v>
      </c>
      <c r="H233" s="22"/>
      <c r="I233" s="35"/>
      <c r="J233" s="35"/>
      <c r="K233" s="35"/>
      <c r="L233" s="35"/>
      <c r="M233" s="35"/>
      <c r="N233" s="35"/>
      <c r="O233" s="35"/>
    </row>
    <row r="234" spans="1:15" x14ac:dyDescent="0.15">
      <c r="A234" s="23">
        <v>34</v>
      </c>
      <c r="B234" s="24">
        <v>47</v>
      </c>
      <c r="C234" s="20">
        <v>2</v>
      </c>
      <c r="D234" s="20">
        <v>4</v>
      </c>
      <c r="E234" s="21">
        <f>1.15*3.15</f>
        <v>3.6224999999999996</v>
      </c>
      <c r="F234" s="20">
        <v>4.2000000000000003E-2</v>
      </c>
      <c r="G234" s="20">
        <v>1</v>
      </c>
      <c r="H234" s="22"/>
      <c r="I234" s="35"/>
      <c r="J234" s="35"/>
      <c r="K234" s="35"/>
      <c r="L234" s="35"/>
      <c r="M234" s="35"/>
      <c r="N234" s="35"/>
      <c r="O234" s="35"/>
    </row>
    <row r="235" spans="1:15" x14ac:dyDescent="0.15">
      <c r="A235" s="23">
        <v>47</v>
      </c>
      <c r="B235" s="24">
        <v>34</v>
      </c>
      <c r="C235" s="20">
        <v>4</v>
      </c>
      <c r="D235" s="20">
        <v>2</v>
      </c>
      <c r="E235" s="21">
        <f>3.14*3.15</f>
        <v>9.891</v>
      </c>
      <c r="F235" s="20">
        <v>0.01</v>
      </c>
      <c r="G235" s="20">
        <v>1</v>
      </c>
      <c r="H235" s="22"/>
      <c r="I235" s="35"/>
      <c r="J235" s="35"/>
      <c r="K235" s="35"/>
      <c r="L235" s="35"/>
      <c r="M235" s="35"/>
      <c r="N235" s="35"/>
      <c r="O235" s="35"/>
    </row>
    <row r="236" spans="1:15" x14ac:dyDescent="0.15">
      <c r="A236" s="20">
        <v>47</v>
      </c>
      <c r="B236" s="20">
        <v>38</v>
      </c>
      <c r="C236" s="20">
        <v>4</v>
      </c>
      <c r="D236" s="20">
        <v>3</v>
      </c>
      <c r="E236" s="21">
        <f>8.42*3.5</f>
        <v>29.47</v>
      </c>
      <c r="F236" s="20">
        <v>0.2</v>
      </c>
      <c r="G236" s="20">
        <v>4</v>
      </c>
      <c r="H236" s="22"/>
      <c r="I236" s="35"/>
      <c r="J236" s="35"/>
      <c r="K236" s="35"/>
      <c r="L236" s="35"/>
      <c r="M236" s="35"/>
      <c r="N236" s="35"/>
      <c r="O236" s="35"/>
    </row>
    <row r="237" spans="1:15" x14ac:dyDescent="0.15">
      <c r="A237" s="23">
        <v>1</v>
      </c>
      <c r="B237" s="24">
        <v>48</v>
      </c>
      <c r="C237" s="20">
        <v>1</v>
      </c>
      <c r="D237" s="20">
        <v>2</v>
      </c>
      <c r="E237" s="21">
        <f>1.14*2.46*3</f>
        <v>8.4131999999999998</v>
      </c>
      <c r="F237" s="20">
        <v>6.0000000000000001E-3</v>
      </c>
      <c r="G237" s="20">
        <v>3</v>
      </c>
      <c r="H237" s="22"/>
      <c r="I237" s="35"/>
      <c r="J237" s="35"/>
      <c r="K237" s="35"/>
      <c r="L237" s="35"/>
      <c r="M237" s="35"/>
      <c r="N237" s="35"/>
      <c r="O237" s="35"/>
    </row>
    <row r="238" spans="1:15" x14ac:dyDescent="0.15">
      <c r="A238" s="23">
        <v>48</v>
      </c>
      <c r="B238" s="24">
        <v>1</v>
      </c>
      <c r="C238" s="20">
        <v>3</v>
      </c>
      <c r="D238" s="20">
        <v>3</v>
      </c>
      <c r="E238" s="21">
        <f>4.96*3.5-E237</f>
        <v>8.9467999999999996</v>
      </c>
      <c r="F238" s="20">
        <v>0.2</v>
      </c>
      <c r="G238" s="20">
        <v>3</v>
      </c>
      <c r="H238" s="22"/>
      <c r="I238" s="30"/>
      <c r="J238" s="30"/>
      <c r="K238" s="30"/>
      <c r="L238" s="30"/>
      <c r="M238" s="30"/>
      <c r="N238" s="30"/>
      <c r="O238" s="30"/>
    </row>
    <row r="239" spans="1:15" x14ac:dyDescent="0.15">
      <c r="A239" s="23">
        <v>34</v>
      </c>
      <c r="B239" s="24">
        <v>48</v>
      </c>
      <c r="C239" s="20">
        <v>2</v>
      </c>
      <c r="D239" s="20">
        <v>4</v>
      </c>
      <c r="E239" s="21">
        <f>1.19*3.15</f>
        <v>3.7484999999999999</v>
      </c>
      <c r="F239" s="20">
        <v>4.2000000000000003E-2</v>
      </c>
      <c r="G239" s="20">
        <v>1</v>
      </c>
      <c r="H239" s="22"/>
    </row>
    <row r="240" spans="1:15" x14ac:dyDescent="0.15">
      <c r="A240" s="23">
        <v>48</v>
      </c>
      <c r="B240" s="24">
        <v>34</v>
      </c>
      <c r="C240" s="20">
        <v>4</v>
      </c>
      <c r="D240" s="20">
        <v>2</v>
      </c>
      <c r="E240" s="21">
        <f>3.67*3.15</f>
        <v>11.560499999999999</v>
      </c>
      <c r="F240" s="20">
        <v>0.01</v>
      </c>
      <c r="G240" s="20">
        <v>1</v>
      </c>
      <c r="H240" s="22"/>
    </row>
    <row r="241" spans="1:8" x14ac:dyDescent="0.15">
      <c r="A241" s="20">
        <v>48</v>
      </c>
      <c r="B241" s="20">
        <v>47</v>
      </c>
      <c r="C241" s="20">
        <v>4</v>
      </c>
      <c r="D241" s="20">
        <v>3</v>
      </c>
      <c r="E241" s="21">
        <f>8.42*3.5</f>
        <v>29.47</v>
      </c>
      <c r="F241" s="20">
        <v>0.2</v>
      </c>
      <c r="G241" s="20">
        <v>4</v>
      </c>
      <c r="H241" s="22"/>
    </row>
    <row r="242" spans="1:8" x14ac:dyDescent="0.15">
      <c r="A242" s="20">
        <v>49</v>
      </c>
      <c r="B242" s="20">
        <v>1</v>
      </c>
      <c r="C242" s="20">
        <v>3</v>
      </c>
      <c r="D242" s="20">
        <v>3</v>
      </c>
      <c r="E242" s="21">
        <f>4.45*3.5</f>
        <v>15.575000000000001</v>
      </c>
      <c r="F242" s="20">
        <v>0.2</v>
      </c>
      <c r="G242" s="20">
        <v>3</v>
      </c>
      <c r="H242" s="22"/>
    </row>
    <row r="243" spans="1:8" x14ac:dyDescent="0.15">
      <c r="A243" s="23">
        <v>34</v>
      </c>
      <c r="B243" s="24">
        <v>49</v>
      </c>
      <c r="C243" s="20">
        <v>2</v>
      </c>
      <c r="D243" s="20">
        <v>4</v>
      </c>
      <c r="E243" s="21">
        <f>1.16*3.15</f>
        <v>3.6539999999999995</v>
      </c>
      <c r="F243" s="20">
        <v>4.2000000000000003E-2</v>
      </c>
      <c r="G243" s="20">
        <v>1</v>
      </c>
      <c r="H243" s="22"/>
    </row>
    <row r="244" spans="1:8" x14ac:dyDescent="0.15">
      <c r="A244" s="23">
        <v>49</v>
      </c>
      <c r="B244" s="24">
        <v>34</v>
      </c>
      <c r="C244" s="20">
        <v>4</v>
      </c>
      <c r="D244" s="20">
        <v>2</v>
      </c>
      <c r="E244" s="21">
        <f>3.18*3.15</f>
        <v>10.016999999999999</v>
      </c>
      <c r="F244" s="20">
        <v>0.01</v>
      </c>
      <c r="G244" s="20">
        <v>1</v>
      </c>
      <c r="H244" s="22"/>
    </row>
    <row r="245" spans="1:8" x14ac:dyDescent="0.15">
      <c r="A245" s="20">
        <v>49</v>
      </c>
      <c r="B245" s="20">
        <v>48</v>
      </c>
      <c r="C245" s="20">
        <v>4</v>
      </c>
      <c r="D245" s="20">
        <v>3</v>
      </c>
      <c r="E245" s="21">
        <f>8.42*3.5</f>
        <v>29.47</v>
      </c>
      <c r="F245" s="20">
        <v>0.2</v>
      </c>
      <c r="G245" s="20">
        <v>4</v>
      </c>
      <c r="H245" s="22"/>
    </row>
    <row r="246" spans="1:8" x14ac:dyDescent="0.15">
      <c r="A246" s="23">
        <v>1</v>
      </c>
      <c r="B246" s="24">
        <v>50</v>
      </c>
      <c r="C246" s="20">
        <v>1</v>
      </c>
      <c r="D246" s="20">
        <v>2</v>
      </c>
      <c r="E246" s="21">
        <f>1.14*2.44*2</f>
        <v>5.5631999999999993</v>
      </c>
      <c r="F246" s="20">
        <v>6.0000000000000001E-3</v>
      </c>
      <c r="G246" s="20">
        <v>3</v>
      </c>
      <c r="H246" s="22"/>
    </row>
    <row r="247" spans="1:8" s="12" customFormat="1" x14ac:dyDescent="0.15">
      <c r="A247" s="29">
        <v>1</v>
      </c>
      <c r="B247" s="25">
        <v>50</v>
      </c>
      <c r="C247" s="26">
        <v>1</v>
      </c>
      <c r="D247" s="26">
        <v>2</v>
      </c>
      <c r="E247" s="27">
        <f>1.13*0.93*2</f>
        <v>2.1017999999999999</v>
      </c>
      <c r="F247" s="26">
        <v>0.01</v>
      </c>
      <c r="G247" s="26">
        <v>2</v>
      </c>
      <c r="H247" s="28"/>
    </row>
    <row r="248" spans="1:8" x14ac:dyDescent="0.15">
      <c r="A248" s="23">
        <v>50</v>
      </c>
      <c r="B248" s="24">
        <v>1</v>
      </c>
      <c r="C248" s="20">
        <v>3</v>
      </c>
      <c r="D248" s="20">
        <v>2</v>
      </c>
      <c r="E248" s="21">
        <f>(8.25-1.86)*3.5-E247</f>
        <v>20.263199999999998</v>
      </c>
      <c r="F248" s="20">
        <v>0.01</v>
      </c>
      <c r="G248" s="20">
        <v>2</v>
      </c>
      <c r="H248" s="22"/>
    </row>
    <row r="249" spans="1:8" x14ac:dyDescent="0.15">
      <c r="A249" s="23">
        <v>50</v>
      </c>
      <c r="B249" s="24">
        <v>1</v>
      </c>
      <c r="C249" s="20">
        <v>3</v>
      </c>
      <c r="D249" s="20">
        <v>3</v>
      </c>
      <c r="E249" s="21">
        <f>4.83*3.5-E246</f>
        <v>11.341800000000003</v>
      </c>
      <c r="F249" s="20">
        <v>0.2</v>
      </c>
      <c r="G249" s="20">
        <v>3</v>
      </c>
      <c r="H249" s="22"/>
    </row>
    <row r="250" spans="1:8" x14ac:dyDescent="0.15">
      <c r="A250" s="23">
        <v>34</v>
      </c>
      <c r="B250" s="24">
        <v>50</v>
      </c>
      <c r="C250" s="20">
        <v>2</v>
      </c>
      <c r="D250" s="20">
        <v>4</v>
      </c>
      <c r="E250" s="21">
        <f>1.14*3.15</f>
        <v>3.5909999999999997</v>
      </c>
      <c r="F250" s="20">
        <v>4.2000000000000003E-2</v>
      </c>
      <c r="G250" s="20">
        <v>1</v>
      </c>
      <c r="H250" s="22"/>
    </row>
    <row r="251" spans="1:8" x14ac:dyDescent="0.15">
      <c r="A251" s="23">
        <v>50</v>
      </c>
      <c r="B251" s="24">
        <v>34</v>
      </c>
      <c r="C251" s="20">
        <v>4</v>
      </c>
      <c r="D251" s="20">
        <v>2</v>
      </c>
      <c r="E251" s="21">
        <f>2.92*3.15</f>
        <v>9.1980000000000004</v>
      </c>
      <c r="F251" s="20">
        <v>0.01</v>
      </c>
      <c r="G251" s="20">
        <v>1</v>
      </c>
      <c r="H251" s="22"/>
    </row>
    <row r="252" spans="1:8" x14ac:dyDescent="0.15">
      <c r="A252" s="20">
        <v>50</v>
      </c>
      <c r="B252" s="20">
        <v>49</v>
      </c>
      <c r="C252" s="20">
        <v>4</v>
      </c>
      <c r="D252" s="20">
        <v>3</v>
      </c>
      <c r="E252" s="21">
        <f>8.42*3.5</f>
        <v>29.47</v>
      </c>
      <c r="F252" s="20">
        <v>0.2</v>
      </c>
      <c r="G252" s="20">
        <v>4</v>
      </c>
      <c r="H252" s="22"/>
    </row>
  </sheetData>
  <autoFilter ref="A1:O252" xr:uid="{00000000-0009-0000-0000-000001000000}"/>
  <mergeCells count="1">
    <mergeCell ref="I2:O12"/>
  </mergeCells>
  <phoneticPr fontId="5" type="noConversion"/>
  <pageMargins left="0.75138888888888899" right="0.75138888888888899" top="1" bottom="1" header="0.5" footer="0.5"/>
  <pageSetup paperSize="9" orientation="portrait"/>
  <ignoredErrors>
    <ignoredError sqref="E183:E184 E7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7"/>
  <sheetViews>
    <sheetView workbookViewId="0">
      <pane xSplit="1" ySplit="1" topLeftCell="B56" activePane="bottomRight" state="frozen"/>
      <selection pane="topRight"/>
      <selection pane="bottomLeft"/>
      <selection pane="bottomRight" activeCell="E18" sqref="E18:E20"/>
    </sheetView>
  </sheetViews>
  <sheetFormatPr defaultColWidth="8.875" defaultRowHeight="13.5" x14ac:dyDescent="0.15"/>
  <cols>
    <col min="1" max="1" width="8.875" style="4"/>
    <col min="2" max="4" width="10.25" style="4" customWidth="1"/>
    <col min="5" max="5" width="21" style="8" customWidth="1"/>
    <col min="6" max="6" width="17.5" style="4" customWidth="1"/>
    <col min="7" max="16384" width="8.875" style="4"/>
  </cols>
  <sheetData>
    <row r="1" spans="1:6" x14ac:dyDescent="0.15">
      <c r="A1" s="5" t="s">
        <v>0</v>
      </c>
      <c r="B1" s="5" t="s">
        <v>11</v>
      </c>
      <c r="C1" s="5" t="s">
        <v>12</v>
      </c>
      <c r="D1" s="5" t="s">
        <v>13</v>
      </c>
      <c r="E1" s="9" t="s">
        <v>14</v>
      </c>
      <c r="F1" s="5" t="s">
        <v>8</v>
      </c>
    </row>
    <row r="2" spans="1:6" x14ac:dyDescent="0.15">
      <c r="A2" s="5">
        <v>1</v>
      </c>
      <c r="B2" s="5">
        <v>0</v>
      </c>
      <c r="C2" s="5">
        <v>0</v>
      </c>
      <c r="D2" s="5">
        <v>0</v>
      </c>
      <c r="E2" s="9">
        <f>B2*C2*D2</f>
        <v>0</v>
      </c>
      <c r="F2" s="5"/>
    </row>
    <row r="3" spans="1:6" x14ac:dyDescent="0.15">
      <c r="A3" s="5">
        <v>2</v>
      </c>
      <c r="B3" s="5">
        <v>5.55</v>
      </c>
      <c r="C3" s="5">
        <v>3.6</v>
      </c>
      <c r="D3" s="5">
        <v>0</v>
      </c>
      <c r="E3" s="9">
        <f>B3*C3*D3</f>
        <v>0</v>
      </c>
      <c r="F3" s="5" t="s">
        <v>15</v>
      </c>
    </row>
    <row r="4" spans="1:6" x14ac:dyDescent="0.15">
      <c r="A4" s="5">
        <v>3</v>
      </c>
      <c r="B4" s="5">
        <v>3.6</v>
      </c>
      <c r="C4" s="5">
        <v>2.2000000000000002</v>
      </c>
      <c r="D4" s="10">
        <v>5.67</v>
      </c>
      <c r="E4" s="9">
        <f>B4*C4*D4</f>
        <v>44.906400000000005</v>
      </c>
      <c r="F4" s="5"/>
    </row>
    <row r="5" spans="1:6" x14ac:dyDescent="0.15">
      <c r="A5" s="5">
        <v>4</v>
      </c>
      <c r="B5" s="5">
        <v>5.15</v>
      </c>
      <c r="C5" s="5">
        <v>4.8</v>
      </c>
      <c r="D5" s="5">
        <v>3.7</v>
      </c>
      <c r="E5" s="9">
        <f>B5*C5*D5</f>
        <v>91.464000000000013</v>
      </c>
      <c r="F5" s="5"/>
    </row>
    <row r="6" spans="1:6" x14ac:dyDescent="0.15">
      <c r="A6" s="39">
        <v>5</v>
      </c>
      <c r="B6" s="5">
        <v>3.95</v>
      </c>
      <c r="C6" s="5">
        <v>2.5</v>
      </c>
      <c r="D6" s="5">
        <v>3</v>
      </c>
      <c r="E6" s="46">
        <f>B6*C6*D6+B7*C7*D7</f>
        <v>32.2926</v>
      </c>
      <c r="F6" s="5"/>
    </row>
    <row r="7" spans="1:6" x14ac:dyDescent="0.15">
      <c r="A7" s="40"/>
      <c r="B7" s="5">
        <v>1.482</v>
      </c>
      <c r="C7" s="5">
        <v>0.6</v>
      </c>
      <c r="D7" s="5">
        <v>3</v>
      </c>
      <c r="E7" s="47"/>
      <c r="F7" s="5"/>
    </row>
    <row r="8" spans="1:6" x14ac:dyDescent="0.15">
      <c r="A8" s="39">
        <v>6</v>
      </c>
      <c r="B8" s="5">
        <v>3.95</v>
      </c>
      <c r="C8" s="5">
        <v>3.1</v>
      </c>
      <c r="D8" s="5">
        <v>3</v>
      </c>
      <c r="E8" s="46">
        <f>B8*C8*D8+B9*C9*D9</f>
        <v>39.255000000000003</v>
      </c>
      <c r="F8" s="5"/>
    </row>
    <row r="9" spans="1:6" x14ac:dyDescent="0.15">
      <c r="A9" s="40"/>
      <c r="B9" s="5">
        <v>1.4</v>
      </c>
      <c r="C9" s="5">
        <v>0.6</v>
      </c>
      <c r="D9" s="5">
        <v>3</v>
      </c>
      <c r="E9" s="47"/>
      <c r="F9" s="5"/>
    </row>
    <row r="10" spans="1:6" x14ac:dyDescent="0.15">
      <c r="A10" s="5">
        <v>7</v>
      </c>
      <c r="B10" s="5">
        <v>8.35</v>
      </c>
      <c r="C10" s="5">
        <v>7.95</v>
      </c>
      <c r="D10" s="5">
        <v>3.6</v>
      </c>
      <c r="E10" s="9">
        <f>B10*C10*D10</f>
        <v>238.97699999999998</v>
      </c>
      <c r="F10" s="5"/>
    </row>
    <row r="11" spans="1:6" x14ac:dyDescent="0.15">
      <c r="A11" s="5">
        <v>8</v>
      </c>
      <c r="B11" s="5">
        <v>3.52</v>
      </c>
      <c r="C11" s="5">
        <v>2.4</v>
      </c>
      <c r="D11" s="5">
        <v>3</v>
      </c>
      <c r="E11" s="9">
        <f>B11*C11*D11</f>
        <v>25.344000000000001</v>
      </c>
      <c r="F11" s="5"/>
    </row>
    <row r="12" spans="1:6" x14ac:dyDescent="0.15">
      <c r="A12" s="39">
        <v>9</v>
      </c>
      <c r="B12" s="5">
        <v>5.83</v>
      </c>
      <c r="C12" s="5">
        <v>1.8</v>
      </c>
      <c r="D12" s="5">
        <v>3</v>
      </c>
      <c r="E12" s="46">
        <f>B12*C12*D12+B13*C13*D13+B14*C14*D14</f>
        <v>45.744</v>
      </c>
      <c r="F12" s="5"/>
    </row>
    <row r="13" spans="1:6" x14ac:dyDescent="0.15">
      <c r="A13" s="41"/>
      <c r="B13" s="5">
        <v>2.5499999999999998</v>
      </c>
      <c r="C13" s="5">
        <v>0.6</v>
      </c>
      <c r="D13" s="5">
        <v>3</v>
      </c>
      <c r="E13" s="48"/>
      <c r="F13" s="5"/>
    </row>
    <row r="14" spans="1:6" x14ac:dyDescent="0.15">
      <c r="A14" s="40"/>
      <c r="B14" s="5">
        <v>2.6</v>
      </c>
      <c r="C14" s="5">
        <v>1.24</v>
      </c>
      <c r="D14" s="5">
        <v>3</v>
      </c>
      <c r="E14" s="47"/>
      <c r="F14" s="5"/>
    </row>
    <row r="15" spans="1:6" x14ac:dyDescent="0.15">
      <c r="A15" s="39">
        <v>10</v>
      </c>
      <c r="B15" s="5">
        <v>6.55</v>
      </c>
      <c r="C15" s="5">
        <v>5.3</v>
      </c>
      <c r="D15" s="5">
        <v>3.6</v>
      </c>
      <c r="E15" s="46">
        <f>B15*C15*D15+B16*C16*D16</f>
        <v>152.69399999999999</v>
      </c>
      <c r="F15" s="5"/>
    </row>
    <row r="16" spans="1:6" x14ac:dyDescent="0.15">
      <c r="A16" s="40"/>
      <c r="B16" s="5">
        <v>2.8</v>
      </c>
      <c r="C16" s="5">
        <v>2.75</v>
      </c>
      <c r="D16" s="5">
        <v>3.6</v>
      </c>
      <c r="E16" s="47"/>
      <c r="F16" s="5"/>
    </row>
    <row r="17" spans="1:6" x14ac:dyDescent="0.15">
      <c r="A17" s="5">
        <v>11</v>
      </c>
      <c r="B17" s="5">
        <v>2.2000000000000002</v>
      </c>
      <c r="C17" s="5">
        <v>2.1</v>
      </c>
      <c r="D17" s="5">
        <v>3</v>
      </c>
      <c r="E17" s="9">
        <f>B17*C17*D17</f>
        <v>13.860000000000003</v>
      </c>
      <c r="F17" s="5"/>
    </row>
    <row r="18" spans="1:6" x14ac:dyDescent="0.15">
      <c r="A18" s="39">
        <v>12</v>
      </c>
      <c r="B18" s="5">
        <v>5.4</v>
      </c>
      <c r="C18" s="5">
        <v>2.2999999999999998</v>
      </c>
      <c r="D18" s="5">
        <v>3.6</v>
      </c>
      <c r="E18" s="46">
        <f>B18*C18*D18+B19*C19*D19+B20*C20*D20</f>
        <v>713.77200000000016</v>
      </c>
      <c r="F18" s="5"/>
    </row>
    <row r="19" spans="1:6" x14ac:dyDescent="0.15">
      <c r="A19" s="41"/>
      <c r="B19" s="5">
        <v>21.85</v>
      </c>
      <c r="C19" s="5">
        <v>3</v>
      </c>
      <c r="D19" s="5">
        <v>3.6</v>
      </c>
      <c r="E19" s="48"/>
      <c r="F19" s="5"/>
    </row>
    <row r="20" spans="1:6" x14ac:dyDescent="0.15">
      <c r="A20" s="40"/>
      <c r="B20" s="5">
        <v>40.1</v>
      </c>
      <c r="C20" s="5">
        <v>3</v>
      </c>
      <c r="D20" s="5">
        <v>3.6</v>
      </c>
      <c r="E20" s="47"/>
      <c r="F20" s="5"/>
    </row>
    <row r="21" spans="1:6" x14ac:dyDescent="0.15">
      <c r="A21" s="5">
        <v>13</v>
      </c>
      <c r="B21" s="5">
        <v>13.6</v>
      </c>
      <c r="C21" s="5">
        <v>13.2</v>
      </c>
      <c r="D21" s="5">
        <v>3.6</v>
      </c>
      <c r="E21" s="9">
        <f t="shared" ref="E21:E28" si="0">B21*C21*D21</f>
        <v>646.27199999999993</v>
      </c>
      <c r="F21" s="5"/>
    </row>
    <row r="22" spans="1:6" x14ac:dyDescent="0.15">
      <c r="A22" s="5">
        <v>14</v>
      </c>
      <c r="B22" s="5">
        <v>13.6</v>
      </c>
      <c r="C22" s="5">
        <v>13.2</v>
      </c>
      <c r="D22" s="5">
        <v>3.6</v>
      </c>
      <c r="E22" s="9">
        <f t="shared" si="0"/>
        <v>646.27199999999993</v>
      </c>
      <c r="F22" s="5"/>
    </row>
    <row r="23" spans="1:6" x14ac:dyDescent="0.15">
      <c r="A23" s="5">
        <v>15</v>
      </c>
      <c r="B23" s="5">
        <v>13.2</v>
      </c>
      <c r="C23" s="5">
        <v>8.5</v>
      </c>
      <c r="D23" s="5">
        <v>3.6</v>
      </c>
      <c r="E23" s="9">
        <f t="shared" si="0"/>
        <v>403.91999999999996</v>
      </c>
      <c r="F23" s="5"/>
    </row>
    <row r="24" spans="1:6" x14ac:dyDescent="0.15">
      <c r="A24" s="5">
        <v>16</v>
      </c>
      <c r="B24" s="5">
        <v>13.2</v>
      </c>
      <c r="C24" s="5">
        <v>8.5</v>
      </c>
      <c r="D24" s="5">
        <v>3.6</v>
      </c>
      <c r="E24" s="9">
        <f t="shared" si="0"/>
        <v>403.91999999999996</v>
      </c>
      <c r="F24" s="5"/>
    </row>
    <row r="25" spans="1:6" x14ac:dyDescent="0.15">
      <c r="A25" s="5">
        <v>17</v>
      </c>
      <c r="B25" s="5">
        <v>13.2</v>
      </c>
      <c r="C25" s="5">
        <v>8.5</v>
      </c>
      <c r="D25" s="5">
        <v>3.6</v>
      </c>
      <c r="E25" s="9">
        <f t="shared" si="0"/>
        <v>403.91999999999996</v>
      </c>
      <c r="F25" s="5"/>
    </row>
    <row r="26" spans="1:6" x14ac:dyDescent="0.15">
      <c r="A26" s="5">
        <v>18</v>
      </c>
      <c r="B26" s="5">
        <v>12.15</v>
      </c>
      <c r="C26" s="5">
        <v>8.25</v>
      </c>
      <c r="D26" s="5">
        <v>3.6</v>
      </c>
      <c r="E26" s="9">
        <f t="shared" si="0"/>
        <v>360.85500000000002</v>
      </c>
      <c r="F26" s="5"/>
    </row>
    <row r="27" spans="1:6" x14ac:dyDescent="0.15">
      <c r="A27" s="5">
        <v>19</v>
      </c>
      <c r="B27" s="5">
        <v>13.2</v>
      </c>
      <c r="C27" s="5">
        <v>8.75</v>
      </c>
      <c r="D27" s="5">
        <v>3.6</v>
      </c>
      <c r="E27" s="9">
        <f t="shared" si="0"/>
        <v>415.8</v>
      </c>
      <c r="F27" s="5"/>
    </row>
    <row r="28" spans="1:6" x14ac:dyDescent="0.15">
      <c r="A28" s="5">
        <v>20</v>
      </c>
      <c r="B28" s="5">
        <v>11.45</v>
      </c>
      <c r="C28" s="5">
        <v>8.75</v>
      </c>
      <c r="D28" s="5">
        <v>3.6</v>
      </c>
      <c r="E28" s="9">
        <f t="shared" si="0"/>
        <v>360.67500000000001</v>
      </c>
      <c r="F28" s="5"/>
    </row>
    <row r="29" spans="1:6" x14ac:dyDescent="0.15">
      <c r="A29" s="39">
        <v>21</v>
      </c>
      <c r="B29" s="5">
        <v>9.4600000000000009</v>
      </c>
      <c r="C29" s="5">
        <v>5.5</v>
      </c>
      <c r="D29" s="5">
        <v>3.6</v>
      </c>
      <c r="E29" s="46">
        <f>B29*C29*D29-B30*C30*D30</f>
        <v>159.22800000000001</v>
      </c>
      <c r="F29" s="5"/>
    </row>
    <row r="30" spans="1:6" x14ac:dyDescent="0.15">
      <c r="A30" s="41"/>
      <c r="B30" s="5">
        <v>3</v>
      </c>
      <c r="C30" s="5">
        <v>2.6</v>
      </c>
      <c r="D30" s="5">
        <v>3.6</v>
      </c>
      <c r="E30" s="48"/>
      <c r="F30" s="5"/>
    </row>
    <row r="31" spans="1:6" x14ac:dyDescent="0.15">
      <c r="A31" s="39">
        <v>22</v>
      </c>
      <c r="B31" s="5">
        <v>10.9</v>
      </c>
      <c r="C31" s="5">
        <v>5.25</v>
      </c>
      <c r="D31" s="5">
        <v>3.6</v>
      </c>
      <c r="E31" s="46">
        <f>B31*C31*D31+B32*C32*D32</f>
        <v>330.27000000000004</v>
      </c>
      <c r="F31" s="5"/>
    </row>
    <row r="32" spans="1:6" x14ac:dyDescent="0.15">
      <c r="A32" s="40"/>
      <c r="B32" s="5">
        <v>10.9</v>
      </c>
      <c r="C32" s="5">
        <v>3</v>
      </c>
      <c r="D32" s="5">
        <v>3.8</v>
      </c>
      <c r="E32" s="47"/>
      <c r="F32" s="5"/>
    </row>
    <row r="33" spans="1:6" x14ac:dyDescent="0.15">
      <c r="A33" s="5">
        <v>23</v>
      </c>
      <c r="B33" s="5">
        <v>19.05</v>
      </c>
      <c r="C33" s="5">
        <v>10</v>
      </c>
      <c r="D33" s="5">
        <v>3.8</v>
      </c>
      <c r="E33" s="9">
        <f>B33*C33*D33</f>
        <v>723.9</v>
      </c>
      <c r="F33" s="5"/>
    </row>
    <row r="34" spans="1:6" x14ac:dyDescent="0.15">
      <c r="A34" s="5">
        <v>24</v>
      </c>
      <c r="B34" s="5">
        <v>5.05</v>
      </c>
      <c r="C34" s="5">
        <v>3.75</v>
      </c>
      <c r="D34" s="5"/>
      <c r="E34" s="9">
        <f>B34*C34*D34</f>
        <v>0</v>
      </c>
      <c r="F34" s="5" t="s">
        <v>15</v>
      </c>
    </row>
    <row r="35" spans="1:6" x14ac:dyDescent="0.15">
      <c r="A35" s="5">
        <v>25</v>
      </c>
      <c r="B35" s="5">
        <v>3.71</v>
      </c>
      <c r="C35" s="5">
        <v>2.7</v>
      </c>
      <c r="D35" s="10">
        <v>5.67</v>
      </c>
      <c r="E35" s="9">
        <f>B35*C35*D35</f>
        <v>56.796390000000009</v>
      </c>
      <c r="F35" s="5"/>
    </row>
    <row r="36" spans="1:6" x14ac:dyDescent="0.15">
      <c r="A36" s="5">
        <v>26</v>
      </c>
      <c r="B36" s="5">
        <v>8.15</v>
      </c>
      <c r="C36" s="5">
        <v>7.25</v>
      </c>
      <c r="D36" s="5">
        <v>3.65</v>
      </c>
      <c r="E36" s="9">
        <f>B36*C36*D36</f>
        <v>215.669375</v>
      </c>
      <c r="F36" s="5"/>
    </row>
    <row r="37" spans="1:6" x14ac:dyDescent="0.15">
      <c r="A37" s="42">
        <v>27</v>
      </c>
      <c r="B37" s="10">
        <v>20.55</v>
      </c>
      <c r="C37" s="10">
        <v>2.64</v>
      </c>
      <c r="D37" s="10">
        <v>3.55</v>
      </c>
      <c r="E37" s="49">
        <f>B37*C37*D37+B38*C38*D38+B39*C39*D39</f>
        <v>797.63684999999998</v>
      </c>
      <c r="F37" s="5"/>
    </row>
    <row r="38" spans="1:6" x14ac:dyDescent="0.15">
      <c r="A38" s="43"/>
      <c r="B38" s="10">
        <v>16.5</v>
      </c>
      <c r="C38" s="10">
        <v>8.23</v>
      </c>
      <c r="D38" s="10">
        <v>3.65</v>
      </c>
      <c r="E38" s="50"/>
      <c r="F38" s="5"/>
    </row>
    <row r="39" spans="1:6" x14ac:dyDescent="0.15">
      <c r="A39" s="44"/>
      <c r="B39" s="10">
        <v>7.4</v>
      </c>
      <c r="C39" s="10">
        <v>4.05</v>
      </c>
      <c r="D39" s="10">
        <v>3.65</v>
      </c>
      <c r="E39" s="51"/>
      <c r="F39" s="5"/>
    </row>
    <row r="40" spans="1:6" x14ac:dyDescent="0.15">
      <c r="A40" s="5">
        <v>28</v>
      </c>
      <c r="B40" s="5">
        <v>10.45</v>
      </c>
      <c r="C40" s="5">
        <v>9</v>
      </c>
      <c r="D40" s="5">
        <v>3.6</v>
      </c>
      <c r="E40" s="9">
        <f t="shared" ref="E40:E44" si="1">B40*C40*D40</f>
        <v>338.58</v>
      </c>
      <c r="F40" s="5"/>
    </row>
    <row r="41" spans="1:6" x14ac:dyDescent="0.15">
      <c r="A41" s="5">
        <v>29</v>
      </c>
      <c r="B41" s="5">
        <v>9.66</v>
      </c>
      <c r="C41" s="5">
        <v>8.6999999999999993</v>
      </c>
      <c r="D41" s="5">
        <v>3.6</v>
      </c>
      <c r="E41" s="9">
        <f t="shared" si="1"/>
        <v>302.55119999999994</v>
      </c>
      <c r="F41" s="5"/>
    </row>
    <row r="42" spans="1:6" x14ac:dyDescent="0.15">
      <c r="A42" s="5">
        <v>30</v>
      </c>
      <c r="B42" s="5">
        <v>10.01</v>
      </c>
      <c r="C42" s="5">
        <v>9</v>
      </c>
      <c r="D42" s="5">
        <v>3.6</v>
      </c>
      <c r="E42" s="9">
        <f t="shared" si="1"/>
        <v>324.32400000000001</v>
      </c>
      <c r="F42" s="5"/>
    </row>
    <row r="43" spans="1:6" x14ac:dyDescent="0.15">
      <c r="A43" s="5">
        <v>31</v>
      </c>
      <c r="B43" s="5">
        <v>10.01</v>
      </c>
      <c r="C43" s="5">
        <v>8.6999999999999993</v>
      </c>
      <c r="D43" s="5">
        <v>3.6</v>
      </c>
      <c r="E43" s="9">
        <f t="shared" si="1"/>
        <v>313.51319999999998</v>
      </c>
      <c r="F43" s="5"/>
    </row>
    <row r="44" spans="1:6" x14ac:dyDescent="0.15">
      <c r="A44" s="5">
        <v>32</v>
      </c>
      <c r="B44" s="5">
        <v>21.54</v>
      </c>
      <c r="C44" s="5">
        <v>8.8000000000000007</v>
      </c>
      <c r="D44" s="5">
        <v>3.6</v>
      </c>
      <c r="E44" s="9">
        <f t="shared" si="1"/>
        <v>682.38720000000012</v>
      </c>
      <c r="F44" s="5"/>
    </row>
    <row r="45" spans="1:6" x14ac:dyDescent="0.15">
      <c r="A45" s="39">
        <v>33</v>
      </c>
      <c r="B45" s="5">
        <v>8.8000000000000007</v>
      </c>
      <c r="C45" s="5">
        <v>5</v>
      </c>
      <c r="D45" s="5">
        <v>4.16</v>
      </c>
      <c r="E45" s="46">
        <f>B45*C45*D45+B46*C46*D46+B47*C47*D47+B48*C48*D48+B49*C49*D49+B50*C50*D50+B51*C51*D51</f>
        <v>567.24800000000005</v>
      </c>
      <c r="F45" s="39" t="s">
        <v>16</v>
      </c>
    </row>
    <row r="46" spans="1:6" x14ac:dyDescent="0.15">
      <c r="A46" s="41"/>
      <c r="B46" s="5">
        <v>8.8000000000000007</v>
      </c>
      <c r="C46" s="5">
        <v>3</v>
      </c>
      <c r="D46" s="5">
        <v>3.76</v>
      </c>
      <c r="E46" s="48"/>
      <c r="F46" s="41"/>
    </row>
    <row r="47" spans="1:6" x14ac:dyDescent="0.15">
      <c r="A47" s="41"/>
      <c r="B47" s="5">
        <v>8.8000000000000007</v>
      </c>
      <c r="C47" s="5">
        <v>3</v>
      </c>
      <c r="D47" s="5">
        <v>3.46</v>
      </c>
      <c r="E47" s="48"/>
      <c r="F47" s="41"/>
    </row>
    <row r="48" spans="1:6" x14ac:dyDescent="0.15">
      <c r="A48" s="41"/>
      <c r="B48" s="5">
        <v>8.8000000000000007</v>
      </c>
      <c r="C48" s="5">
        <v>3</v>
      </c>
      <c r="D48" s="5">
        <v>3.14</v>
      </c>
      <c r="E48" s="48"/>
      <c r="F48" s="41"/>
    </row>
    <row r="49" spans="1:6" x14ac:dyDescent="0.15">
      <c r="A49" s="41"/>
      <c r="B49" s="5">
        <v>8.8000000000000007</v>
      </c>
      <c r="C49" s="5">
        <v>3.5</v>
      </c>
      <c r="D49" s="5">
        <v>2.86</v>
      </c>
      <c r="E49" s="48"/>
      <c r="F49" s="41"/>
    </row>
    <row r="50" spans="1:6" x14ac:dyDescent="0.15">
      <c r="A50" s="41"/>
      <c r="B50" s="5">
        <v>8.8000000000000007</v>
      </c>
      <c r="C50" s="5">
        <v>0.6</v>
      </c>
      <c r="D50" s="5">
        <v>3.16</v>
      </c>
      <c r="E50" s="48"/>
      <c r="F50" s="41"/>
    </row>
    <row r="51" spans="1:6" x14ac:dyDescent="0.15">
      <c r="A51" s="41"/>
      <c r="B51" s="5">
        <v>8.8000000000000007</v>
      </c>
      <c r="C51" s="5">
        <v>0.2</v>
      </c>
      <c r="D51" s="5">
        <v>3.37</v>
      </c>
      <c r="E51" s="48"/>
      <c r="F51" s="40"/>
    </row>
    <row r="52" spans="1:6" x14ac:dyDescent="0.15">
      <c r="A52" s="39">
        <v>34</v>
      </c>
      <c r="B52" s="5">
        <v>41.16</v>
      </c>
      <c r="C52" s="5">
        <v>2.64</v>
      </c>
      <c r="D52" s="5">
        <v>3.6</v>
      </c>
      <c r="E52" s="46">
        <f>B52*C52*D52+B53*C53*D53</f>
        <v>481.90464000000003</v>
      </c>
      <c r="F52" s="5"/>
    </row>
    <row r="53" spans="1:6" x14ac:dyDescent="0.15">
      <c r="A53" s="40"/>
      <c r="B53" s="5">
        <v>8.4</v>
      </c>
      <c r="C53" s="5">
        <v>3</v>
      </c>
      <c r="D53" s="5">
        <v>3.6</v>
      </c>
      <c r="E53" s="47"/>
      <c r="F53" s="5"/>
    </row>
    <row r="54" spans="1:6" x14ac:dyDescent="0.15">
      <c r="A54" s="5">
        <v>35</v>
      </c>
      <c r="B54" s="5">
        <v>7.4</v>
      </c>
      <c r="C54" s="5">
        <v>4.3</v>
      </c>
      <c r="D54" s="5">
        <v>3.2</v>
      </c>
      <c r="E54" s="9">
        <f>B54*C54*D54</f>
        <v>101.82400000000001</v>
      </c>
      <c r="F54" s="5"/>
    </row>
    <row r="55" spans="1:6" x14ac:dyDescent="0.15">
      <c r="A55" s="5">
        <v>36</v>
      </c>
      <c r="B55" s="5">
        <v>4.45</v>
      </c>
      <c r="C55" s="5">
        <v>3.6</v>
      </c>
      <c r="D55" s="5">
        <v>3.2</v>
      </c>
      <c r="E55" s="9">
        <f>B55*C55*D55</f>
        <v>51.264000000000003</v>
      </c>
      <c r="F55" s="5"/>
    </row>
    <row r="56" spans="1:6" x14ac:dyDescent="0.15">
      <c r="A56" s="5">
        <v>37</v>
      </c>
      <c r="B56" s="5">
        <v>4.45</v>
      </c>
      <c r="C56" s="5">
        <v>3.6</v>
      </c>
      <c r="D56" s="5">
        <v>3.2</v>
      </c>
      <c r="E56" s="9">
        <f>B56*C56*D56</f>
        <v>51.264000000000003</v>
      </c>
      <c r="F56" s="5"/>
    </row>
    <row r="57" spans="1:6" x14ac:dyDescent="0.15">
      <c r="A57" s="39">
        <v>38</v>
      </c>
      <c r="B57" s="5">
        <v>7.5</v>
      </c>
      <c r="C57" s="5">
        <v>4.2</v>
      </c>
      <c r="D57" s="5">
        <v>3.7</v>
      </c>
      <c r="E57" s="46">
        <f>B57*C57*D57+B58*C58*D58</f>
        <v>340.94760000000002</v>
      </c>
      <c r="F57" s="5"/>
    </row>
    <row r="58" spans="1:6" x14ac:dyDescent="0.15">
      <c r="A58" s="40"/>
      <c r="B58" s="5">
        <v>8.4</v>
      </c>
      <c r="C58" s="5">
        <v>7.22</v>
      </c>
      <c r="D58" s="5">
        <v>3.7</v>
      </c>
      <c r="E58" s="47"/>
      <c r="F58" s="5"/>
    </row>
    <row r="59" spans="1:6" x14ac:dyDescent="0.15">
      <c r="A59" s="5">
        <v>39</v>
      </c>
      <c r="B59" s="5">
        <v>21.77</v>
      </c>
      <c r="C59" s="5">
        <v>8.5500000000000007</v>
      </c>
      <c r="D59" s="5">
        <v>3.64</v>
      </c>
      <c r="E59" s="9">
        <f>B59*C59*D59</f>
        <v>677.52593999999999</v>
      </c>
      <c r="F59" s="5"/>
    </row>
    <row r="60" spans="1:6" x14ac:dyDescent="0.15">
      <c r="A60" s="39">
        <v>40</v>
      </c>
      <c r="B60" s="5">
        <v>9.5</v>
      </c>
      <c r="C60" s="5">
        <v>6.37</v>
      </c>
      <c r="D60" s="5">
        <v>3.6</v>
      </c>
      <c r="E60" s="46">
        <f>B60*C60*D60-B61*C61*D61</f>
        <v>191.10744000000003</v>
      </c>
      <c r="F60" s="5"/>
    </row>
    <row r="61" spans="1:6" x14ac:dyDescent="0.15">
      <c r="A61" s="40"/>
      <c r="B61" s="5">
        <v>2.96</v>
      </c>
      <c r="C61" s="5">
        <v>2.5099999999999998</v>
      </c>
      <c r="D61" s="5">
        <v>3.6</v>
      </c>
      <c r="E61" s="47"/>
      <c r="F61" s="5"/>
    </row>
    <row r="62" spans="1:6" x14ac:dyDescent="0.15">
      <c r="A62" s="5">
        <v>41</v>
      </c>
      <c r="B62" s="5">
        <v>9.8000000000000007</v>
      </c>
      <c r="C62" s="5">
        <v>2.37</v>
      </c>
      <c r="D62" s="5">
        <v>3</v>
      </c>
      <c r="E62" s="9">
        <f>B62*C62*D62</f>
        <v>69.678000000000011</v>
      </c>
      <c r="F62" s="5"/>
    </row>
    <row r="63" spans="1:6" x14ac:dyDescent="0.15">
      <c r="A63" s="5">
        <v>42</v>
      </c>
      <c r="B63" s="5">
        <v>5.83</v>
      </c>
      <c r="C63" s="5">
        <v>1.94</v>
      </c>
      <c r="D63" s="5">
        <v>3</v>
      </c>
      <c r="E63" s="9">
        <f>B63*C63*D63</f>
        <v>33.930599999999998</v>
      </c>
      <c r="F63" s="5"/>
    </row>
    <row r="64" spans="1:6" x14ac:dyDescent="0.15">
      <c r="A64" s="39">
        <v>43</v>
      </c>
      <c r="B64" s="5">
        <v>4.05</v>
      </c>
      <c r="C64" s="5">
        <v>3.04</v>
      </c>
      <c r="D64" s="5">
        <v>2.95</v>
      </c>
      <c r="E64" s="46">
        <f>B64*C64*D64+B65*C65*D65</f>
        <v>38.7453</v>
      </c>
      <c r="F64" s="5"/>
    </row>
    <row r="65" spans="1:6" x14ac:dyDescent="0.15">
      <c r="A65" s="40"/>
      <c r="B65" s="5">
        <v>1.37</v>
      </c>
      <c r="C65" s="5">
        <v>0.6</v>
      </c>
      <c r="D65" s="5">
        <v>2.95</v>
      </c>
      <c r="E65" s="47"/>
      <c r="F65" s="5"/>
    </row>
    <row r="66" spans="1:6" x14ac:dyDescent="0.15">
      <c r="A66" s="39">
        <v>44</v>
      </c>
      <c r="B66" s="5">
        <v>4.05</v>
      </c>
      <c r="C66" s="5">
        <v>2.54</v>
      </c>
      <c r="D66" s="5">
        <v>2.95</v>
      </c>
      <c r="E66" s="46">
        <f>B66*C66*D66+B67*C67*D67</f>
        <v>32.629950000000001</v>
      </c>
      <c r="F66" s="5"/>
    </row>
    <row r="67" spans="1:6" x14ac:dyDescent="0.15">
      <c r="A67" s="40"/>
      <c r="B67" s="5">
        <v>1.29</v>
      </c>
      <c r="C67" s="5">
        <v>0.6</v>
      </c>
      <c r="D67" s="5">
        <v>2.95</v>
      </c>
      <c r="E67" s="47"/>
      <c r="F67" s="5"/>
    </row>
    <row r="68" spans="1:6" x14ac:dyDescent="0.15">
      <c r="A68" s="5">
        <v>45</v>
      </c>
      <c r="B68" s="5">
        <v>3.7</v>
      </c>
      <c r="C68" s="5">
        <v>2.5099999999999998</v>
      </c>
      <c r="D68" s="5">
        <v>3</v>
      </c>
      <c r="E68" s="9">
        <f>B68*C68*D68</f>
        <v>27.860999999999997</v>
      </c>
      <c r="F68" s="5"/>
    </row>
    <row r="69" spans="1:6" x14ac:dyDescent="0.15">
      <c r="A69" s="5">
        <v>46</v>
      </c>
      <c r="B69" s="5">
        <v>4.2</v>
      </c>
      <c r="C69" s="5">
        <v>3.7</v>
      </c>
      <c r="D69" s="5">
        <v>3</v>
      </c>
      <c r="E69" s="9">
        <f>B69*C69*D69</f>
        <v>46.620000000000005</v>
      </c>
      <c r="F69" s="5"/>
    </row>
    <row r="70" spans="1:6" x14ac:dyDescent="0.15">
      <c r="A70" s="39">
        <v>47</v>
      </c>
      <c r="B70" s="5">
        <v>8.42</v>
      </c>
      <c r="C70" s="5">
        <v>4.29</v>
      </c>
      <c r="D70" s="5">
        <v>3.5</v>
      </c>
      <c r="E70" s="46">
        <f>B70*C70*D70-B71*C71*D71</f>
        <v>123.44955</v>
      </c>
      <c r="F70" s="5"/>
    </row>
    <row r="71" spans="1:6" x14ac:dyDescent="0.15">
      <c r="A71" s="40"/>
      <c r="B71" s="5">
        <v>1.05</v>
      </c>
      <c r="C71" s="5">
        <v>0.81</v>
      </c>
      <c r="D71" s="5">
        <v>3.5</v>
      </c>
      <c r="E71" s="47"/>
      <c r="F71" s="5"/>
    </row>
    <row r="72" spans="1:6" x14ac:dyDescent="0.15">
      <c r="A72" s="39">
        <v>48</v>
      </c>
      <c r="B72" s="5">
        <v>8.42</v>
      </c>
      <c r="C72" s="5">
        <v>4.96</v>
      </c>
      <c r="D72" s="5">
        <v>3.5</v>
      </c>
      <c r="E72" s="46">
        <f>B72*C72*D72-B73*C73*D73</f>
        <v>143.51644999999999</v>
      </c>
      <c r="F72" s="5"/>
    </row>
    <row r="73" spans="1:6" x14ac:dyDescent="0.15">
      <c r="A73" s="40"/>
      <c r="B73" s="5">
        <v>1.85</v>
      </c>
      <c r="C73" s="5">
        <v>0.41</v>
      </c>
      <c r="D73" s="5">
        <v>3.5</v>
      </c>
      <c r="E73" s="47"/>
      <c r="F73" s="5"/>
    </row>
    <row r="74" spans="1:6" x14ac:dyDescent="0.15">
      <c r="A74" s="39">
        <v>49</v>
      </c>
      <c r="B74" s="5">
        <v>8.42</v>
      </c>
      <c r="C74" s="5">
        <v>4.45</v>
      </c>
      <c r="D74" s="5">
        <v>3.5</v>
      </c>
      <c r="E74" s="46">
        <f>B74*C74*D74-B75*C75*D75</f>
        <v>129.64420000000001</v>
      </c>
      <c r="F74" s="5"/>
    </row>
    <row r="75" spans="1:6" x14ac:dyDescent="0.15">
      <c r="A75" s="40"/>
      <c r="B75" s="5">
        <v>1.86</v>
      </c>
      <c r="C75" s="5">
        <v>0.23</v>
      </c>
      <c r="D75" s="5">
        <v>3.5</v>
      </c>
      <c r="E75" s="47"/>
      <c r="F75" s="5"/>
    </row>
    <row r="76" spans="1:6" x14ac:dyDescent="0.15">
      <c r="A76" s="45">
        <v>50</v>
      </c>
      <c r="B76" s="5">
        <v>8.42</v>
      </c>
      <c r="C76" s="5">
        <v>4.83</v>
      </c>
      <c r="D76" s="5">
        <v>3.5</v>
      </c>
      <c r="E76" s="46">
        <f>B76*C76*D76-B77*C77*D77</f>
        <v>140.49735000000001</v>
      </c>
      <c r="F76" s="5"/>
    </row>
    <row r="77" spans="1:6" x14ac:dyDescent="0.15">
      <c r="A77" s="45"/>
      <c r="B77" s="5">
        <v>0.81</v>
      </c>
      <c r="C77" s="5">
        <v>0.65</v>
      </c>
      <c r="D77" s="5">
        <v>3.5</v>
      </c>
      <c r="E77" s="47"/>
      <c r="F77" s="5"/>
    </row>
  </sheetData>
  <mergeCells count="37">
    <mergeCell ref="F45:F51"/>
    <mergeCell ref="E66:E67"/>
    <mergeCell ref="E70:E71"/>
    <mergeCell ref="E72:E73"/>
    <mergeCell ref="E74:E75"/>
    <mergeCell ref="E76:E77"/>
    <mergeCell ref="A72:A73"/>
    <mergeCell ref="A74:A75"/>
    <mergeCell ref="A76:A77"/>
    <mergeCell ref="E6:E7"/>
    <mergeCell ref="E8:E9"/>
    <mergeCell ref="E12:E14"/>
    <mergeCell ref="E15:E16"/>
    <mergeCell ref="E18:E20"/>
    <mergeCell ref="E29:E30"/>
    <mergeCell ref="E31:E32"/>
    <mergeCell ref="E37:E39"/>
    <mergeCell ref="E45:E51"/>
    <mergeCell ref="E52:E53"/>
    <mergeCell ref="E57:E58"/>
    <mergeCell ref="E60:E61"/>
    <mergeCell ref="E64:E65"/>
    <mergeCell ref="A57:A58"/>
    <mergeCell ref="A60:A61"/>
    <mergeCell ref="A64:A65"/>
    <mergeCell ref="A66:A67"/>
    <mergeCell ref="A70:A71"/>
    <mergeCell ref="A29:A30"/>
    <mergeCell ref="A31:A32"/>
    <mergeCell ref="A37:A39"/>
    <mergeCell ref="A45:A51"/>
    <mergeCell ref="A52:A53"/>
    <mergeCell ref="A6:A7"/>
    <mergeCell ref="A8:A9"/>
    <mergeCell ref="A12:A14"/>
    <mergeCell ref="A15:A16"/>
    <mergeCell ref="A18:A20"/>
  </mergeCells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xSplit="1" ySplit="1" topLeftCell="B2" activePane="bottomRight" state="frozen"/>
      <selection pane="topRight"/>
      <selection pane="bottomLeft"/>
      <selection pane="bottomRight" activeCell="D57" sqref="D57"/>
    </sheetView>
  </sheetViews>
  <sheetFormatPr defaultColWidth="8.875" defaultRowHeight="13.5" x14ac:dyDescent="0.15"/>
  <cols>
    <col min="1" max="2" width="8.875" style="4"/>
    <col min="3" max="6" width="14.125" style="4" customWidth="1"/>
    <col min="7" max="16384" width="8.875" style="4"/>
  </cols>
  <sheetData>
    <row r="1" spans="1:6" ht="39" customHeight="1" x14ac:dyDescent="0.15">
      <c r="A1" s="5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15">
      <c r="A2" s="5">
        <v>1</v>
      </c>
      <c r="B2" s="5">
        <v>0</v>
      </c>
      <c r="C2" s="5"/>
      <c r="D2" s="5"/>
      <c r="E2" s="5"/>
      <c r="F2" s="5"/>
    </row>
    <row r="3" spans="1:6" x14ac:dyDescent="0.15">
      <c r="A3" s="5">
        <v>2</v>
      </c>
      <c r="B3" s="5">
        <v>0</v>
      </c>
      <c r="C3" s="5"/>
      <c r="D3" s="5"/>
      <c r="E3" s="5"/>
      <c r="F3" s="5"/>
    </row>
    <row r="4" spans="1:6" x14ac:dyDescent="0.15">
      <c r="A4" s="5">
        <v>3</v>
      </c>
      <c r="B4" s="5">
        <v>0</v>
      </c>
      <c r="C4" s="5"/>
      <c r="D4" s="5"/>
      <c r="E4" s="5"/>
      <c r="F4" s="5"/>
    </row>
    <row r="5" spans="1:6" x14ac:dyDescent="0.15">
      <c r="A5" s="5">
        <v>4</v>
      </c>
      <c r="B5" s="5">
        <v>1</v>
      </c>
      <c r="C5" s="6" t="s">
        <v>22</v>
      </c>
      <c r="D5" s="5"/>
      <c r="E5" s="5"/>
      <c r="F5" s="5"/>
    </row>
    <row r="6" spans="1:6" x14ac:dyDescent="0.15">
      <c r="A6" s="5">
        <v>5</v>
      </c>
      <c r="B6" s="5">
        <v>0</v>
      </c>
      <c r="C6" s="5"/>
      <c r="D6" s="5"/>
      <c r="E6" s="5"/>
      <c r="F6" s="5"/>
    </row>
    <row r="7" spans="1:6" x14ac:dyDescent="0.15">
      <c r="A7" s="5">
        <v>6</v>
      </c>
      <c r="B7" s="5">
        <v>0</v>
      </c>
      <c r="C7" s="5"/>
      <c r="D7" s="5"/>
      <c r="E7" s="5"/>
      <c r="F7" s="5"/>
    </row>
    <row r="8" spans="1:6" x14ac:dyDescent="0.15">
      <c r="A8" s="5">
        <v>7</v>
      </c>
      <c r="B8" s="5">
        <v>0</v>
      </c>
      <c r="C8" s="5"/>
      <c r="D8" s="5"/>
      <c r="E8" s="5"/>
      <c r="F8" s="5"/>
    </row>
    <row r="9" spans="1:6" x14ac:dyDescent="0.15">
      <c r="A9" s="5">
        <v>8</v>
      </c>
      <c r="B9" s="5">
        <v>0</v>
      </c>
      <c r="C9" s="5"/>
      <c r="D9" s="5"/>
      <c r="E9" s="5"/>
      <c r="F9" s="5"/>
    </row>
    <row r="10" spans="1:6" x14ac:dyDescent="0.15">
      <c r="A10" s="5">
        <v>9</v>
      </c>
      <c r="B10" s="5">
        <v>0</v>
      </c>
      <c r="C10" s="5"/>
      <c r="D10" s="5"/>
      <c r="E10" s="5"/>
      <c r="F10" s="5"/>
    </row>
    <row r="11" spans="1:6" x14ac:dyDescent="0.15">
      <c r="A11" s="5">
        <v>10</v>
      </c>
      <c r="B11" s="5">
        <v>0</v>
      </c>
      <c r="C11" s="5"/>
      <c r="D11" s="5"/>
      <c r="E11" s="5"/>
      <c r="F11" s="5"/>
    </row>
    <row r="12" spans="1:6" x14ac:dyDescent="0.15">
      <c r="A12" s="5">
        <v>11</v>
      </c>
      <c r="B12" s="5">
        <v>0</v>
      </c>
      <c r="C12" s="5"/>
      <c r="D12" s="5"/>
      <c r="E12" s="5"/>
      <c r="F12" s="5"/>
    </row>
    <row r="13" spans="1:6" x14ac:dyDescent="0.15">
      <c r="A13" s="5">
        <v>12</v>
      </c>
      <c r="B13" s="5">
        <v>0</v>
      </c>
      <c r="C13" s="5"/>
      <c r="D13" s="5"/>
      <c r="E13" s="5"/>
      <c r="F13" s="5"/>
    </row>
    <row r="14" spans="1:6" x14ac:dyDescent="0.15">
      <c r="A14" s="5">
        <v>13</v>
      </c>
      <c r="B14" s="5">
        <v>4</v>
      </c>
      <c r="C14" s="5">
        <v>3500</v>
      </c>
      <c r="D14" s="5">
        <v>3500</v>
      </c>
      <c r="E14" s="5">
        <v>3500</v>
      </c>
      <c r="F14" s="5">
        <v>3500</v>
      </c>
    </row>
    <row r="15" spans="1:6" x14ac:dyDescent="0.15">
      <c r="A15" s="5">
        <v>14</v>
      </c>
      <c r="B15" s="5">
        <v>4</v>
      </c>
      <c r="C15" s="5">
        <v>3500</v>
      </c>
      <c r="D15" s="5">
        <v>3500</v>
      </c>
      <c r="E15" s="5">
        <v>3500</v>
      </c>
      <c r="F15" s="5">
        <v>3500</v>
      </c>
    </row>
    <row r="16" spans="1:6" x14ac:dyDescent="0.15">
      <c r="A16" s="5">
        <v>15</v>
      </c>
      <c r="B16" s="5">
        <v>2</v>
      </c>
      <c r="C16" s="5">
        <v>3500</v>
      </c>
      <c r="D16" s="5">
        <v>3500</v>
      </c>
      <c r="E16" s="5"/>
      <c r="F16" s="5"/>
    </row>
    <row r="17" spans="1:6" x14ac:dyDescent="0.15">
      <c r="A17" s="5">
        <v>16</v>
      </c>
      <c r="B17" s="5">
        <v>2</v>
      </c>
      <c r="C17" s="5">
        <v>3500</v>
      </c>
      <c r="D17" s="5">
        <v>3500</v>
      </c>
      <c r="E17" s="5"/>
      <c r="F17" s="5"/>
    </row>
    <row r="18" spans="1:6" x14ac:dyDescent="0.15">
      <c r="A18" s="5">
        <v>17</v>
      </c>
      <c r="B18" s="5">
        <v>2</v>
      </c>
      <c r="C18" s="5">
        <v>3500</v>
      </c>
      <c r="D18" s="5">
        <v>3500</v>
      </c>
      <c r="E18" s="5"/>
      <c r="F18" s="5"/>
    </row>
    <row r="19" spans="1:6" x14ac:dyDescent="0.15">
      <c r="A19" s="5">
        <v>18</v>
      </c>
      <c r="B19" s="5">
        <v>2</v>
      </c>
      <c r="C19" s="5">
        <v>3500</v>
      </c>
      <c r="D19" s="5">
        <v>3500</v>
      </c>
      <c r="E19" s="5"/>
      <c r="F19" s="5"/>
    </row>
    <row r="20" spans="1:6" x14ac:dyDescent="0.15">
      <c r="A20" s="5">
        <v>19</v>
      </c>
      <c r="B20" s="5">
        <v>2</v>
      </c>
      <c r="C20" s="5">
        <v>3500</v>
      </c>
      <c r="D20" s="5">
        <v>3500</v>
      </c>
      <c r="E20" s="5"/>
      <c r="F20" s="5"/>
    </row>
    <row r="21" spans="1:6" x14ac:dyDescent="0.15">
      <c r="A21" s="5">
        <v>20</v>
      </c>
      <c r="B21" s="5">
        <v>2</v>
      </c>
      <c r="C21" s="5">
        <v>3500</v>
      </c>
      <c r="D21" s="5">
        <v>3500</v>
      </c>
      <c r="E21" s="5"/>
      <c r="F21" s="5"/>
    </row>
    <row r="22" spans="1:6" x14ac:dyDescent="0.15">
      <c r="A22" s="5">
        <v>21</v>
      </c>
      <c r="B22" s="5">
        <v>1</v>
      </c>
      <c r="C22" s="5">
        <v>4800</v>
      </c>
      <c r="D22" s="5"/>
      <c r="E22" s="5"/>
      <c r="F22" s="5"/>
    </row>
    <row r="23" spans="1:6" x14ac:dyDescent="0.15">
      <c r="A23" s="5">
        <v>22</v>
      </c>
      <c r="B23" s="5">
        <v>1</v>
      </c>
      <c r="C23" s="5">
        <v>4800</v>
      </c>
      <c r="D23" s="5"/>
      <c r="E23" s="5"/>
      <c r="F23" s="5"/>
    </row>
    <row r="24" spans="1:6" x14ac:dyDescent="0.15">
      <c r="A24" s="5">
        <v>23</v>
      </c>
      <c r="B24" s="5">
        <v>3</v>
      </c>
      <c r="C24" s="5">
        <v>4800</v>
      </c>
      <c r="D24" s="5">
        <v>4800</v>
      </c>
      <c r="E24" s="5">
        <v>4800</v>
      </c>
      <c r="F24" s="5"/>
    </row>
    <row r="25" spans="1:6" x14ac:dyDescent="0.15">
      <c r="A25" s="5">
        <v>24</v>
      </c>
      <c r="B25" s="5">
        <v>0</v>
      </c>
      <c r="C25" s="5"/>
      <c r="D25" s="5"/>
      <c r="E25" s="5"/>
      <c r="F25" s="5"/>
    </row>
    <row r="26" spans="1:6" x14ac:dyDescent="0.15">
      <c r="A26" s="5">
        <v>25</v>
      </c>
      <c r="B26" s="5">
        <v>0</v>
      </c>
      <c r="C26" s="5"/>
      <c r="D26" s="5"/>
      <c r="E26" s="5"/>
      <c r="F26" s="5"/>
    </row>
    <row r="27" spans="1:6" x14ac:dyDescent="0.15">
      <c r="A27" s="5">
        <v>26</v>
      </c>
      <c r="B27" s="5">
        <v>1</v>
      </c>
      <c r="C27" s="5">
        <v>7363</v>
      </c>
      <c r="D27" s="5"/>
      <c r="E27" s="5"/>
      <c r="F27" s="5"/>
    </row>
    <row r="28" spans="1:6" x14ac:dyDescent="0.15">
      <c r="A28" s="5">
        <v>27</v>
      </c>
      <c r="B28" s="5">
        <v>3</v>
      </c>
      <c r="C28" s="5">
        <v>7363</v>
      </c>
      <c r="D28" s="5">
        <v>7363</v>
      </c>
      <c r="E28" s="5">
        <v>7363</v>
      </c>
      <c r="F28" s="5"/>
    </row>
    <row r="29" spans="1:6" x14ac:dyDescent="0.15">
      <c r="A29" s="5">
        <v>28</v>
      </c>
      <c r="B29" s="5">
        <v>2</v>
      </c>
      <c r="C29" s="5">
        <v>3000</v>
      </c>
      <c r="D29" s="5">
        <v>3000</v>
      </c>
      <c r="E29" s="5"/>
      <c r="F29" s="5"/>
    </row>
    <row r="30" spans="1:6" x14ac:dyDescent="0.15">
      <c r="A30" s="5">
        <v>29</v>
      </c>
      <c r="B30" s="5">
        <v>2</v>
      </c>
      <c r="C30" s="5">
        <v>3000</v>
      </c>
      <c r="D30" s="5">
        <v>3000</v>
      </c>
      <c r="E30" s="5"/>
      <c r="F30" s="5"/>
    </row>
    <row r="31" spans="1:6" x14ac:dyDescent="0.15">
      <c r="A31" s="5">
        <v>30</v>
      </c>
      <c r="B31" s="5">
        <v>2</v>
      </c>
      <c r="C31" s="5">
        <v>3000</v>
      </c>
      <c r="D31" s="5">
        <v>3000</v>
      </c>
      <c r="E31" s="5"/>
      <c r="F31" s="5"/>
    </row>
    <row r="32" spans="1:6" x14ac:dyDescent="0.15">
      <c r="A32" s="5">
        <v>31</v>
      </c>
      <c r="B32" s="5">
        <v>2</v>
      </c>
      <c r="C32" s="5">
        <v>3000</v>
      </c>
      <c r="D32" s="5">
        <v>3000</v>
      </c>
      <c r="E32" s="5"/>
      <c r="F32" s="5"/>
    </row>
    <row r="33" spans="1:6" x14ac:dyDescent="0.15">
      <c r="A33" s="5">
        <v>32</v>
      </c>
      <c r="B33" s="5">
        <v>3</v>
      </c>
      <c r="C33" s="5">
        <v>4800</v>
      </c>
      <c r="D33" s="5">
        <v>4800</v>
      </c>
      <c r="E33" s="5">
        <v>4800</v>
      </c>
      <c r="F33" s="5"/>
    </row>
    <row r="34" spans="1:6" x14ac:dyDescent="0.15">
      <c r="A34" s="5">
        <v>33</v>
      </c>
      <c r="B34" s="5">
        <v>3</v>
      </c>
      <c r="C34" s="5">
        <v>4800</v>
      </c>
      <c r="D34" s="5">
        <v>4800</v>
      </c>
      <c r="E34" s="5">
        <v>4800</v>
      </c>
      <c r="F34" s="5"/>
    </row>
    <row r="35" spans="1:6" x14ac:dyDescent="0.15">
      <c r="A35" s="5">
        <v>34</v>
      </c>
      <c r="B35" s="5">
        <v>0</v>
      </c>
      <c r="C35" s="5"/>
      <c r="D35" s="5"/>
      <c r="E35" s="5"/>
      <c r="F35" s="5"/>
    </row>
    <row r="36" spans="1:6" x14ac:dyDescent="0.15">
      <c r="A36" s="5">
        <v>35</v>
      </c>
      <c r="B36" s="5">
        <v>1</v>
      </c>
      <c r="C36" s="5">
        <v>6000</v>
      </c>
      <c r="D36" s="5"/>
      <c r="E36" s="5"/>
      <c r="F36" s="5"/>
    </row>
    <row r="37" spans="1:6" x14ac:dyDescent="0.15">
      <c r="A37" s="5">
        <v>36</v>
      </c>
      <c r="B37" s="5">
        <v>1</v>
      </c>
      <c r="C37" s="5">
        <v>4500</v>
      </c>
      <c r="D37" s="5"/>
      <c r="E37" s="5"/>
      <c r="F37" s="5"/>
    </row>
    <row r="38" spans="1:6" x14ac:dyDescent="0.15">
      <c r="A38" s="5">
        <v>37</v>
      </c>
      <c r="B38" s="5">
        <v>1</v>
      </c>
      <c r="C38" s="5">
        <v>4500</v>
      </c>
      <c r="D38" s="5"/>
      <c r="E38" s="5"/>
      <c r="F38" s="5"/>
    </row>
    <row r="39" spans="1:6" x14ac:dyDescent="0.15">
      <c r="A39" s="5">
        <v>38</v>
      </c>
      <c r="B39" s="5">
        <v>2</v>
      </c>
      <c r="C39" s="5">
        <v>7363</v>
      </c>
      <c r="D39" s="5">
        <v>7363</v>
      </c>
      <c r="E39" s="5"/>
      <c r="F39" s="5"/>
    </row>
    <row r="40" spans="1:6" x14ac:dyDescent="0.15">
      <c r="A40" s="5">
        <v>39</v>
      </c>
      <c r="B40" s="5">
        <v>3</v>
      </c>
      <c r="C40" s="5">
        <v>7363</v>
      </c>
      <c r="D40" s="5">
        <v>7363</v>
      </c>
      <c r="E40" s="5">
        <v>7363</v>
      </c>
      <c r="F40" s="5"/>
    </row>
    <row r="41" spans="1:6" x14ac:dyDescent="0.15">
      <c r="A41" s="5">
        <v>40</v>
      </c>
      <c r="B41" s="5">
        <v>0</v>
      </c>
      <c r="C41" s="5"/>
      <c r="D41" s="5"/>
      <c r="E41" s="5"/>
      <c r="F41" s="5"/>
    </row>
    <row r="42" spans="1:6" x14ac:dyDescent="0.15">
      <c r="A42" s="5">
        <v>41</v>
      </c>
      <c r="B42" s="5">
        <v>0</v>
      </c>
      <c r="C42" s="5"/>
      <c r="D42" s="5"/>
      <c r="E42" s="5"/>
      <c r="F42" s="5"/>
    </row>
    <row r="43" spans="1:6" x14ac:dyDescent="0.15">
      <c r="A43" s="5">
        <v>42</v>
      </c>
      <c r="B43" s="5">
        <v>0</v>
      </c>
      <c r="C43" s="5"/>
      <c r="D43" s="5"/>
      <c r="E43" s="5"/>
      <c r="F43" s="5"/>
    </row>
    <row r="44" spans="1:6" x14ac:dyDescent="0.15">
      <c r="A44" s="5">
        <v>43</v>
      </c>
      <c r="B44" s="5">
        <v>0</v>
      </c>
      <c r="C44" s="5"/>
      <c r="D44" s="5"/>
      <c r="E44" s="5"/>
      <c r="F44" s="5"/>
    </row>
    <row r="45" spans="1:6" x14ac:dyDescent="0.15">
      <c r="A45" s="5">
        <v>44</v>
      </c>
      <c r="B45" s="5">
        <v>0</v>
      </c>
      <c r="C45" s="5"/>
      <c r="D45" s="5"/>
      <c r="E45" s="5"/>
      <c r="F45" s="5"/>
    </row>
    <row r="46" spans="1:6" x14ac:dyDescent="0.15">
      <c r="A46" s="5">
        <v>45</v>
      </c>
      <c r="B46" s="5">
        <v>0</v>
      </c>
      <c r="C46" s="5"/>
      <c r="D46" s="5"/>
      <c r="E46" s="5"/>
      <c r="F46" s="5"/>
    </row>
    <row r="47" spans="1:6" x14ac:dyDescent="0.15">
      <c r="A47" s="5">
        <v>46</v>
      </c>
      <c r="B47" s="5">
        <v>1</v>
      </c>
      <c r="C47" s="7" t="s">
        <v>22</v>
      </c>
      <c r="D47" s="5"/>
      <c r="E47" s="5"/>
      <c r="F47" s="5"/>
    </row>
    <row r="48" spans="1:6" x14ac:dyDescent="0.15">
      <c r="A48" s="5">
        <v>47</v>
      </c>
      <c r="B48" s="5">
        <v>1</v>
      </c>
      <c r="C48" s="5">
        <v>5500</v>
      </c>
      <c r="D48" s="5"/>
      <c r="E48" s="5"/>
      <c r="F48" s="5"/>
    </row>
    <row r="49" spans="1:6" x14ac:dyDescent="0.15">
      <c r="A49" s="5">
        <v>48</v>
      </c>
      <c r="B49" s="5">
        <v>1</v>
      </c>
      <c r="C49" s="5">
        <v>5500</v>
      </c>
      <c r="D49" s="5"/>
      <c r="E49" s="5"/>
      <c r="F49" s="5"/>
    </row>
    <row r="50" spans="1:6" x14ac:dyDescent="0.15">
      <c r="A50" s="5">
        <v>49</v>
      </c>
      <c r="B50" s="5">
        <v>1</v>
      </c>
      <c r="C50" s="5">
        <v>5500</v>
      </c>
      <c r="D50" s="5"/>
      <c r="E50" s="5"/>
      <c r="F50" s="5"/>
    </row>
    <row r="51" spans="1:6" x14ac:dyDescent="0.15">
      <c r="A51" s="5">
        <v>50</v>
      </c>
      <c r="B51" s="5">
        <v>1</v>
      </c>
      <c r="C51" s="5">
        <v>5500</v>
      </c>
      <c r="D51" s="5"/>
      <c r="E51" s="5"/>
      <c r="F51" s="5"/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2.625" defaultRowHeight="13.5" x14ac:dyDescent="0.15"/>
  <cols>
    <col min="1" max="1" width="5.75" style="1" customWidth="1"/>
    <col min="2" max="8" width="9.75" style="1" customWidth="1"/>
    <col min="9" max="16380" width="12.625" style="1" customWidth="1"/>
    <col min="16381" max="16384" width="12.625" style="1"/>
  </cols>
  <sheetData>
    <row r="1" spans="1:8" ht="27" x14ac:dyDescent="0.15">
      <c r="A1" s="2" t="s">
        <v>0</v>
      </c>
      <c r="B1" s="3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15">
      <c r="A2" s="2">
        <v>1</v>
      </c>
      <c r="B2" s="2">
        <v>0</v>
      </c>
      <c r="C2" s="2"/>
      <c r="D2" s="2"/>
      <c r="E2" s="2"/>
      <c r="F2" s="2"/>
      <c r="G2" s="2"/>
      <c r="H2" s="2"/>
    </row>
    <row r="3" spans="1:8" x14ac:dyDescent="0.15">
      <c r="A3" s="2">
        <v>2</v>
      </c>
      <c r="B3" s="2">
        <v>0</v>
      </c>
      <c r="C3" s="2"/>
      <c r="D3" s="2"/>
      <c r="E3" s="2"/>
      <c r="F3" s="2"/>
      <c r="G3" s="2"/>
      <c r="H3" s="2"/>
    </row>
    <row r="4" spans="1:8" x14ac:dyDescent="0.15">
      <c r="A4" s="2">
        <v>3</v>
      </c>
      <c r="B4" s="2">
        <v>0</v>
      </c>
      <c r="C4" s="2"/>
      <c r="D4" s="2"/>
      <c r="E4" s="2"/>
      <c r="F4" s="2"/>
      <c r="G4" s="2"/>
      <c r="H4" s="2"/>
    </row>
    <row r="5" spans="1:8" x14ac:dyDescent="0.15">
      <c r="A5" s="2">
        <v>4</v>
      </c>
      <c r="B5" s="2">
        <v>2</v>
      </c>
      <c r="C5" s="2">
        <v>55</v>
      </c>
      <c r="D5" s="2">
        <v>55</v>
      </c>
      <c r="E5" s="2"/>
      <c r="F5" s="2"/>
      <c r="G5" s="2"/>
      <c r="H5" s="2"/>
    </row>
    <row r="6" spans="1:8" x14ac:dyDescent="0.15">
      <c r="A6" s="2">
        <v>5</v>
      </c>
      <c r="B6" s="2">
        <v>1</v>
      </c>
      <c r="C6" s="2">
        <f>55*3</f>
        <v>165</v>
      </c>
      <c r="D6" s="2"/>
      <c r="E6" s="2"/>
      <c r="F6" s="2"/>
      <c r="G6" s="2"/>
      <c r="H6" s="2"/>
    </row>
    <row r="7" spans="1:8" x14ac:dyDescent="0.15">
      <c r="A7" s="2">
        <v>6</v>
      </c>
      <c r="B7" s="2">
        <v>1</v>
      </c>
      <c r="C7" s="2">
        <f>55*3</f>
        <v>165</v>
      </c>
      <c r="D7" s="2"/>
      <c r="E7" s="2"/>
      <c r="F7" s="2"/>
      <c r="G7" s="2"/>
      <c r="H7" s="2"/>
    </row>
    <row r="8" spans="1:8" x14ac:dyDescent="0.15">
      <c r="A8" s="2">
        <v>7</v>
      </c>
      <c r="B8" s="2">
        <v>2</v>
      </c>
      <c r="C8" s="2">
        <f>55*2</f>
        <v>110</v>
      </c>
      <c r="D8" s="2">
        <f>55*2</f>
        <v>110</v>
      </c>
      <c r="E8" s="2"/>
      <c r="F8" s="2"/>
      <c r="G8" s="2"/>
      <c r="H8" s="2"/>
    </row>
    <row r="9" spans="1:8" x14ac:dyDescent="0.15">
      <c r="A9" s="2">
        <v>8</v>
      </c>
      <c r="B9" s="2">
        <v>1</v>
      </c>
      <c r="C9" s="2">
        <f>55*2</f>
        <v>110</v>
      </c>
      <c r="D9" s="2"/>
      <c r="E9" s="2"/>
      <c r="F9" s="2"/>
      <c r="G9" s="2"/>
      <c r="H9" s="2"/>
    </row>
    <row r="10" spans="1:8" x14ac:dyDescent="0.15">
      <c r="A10" s="2">
        <v>9</v>
      </c>
      <c r="B10" s="2">
        <v>1</v>
      </c>
      <c r="C10" s="2">
        <f>9*4</f>
        <v>36</v>
      </c>
      <c r="D10" s="2"/>
      <c r="E10" s="2"/>
      <c r="F10" s="2"/>
      <c r="G10" s="2"/>
      <c r="H10" s="2"/>
    </row>
    <row r="11" spans="1:8" x14ac:dyDescent="0.15">
      <c r="A11" s="2">
        <v>10</v>
      </c>
      <c r="B11" s="2">
        <v>1</v>
      </c>
      <c r="C11" s="2">
        <f>55*2</f>
        <v>110</v>
      </c>
      <c r="D11" s="2"/>
      <c r="E11" s="2"/>
      <c r="F11" s="2"/>
      <c r="G11" s="2"/>
      <c r="H11" s="2"/>
    </row>
    <row r="12" spans="1:8" x14ac:dyDescent="0.15">
      <c r="A12" s="2">
        <v>11</v>
      </c>
      <c r="B12" s="2">
        <v>1</v>
      </c>
      <c r="C12" s="2">
        <v>55</v>
      </c>
      <c r="D12" s="2"/>
      <c r="E12" s="2"/>
      <c r="F12" s="2"/>
      <c r="G12" s="2"/>
      <c r="H12" s="2"/>
    </row>
    <row r="13" spans="1:8" x14ac:dyDescent="0.15">
      <c r="A13" s="2">
        <v>12</v>
      </c>
      <c r="B13" s="2">
        <v>5</v>
      </c>
      <c r="C13" s="2">
        <v>55</v>
      </c>
      <c r="D13" s="2">
        <f t="shared" ref="D13:D18" si="0">55*3</f>
        <v>165</v>
      </c>
      <c r="E13" s="2">
        <f>55*2</f>
        <v>110</v>
      </c>
      <c r="F13" s="2">
        <f>55*5</f>
        <v>275</v>
      </c>
      <c r="G13" s="2">
        <f>55*6</f>
        <v>330</v>
      </c>
      <c r="H13" s="2"/>
    </row>
    <row r="14" spans="1:8" x14ac:dyDescent="0.15">
      <c r="A14" s="2">
        <v>13</v>
      </c>
      <c r="B14" s="2">
        <v>4</v>
      </c>
      <c r="C14" s="2">
        <f t="shared" ref="C14:F14" si="1">55*3</f>
        <v>165</v>
      </c>
      <c r="D14" s="2">
        <f t="shared" si="1"/>
        <v>165</v>
      </c>
      <c r="E14" s="2">
        <f t="shared" si="1"/>
        <v>165</v>
      </c>
      <c r="F14" s="2">
        <f t="shared" si="1"/>
        <v>165</v>
      </c>
      <c r="G14" s="2"/>
      <c r="H14" s="2"/>
    </row>
    <row r="15" spans="1:8" x14ac:dyDescent="0.15">
      <c r="A15" s="2">
        <v>14</v>
      </c>
      <c r="B15" s="2">
        <v>4</v>
      </c>
      <c r="C15" s="2">
        <f t="shared" ref="C15:F15" si="2">55*3</f>
        <v>165</v>
      </c>
      <c r="D15" s="2">
        <f t="shared" si="2"/>
        <v>165</v>
      </c>
      <c r="E15" s="2">
        <f t="shared" si="2"/>
        <v>165</v>
      </c>
      <c r="F15" s="2">
        <f t="shared" si="2"/>
        <v>165</v>
      </c>
      <c r="G15" s="2"/>
      <c r="H15" s="2"/>
    </row>
    <row r="16" spans="1:8" x14ac:dyDescent="0.15">
      <c r="A16" s="2">
        <v>15</v>
      </c>
      <c r="B16" s="2">
        <v>3</v>
      </c>
      <c r="C16" s="2">
        <f t="shared" ref="C16:C18" si="3">55*3</f>
        <v>165</v>
      </c>
      <c r="D16" s="2">
        <f t="shared" si="0"/>
        <v>165</v>
      </c>
      <c r="E16" s="2">
        <f t="shared" ref="E16:E18" si="4">55*3</f>
        <v>165</v>
      </c>
      <c r="F16" s="2"/>
      <c r="G16" s="2"/>
      <c r="H16" s="2"/>
    </row>
    <row r="17" spans="1:8" x14ac:dyDescent="0.15">
      <c r="A17" s="2">
        <v>16</v>
      </c>
      <c r="B17" s="2">
        <v>3</v>
      </c>
      <c r="C17" s="2">
        <f t="shared" si="3"/>
        <v>165</v>
      </c>
      <c r="D17" s="2">
        <f t="shared" si="0"/>
        <v>165</v>
      </c>
      <c r="E17" s="2">
        <f t="shared" si="4"/>
        <v>165</v>
      </c>
      <c r="F17" s="2"/>
      <c r="G17" s="2"/>
      <c r="H17" s="2"/>
    </row>
    <row r="18" spans="1:8" x14ac:dyDescent="0.15">
      <c r="A18" s="2">
        <v>17</v>
      </c>
      <c r="B18" s="2">
        <v>3</v>
      </c>
      <c r="C18" s="2">
        <f t="shared" si="3"/>
        <v>165</v>
      </c>
      <c r="D18" s="2">
        <f t="shared" si="0"/>
        <v>165</v>
      </c>
      <c r="E18" s="2">
        <f t="shared" si="4"/>
        <v>165</v>
      </c>
      <c r="F18" s="2"/>
      <c r="G18" s="2"/>
      <c r="H18" s="2"/>
    </row>
    <row r="19" spans="1:8" x14ac:dyDescent="0.15">
      <c r="A19" s="2">
        <v>18</v>
      </c>
      <c r="B19" s="2">
        <v>3</v>
      </c>
      <c r="C19" s="2">
        <f>55*6</f>
        <v>330</v>
      </c>
      <c r="D19" s="2">
        <f>55*6</f>
        <v>330</v>
      </c>
      <c r="E19" s="2">
        <f>55*4</f>
        <v>220</v>
      </c>
      <c r="F19" s="2"/>
      <c r="G19" s="2"/>
      <c r="H19" s="2"/>
    </row>
    <row r="20" spans="1:8" x14ac:dyDescent="0.15">
      <c r="A20" s="2">
        <v>19</v>
      </c>
      <c r="B20" s="2">
        <v>3</v>
      </c>
      <c r="C20" s="2">
        <f t="shared" ref="C20:E21" si="5">55*3</f>
        <v>165</v>
      </c>
      <c r="D20" s="2">
        <f t="shared" si="5"/>
        <v>165</v>
      </c>
      <c r="E20" s="2">
        <f t="shared" si="5"/>
        <v>165</v>
      </c>
      <c r="F20" s="2"/>
      <c r="G20" s="2"/>
      <c r="H20" s="2"/>
    </row>
    <row r="21" spans="1:8" x14ac:dyDescent="0.15">
      <c r="A21" s="2">
        <v>20</v>
      </c>
      <c r="B21" s="2">
        <v>3</v>
      </c>
      <c r="C21" s="2">
        <f t="shared" si="5"/>
        <v>165</v>
      </c>
      <c r="D21" s="2">
        <f t="shared" si="5"/>
        <v>165</v>
      </c>
      <c r="E21" s="2">
        <f t="shared" si="5"/>
        <v>165</v>
      </c>
      <c r="F21" s="2"/>
      <c r="G21" s="2"/>
      <c r="H21" s="2"/>
    </row>
    <row r="22" spans="1:8" x14ac:dyDescent="0.15">
      <c r="A22" s="2">
        <v>21</v>
      </c>
      <c r="B22" s="2">
        <v>2</v>
      </c>
      <c r="C22" s="2">
        <f>9*2</f>
        <v>18</v>
      </c>
      <c r="D22" s="2">
        <f>55*2</f>
        <v>110</v>
      </c>
      <c r="E22" s="2"/>
      <c r="F22" s="2"/>
      <c r="G22" s="2"/>
      <c r="H22" s="2"/>
    </row>
    <row r="23" spans="1:8" x14ac:dyDescent="0.15">
      <c r="A23" s="2">
        <v>22</v>
      </c>
      <c r="B23" s="2">
        <v>4</v>
      </c>
      <c r="C23" s="2">
        <f>9*8+7*7</f>
        <v>121</v>
      </c>
      <c r="D23" s="2">
        <f>9*8+7*7</f>
        <v>121</v>
      </c>
      <c r="E23" s="2">
        <f>9*8</f>
        <v>72</v>
      </c>
      <c r="F23" s="2">
        <f>18*2</f>
        <v>36</v>
      </c>
      <c r="G23" s="2"/>
      <c r="H23" s="2"/>
    </row>
    <row r="24" spans="1:8" x14ac:dyDescent="0.15">
      <c r="A24" s="2">
        <v>23</v>
      </c>
      <c r="B24" s="2">
        <v>3</v>
      </c>
      <c r="C24" s="2">
        <f>55*3</f>
        <v>165</v>
      </c>
      <c r="D24" s="2">
        <f>9*8</f>
        <v>72</v>
      </c>
      <c r="E24" s="2">
        <f>55*3+7*10</f>
        <v>235</v>
      </c>
      <c r="F24" s="2"/>
      <c r="G24" s="2"/>
      <c r="H24" s="2"/>
    </row>
    <row r="25" spans="1:8" x14ac:dyDescent="0.15">
      <c r="A25" s="2">
        <v>24</v>
      </c>
      <c r="B25" s="2">
        <v>0</v>
      </c>
      <c r="C25" s="2"/>
      <c r="D25" s="2"/>
      <c r="E25" s="2"/>
      <c r="F25" s="2"/>
      <c r="G25" s="2"/>
      <c r="H25" s="2"/>
    </row>
    <row r="26" spans="1:8" x14ac:dyDescent="0.15">
      <c r="A26" s="2">
        <v>25</v>
      </c>
      <c r="B26" s="2">
        <v>0</v>
      </c>
      <c r="C26" s="2"/>
      <c r="D26" s="2"/>
      <c r="E26" s="2"/>
      <c r="F26" s="2"/>
      <c r="G26" s="2"/>
      <c r="H26" s="2"/>
    </row>
    <row r="27" spans="1:8" x14ac:dyDescent="0.15">
      <c r="A27" s="2">
        <v>26</v>
      </c>
      <c r="B27" s="2">
        <v>0</v>
      </c>
      <c r="C27" s="2"/>
      <c r="D27" s="2"/>
      <c r="E27" s="2"/>
      <c r="F27" s="2"/>
      <c r="G27" s="2"/>
      <c r="H27" s="2"/>
    </row>
    <row r="28" spans="1:8" x14ac:dyDescent="0.15">
      <c r="A28" s="2">
        <v>27</v>
      </c>
      <c r="B28" s="2">
        <v>6</v>
      </c>
      <c r="C28" s="2">
        <f>9*6</f>
        <v>54</v>
      </c>
      <c r="D28" s="2">
        <f>9*6</f>
        <v>54</v>
      </c>
      <c r="E28" s="2">
        <f>55*6</f>
        <v>330</v>
      </c>
      <c r="F28" s="2">
        <f>55*7</f>
        <v>385</v>
      </c>
      <c r="G28" s="2">
        <f>55*8</f>
        <v>440</v>
      </c>
      <c r="H28" s="2">
        <f>55*4+7*6</f>
        <v>262</v>
      </c>
    </row>
    <row r="29" spans="1:8" x14ac:dyDescent="0.15">
      <c r="A29" s="2">
        <v>28</v>
      </c>
      <c r="B29" s="2">
        <v>2</v>
      </c>
      <c r="C29" s="2">
        <f t="shared" ref="C29:C32" si="6">55*3</f>
        <v>165</v>
      </c>
      <c r="D29" s="2">
        <f t="shared" ref="D29:D33" si="7">55*3</f>
        <v>165</v>
      </c>
      <c r="E29" s="2"/>
      <c r="F29" s="2"/>
      <c r="G29" s="2"/>
      <c r="H29" s="2"/>
    </row>
    <row r="30" spans="1:8" x14ac:dyDescent="0.15">
      <c r="A30" s="2">
        <v>29</v>
      </c>
      <c r="B30" s="2">
        <v>2</v>
      </c>
      <c r="C30" s="2">
        <f t="shared" si="6"/>
        <v>165</v>
      </c>
      <c r="D30" s="2">
        <f t="shared" si="7"/>
        <v>165</v>
      </c>
      <c r="E30" s="2"/>
      <c r="F30" s="2"/>
      <c r="G30" s="2"/>
      <c r="H30" s="2"/>
    </row>
    <row r="31" spans="1:8" x14ac:dyDescent="0.15">
      <c r="A31" s="2">
        <v>30</v>
      </c>
      <c r="B31" s="2">
        <v>2</v>
      </c>
      <c r="C31" s="2">
        <f t="shared" si="6"/>
        <v>165</v>
      </c>
      <c r="D31" s="2">
        <f t="shared" si="7"/>
        <v>165</v>
      </c>
      <c r="E31" s="2"/>
      <c r="F31" s="2"/>
      <c r="G31" s="2"/>
      <c r="H31" s="2"/>
    </row>
    <row r="32" spans="1:8" x14ac:dyDescent="0.15">
      <c r="A32" s="2">
        <v>31</v>
      </c>
      <c r="B32" s="2">
        <v>2</v>
      </c>
      <c r="C32" s="2">
        <f t="shared" si="6"/>
        <v>165</v>
      </c>
      <c r="D32" s="2">
        <f t="shared" si="7"/>
        <v>165</v>
      </c>
      <c r="E32" s="2"/>
      <c r="F32" s="2"/>
      <c r="G32" s="2"/>
      <c r="H32" s="2"/>
    </row>
    <row r="33" spans="1:8" x14ac:dyDescent="0.15">
      <c r="A33" s="2">
        <v>32</v>
      </c>
      <c r="B33" s="2">
        <v>4</v>
      </c>
      <c r="C33" s="2">
        <f t="shared" ref="C33:F33" si="8">55*3</f>
        <v>165</v>
      </c>
      <c r="D33" s="2">
        <f t="shared" si="7"/>
        <v>165</v>
      </c>
      <c r="E33" s="2">
        <f t="shared" si="8"/>
        <v>165</v>
      </c>
      <c r="F33" s="2">
        <f t="shared" si="8"/>
        <v>165</v>
      </c>
      <c r="G33" s="2"/>
      <c r="H33" s="2"/>
    </row>
    <row r="34" spans="1:8" x14ac:dyDescent="0.15">
      <c r="A34" s="2">
        <v>33</v>
      </c>
      <c r="B34" s="2">
        <v>4</v>
      </c>
      <c r="C34" s="2">
        <f>18*4</f>
        <v>72</v>
      </c>
      <c r="D34" s="2">
        <f>9*5</f>
        <v>45</v>
      </c>
      <c r="E34" s="2">
        <f>9*3</f>
        <v>27</v>
      </c>
      <c r="F34" s="2">
        <f>9*6</f>
        <v>54</v>
      </c>
      <c r="G34" s="2"/>
      <c r="H34" s="2"/>
    </row>
    <row r="35" spans="1:8" x14ac:dyDescent="0.15">
      <c r="A35" s="2">
        <v>34</v>
      </c>
      <c r="B35" s="2">
        <v>1</v>
      </c>
      <c r="C35" s="2">
        <f>9*3</f>
        <v>27</v>
      </c>
      <c r="D35" s="2"/>
      <c r="E35" s="2"/>
      <c r="F35" s="2"/>
      <c r="G35" s="2"/>
      <c r="H35" s="2"/>
    </row>
    <row r="36" spans="1:8" x14ac:dyDescent="0.15">
      <c r="A36" s="2">
        <v>35</v>
      </c>
      <c r="B36" s="2">
        <v>1</v>
      </c>
      <c r="C36" s="2">
        <f>55*2</f>
        <v>110</v>
      </c>
      <c r="D36" s="2"/>
      <c r="E36" s="2"/>
      <c r="F36" s="2"/>
      <c r="G36" s="2"/>
      <c r="H36" s="2"/>
    </row>
    <row r="37" spans="1:8" x14ac:dyDescent="0.15">
      <c r="A37" s="2">
        <v>36</v>
      </c>
      <c r="B37" s="2">
        <v>1</v>
      </c>
      <c r="C37" s="2">
        <v>55</v>
      </c>
      <c r="D37" s="2"/>
      <c r="E37" s="2"/>
      <c r="F37" s="2"/>
      <c r="G37" s="2"/>
      <c r="H37" s="2"/>
    </row>
    <row r="38" spans="1:8" x14ac:dyDescent="0.15">
      <c r="A38" s="2">
        <v>37</v>
      </c>
      <c r="B38" s="2">
        <v>1</v>
      </c>
      <c r="C38" s="2">
        <v>55</v>
      </c>
      <c r="D38" s="2"/>
      <c r="E38" s="2"/>
      <c r="F38" s="2"/>
      <c r="G38" s="2"/>
      <c r="H38" s="2"/>
    </row>
    <row r="39" spans="1:8" x14ac:dyDescent="0.15">
      <c r="A39" s="2">
        <v>38</v>
      </c>
      <c r="B39" s="2">
        <v>2</v>
      </c>
      <c r="C39" s="2">
        <f>55*8+7*6</f>
        <v>482</v>
      </c>
      <c r="D39" s="2">
        <f>55*4</f>
        <v>220</v>
      </c>
      <c r="E39" s="2"/>
      <c r="F39" s="2"/>
      <c r="G39" s="2"/>
      <c r="H39" s="2"/>
    </row>
    <row r="40" spans="1:8" x14ac:dyDescent="0.15">
      <c r="A40" s="2">
        <v>39</v>
      </c>
      <c r="B40" s="2">
        <v>5</v>
      </c>
      <c r="C40" s="2">
        <f>9*5</f>
        <v>45</v>
      </c>
      <c r="D40" s="2">
        <f>9*5</f>
        <v>45</v>
      </c>
      <c r="E40" s="2">
        <f>9*7</f>
        <v>63</v>
      </c>
      <c r="F40" s="2">
        <f>9*7</f>
        <v>63</v>
      </c>
      <c r="G40" s="2">
        <f>9*7</f>
        <v>63</v>
      </c>
      <c r="H40" s="2"/>
    </row>
    <row r="41" spans="1:8" x14ac:dyDescent="0.15">
      <c r="A41" s="2">
        <v>40</v>
      </c>
      <c r="B41" s="2">
        <v>2</v>
      </c>
      <c r="C41" s="2">
        <f>55*2</f>
        <v>110</v>
      </c>
      <c r="D41" s="2">
        <f>55*2</f>
        <v>110</v>
      </c>
      <c r="E41" s="2"/>
      <c r="F41" s="2"/>
      <c r="G41" s="2"/>
      <c r="H41" s="2"/>
    </row>
    <row r="42" spans="1:8" x14ac:dyDescent="0.15">
      <c r="A42" s="2">
        <v>41</v>
      </c>
      <c r="B42" s="2">
        <v>1</v>
      </c>
      <c r="C42" s="2">
        <f>9*4</f>
        <v>36</v>
      </c>
      <c r="D42" s="2"/>
      <c r="E42" s="2"/>
      <c r="F42" s="2"/>
      <c r="G42" s="2"/>
      <c r="H42" s="2"/>
    </row>
    <row r="43" spans="1:8" x14ac:dyDescent="0.15">
      <c r="A43" s="2">
        <v>42</v>
      </c>
      <c r="B43" s="2">
        <v>2</v>
      </c>
      <c r="C43" s="2">
        <v>9</v>
      </c>
      <c r="D43" s="2">
        <f>9*2</f>
        <v>18</v>
      </c>
      <c r="E43" s="2"/>
      <c r="F43" s="2"/>
      <c r="G43" s="2"/>
      <c r="H43" s="2"/>
    </row>
    <row r="44" spans="1:8" x14ac:dyDescent="0.15">
      <c r="A44" s="2">
        <v>43</v>
      </c>
      <c r="B44" s="2">
        <v>1</v>
      </c>
      <c r="C44" s="2">
        <f>55*3</f>
        <v>165</v>
      </c>
      <c r="D44" s="2"/>
      <c r="E44" s="2"/>
      <c r="F44" s="2"/>
      <c r="G44" s="2"/>
      <c r="H44" s="2"/>
    </row>
    <row r="45" spans="1:8" x14ac:dyDescent="0.15">
      <c r="A45" s="2">
        <v>44</v>
      </c>
      <c r="B45" s="2">
        <v>1</v>
      </c>
      <c r="C45" s="2">
        <f>55*3</f>
        <v>165</v>
      </c>
      <c r="D45" s="2"/>
      <c r="E45" s="2"/>
      <c r="F45" s="2"/>
      <c r="G45" s="2"/>
      <c r="H45" s="2"/>
    </row>
    <row r="46" spans="1:8" x14ac:dyDescent="0.15">
      <c r="A46" s="2">
        <v>45</v>
      </c>
      <c r="B46" s="2">
        <v>1</v>
      </c>
      <c r="C46" s="2">
        <v>55</v>
      </c>
      <c r="D46" s="2"/>
      <c r="E46" s="2"/>
      <c r="F46" s="2"/>
      <c r="G46" s="2"/>
      <c r="H46" s="2"/>
    </row>
    <row r="47" spans="1:8" x14ac:dyDescent="0.15">
      <c r="A47" s="2">
        <v>46</v>
      </c>
      <c r="B47" s="2">
        <v>1</v>
      </c>
      <c r="C47" s="2">
        <f>55+20</f>
        <v>75</v>
      </c>
      <c r="D47" s="2"/>
      <c r="E47" s="2"/>
      <c r="F47" s="2"/>
      <c r="G47" s="2"/>
      <c r="H47" s="2"/>
    </row>
    <row r="48" spans="1:8" x14ac:dyDescent="0.15">
      <c r="A48" s="2">
        <v>47</v>
      </c>
      <c r="B48" s="2">
        <v>3</v>
      </c>
      <c r="C48" s="2">
        <f t="shared" ref="C48:C49" si="9">9*5</f>
        <v>45</v>
      </c>
      <c r="D48" s="2">
        <f t="shared" ref="D48:D49" si="10">9*4</f>
        <v>36</v>
      </c>
      <c r="E48" s="2">
        <f>55+9*2</f>
        <v>73</v>
      </c>
      <c r="F48" s="2"/>
      <c r="G48" s="2"/>
      <c r="H48" s="2"/>
    </row>
    <row r="49" spans="1:8" x14ac:dyDescent="0.15">
      <c r="A49" s="2">
        <v>48</v>
      </c>
      <c r="B49" s="2">
        <v>3</v>
      </c>
      <c r="C49" s="2">
        <f t="shared" si="9"/>
        <v>45</v>
      </c>
      <c r="D49" s="2">
        <f t="shared" si="10"/>
        <v>36</v>
      </c>
      <c r="E49" s="2">
        <f>9*2+55</f>
        <v>73</v>
      </c>
      <c r="F49" s="2"/>
      <c r="G49" s="2"/>
      <c r="H49" s="2"/>
    </row>
    <row r="50" spans="1:8" x14ac:dyDescent="0.15">
      <c r="A50" s="2">
        <v>49</v>
      </c>
      <c r="B50" s="2">
        <v>1</v>
      </c>
      <c r="C50" s="2">
        <f>55*2</f>
        <v>110</v>
      </c>
      <c r="D50" s="2"/>
      <c r="E50" s="2"/>
      <c r="F50" s="2"/>
      <c r="G50" s="2"/>
      <c r="H50" s="2"/>
    </row>
    <row r="51" spans="1:8" x14ac:dyDescent="0.15">
      <c r="A51" s="2">
        <v>50</v>
      </c>
      <c r="B51" s="2">
        <v>3</v>
      </c>
      <c r="C51" s="2">
        <f>9*5</f>
        <v>45</v>
      </c>
      <c r="D51" s="2">
        <f>9*4</f>
        <v>36</v>
      </c>
      <c r="E51" s="2">
        <f>9*2+55</f>
        <v>73</v>
      </c>
      <c r="F51" s="2"/>
      <c r="G51" s="2"/>
      <c r="H51" s="2"/>
    </row>
  </sheetData>
  <phoneticPr fontId="5" type="noConversion"/>
  <pageMargins left="0.75" right="0.75" top="1" bottom="1" header="0.5" footer="0.5"/>
  <pageSetup paperSize="9" orientation="portrait" horizontalDpi="0" verticalDpi="0" r:id="rId1"/>
  <ignoredErrors>
    <ignoredError sqref="C10 C50 C19:E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房屋结构矩阵</vt:lpstr>
      <vt:lpstr>房屋结构参数矩阵</vt:lpstr>
      <vt:lpstr>房屋体积</vt:lpstr>
      <vt:lpstr>空调负荷</vt:lpstr>
      <vt:lpstr>照明负荷</vt:lpstr>
      <vt:lpstr>房屋结构参数矩阵!Print_Area</vt:lpstr>
      <vt:lpstr>房屋结构参数矩阵!Print_Titles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韩啸</cp:lastModifiedBy>
  <dcterms:created xsi:type="dcterms:W3CDTF">2020-02-18T08:52:00Z</dcterms:created>
  <dcterms:modified xsi:type="dcterms:W3CDTF">2020-03-30T01:46:20Z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