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<sst xmlns="http://schemas.openxmlformats.org/spreadsheetml/2006/main" count="110" uniqueCount="80">
  <si>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v2020.11</t>
    </r>
  </si>
  <si>
    <t>区域</t>
  </si>
  <si>
    <t>华南</t>
  </si>
  <si>
    <t>城市经理</t>
  </si>
  <si>
    <t>邱飞铭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</si>
  <si>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</si>
  <si>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</si>
  <si>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</si>
  <si>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</si>
  <si>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</si>
  <si>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</si>
  <si>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</si>
  <si>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</si>
  <si>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</si>
  <si>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</si>
  <si>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</si>
  <si>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</si>
  <si>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</si>
  <si>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</si>
  <si>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</si>
  <si>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</si>
  <si>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</si>
  <si>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</si>
  <si>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</si>
  <si>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</si>
  <si>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</si>
  <si>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</si>
  <si>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</si>
  <si>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</si>
  <si>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</si>
  <si>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</si>
  <si>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</si>
  <si>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黄钊鸿</t>
  </si>
  <si>
    <t>10年陈皮酱香酒</t>
  </si>
  <si>
    <t>西南</t>
  </si>
  <si>
    <t>谢法伟</t>
  </si>
  <si>
    <t>10年陈皮酱香酒(光瓶)</t>
  </si>
  <si>
    <t>特通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</si>
  <si>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</si>
  <si>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</si>
  <si>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</si>
  <si>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</si>
  <si>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</si>
  <si>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</si>
  <si>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</si>
  <si>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</si>
  <si>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</si>
  <si>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</si>
  <si>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</si>
  <si>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</si>
  <si>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</si>
  <si>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</si>
  <si>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</si>
  <si>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</si>
  <si>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</si>
  <si>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</si>
  <si>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</si>
  <si>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</si>
  <si>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</si>
  <si>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</si>
  <si>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</si>
  <si>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</si>
  <si>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</si>
  <si>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</si>
  <si>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</si>
  <si>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</si>
  <si>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</si>
  <si>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</si>
  <si>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</si>
  <si>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</si>
  <si>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</si>
  <si>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</si>
  <si>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收货人：林小镇    电话：15692510222 13794397979</t>
  </si>
  <si>
    <t>收 货 地 址</t>
  </si>
  <si>
    <t>收货地址：海南省海口市美兰区国兴大道海阔天空国瑞城铂仕苑3号楼01、02号商铺【言兑茶舍】</t>
  </si>
  <si>
    <t>订 货 单 位</t>
  </si>
  <si>
    <t>海南言兑茶业有限公司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</si>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</sst>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[DBNum2][$-804]General"/>
    <numFmt numFmtId="178" formatCode="0_ "/>
    <numFmt numFmtId="179" formatCode="0.0&quot;件&quot;"/>
    <numFmt numFmtId="180" formatCode="0.00_ "/>
    <numFmt numFmtId="181" formatCode="0.0_ 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C5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8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6" borderId="8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18" borderId="13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78" fontId="9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1" fontId="11" fillId="0" borderId="1" xfId="0" applyNumberFormat="1" applyFont="1" applyBorder="1" applyAlignment="1">
      <alignment horizontal="right" vertical="center"/>
    </xf>
    <xf numFmtId="181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1" fontId="15" fillId="0" borderId="1" xfId="0" applyNumberFormat="1" applyFont="1" applyBorder="1" applyAlignment="1">
      <alignment horizontal="right" vertical="center"/>
    </xf>
    <xf numFmtId="179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25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黄钊鸿</v>
      </c>
      <c r="J2" s="7" t="s">
        <v>6</v>
      </c>
      <c r="K2" s="29">
        <v>44224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" customHeight="1" spans="1:22">
      <c r="A4" s="11">
        <f>IF(B4="","",ROW(A1))</f>
        <v>1</v>
      </c>
      <c r="B4" s="12" t="s">
        <v>15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798</v>
      </c>
      <c r="H4" s="14">
        <v>60</v>
      </c>
      <c r="I4" s="30">
        <f t="shared" ref="I4:I12" si="0">IF(G4="","",G4*H4)</f>
        <v>47880</v>
      </c>
      <c r="J4" s="31">
        <f>H4/6</f>
        <v>10</v>
      </c>
      <c r="K4" s="12"/>
      <c r="Q4" s="41" t="s">
        <v>19</v>
      </c>
      <c r="R4" s="3" t="s">
        <v>16</v>
      </c>
      <c r="S4" s="42">
        <v>298</v>
      </c>
      <c r="U4" s="3" t="s">
        <v>20</v>
      </c>
      <c r="V4" s="3" t="s">
        <v>21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22</v>
      </c>
      <c r="R5" s="3" t="s">
        <v>16</v>
      </c>
      <c r="S5" s="42">
        <v>398</v>
      </c>
      <c r="U5" s="3" t="s">
        <v>23</v>
      </c>
      <c r="V5" s="3" t="s">
        <v>24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25</v>
      </c>
      <c r="R6" s="3" t="s">
        <v>16</v>
      </c>
      <c r="S6" s="42">
        <v>378</v>
      </c>
      <c r="U6" s="3" t="s">
        <v>26</v>
      </c>
      <c r="V6" s="3" t="s">
        <v>27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28</v>
      </c>
      <c r="R7" s="3" t="s">
        <v>16</v>
      </c>
      <c r="S7" s="42">
        <v>198</v>
      </c>
      <c r="U7" s="3" t="s">
        <v>29</v>
      </c>
      <c r="V7" s="3" t="s">
        <v>30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31</v>
      </c>
      <c r="R8" s="3" t="s">
        <v>16</v>
      </c>
      <c r="S8" s="42">
        <v>185</v>
      </c>
      <c r="U8" s="3" t="s">
        <v>2</v>
      </c>
      <c r="V8" s="3" t="s">
        <v>32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33</v>
      </c>
      <c r="R9" s="3" t="s">
        <v>16</v>
      </c>
      <c r="S9" s="42">
        <v>138</v>
      </c>
      <c r="U9" s="3" t="s">
        <v>34</v>
      </c>
      <c r="V9" s="3" t="s">
        <v>35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36</v>
      </c>
      <c r="R10" s="3" t="s">
        <v>16</v>
      </c>
      <c r="S10" s="42">
        <v>123</v>
      </c>
      <c r="U10" s="3" t="s">
        <v>37</v>
      </c>
      <c r="V10" s="3" t="s">
        <v>35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38</v>
      </c>
      <c r="R11" s="3" t="s">
        <v>16</v>
      </c>
      <c r="S11" s="42">
        <v>88</v>
      </c>
      <c r="U11" s="3" t="s">
        <v>39</v>
      </c>
      <c r="V11" s="3" t="s">
        <v>40</v>
      </c>
    </row>
    <row r="12" ht="20" customHeight="1" spans="1:22">
      <c r="A12" s="11" t="s">
        <v>41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42</v>
      </c>
      <c r="R12" s="3" t="s">
        <v>16</v>
      </c>
      <c r="S12" s="42">
        <v>68</v>
      </c>
      <c r="U12" s="3" t="s">
        <v>43</v>
      </c>
      <c r="V12" s="3" t="s">
        <v>44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45</v>
      </c>
      <c r="R13" s="3" t="s">
        <v>46</v>
      </c>
      <c r="S13" s="42">
        <v>158</v>
      </c>
      <c r="U13" s="3" t="s">
        <v>47</v>
      </c>
      <c r="V13" s="3" t="s">
        <v>48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49</v>
      </c>
      <c r="R14" s="3" t="s">
        <v>16</v>
      </c>
      <c r="S14" s="42">
        <v>88</v>
      </c>
      <c r="U14" s="3" t="s">
        <v>50</v>
      </c>
      <c r="V14" s="3" t="s">
        <v>18</v>
      </c>
    </row>
    <row r="15" ht="20" customHeight="1" spans="1:19">
      <c r="A15" s="11" t="s">
        <v>51</v>
      </c>
      <c r="B15" s="15">
        <f>I15</f>
        <v>47880</v>
      </c>
      <c r="C15" s="15"/>
      <c r="D15" s="15"/>
      <c r="E15" s="15"/>
      <c r="F15" s="15"/>
      <c r="G15" s="15"/>
      <c r="H15" s="15"/>
      <c r="I15" s="30">
        <f>SUM(I4:I14)</f>
        <v>47880</v>
      </c>
      <c r="J15" s="32">
        <f>SUM(J4:J14)</f>
        <v>10</v>
      </c>
      <c r="K15" s="12"/>
      <c r="Q15" s="44" t="s">
        <v>52</v>
      </c>
      <c r="R15" s="3" t="s">
        <v>16</v>
      </c>
      <c r="S15" s="42">
        <v>48</v>
      </c>
    </row>
    <row r="16" ht="26.1" customHeight="1" spans="1:19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54</v>
      </c>
      <c r="R16" s="3" t="s">
        <v>16</v>
      </c>
      <c r="S16" s="42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15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798</v>
      </c>
      <c r="H18" s="14">
        <v>6</v>
      </c>
      <c r="I18" s="30">
        <f t="shared" si="5"/>
        <v>4788</v>
      </c>
      <c r="J18" s="32">
        <f t="shared" ref="J18:J25" si="8">H18/6</f>
        <v>1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41</v>
      </c>
      <c r="B25" s="12" t="s">
        <v>49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88</v>
      </c>
      <c r="H25" s="14">
        <v>20</v>
      </c>
      <c r="I25" s="30">
        <f t="shared" si="5"/>
        <v>1760</v>
      </c>
      <c r="J25" s="32">
        <f>H25/20</f>
        <v>1</v>
      </c>
      <c r="K25" s="12"/>
      <c r="R25" s="3"/>
      <c r="S25" s="42"/>
    </row>
    <row r="26" ht="20" customHeight="1" spans="1:19">
      <c r="A26" s="11"/>
      <c r="B26" s="12" t="s">
        <v>52</v>
      </c>
      <c r="C26" s="12"/>
      <c r="D26" s="12"/>
      <c r="E26" s="11" t="str">
        <f>IF(B26="","",INDEX($Q:$R,MATCH(B26,$Q:$Q,),2))</f>
        <v>瓶</v>
      </c>
      <c r="F26" s="11"/>
      <c r="G26" s="13">
        <f>IF(B26="","",INDEX($Q:$S,MATCH(B26,$Q:$Q,),3))</f>
        <v>48</v>
      </c>
      <c r="H26" s="14">
        <v>20</v>
      </c>
      <c r="I26" s="30">
        <f t="shared" si="5"/>
        <v>960</v>
      </c>
      <c r="J26" s="32">
        <f>H26/20</f>
        <v>1</v>
      </c>
      <c r="K26" s="12"/>
      <c r="Q26" s="44"/>
      <c r="R26" s="3"/>
      <c r="S26" s="42"/>
    </row>
    <row r="27" ht="20" customHeight="1" spans="1:11">
      <c r="A27" s="11"/>
      <c r="B27" s="12" t="s">
        <v>54</v>
      </c>
      <c r="C27" s="12"/>
      <c r="D27" s="12"/>
      <c r="E27" s="11" t="str">
        <f>IF(B27="","",INDEX($Q:$R,MATCH(B27,$Q:$Q,),2))</f>
        <v>瓶</v>
      </c>
      <c r="F27" s="11"/>
      <c r="G27" s="13">
        <f>IF(B27="","",INDEX($Q:$S,MATCH(B27,$Q:$Q,),3))</f>
        <v>35</v>
      </c>
      <c r="H27" s="14">
        <v>20</v>
      </c>
      <c r="I27" s="30">
        <f t="shared" si="5"/>
        <v>700</v>
      </c>
      <c r="J27" s="32">
        <f>H27/20</f>
        <v>1</v>
      </c>
      <c r="K27" s="12"/>
    </row>
    <row r="28" ht="20" customHeight="1" spans="1:11">
      <c r="A28" s="11" t="s">
        <v>51</v>
      </c>
      <c r="B28" s="15">
        <f>I28</f>
        <v>8208</v>
      </c>
      <c r="C28" s="15"/>
      <c r="D28" s="15"/>
      <c r="E28" s="15"/>
      <c r="F28" s="15"/>
      <c r="G28" s="15"/>
      <c r="H28" s="15"/>
      <c r="I28" s="30">
        <f>SUM(I18:I27)</f>
        <v>8208</v>
      </c>
      <c r="J28" s="32">
        <f>SUM(J18:J27)</f>
        <v>4</v>
      </c>
      <c r="K28" s="12"/>
    </row>
    <row r="29" s="1" customFormat="1" ht="21" customHeight="1" spans="1:22">
      <c r="A29" s="18" t="s">
        <v>55</v>
      </c>
      <c r="B29" s="11" t="s">
        <v>56</v>
      </c>
      <c r="C29" s="19">
        <f>SUMIF($B$4:$B$27,Q5,$J$4:$J$27)</f>
        <v>0</v>
      </c>
      <c r="D29" s="11" t="s">
        <v>57</v>
      </c>
      <c r="E29" s="19">
        <f>SUMIF($B$4:$B$27,Q7,$J$4:$J$27)</f>
        <v>0</v>
      </c>
      <c r="F29" s="19"/>
      <c r="G29" s="11" t="s">
        <v>58</v>
      </c>
      <c r="H29" s="20">
        <f>SUMIF($B$4:$B$27,Q9,$J$4:$J$27)</f>
        <v>0</v>
      </c>
      <c r="I29" s="34" t="s">
        <v>59</v>
      </c>
      <c r="J29" s="35"/>
      <c r="K29" s="36">
        <f>I28/I15</f>
        <v>0.171428571428571</v>
      </c>
      <c r="U29" s="3"/>
      <c r="V29" s="3"/>
    </row>
    <row r="30" s="1" customFormat="1" ht="21" customHeight="1" spans="1:22">
      <c r="A30" s="21"/>
      <c r="B30" s="11" t="s">
        <v>60</v>
      </c>
      <c r="C30" s="19">
        <f>SUMIF($B$4:$B$27,Q6,$J$4:$J$27)</f>
        <v>0</v>
      </c>
      <c r="D30" s="11" t="s">
        <v>61</v>
      </c>
      <c r="E30" s="19">
        <f>SUMIF($B$4:$B$27,Q8,$J$4:$J$27)</f>
        <v>0</v>
      </c>
      <c r="F30" s="19"/>
      <c r="G30" s="11" t="s">
        <v>62</v>
      </c>
      <c r="H30" s="20">
        <f>SUMIF($B$4:$B$27,Q10,$J$4:$J$27)</f>
        <v>0</v>
      </c>
      <c r="I30" s="11" t="s">
        <v>63</v>
      </c>
      <c r="J30" s="37">
        <f>SUMIF($B$4:$B$27,Q13,$J$4:$J$27)</f>
        <v>0</v>
      </c>
      <c r="K30" s="38">
        <f>SUM(J30:J32,H29:H32,E29:F32,C29:C32)</f>
        <v>14</v>
      </c>
      <c r="U30" s="3"/>
      <c r="V30" s="3"/>
    </row>
    <row r="31" s="1" customFormat="1" ht="21" customHeight="1" spans="1:22">
      <c r="A31" s="21"/>
      <c r="B31" s="11" t="s">
        <v>64</v>
      </c>
      <c r="C31" s="19">
        <f>SUMIF($B$4:$B$27,Q14,$J$4:$J$27)</f>
        <v>1</v>
      </c>
      <c r="D31" s="11" t="s">
        <v>65</v>
      </c>
      <c r="E31" s="19">
        <f>SUMIF($B$4:$B$27,Q15,$J$4:$J$27)</f>
        <v>1</v>
      </c>
      <c r="F31" s="19"/>
      <c r="G31" s="11" t="s">
        <v>66</v>
      </c>
      <c r="H31" s="20">
        <f>SUMIF($B$4:$B$27,Q16,$J$4:$J$27)</f>
        <v>1</v>
      </c>
      <c r="I31" s="11" t="s">
        <v>67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68</v>
      </c>
      <c r="C32" s="19">
        <f>SUMIF($B$4:$B$27,Q3,$J$4:$J$27)</f>
        <v>11</v>
      </c>
      <c r="D32" s="11" t="s">
        <v>69</v>
      </c>
      <c r="E32" s="19">
        <f>SUMIF($B$4:$B$27,Q4,$J$4:$J$27)</f>
        <v>0</v>
      </c>
      <c r="F32" s="19"/>
      <c r="G32" s="11" t="s">
        <v>70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71</v>
      </c>
      <c r="B33" s="7"/>
      <c r="C33" s="23" t="s">
        <v>72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73</v>
      </c>
      <c r="B34" s="7"/>
      <c r="C34" s="23" t="s">
        <v>74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75</v>
      </c>
      <c r="B35" s="7"/>
      <c r="C35" s="23" t="s">
        <v>76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77</v>
      </c>
      <c r="B36" s="24"/>
      <c r="C36" s="25"/>
      <c r="D36" s="25"/>
      <c r="E36" s="26"/>
      <c r="F36" s="24" t="s">
        <v>78</v>
      </c>
      <c r="G36" s="24"/>
      <c r="H36" s="27"/>
      <c r="I36" s="27"/>
      <c r="J36" s="39" t="s">
        <v>79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3" operator="greaterThan">
      <formula>0.2</formula>
    </cfRule>
    <cfRule type="cellIs" dxfId="1" priority="12" operator="greaterThan">
      <formula>0.2</formula>
    </cfRule>
    <cfRule type="cellIs" dxfId="0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5">
    <dataValidation type="list" allowBlank="1" showInputMessage="1" showErrorMessage="1" sqref="B18:D18 B4:D11 B20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19:D19">
      <formula1>"50年陈皮酱香酒,牛年生肖纪念酒,30年陈皮酱香酒,30年陈皮酱香酒(光瓶),15年陈皮酱香酒,15年陈皮酱香酒(光瓶),10年陈皮酱香酒,10年陈皮酱香酒(光瓶),8年陈皮酱香酒,5年陈皮酱香酒(光瓶),印象小酒(100ml*5/盒),15侨宝陈皮酱香酒100ml"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2020-09-26T08:48:00Z</dcterms:created>
  <dcterms:modified xsi:type="dcterms:W3CDTF">2021-01-28T06:32:46Z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