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340" tabRatio="500" activeTab="2"/>
  </bookViews>
  <sheets>
    <sheet name="9-11" sheetId="1" r:id="rId1"/>
    <sheet name="Depreciation&amp;Cost" sheetId="2" r:id="rId2"/>
    <sheet name="BEP" sheetId="5" r:id="rId3"/>
    <sheet name="Income" sheetId="3" r:id="rId4"/>
    <sheet name="Expenses" sheetId="4" r:id="rId5"/>
  </sheets>
  <externalReferences>
    <externalReference r:id="rId6"/>
  </externalReferences>
  <definedNames>
    <definedName name="_xlnm._FilterDatabase" localSheetId="2" hidden="1">BEP!$A$7:$C$22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0">'9-11'!$A$1:$J$39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4">[1]!Inkomsten[[#Headers],[TURNOVER]]</definedName>
    <definedName name="Titel1">Inkomsten[[#Headers],[TURNOVER]]</definedName>
    <definedName name="Titel2">[1]!Verkoopkosten[[#Headers],[Costs of Sales]]</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5" l="1"/>
  <c r="G3" i="5"/>
  <c r="G2" i="5"/>
  <c r="G1" i="5"/>
  <c r="C22" i="5"/>
  <c r="E22" i="5"/>
  <c r="C21" i="5"/>
  <c r="E21" i="5"/>
  <c r="C20" i="5"/>
  <c r="E20" i="5"/>
  <c r="E19" i="5"/>
  <c r="E18" i="5"/>
  <c r="C16" i="5"/>
  <c r="E16" i="5"/>
  <c r="C14" i="5"/>
  <c r="E14" i="5"/>
  <c r="C13" i="5"/>
  <c r="E13" i="5"/>
  <c r="C10" i="5"/>
  <c r="E10" i="5"/>
  <c r="C9" i="5"/>
  <c r="E9" i="5"/>
  <c r="C8" i="5"/>
  <c r="E8" i="5"/>
  <c r="C11" i="5"/>
  <c r="D11" i="5"/>
  <c r="C12" i="5"/>
  <c r="D12" i="5"/>
  <c r="C15" i="5"/>
  <c r="D15" i="5"/>
  <c r="D17" i="5"/>
  <c r="C19" i="5"/>
  <c r="C18" i="5"/>
  <c r="C17" i="5"/>
  <c r="B5" i="5"/>
  <c r="B2" i="5"/>
  <c r="B1" i="5"/>
  <c r="C8" i="1"/>
  <c r="F25" i="1"/>
  <c r="K10" i="2"/>
  <c r="F23" i="1"/>
  <c r="K8" i="2"/>
  <c r="J8" i="2"/>
  <c r="I15" i="1"/>
  <c r="H15" i="1"/>
  <c r="I7" i="1"/>
  <c r="H7" i="1"/>
  <c r="J14" i="2"/>
  <c r="J16" i="2"/>
  <c r="J12" i="2"/>
  <c r="I14" i="1"/>
  <c r="H14" i="1"/>
  <c r="J13" i="2"/>
  <c r="K13" i="2"/>
  <c r="I9" i="1"/>
  <c r="J9" i="2"/>
  <c r="I10" i="1"/>
  <c r="J10" i="2"/>
  <c r="I11" i="1"/>
  <c r="J11" i="2"/>
  <c r="I12" i="1"/>
  <c r="I13" i="1"/>
  <c r="I21" i="1"/>
  <c r="J15" i="2"/>
  <c r="F10" i="1"/>
  <c r="C22" i="1"/>
  <c r="F12" i="1"/>
  <c r="H13" i="1"/>
  <c r="F7" i="1"/>
  <c r="J7" i="2"/>
  <c r="K7" i="2"/>
  <c r="F9" i="1"/>
  <c r="I8" i="1"/>
  <c r="C15" i="1"/>
  <c r="I17" i="1"/>
  <c r="C18" i="1"/>
  <c r="I18" i="1"/>
  <c r="C21" i="1"/>
  <c r="I19"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20" i="1"/>
  <c r="F39" i="2"/>
  <c r="I45" i="2"/>
  <c r="H45" i="2"/>
  <c r="G45" i="2"/>
  <c r="F45" i="2"/>
  <c r="E45" i="2"/>
  <c r="D45" i="2"/>
  <c r="C45" i="2"/>
  <c r="M43" i="2"/>
  <c r="L43" i="2"/>
  <c r="K43" i="2"/>
  <c r="J43" i="2"/>
  <c r="I43" i="2"/>
  <c r="H43" i="2"/>
  <c r="G43" i="2"/>
  <c r="F43" i="2"/>
  <c r="E43" i="2"/>
  <c r="D43" i="2"/>
  <c r="C43" i="2"/>
  <c r="M41" i="2"/>
  <c r="L41" i="2"/>
  <c r="K41" i="2"/>
  <c r="J41" i="2"/>
  <c r="I41" i="2"/>
  <c r="H41" i="2"/>
  <c r="G41" i="2"/>
  <c r="F41" i="2"/>
  <c r="E41" i="2"/>
  <c r="D41" i="2"/>
  <c r="C41" i="2"/>
  <c r="C20" i="2"/>
  <c r="C35" i="2"/>
  <c r="D35" i="2"/>
  <c r="C37" i="2"/>
  <c r="D37" i="2"/>
  <c r="E37" i="2"/>
  <c r="F37" i="2"/>
  <c r="G37" i="2"/>
  <c r="H37" i="2"/>
  <c r="I37" i="2"/>
  <c r="J37" i="2"/>
  <c r="K37" i="2"/>
  <c r="L37" i="2"/>
  <c r="M37" i="2"/>
  <c r="N37" i="2"/>
  <c r="F35" i="2"/>
  <c r="O37" i="2"/>
  <c r="C17" i="2"/>
  <c r="C31" i="2"/>
  <c r="D31" i="2"/>
  <c r="C33" i="2"/>
  <c r="D33" i="2"/>
  <c r="E33" i="2"/>
  <c r="F33" i="2"/>
  <c r="G33" i="2"/>
  <c r="H33" i="2"/>
  <c r="I33" i="2"/>
  <c r="J33" i="2"/>
  <c r="K33" i="2"/>
  <c r="L33" i="2"/>
  <c r="F31" i="2"/>
  <c r="M33" i="2"/>
  <c r="D39" i="2"/>
  <c r="C23" i="2"/>
  <c r="C39" i="2"/>
  <c r="C9" i="2"/>
  <c r="D9" i="2"/>
  <c r="C6" i="2"/>
  <c r="D6" i="2"/>
  <c r="C19" i="1"/>
  <c r="E16" i="2"/>
  <c r="E19" i="2"/>
  <c r="E22" i="2"/>
  <c r="F16" i="2"/>
  <c r="F19" i="2"/>
  <c r="F22" i="2"/>
  <c r="C17" i="1"/>
  <c r="C16" i="1"/>
  <c r="C11" i="2"/>
  <c r="D11" i="2"/>
  <c r="E11" i="2"/>
  <c r="F11" i="2"/>
  <c r="G11" i="2"/>
  <c r="F12" i="2"/>
  <c r="C10" i="2"/>
  <c r="F6" i="2"/>
  <c r="G6" i="2"/>
  <c r="F7" i="2"/>
  <c r="C7" i="2"/>
  <c r="C3" i="2"/>
  <c r="D3" i="2"/>
  <c r="C4"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sharedStrings.xml><?xml version="1.0" encoding="utf-8"?>
<sst xmlns="http://schemas.openxmlformats.org/spreadsheetml/2006/main" count="328" uniqueCount="216">
  <si>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</si>
  <si>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</si>
  <si>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</si>
  <si>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</si>
  <si>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</si>
  <si>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</si>
  <si>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</si>
  <si>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</si>
  <si>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</si>
  <si>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</si>
  <si>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</si>
  <si>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</si>
  <si>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</si>
  <si>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</si>
  <si>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</si>
  <si>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</si>
  <si>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</si>
  <si>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</si>
  <si>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</si>
  <si>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</si>
  <si>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</si>
  <si>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</si>
  <si>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</si>
  <si>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</si>
  <si>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</si>
  <si>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</si>
  <si>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</si>
  <si>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</si>
  <si>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</si>
  <si>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</si>
  <si>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</si>
  <si>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</si>
  <si>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</si>
  <si>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</si>
  <si>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</si>
  <si>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</si>
  <si>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</si>
  <si>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</si>
  <si>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</si>
  <si>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</si>
  <si>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</si>
  <si>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</si>
  <si>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</si>
  <si>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</si>
  <si>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</si>
  <si>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</si>
  <si>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</si>
  <si>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Other income</t>
    <phoneticPr fontId="2" type="noConversion"/>
  </si>
  <si>
    <t>lend part of the DC out</t>
    <phoneticPr fontId="2" type="noConversion"/>
  </si>
  <si>
    <t>bank interest</t>
    <phoneticPr fontId="2"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</si>
  <si>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</si>
  <si>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</si>
  <si>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</si>
  <si>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</si>
  <si>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</si>
  <si>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</si>
  <si>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</si>
  <si>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</si>
  <si>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</si>
  <si>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</si>
  <si>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</si>
  <si>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</si>
  <si>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</si>
  <si>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</si>
  <si>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</si>
  <si>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</si>
  <si>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</si>
  <si>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</si>
  <si>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</si>
  <si>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</si>
  <si>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</si>
  <si>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</si>
  <si>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</si>
  <si>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</si>
  <si>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</si>
  <si>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</si>
  <si>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</si>
  <si>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</si>
  <si>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</si>
  <si>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</si>
  <si>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</si>
  <si>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</si>
  <si>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</si>
  <si>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</si>
  <si>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</si>
  <si>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</si>
  <si>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</si>
  <si>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</si>
  <si>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</si>
  <si>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</si>
  <si>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</si>
  <si>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</si>
  <si>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</si>
  <si>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</si>
  <si>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</si>
  <si>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</si>
  <si>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</si>
  <si>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</si>
  <si>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</si>
  <si>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</si>
  <si>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</si>
  <si>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</si>
  <si>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</si>
  <si>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</si>
  <si>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</si>
  <si>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</si>
  <si>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</si>
  <si>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</si>
  <si>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</si>
  <si>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</si>
  <si>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</si>
  <si>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</si>
  <si>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</si>
  <si>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</si>
  <si>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</si>
  <si>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</si>
  <si>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</si>
  <si>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</si>
  <si>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</si>
  <si>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</si>
  <si>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</si>
  <si>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</si>
  <si>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</si>
  <si>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</si>
  <si>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</si>
  <si>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</si>
  <si>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</si>
  <si>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</si>
  <si>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</si>
  <si>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</si>
  <si>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</si>
  <si>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</si>
  <si>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</si>
  <si>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</si>
  <si>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</si>
  <si>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</si>
  <si>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</si>
  <si>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</si>
  <si>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</si>
  <si>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</si>
  <si>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</si>
  <si>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</si>
  <si>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</si>
  <si>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</si>
  <si>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</si>
  <si>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</si>
  <si>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</si>
  <si>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</si>
  <si>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</si>
  <si>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</si>
  <si>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</si>
  <si>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</si>
  <si>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</si>
  <si>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</si>
  <si>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</si>
  <si>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</si>
  <si>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</si>
  <si>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</si>
  <si>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</si>
  <si>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</si>
  <si>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</si>
  <si>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</si>
  <si>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</si>
  <si>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</si>
  <si>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</si>
  <si>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</si>
  <si>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</si>
  <si>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</si>
  <si>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</si>
  <si>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</si>
  <si>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</si>
  <si>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</si>
  <si>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</si>
  <si>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</si>
  <si>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</si>
  <si>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</si>
  <si>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</si>
  <si>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</si>
  <si>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</si>
  <si>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</si>
  <si>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</si>
  <si>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</si>
  <si>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</si>
  <si>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</si>
  <si>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</si>
  <si>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</si>
  <si>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</si>
  <si>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</si>
  <si>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</si>
  <si>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</si>
  <si>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</si>
  <si>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</si>
  <si>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</si>
  <si>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</si>
  <si>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</si>
  <si>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</si>
  <si>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</si>
  <si>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</si>
  <si>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</si>
  <si>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</si>
  <si>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</si>
  <si>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</si>
  <si>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</si>
  <si>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</si>
  <si>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</si>
  <si>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</si>
  <si>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</si>
  <si>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</si>
  <si>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</si>
  <si>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</si>
  <si>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</si>
  <si>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vc per week per pallet</t>
  </si>
  <si>
    <t>fixed cost per week</t>
  </si>
  <si>
    <t>fc per week</t>
  </si>
  <si>
    <t>variable cost per week per pallet</t>
  </si>
  <si>
    <t>BEP-week&amp;pallet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</si>
</sst>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1" formatCode="_(* #,##0_);_(* \(#,##0\);_(* &quot;-&quot;_);_(@_)"/>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s>
  <fonts count="31"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s>
  <fills count="9">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rgb="FFFFFF00"/>
        <bgColor indexed="64"/>
      </patternFill>
    </fill>
  </fills>
  <borders count="32">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indexed="12"/>
      </left>
      <right style="thin">
        <color indexed="21"/>
      </right>
      <top style="thin">
        <color indexed="12"/>
      </top>
      <bottom style="thin">
        <color indexed="12"/>
      </bottom>
      <diagonal/>
    </border>
    <border>
      <left style="thin">
        <color auto="1"/>
      </left>
      <right/>
      <top style="thin">
        <color auto="1"/>
      </top>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12"/>
      </left>
      <right style="thin">
        <color indexed="21"/>
      </right>
      <top style="thin">
        <color auto="1"/>
      </top>
      <bottom style="thin">
        <color indexed="12"/>
      </bottom>
      <diagonal/>
    </border>
    <border>
      <left/>
      <right/>
      <top style="thin">
        <color auto="1"/>
      </top>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s>
  <cellStyleXfs count="22">
    <xf numFmtId="0" fontId="0" fillId="0" borderId="0"/>
    <xf numFmtId="0" fontId="14" fillId="0" borderId="0"/>
    <xf numFmtId="0" fontId="15" fillId="0" borderId="29"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30" applyFill="0" applyProtection="0">
      <alignment horizontal="center" vertical="center"/>
    </xf>
    <xf numFmtId="0" fontId="23" fillId="0" borderId="0">
      <alignment horizontal="right" indent="1"/>
    </xf>
    <xf numFmtId="0" fontId="14" fillId="0" borderId="0">
      <alignment horizontal="right" wrapText="1" indent="1"/>
    </xf>
    <xf numFmtId="167" fontId="14" fillId="4" borderId="31"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31" applyNumberFormat="0" applyFont="0" applyAlignment="0"/>
    <xf numFmtId="167" fontId="25" fillId="6" borderId="31"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55">
    <xf numFmtId="0" fontId="0" fillId="0" borderId="0" xfId="0"/>
    <xf numFmtId="0" fontId="1" fillId="0" borderId="0" xfId="0" applyFont="1"/>
    <xf numFmtId="43" fontId="1" fillId="0" borderId="0" xfId="0" applyNumberFormat="1" applyFont="1"/>
    <xf numFmtId="8" fontId="1" fillId="0" borderId="0" xfId="0" applyNumberFormat="1" applyFont="1" applyBorder="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0" fontId="1" fillId="0" borderId="6" xfId="0" applyFont="1" applyBorder="1"/>
    <xf numFmtId="164" fontId="4" fillId="2" borderId="7" xfId="0" applyNumberFormat="1" applyFont="1" applyFill="1" applyBorder="1" applyAlignment="1">
      <alignment horizontal="right" vertical="center" wrapText="1"/>
    </xf>
    <xf numFmtId="0" fontId="4" fillId="2" borderId="8" xfId="0" applyFont="1" applyFill="1" applyBorder="1" applyAlignment="1">
      <alignment horizontal="left" vertical="center" wrapText="1"/>
    </xf>
    <xf numFmtId="164" fontId="4" fillId="2" borderId="9" xfId="0" applyNumberFormat="1" applyFont="1" applyFill="1" applyBorder="1" applyAlignment="1">
      <alignment horizontal="righ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13" xfId="0" applyFont="1" applyBorder="1" applyAlignment="1">
      <alignment vertical="center" wrapText="1"/>
    </xf>
    <xf numFmtId="0" fontId="4" fillId="0" borderId="14"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8" fontId="1" fillId="3" borderId="0" xfId="0" applyNumberFormat="1" applyFont="1" applyFill="1" applyBorder="1"/>
    <xf numFmtId="8" fontId="1" fillId="3" borderId="2" xfId="0" applyNumberFormat="1" applyFont="1" applyFill="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5" fillId="0" borderId="0" xfId="0" applyFont="1" applyBorder="1"/>
    <xf numFmtId="0" fontId="1" fillId="0" borderId="23" xfId="0" applyFont="1" applyBorder="1"/>
    <xf numFmtId="8" fontId="1" fillId="0" borderId="23" xfId="0" applyNumberFormat="1" applyFont="1" applyBorder="1"/>
    <xf numFmtId="43" fontId="1" fillId="0" borderId="0" xfId="0" applyNumberFormat="1" applyFont="1" applyBorder="1"/>
    <xf numFmtId="0" fontId="1" fillId="0" borderId="24" xfId="0" applyFont="1" applyBorder="1"/>
    <xf numFmtId="0" fontId="1" fillId="0" borderId="25" xfId="0" applyFont="1" applyBorder="1"/>
    <xf numFmtId="43" fontId="1" fillId="0" borderId="25" xfId="0" applyNumberFormat="1" applyFont="1" applyBorder="1"/>
    <xf numFmtId="0" fontId="1" fillId="0" borderId="26"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xf numFmtId="164" fontId="4" fillId="0" borderId="0" xfId="0" applyNumberFormat="1" applyFont="1" applyBorder="1" applyAlignment="1">
      <alignment horizontal="right" wrapText="1"/>
    </xf>
    <xf numFmtId="164" fontId="4" fillId="0" borderId="27" xfId="0" applyNumberFormat="1" applyFont="1" applyBorder="1" applyAlignment="1">
      <alignment horizontal="right" wrapText="1"/>
    </xf>
    <xf numFmtId="0" fontId="1" fillId="0" borderId="28" xfId="0" applyFont="1" applyBorder="1"/>
    <xf numFmtId="43" fontId="1" fillId="0" borderId="0" xfId="0" applyNumberFormat="1" applyFont="1" applyAlignment="1">
      <alignment vertical="center"/>
    </xf>
    <xf numFmtId="0" fontId="14" fillId="0" borderId="0" xfId="1" applyNumberFormat="1" applyFont="1"/>
    <xf numFmtId="0" fontId="15" fillId="0" borderId="29"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30"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31" xfId="9" applyNumberFormat="1" applyFont="1" applyAlignment="1">
      <alignment horizontal="center"/>
    </xf>
    <xf numFmtId="168" fontId="25" fillId="0" borderId="0" xfId="10" applyFont="1" applyFill="1" applyBorder="1"/>
    <xf numFmtId="168" fontId="25" fillId="4" borderId="31" xfId="10" applyFont="1" applyFill="1" applyBorder="1" applyAlignment="1">
      <alignment horizontal="center"/>
    </xf>
    <xf numFmtId="9" fontId="25" fillId="0" borderId="0" xfId="11" applyFont="1" applyFill="1" applyBorder="1" applyAlignment="1">
      <alignment horizontal="right"/>
    </xf>
    <xf numFmtId="9" fontId="25" fillId="4" borderId="31"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9"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30" xfId="6">
      <alignment horizontal="center" vertical="center"/>
    </xf>
    <xf numFmtId="0" fontId="23" fillId="0" borderId="0" xfId="7" applyAlignment="1">
      <alignment horizontal="right" wrapText="1"/>
    </xf>
    <xf numFmtId="0" fontId="23" fillId="0" borderId="0" xfId="7">
      <alignment horizontal="right" indent="1"/>
    </xf>
    <xf numFmtId="0" fontId="0" fillId="5" borderId="31" xfId="12" applyNumberFormat="1" applyFont="1" applyAlignment="1">
      <alignment horizontal="center"/>
    </xf>
    <xf numFmtId="168" fontId="0" fillId="0" borderId="0" xfId="10" applyFont="1" applyFill="1" applyBorder="1"/>
    <xf numFmtId="168" fontId="25" fillId="5" borderId="31" xfId="10" applyFill="1" applyBorder="1"/>
    <xf numFmtId="9" fontId="0" fillId="0" borderId="0" xfId="11" applyFont="1" applyFill="1" applyBorder="1" applyAlignment="1">
      <alignment horizontal="right"/>
    </xf>
    <xf numFmtId="9" fontId="25" fillId="5" borderId="31"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23" xfId="0" applyNumberFormat="1" applyFont="1" applyBorder="1" applyAlignment="1">
      <alignment horizontal="right" wrapText="1"/>
    </xf>
    <xf numFmtId="8" fontId="1" fillId="3" borderId="23" xfId="0" applyNumberFormat="1" applyFont="1" applyFill="1" applyBorder="1"/>
    <xf numFmtId="8" fontId="1" fillId="3" borderId="25" xfId="0" applyNumberFormat="1" applyFont="1" applyFill="1" applyBorder="1"/>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14" xfId="17" applyFont="1" applyBorder="1" applyAlignment="1">
      <alignment vertical="center" wrapText="1"/>
    </xf>
    <xf numFmtId="43" fontId="4" fillId="0" borderId="13" xfId="17" applyFont="1" applyBorder="1" applyAlignment="1">
      <alignment vertical="center" wrapText="1"/>
    </xf>
    <xf numFmtId="43" fontId="1" fillId="0" borderId="0" xfId="17" applyFont="1" applyAlignment="1">
      <alignment vertical="center"/>
    </xf>
    <xf numFmtId="43" fontId="4" fillId="2" borderId="8" xfId="17" applyFont="1" applyFill="1" applyBorder="1" applyAlignment="1">
      <alignment vertical="center" wrapText="1"/>
    </xf>
    <xf numFmtId="43" fontId="4" fillId="2" borderId="7" xfId="17" applyFont="1" applyFill="1" applyBorder="1" applyAlignment="1">
      <alignment horizontal="right" vertical="center" wrapText="1"/>
    </xf>
    <xf numFmtId="43" fontId="4" fillId="0" borderId="12" xfId="17" applyFont="1" applyBorder="1" applyAlignment="1">
      <alignment vertical="center"/>
    </xf>
    <xf numFmtId="43" fontId="6" fillId="0" borderId="11" xfId="17" applyFont="1" applyBorder="1" applyAlignment="1">
      <alignment vertical="center"/>
    </xf>
    <xf numFmtId="43" fontId="1" fillId="0" borderId="0" xfId="17" applyFont="1" applyBorder="1" applyAlignment="1">
      <alignment vertical="center"/>
    </xf>
    <xf numFmtId="43" fontId="4" fillId="2" borderId="9" xfId="17" applyFont="1" applyFill="1" applyBorder="1" applyAlignment="1">
      <alignment horizontal="right" vertical="center" wrapText="1"/>
    </xf>
    <xf numFmtId="164" fontId="4" fillId="8" borderId="18" xfId="0" applyNumberFormat="1" applyFont="1" applyFill="1" applyBorder="1" applyAlignment="1">
      <alignment horizontal="right" vertical="center" wrapText="1"/>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8" xfId="0" applyFont="1" applyBorder="1" applyAlignment="1">
      <alignment horizontal="left" vertical="center" wrapText="1"/>
    </xf>
    <xf numFmtId="164" fontId="4" fillId="0" borderId="18" xfId="0" applyNumberFormat="1" applyFont="1" applyBorder="1" applyAlignment="1">
      <alignment horizontal="right" vertical="center" wrapText="1"/>
    </xf>
    <xf numFmtId="43" fontId="6" fillId="0" borderId="8" xfId="17" applyFont="1" applyBorder="1" applyAlignment="1">
      <alignment vertical="center" wrapText="1"/>
    </xf>
    <xf numFmtId="43" fontId="4" fillId="0" borderId="8" xfId="17" applyFont="1" applyBorder="1" applyAlignment="1">
      <alignment horizontal="right" vertical="center" wrapText="1"/>
    </xf>
    <xf numFmtId="43" fontId="0" fillId="0" borderId="0" xfId="17" applyFont="1" applyAlignment="1">
      <alignment vertical="center"/>
    </xf>
    <xf numFmtId="0" fontId="6" fillId="0" borderId="10" xfId="0" applyFont="1" applyBorder="1" applyAlignment="1">
      <alignment horizontal="left" vertical="center" wrapText="1"/>
    </xf>
    <xf numFmtId="164" fontId="4" fillId="0" borderId="5" xfId="0" applyNumberFormat="1" applyFont="1" applyBorder="1" applyAlignment="1">
      <alignment horizontal="right" vertical="center" wrapText="1"/>
    </xf>
    <xf numFmtId="0" fontId="6" fillId="0" borderId="15" xfId="0" applyFont="1" applyBorder="1" applyAlignment="1">
      <alignment vertical="center"/>
    </xf>
    <xf numFmtId="164" fontId="4" fillId="0" borderId="5" xfId="0" applyNumberFormat="1" applyFont="1" applyBorder="1" applyAlignment="1">
      <alignment horizontal="right" vertical="center"/>
    </xf>
    <xf numFmtId="164" fontId="7" fillId="0" borderId="5" xfId="0" applyNumberFormat="1" applyFont="1" applyBorder="1" applyAlignment="1">
      <alignment horizontal="right" vertical="center"/>
    </xf>
    <xf numFmtId="43" fontId="6" fillId="0" borderId="10" xfId="17" applyFont="1" applyBorder="1" applyAlignment="1">
      <alignment vertical="center" wrapText="1"/>
    </xf>
    <xf numFmtId="43" fontId="4" fillId="0" borderId="5" xfId="17" applyFont="1" applyBorder="1" applyAlignment="1">
      <alignment horizontal="right" vertical="center" wrapText="1"/>
    </xf>
    <xf numFmtId="0" fontId="6" fillId="0" borderId="12" xfId="0" applyFont="1" applyBorder="1" applyAlignment="1">
      <alignment horizontal="left" vertical="center" wrapText="1"/>
    </xf>
    <xf numFmtId="164" fontId="4" fillId="0" borderId="11" xfId="0" applyNumberFormat="1" applyFont="1" applyBorder="1" applyAlignment="1">
      <alignment horizontal="right" vertical="center" wrapText="1"/>
    </xf>
    <xf numFmtId="41" fontId="1" fillId="3" borderId="0" xfId="0" applyNumberFormat="1" applyFont="1" applyFill="1" applyAlignment="1">
      <alignment vertical="center"/>
    </xf>
    <xf numFmtId="43" fontId="1" fillId="3" borderId="0" xfId="17" applyFont="1" applyFill="1" applyAlignment="1">
      <alignment vertical="center"/>
    </xf>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7" xfId="0" applyFont="1" applyBorder="1" applyAlignment="1">
      <alignment horizontal="left" vertical="center" wrapText="1"/>
    </xf>
    <xf numFmtId="0" fontId="4" fillId="0" borderId="16" xfId="0" applyFont="1" applyBorder="1" applyAlignment="1">
      <alignment horizontal="left" vertical="center" wrapText="1"/>
    </xf>
    <xf numFmtId="2" fontId="0" fillId="0" borderId="0" xfId="0" applyNumberFormat="1" applyBorder="1"/>
    <xf numFmtId="2" fontId="0" fillId="0" borderId="23" xfId="0" applyNumberFormat="1" applyBorder="1"/>
    <xf numFmtId="2" fontId="0" fillId="0" borderId="25" xfId="0" applyNumberFormat="1" applyBorder="1"/>
    <xf numFmtId="2" fontId="0" fillId="0" borderId="26" xfId="0" applyNumberFormat="1" applyBorder="1"/>
    <xf numFmtId="43" fontId="0" fillId="0" borderId="0" xfId="0" applyNumberFormat="1"/>
    <xf numFmtId="0" fontId="0" fillId="8" borderId="0" xfId="0" applyFill="1"/>
  </cellXfs>
  <cellStyles count="22">
    <cellStyle name="Comma" xfId="17" builtinId="3"/>
    <cellStyle name="Followed Hyperlink" xfId="19" builtinId="9" hidden="1"/>
    <cellStyle name="Followed Hyperlink" xfId="21" builtinId="9" hidden="1"/>
    <cellStyle name="Hyperlink" xfId="18" builtinId="8" hidden="1"/>
    <cellStyle name="Hyperlink" xfId="20"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zoomScale="119" workbookViewId="0">
      <selection activeCell="H17" sqref="H17:H19"/>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7" width="11.5" style="1" bestFit="1" customWidth="1"/>
    <col min="8" max="8" width="20.83203125" style="1" bestFit="1" customWidth="1"/>
    <col min="9" max="9" width="14.332031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41" t="s">
        <v>46</v>
      </c>
      <c r="C1" s="142"/>
      <c r="D1" s="22"/>
      <c r="E1" s="143"/>
      <c r="F1" s="144"/>
      <c r="G1" s="105"/>
      <c r="H1" s="105" t="s">
        <v>47</v>
      </c>
      <c r="I1" s="105"/>
      <c r="J1" s="105"/>
    </row>
    <row r="2" spans="2:10" ht="18" x14ac:dyDescent="0.25">
      <c r="B2" s="20"/>
      <c r="C2" s="21"/>
      <c r="D2" s="7"/>
      <c r="E2" s="106"/>
      <c r="F2" s="107"/>
      <c r="G2" s="105"/>
      <c r="H2" s="105" t="s">
        <v>48</v>
      </c>
      <c r="I2" s="105"/>
      <c r="J2" s="105"/>
    </row>
    <row r="3" spans="2:10" x14ac:dyDescent="0.25">
      <c r="B3" s="119"/>
      <c r="C3" s="120"/>
      <c r="D3" s="16"/>
      <c r="E3" s="121"/>
      <c r="F3" s="122"/>
      <c r="G3" s="111"/>
      <c r="H3" s="111" t="s">
        <v>49</v>
      </c>
      <c r="I3" s="111"/>
      <c r="J3" s="105"/>
    </row>
    <row r="4" spans="2:10" s="19" customFormat="1" ht="20" customHeight="1" x14ac:dyDescent="0.25">
      <c r="B4" s="145" t="s">
        <v>45</v>
      </c>
      <c r="C4" s="146"/>
      <c r="D4" s="123"/>
      <c r="E4" s="143" t="s">
        <v>44</v>
      </c>
      <c r="F4" s="144"/>
      <c r="G4" s="111"/>
      <c r="H4" s="111"/>
      <c r="I4" s="111"/>
      <c r="J4" s="108"/>
    </row>
    <row r="5" spans="2:10" ht="16" customHeight="1" x14ac:dyDescent="0.25">
      <c r="B5" s="18" t="s">
        <v>43</v>
      </c>
      <c r="C5" s="17" t="s">
        <v>16</v>
      </c>
      <c r="D5" s="16"/>
      <c r="E5" s="109" t="s">
        <v>42</v>
      </c>
      <c r="F5" s="110" t="s">
        <v>16</v>
      </c>
      <c r="G5" s="111"/>
      <c r="H5" s="124" t="s">
        <v>41</v>
      </c>
      <c r="I5" s="111"/>
      <c r="J5" s="105"/>
    </row>
    <row r="6" spans="2:10" ht="14" customHeight="1" x14ac:dyDescent="0.25">
      <c r="B6" s="125" t="s">
        <v>40</v>
      </c>
      <c r="C6" s="126">
        <v>3239571.71</v>
      </c>
      <c r="D6" s="16"/>
      <c r="E6" s="127" t="s">
        <v>39</v>
      </c>
      <c r="F6" s="128">
        <f>'Depreciation&amp;Cost'!K3</f>
        <v>1750</v>
      </c>
      <c r="G6" s="111"/>
      <c r="H6" s="111" t="s">
        <v>38</v>
      </c>
      <c r="I6" s="111">
        <v>17600000</v>
      </c>
      <c r="J6" s="111"/>
    </row>
    <row r="7" spans="2:10" ht="14" customHeight="1" x14ac:dyDescent="0.25">
      <c r="B7" s="125" t="s">
        <v>37</v>
      </c>
      <c r="C7" s="126">
        <v>620000</v>
      </c>
      <c r="D7" s="16"/>
      <c r="E7" s="127" t="s">
        <v>36</v>
      </c>
      <c r="F7" s="128">
        <f>SUM('Depreciation&amp;Cost'!K9:K11)</f>
        <v>27988.951999999997</v>
      </c>
      <c r="G7" s="111"/>
      <c r="H7" s="111" t="str">
        <f>'Depreciation&amp;Cost'!I14</f>
        <v>inventory maintenance</v>
      </c>
      <c r="I7" s="111">
        <f>-'Depreciation&amp;Cost'!J14</f>
        <v>-1344000</v>
      </c>
      <c r="J7" s="111"/>
    </row>
    <row r="8" spans="2:10" ht="14" customHeight="1" x14ac:dyDescent="0.25">
      <c r="B8" s="125" t="s">
        <v>35</v>
      </c>
      <c r="C8" s="118">
        <f>-387500</f>
        <v>-387500</v>
      </c>
      <c r="D8" s="16"/>
      <c r="E8" s="127" t="s">
        <v>34</v>
      </c>
      <c r="F8" s="128">
        <f>'Depreciation&amp;Cost'!K7</f>
        <v>336000</v>
      </c>
      <c r="G8" s="111"/>
      <c r="H8" s="111" t="s">
        <v>172</v>
      </c>
      <c r="I8" s="111">
        <f>-'Depreciation&amp;Cost'!J7</f>
        <v>-4032000</v>
      </c>
      <c r="J8" s="111"/>
    </row>
    <row r="9" spans="2:10" ht="14" customHeight="1" x14ac:dyDescent="0.25">
      <c r="B9" s="125" t="s">
        <v>33</v>
      </c>
      <c r="C9" s="126">
        <v>75200</v>
      </c>
      <c r="D9" s="16"/>
      <c r="E9" s="127" t="s">
        <v>32</v>
      </c>
      <c r="F9" s="128">
        <f>'Depreciation&amp;Cost'!K8</f>
        <v>20160</v>
      </c>
      <c r="G9" s="111"/>
      <c r="H9" s="111" t="s">
        <v>175</v>
      </c>
      <c r="I9" s="111">
        <f>-'Depreciation&amp;Cost'!J8</f>
        <v>-241920</v>
      </c>
      <c r="J9" s="105"/>
    </row>
    <row r="10" spans="2:10" ht="14" customHeight="1" thickBot="1" x14ac:dyDescent="0.3">
      <c r="B10" s="125" t="s">
        <v>31</v>
      </c>
      <c r="C10" s="118">
        <v>26867</v>
      </c>
      <c r="D10" s="16"/>
      <c r="E10" s="127" t="s">
        <v>30</v>
      </c>
      <c r="F10" s="128">
        <f>'Depreciation&amp;Cost'!J15</f>
        <v>1854516.5110322579</v>
      </c>
      <c r="G10" s="111"/>
      <c r="H10" s="129" t="s">
        <v>176</v>
      </c>
      <c r="I10" s="111">
        <f>-'Depreciation&amp;Cost'!J9</f>
        <v>-77007.81</v>
      </c>
      <c r="J10" s="105"/>
    </row>
    <row r="11" spans="2:10" ht="14" customHeight="1" thickTop="1" x14ac:dyDescent="0.25">
      <c r="B11" s="11" t="s">
        <v>29</v>
      </c>
      <c r="C11" s="10">
        <f>SUM(C6:C10)</f>
        <v>3574138.71</v>
      </c>
      <c r="D11" s="16"/>
      <c r="E11" s="127" t="s">
        <v>28</v>
      </c>
      <c r="F11" s="128">
        <v>226300</v>
      </c>
      <c r="G11" s="111"/>
      <c r="H11" s="129" t="s">
        <v>178</v>
      </c>
      <c r="I11" s="111">
        <f>-'Depreciation&amp;Cost'!J10</f>
        <v>-154000</v>
      </c>
      <c r="J11" s="105"/>
    </row>
    <row r="12" spans="2:10" s="14" customFormat="1" ht="16" customHeight="1" x14ac:dyDescent="0.25">
      <c r="B12" s="147" t="s">
        <v>27</v>
      </c>
      <c r="C12" s="148"/>
      <c r="D12" s="16"/>
      <c r="E12" s="127" t="s">
        <v>100</v>
      </c>
      <c r="F12" s="128">
        <f>'Depreciation&amp;Cost'!K13</f>
        <v>16800</v>
      </c>
      <c r="G12" s="111"/>
      <c r="H12" s="129" t="s">
        <v>179</v>
      </c>
      <c r="I12" s="111">
        <f>-'Depreciation&amp;Cost'!J11</f>
        <v>-76870.661999999997</v>
      </c>
      <c r="J12" s="105"/>
    </row>
    <row r="13" spans="2:10" x14ac:dyDescent="0.25">
      <c r="B13" s="130" t="s">
        <v>26</v>
      </c>
      <c r="C13" s="131">
        <v>500000</v>
      </c>
      <c r="D13" s="132"/>
      <c r="E13" s="127" t="s">
        <v>25</v>
      </c>
      <c r="F13" s="128">
        <f>SUM('Depreciation&amp;Cost'!L2:L4)</f>
        <v>885</v>
      </c>
      <c r="G13" s="111"/>
      <c r="H13" s="111" t="str">
        <f>'Depreciation&amp;Cost'!I13</f>
        <v>infrustructure</v>
      </c>
      <c r="I13" s="111">
        <f>-'Depreciation&amp;Cost'!J13</f>
        <v>-201600</v>
      </c>
      <c r="J13" s="105"/>
    </row>
    <row r="14" spans="2:10" ht="16" customHeight="1" x14ac:dyDescent="0.25">
      <c r="B14" s="130" t="s">
        <v>24</v>
      </c>
      <c r="C14" s="131">
        <f>SUM('Depreciation&amp;Cost'!C3,'Depreciation&amp;Cost'!F7,'Depreciation&amp;Cost'!F12)</f>
        <v>4180000</v>
      </c>
      <c r="D14" s="16"/>
      <c r="E14" s="127" t="s">
        <v>23</v>
      </c>
      <c r="F14" s="128">
        <f>'Depreciation&amp;Cost'!K4</f>
        <v>400</v>
      </c>
      <c r="G14" s="111"/>
      <c r="H14" s="111" t="str">
        <f>'Depreciation&amp;Cost'!I12</f>
        <v>fuel</v>
      </c>
      <c r="I14" s="111">
        <f>-'Depreciation&amp;Cost'!J12</f>
        <v>-2700000</v>
      </c>
      <c r="J14" s="105"/>
    </row>
    <row r="15" spans="2:10" ht="14" customHeight="1" thickBot="1" x14ac:dyDescent="0.3">
      <c r="B15" s="130" t="s">
        <v>22</v>
      </c>
      <c r="C15" s="131">
        <f>-(SUM('Depreciation&amp;Cost'!C4,'Depreciation&amp;Cost'!C7,'Depreciation&amp;Cost'!C10))</f>
        <v>-640000</v>
      </c>
      <c r="D15" s="16"/>
      <c r="E15" s="127" t="s">
        <v>21</v>
      </c>
      <c r="F15" s="128">
        <v>0</v>
      </c>
      <c r="G15" s="111"/>
      <c r="H15" s="111" t="str">
        <f>'Depreciation&amp;Cost'!I16</f>
        <v>marketing&amp;accounting</v>
      </c>
      <c r="I15" s="111">
        <f>-'Depreciation&amp;Cost'!J16</f>
        <v>-672000</v>
      </c>
      <c r="J15" s="105"/>
    </row>
    <row r="16" spans="2:10" ht="14" customHeight="1" thickTop="1" x14ac:dyDescent="0.25">
      <c r="B16" s="130" t="s">
        <v>51</v>
      </c>
      <c r="C16" s="131">
        <f>SUM('Depreciation&amp;Cost'!C15,'Depreciation&amp;Cost'!C18,'Depreciation&amp;Cost'!C21)</f>
        <v>85000</v>
      </c>
      <c r="D16" s="16"/>
      <c r="E16" s="112" t="s">
        <v>19</v>
      </c>
      <c r="F16" s="113">
        <f>SUM(F6:F15)</f>
        <v>2484800.4630322577</v>
      </c>
      <c r="G16" s="111"/>
      <c r="H16" s="111" t="s">
        <v>0</v>
      </c>
      <c r="I16" s="111"/>
      <c r="J16" s="105"/>
    </row>
    <row r="17" spans="2:12" ht="14" customHeight="1" x14ac:dyDescent="0.25">
      <c r="B17" s="130" t="s">
        <v>20</v>
      </c>
      <c r="C17" s="131">
        <f>SUM('Depreciation&amp;Cost'!F16,'Depreciation&amp;Cost'!F19,'Depreciation&amp;Cost'!F22)</f>
        <v>505300</v>
      </c>
      <c r="D17" s="16"/>
      <c r="E17" s="109" t="s">
        <v>17</v>
      </c>
      <c r="F17" s="110" t="s">
        <v>16</v>
      </c>
      <c r="G17" s="111"/>
      <c r="H17" s="111" t="s">
        <v>203</v>
      </c>
      <c r="I17" s="111">
        <f>C15</f>
        <v>-640000</v>
      </c>
      <c r="J17" s="105"/>
    </row>
    <row r="18" spans="2:12" ht="14" customHeight="1" thickBot="1" x14ac:dyDescent="0.3">
      <c r="B18" s="130" t="s">
        <v>18</v>
      </c>
      <c r="C18" s="133">
        <f>-SUM('Depreciation&amp;Cost'!E16,'Depreciation&amp;Cost'!E19,'Depreciation&amp;Cost'!E22)</f>
        <v>-16600</v>
      </c>
      <c r="D18" s="16"/>
      <c r="E18" s="127" t="s">
        <v>14</v>
      </c>
      <c r="F18" s="128">
        <f>'Depreciation&amp;Cost'!K2</f>
        <v>10000</v>
      </c>
      <c r="G18" s="111"/>
      <c r="H18" s="111" t="s">
        <v>201</v>
      </c>
      <c r="I18" s="111">
        <f>C18</f>
        <v>-16600</v>
      </c>
      <c r="J18" s="105"/>
    </row>
    <row r="19" spans="2:12" ht="14" customHeight="1" thickTop="1" x14ac:dyDescent="0.25">
      <c r="B19" s="130" t="s">
        <v>15</v>
      </c>
      <c r="C19" s="133">
        <f>'Depreciation&amp;Cost'!B27</f>
        <v>100000</v>
      </c>
      <c r="D19" s="16"/>
      <c r="E19" s="112" t="s">
        <v>13</v>
      </c>
      <c r="F19" s="113">
        <f>SUM(F18)</f>
        <v>10000</v>
      </c>
      <c r="G19" s="111"/>
      <c r="H19" s="111" t="s">
        <v>202</v>
      </c>
      <c r="I19" s="111">
        <f>C21</f>
        <v>-21935.483870967742</v>
      </c>
      <c r="J19" s="111"/>
    </row>
    <row r="20" spans="2:12" ht="14" customHeight="1" x14ac:dyDescent="0.25">
      <c r="B20" s="130" t="s">
        <v>12</v>
      </c>
      <c r="C20" s="131">
        <f>SUM('Depreciation&amp;Cost'!F31,'Depreciation&amp;Cost'!F35,'Depreciation&amp;Cost'!F39)</f>
        <v>292096.77419354854</v>
      </c>
      <c r="D20" s="16"/>
      <c r="E20" s="114" t="s">
        <v>10</v>
      </c>
      <c r="F20" s="115"/>
      <c r="G20" s="111"/>
      <c r="H20" s="111"/>
      <c r="I20" s="111"/>
      <c r="J20" s="116"/>
    </row>
    <row r="21" spans="2:12" ht="14" customHeight="1" x14ac:dyDescent="0.25">
      <c r="B21" s="130" t="s">
        <v>11</v>
      </c>
      <c r="C21" s="134">
        <f>-SUM('Depreciation&amp;Cost'!M33,'Depreciation&amp;Cost'!O37,'Depreciation&amp;Cost'!I45)</f>
        <v>-21935.483870967742</v>
      </c>
      <c r="D21" s="16"/>
      <c r="E21" s="135" t="s">
        <v>10</v>
      </c>
      <c r="F21" s="136">
        <v>285000</v>
      </c>
      <c r="G21" s="111"/>
      <c r="H21" s="111" t="s">
        <v>173</v>
      </c>
      <c r="I21" s="111">
        <f>SUM(I6:I19)</f>
        <v>7422066.0441290317</v>
      </c>
      <c r="J21" s="105"/>
    </row>
    <row r="22" spans="2:12" ht="14" customHeight="1" x14ac:dyDescent="0.25">
      <c r="B22" s="130" t="s">
        <v>9</v>
      </c>
      <c r="C22" s="131">
        <f>-2000</f>
        <v>-2000</v>
      </c>
      <c r="D22" s="15"/>
      <c r="E22" s="135" t="s">
        <v>187</v>
      </c>
      <c r="F22" s="136">
        <v>126000</v>
      </c>
      <c r="G22" s="111"/>
      <c r="H22" s="111"/>
      <c r="I22" s="111"/>
      <c r="J22" s="105"/>
      <c r="L22" s="2"/>
    </row>
    <row r="23" spans="2:12" s="14" customFormat="1" ht="18" customHeight="1" x14ac:dyDescent="0.25">
      <c r="B23" s="137"/>
      <c r="C23" s="138"/>
      <c r="D23" s="13"/>
      <c r="E23" s="135" t="s">
        <v>8</v>
      </c>
      <c r="F23" s="136">
        <f>F21*0.29</f>
        <v>82650</v>
      </c>
      <c r="G23" s="111"/>
      <c r="H23" s="111"/>
      <c r="I23" s="111"/>
      <c r="J23" s="105"/>
      <c r="L23" s="49"/>
    </row>
    <row r="24" spans="2:12" s="13" customFormat="1" ht="17.25" customHeight="1" x14ac:dyDescent="0.25">
      <c r="B24" s="137"/>
      <c r="C24" s="138"/>
      <c r="D24" s="14"/>
      <c r="E24" s="135" t="s">
        <v>7</v>
      </c>
      <c r="F24" s="136">
        <v>3500000</v>
      </c>
      <c r="G24" s="116"/>
      <c r="H24" s="111"/>
      <c r="I24" s="111"/>
      <c r="J24" s="105"/>
    </row>
    <row r="25" spans="2:12" ht="17" thickBot="1" x14ac:dyDescent="0.3">
      <c r="B25" s="137"/>
      <c r="C25" s="138"/>
      <c r="D25" s="14"/>
      <c r="E25" s="135" t="s">
        <v>6</v>
      </c>
      <c r="F25" s="136">
        <f>I21-F10-F24</f>
        <v>2067549.5330967735</v>
      </c>
      <c r="G25" s="111"/>
      <c r="H25" s="111"/>
      <c r="I25" s="111"/>
      <c r="J25" s="105"/>
    </row>
    <row r="26" spans="2:12" ht="18" thickTop="1" thickBot="1" x14ac:dyDescent="0.3">
      <c r="B26" s="11" t="s">
        <v>5</v>
      </c>
      <c r="C26" s="12">
        <f>SUM(C13:C22)</f>
        <v>4981861.2903225813</v>
      </c>
      <c r="D26" s="14"/>
      <c r="E26" s="112" t="s">
        <v>4</v>
      </c>
      <c r="F26" s="117">
        <f>SUM(F21:F25)</f>
        <v>6061199.5330967735</v>
      </c>
      <c r="G26" s="111"/>
      <c r="H26" s="116"/>
      <c r="I26" s="116"/>
      <c r="J26" s="105"/>
    </row>
    <row r="27" spans="2:12" ht="17" thickTop="1" x14ac:dyDescent="0.25">
      <c r="B27" s="11" t="s">
        <v>3</v>
      </c>
      <c r="C27" s="10">
        <f>C11+C26</f>
        <v>8556000.0003225803</v>
      </c>
      <c r="D27" s="14"/>
      <c r="E27" s="112" t="s">
        <v>2</v>
      </c>
      <c r="F27" s="113">
        <f>SUM(F16,F19,F26)</f>
        <v>8555999.9961290322</v>
      </c>
      <c r="G27" s="111"/>
      <c r="H27" s="111"/>
      <c r="I27" s="111"/>
      <c r="J27" s="105"/>
    </row>
    <row r="28" spans="2:12" x14ac:dyDescent="0.25">
      <c r="B28" s="13"/>
      <c r="C28" s="139">
        <f>C27-F27</f>
        <v>4.1935481131076813E-3</v>
      </c>
      <c r="D28" s="14"/>
      <c r="E28" s="111"/>
      <c r="F28" s="140">
        <f>8556000-F27</f>
        <v>3.8709677755832672E-3</v>
      </c>
      <c r="G28" s="111"/>
      <c r="H28" s="111"/>
      <c r="I28" s="111"/>
      <c r="J28" s="105"/>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K13" sqref="K13"/>
    </sheetView>
  </sheetViews>
  <sheetFormatPr baseColWidth="10" defaultRowHeight="13" x14ac:dyDescent="0.15"/>
  <cols>
    <col min="3" max="3" width="12.5" customWidth="1"/>
    <col min="4" max="4" width="11.1640625" customWidth="1"/>
    <col min="6" max="6" width="12.5" bestFit="1" customWidth="1"/>
    <col min="9" max="9" width="20.1640625" bestFit="1" customWidth="1"/>
  </cols>
  <sheetData>
    <row r="1" spans="1:12" ht="16" x14ac:dyDescent="0.25">
      <c r="A1" s="25"/>
      <c r="B1" s="26" t="s">
        <v>50</v>
      </c>
      <c r="C1" s="26"/>
      <c r="D1" s="26"/>
      <c r="E1" s="26"/>
      <c r="F1" s="26"/>
      <c r="G1" s="27"/>
      <c r="I1" s="37" t="s">
        <v>101</v>
      </c>
      <c r="J1" s="38" t="s">
        <v>105</v>
      </c>
      <c r="K1" s="38" t="s">
        <v>107</v>
      </c>
      <c r="L1" s="39" t="s">
        <v>106</v>
      </c>
    </row>
    <row r="2" spans="1:12" ht="16" x14ac:dyDescent="0.25">
      <c r="A2" s="28"/>
      <c r="B2" s="29" t="s">
        <v>1</v>
      </c>
      <c r="C2" s="7"/>
      <c r="D2" s="7"/>
      <c r="E2" s="7"/>
      <c r="F2" s="7"/>
      <c r="G2" s="30"/>
      <c r="I2" s="40" t="s">
        <v>102</v>
      </c>
      <c r="J2" s="13">
        <v>6.5000000000000002E-2</v>
      </c>
      <c r="K2" s="7">
        <v>10000</v>
      </c>
      <c r="L2" s="30">
        <f>K2*J2</f>
        <v>650</v>
      </c>
    </row>
    <row r="3" spans="1:12" ht="16" x14ac:dyDescent="0.25">
      <c r="A3" s="28"/>
      <c r="B3" s="9"/>
      <c r="C3" s="47">
        <f>70000*22</f>
        <v>1540000</v>
      </c>
      <c r="D3" s="48">
        <f>15000*22</f>
        <v>330000</v>
      </c>
      <c r="E3" s="8">
        <v>10</v>
      </c>
      <c r="F3" s="7"/>
      <c r="G3" s="30"/>
      <c r="I3" s="40" t="s">
        <v>103</v>
      </c>
      <c r="J3" s="13">
        <v>0.1</v>
      </c>
      <c r="K3" s="7">
        <v>1750</v>
      </c>
      <c r="L3" s="30">
        <f t="shared" ref="L3:L4" si="0">K3*J3</f>
        <v>175</v>
      </c>
    </row>
    <row r="4" spans="1:12" ht="17" thickBot="1" x14ac:dyDescent="0.3">
      <c r="A4" s="28"/>
      <c r="B4" s="6" t="s">
        <v>0</v>
      </c>
      <c r="C4" s="24">
        <f>SYD(C3,D3,E3,1)</f>
        <v>220000</v>
      </c>
      <c r="D4" s="5"/>
      <c r="E4" s="4"/>
      <c r="F4" s="7"/>
      <c r="G4" s="30"/>
      <c r="I4" s="43" t="s">
        <v>104</v>
      </c>
      <c r="J4" s="34">
        <v>0.15</v>
      </c>
      <c r="K4" s="34">
        <v>400</v>
      </c>
      <c r="L4" s="36">
        <f t="shared" si="0"/>
        <v>60</v>
      </c>
    </row>
    <row r="5" spans="1:12" ht="17" thickBot="1" x14ac:dyDescent="0.3">
      <c r="A5" s="28"/>
      <c r="B5" s="29" t="s">
        <v>1</v>
      </c>
      <c r="C5" s="7"/>
      <c r="D5" s="7"/>
      <c r="E5" s="7"/>
      <c r="F5" s="7"/>
      <c r="G5" s="30"/>
    </row>
    <row r="6" spans="1:12" ht="16" x14ac:dyDescent="0.25">
      <c r="A6" s="28"/>
      <c r="B6" s="9"/>
      <c r="C6" s="47">
        <f>70000*40</f>
        <v>2800000</v>
      </c>
      <c r="D6" s="48">
        <f>15000*40</f>
        <v>600000</v>
      </c>
      <c r="E6" s="8">
        <v>10</v>
      </c>
      <c r="F6" s="3">
        <f>SYD($C$6,$D$6,$E$6,1)</f>
        <v>400000</v>
      </c>
      <c r="G6" s="31">
        <f>SYD($C$6,$D$6,$E$6,2)</f>
        <v>360000</v>
      </c>
      <c r="I6" s="37" t="s">
        <v>177</v>
      </c>
      <c r="J6" s="38" t="s">
        <v>183</v>
      </c>
      <c r="K6" s="39" t="s">
        <v>184</v>
      </c>
    </row>
    <row r="7" spans="1:12" ht="16" x14ac:dyDescent="0.25">
      <c r="A7" s="28"/>
      <c r="B7" s="6" t="s">
        <v>0</v>
      </c>
      <c r="C7" s="24">
        <f>SYD($C$6,$D$6,$E$6,3)</f>
        <v>320000</v>
      </c>
      <c r="D7" s="5"/>
      <c r="E7" s="4"/>
      <c r="F7" s="32">
        <f>C6-F6-G6</f>
        <v>2040000</v>
      </c>
      <c r="G7" s="30"/>
      <c r="I7" s="40" t="s">
        <v>171</v>
      </c>
      <c r="J7" s="149">
        <f>15*8*5*48*140</f>
        <v>4032000</v>
      </c>
      <c r="K7" s="150">
        <f>15*8*5*4*140</f>
        <v>336000</v>
      </c>
    </row>
    <row r="8" spans="1:12" ht="16" x14ac:dyDescent="0.25">
      <c r="A8" s="28"/>
      <c r="B8" s="29" t="s">
        <v>1</v>
      </c>
      <c r="C8" s="7"/>
      <c r="D8" s="7"/>
      <c r="E8" s="7"/>
      <c r="F8" s="7"/>
      <c r="G8" s="30"/>
      <c r="I8" s="40" t="s">
        <v>174</v>
      </c>
      <c r="J8" s="149">
        <f>0.06*J7</f>
        <v>241920</v>
      </c>
      <c r="K8" s="150">
        <f>0.06*K7</f>
        <v>20160</v>
      </c>
    </row>
    <row r="9" spans="1:12" ht="16" x14ac:dyDescent="0.25">
      <c r="A9" s="28"/>
      <c r="B9" s="9"/>
      <c r="C9" s="47">
        <f>70000*20</f>
        <v>1400000</v>
      </c>
      <c r="D9" s="48">
        <f>15000*20</f>
        <v>300000</v>
      </c>
      <c r="E9" s="8">
        <v>10</v>
      </c>
      <c r="F9" s="7"/>
      <c r="G9" s="30"/>
      <c r="I9" s="40" t="s">
        <v>176</v>
      </c>
      <c r="J9" s="149">
        <f>11*K9</f>
        <v>77007.81</v>
      </c>
      <c r="K9" s="150">
        <v>7000.71</v>
      </c>
    </row>
    <row r="10" spans="1:12" ht="16" x14ac:dyDescent="0.25">
      <c r="A10" s="28"/>
      <c r="B10" s="6" t="s">
        <v>0</v>
      </c>
      <c r="C10" s="24">
        <f>SYD($C$9,$D$9,$E$9,6)</f>
        <v>100000</v>
      </c>
      <c r="D10" s="5"/>
      <c r="E10" s="4"/>
      <c r="F10" s="7"/>
      <c r="G10" s="30"/>
      <c r="I10" s="40" t="s">
        <v>178</v>
      </c>
      <c r="J10" s="149">
        <f t="shared" ref="J10:J11" si="1">11*K10</f>
        <v>154000</v>
      </c>
      <c r="K10" s="150">
        <f>14000</f>
        <v>14000</v>
      </c>
    </row>
    <row r="11" spans="1:12" ht="16" x14ac:dyDescent="0.25">
      <c r="A11" s="28"/>
      <c r="B11" s="7"/>
      <c r="C11" s="3">
        <f>SYD($C$9,$D$9,$E$9,1)</f>
        <v>200000</v>
      </c>
      <c r="D11" s="3">
        <f>SYD($C$9,$D$9,$E$9,2)</f>
        <v>180000</v>
      </c>
      <c r="E11" s="3">
        <f>SYD($C$9,$D$9,$E$9,3)</f>
        <v>160000</v>
      </c>
      <c r="F11" s="3">
        <f>SYD($C$9,$D$9,$E$9,4)</f>
        <v>140000</v>
      </c>
      <c r="G11" s="31">
        <f>SYD($C$9,$D$9,$E$9,5)</f>
        <v>120000</v>
      </c>
      <c r="I11" s="40" t="s">
        <v>179</v>
      </c>
      <c r="J11" s="149">
        <f t="shared" si="1"/>
        <v>76870.661999999997</v>
      </c>
      <c r="K11" s="150">
        <v>6988.2420000000002</v>
      </c>
    </row>
    <row r="12" spans="1:12" ht="17" thickBot="1" x14ac:dyDescent="0.3">
      <c r="A12" s="33"/>
      <c r="B12" s="34"/>
      <c r="C12" s="34"/>
      <c r="D12" s="34"/>
      <c r="E12" s="34"/>
      <c r="F12" s="35">
        <f>C9-SUM(C11:G11)</f>
        <v>600000</v>
      </c>
      <c r="G12" s="36"/>
      <c r="I12" s="40" t="s">
        <v>182</v>
      </c>
      <c r="J12" s="149">
        <f>225000*12</f>
        <v>2700000</v>
      </c>
      <c r="K12" s="150"/>
    </row>
    <row r="13" spans="1:12" ht="14" thickBot="1" x14ac:dyDescent="0.2">
      <c r="I13" s="40" t="s">
        <v>180</v>
      </c>
      <c r="J13" s="149">
        <f>J7/20</f>
        <v>201600</v>
      </c>
      <c r="K13" s="150">
        <f>K7/20</f>
        <v>16800</v>
      </c>
    </row>
    <row r="14" spans="1:12" x14ac:dyDescent="0.15">
      <c r="A14" s="37"/>
      <c r="B14" s="38"/>
      <c r="C14" s="38" t="s">
        <v>62</v>
      </c>
      <c r="D14" s="38">
        <v>40</v>
      </c>
      <c r="E14" s="38" t="s">
        <v>63</v>
      </c>
      <c r="F14" s="38" t="s">
        <v>64</v>
      </c>
      <c r="G14" s="39"/>
      <c r="I14" s="40" t="s">
        <v>186</v>
      </c>
      <c r="J14" s="149">
        <f>K7/3*12</f>
        <v>1344000</v>
      </c>
      <c r="K14" s="150"/>
    </row>
    <row r="15" spans="1:12" x14ac:dyDescent="0.15">
      <c r="A15" s="40" t="s">
        <v>52</v>
      </c>
      <c r="B15" s="41" t="s">
        <v>53</v>
      </c>
      <c r="C15" s="41">
        <v>20000</v>
      </c>
      <c r="D15" s="41">
        <v>10</v>
      </c>
      <c r="E15" s="41"/>
      <c r="F15" s="41"/>
      <c r="G15" s="42"/>
      <c r="I15" s="40" t="s">
        <v>181</v>
      </c>
      <c r="J15" s="149">
        <f>('9-11'!I21-20000)*0.25+20000*0.2</f>
        <v>1854516.5110322579</v>
      </c>
      <c r="K15" s="150"/>
    </row>
    <row r="16" spans="1:12" ht="14" thickBot="1" x14ac:dyDescent="0.2">
      <c r="A16" s="40"/>
      <c r="B16" s="41" t="s">
        <v>54</v>
      </c>
      <c r="C16" s="41">
        <v>200000</v>
      </c>
      <c r="D16" s="41">
        <v>30000</v>
      </c>
      <c r="E16" s="41">
        <f>(C16-D16)/$D$14</f>
        <v>4250</v>
      </c>
      <c r="F16" s="41">
        <f>C16-E16*D15</f>
        <v>157500</v>
      </c>
      <c r="G16" s="42"/>
      <c r="I16" s="43" t="s">
        <v>185</v>
      </c>
      <c r="J16" s="151">
        <f>K7/6*12</f>
        <v>672000</v>
      </c>
      <c r="K16" s="152"/>
    </row>
    <row r="17" spans="1:15" x14ac:dyDescent="0.15">
      <c r="A17" s="40"/>
      <c r="B17" s="41" t="s">
        <v>61</v>
      </c>
      <c r="C17" s="41">
        <f>55000*5</f>
        <v>275000</v>
      </c>
      <c r="D17" s="41"/>
      <c r="E17" s="41"/>
      <c r="F17" s="41"/>
      <c r="G17" s="42"/>
    </row>
    <row r="18" spans="1:15" x14ac:dyDescent="0.15">
      <c r="A18" s="40" t="s">
        <v>56</v>
      </c>
      <c r="B18" s="41" t="s">
        <v>53</v>
      </c>
      <c r="C18" s="41">
        <v>25000</v>
      </c>
      <c r="D18" s="41">
        <v>12</v>
      </c>
      <c r="E18" s="41"/>
      <c r="F18" s="41"/>
      <c r="G18" s="42"/>
    </row>
    <row r="19" spans="1:15" x14ac:dyDescent="0.15">
      <c r="A19" s="40"/>
      <c r="B19" s="41" t="s">
        <v>54</v>
      </c>
      <c r="C19" s="41">
        <v>220000</v>
      </c>
      <c r="D19" s="41">
        <v>36000</v>
      </c>
      <c r="E19" s="41">
        <f>(C19-D19)/$D$14</f>
        <v>4600</v>
      </c>
      <c r="F19" s="41">
        <f>C19-E19*D18</f>
        <v>164800</v>
      </c>
      <c r="G19" s="42"/>
    </row>
    <row r="20" spans="1:15" x14ac:dyDescent="0.15">
      <c r="A20" s="40"/>
      <c r="B20" s="41" t="s">
        <v>61</v>
      </c>
      <c r="C20" s="41">
        <f>55000*5</f>
        <v>275000</v>
      </c>
      <c r="D20" s="41"/>
      <c r="E20" s="41"/>
      <c r="F20" s="41"/>
      <c r="G20" s="42"/>
    </row>
    <row r="21" spans="1:15" x14ac:dyDescent="0.15">
      <c r="A21" s="40" t="s">
        <v>57</v>
      </c>
      <c r="B21" s="41" t="s">
        <v>53</v>
      </c>
      <c r="C21" s="41">
        <v>40000</v>
      </c>
      <c r="D21" s="41">
        <v>28</v>
      </c>
      <c r="E21" s="41"/>
      <c r="F21" s="41"/>
      <c r="G21" s="42"/>
    </row>
    <row r="22" spans="1:15" x14ac:dyDescent="0.15">
      <c r="A22" s="40"/>
      <c r="B22" s="41" t="s">
        <v>55</v>
      </c>
      <c r="C22" s="41">
        <v>400000</v>
      </c>
      <c r="D22" s="41">
        <v>90000</v>
      </c>
      <c r="E22" s="41">
        <f>(C22-D22)/$D$14</f>
        <v>7750</v>
      </c>
      <c r="F22" s="41">
        <f>C22-E22*D21</f>
        <v>183000</v>
      </c>
      <c r="G22" s="42"/>
    </row>
    <row r="23" spans="1:15" x14ac:dyDescent="0.15">
      <c r="A23" s="40"/>
      <c r="B23" s="41" t="s">
        <v>61</v>
      </c>
      <c r="C23" s="41">
        <f>55000*7</f>
        <v>385000</v>
      </c>
      <c r="D23" s="41"/>
      <c r="E23" s="41"/>
      <c r="F23" s="41"/>
      <c r="G23" s="42"/>
    </row>
    <row r="24" spans="1:15" x14ac:dyDescent="0.15">
      <c r="A24" s="40"/>
      <c r="B24" s="41"/>
      <c r="C24" s="41"/>
      <c r="D24" s="41"/>
      <c r="E24" s="41"/>
      <c r="F24" s="41"/>
      <c r="G24" s="42"/>
    </row>
    <row r="25" spans="1:15" x14ac:dyDescent="0.15">
      <c r="A25" s="40"/>
      <c r="B25" s="41"/>
      <c r="C25" s="41"/>
      <c r="D25" s="41"/>
      <c r="E25" s="41"/>
      <c r="F25" s="41"/>
      <c r="G25" s="42"/>
    </row>
    <row r="26" spans="1:15" x14ac:dyDescent="0.15">
      <c r="A26" s="40"/>
      <c r="B26" s="41" t="s">
        <v>59</v>
      </c>
      <c r="C26" s="41" t="s">
        <v>60</v>
      </c>
      <c r="D26" s="41"/>
      <c r="E26" s="41"/>
      <c r="F26" s="41"/>
      <c r="G26" s="42"/>
    </row>
    <row r="27" spans="1:15" ht="14" thickBot="1" x14ac:dyDescent="0.2">
      <c r="A27" s="43" t="s">
        <v>58</v>
      </c>
      <c r="B27" s="44">
        <v>100000</v>
      </c>
      <c r="C27" s="44">
        <v>10</v>
      </c>
      <c r="D27" s="44"/>
      <c r="E27" s="44"/>
      <c r="F27" s="44"/>
      <c r="G27" s="45"/>
    </row>
    <row r="28" spans="1:15" ht="14" thickBot="1" x14ac:dyDescent="0.2"/>
    <row r="29" spans="1:15" ht="16" x14ac:dyDescent="0.25">
      <c r="A29" s="25"/>
      <c r="B29" s="26" t="s">
        <v>99</v>
      </c>
      <c r="C29" s="26"/>
      <c r="D29" s="26"/>
      <c r="E29" s="26"/>
      <c r="F29" s="26"/>
      <c r="G29" s="26"/>
      <c r="H29" s="38"/>
      <c r="I29" s="38"/>
      <c r="J29" s="38"/>
      <c r="K29" s="38"/>
      <c r="L29" s="38"/>
      <c r="M29" s="38"/>
      <c r="N29" s="38"/>
      <c r="O29" s="39"/>
    </row>
    <row r="30" spans="1:15" ht="16" x14ac:dyDescent="0.25">
      <c r="A30" s="28"/>
      <c r="B30" s="29" t="s">
        <v>1</v>
      </c>
      <c r="C30" s="7"/>
      <c r="D30" s="7"/>
      <c r="E30" s="7"/>
      <c r="F30" s="7" t="s">
        <v>78</v>
      </c>
      <c r="G30" s="7"/>
      <c r="H30" s="41"/>
      <c r="I30" s="41"/>
      <c r="J30" s="41"/>
      <c r="K30" s="41"/>
      <c r="L30" s="41"/>
      <c r="M30" s="41"/>
      <c r="N30" s="41"/>
      <c r="O30" s="42"/>
    </row>
    <row r="31" spans="1:15" ht="16" x14ac:dyDescent="0.25">
      <c r="A31" s="28" t="s">
        <v>65</v>
      </c>
      <c r="B31" s="7"/>
      <c r="C31" s="46">
        <f>C17</f>
        <v>275000</v>
      </c>
      <c r="D31" s="7">
        <f>5000*5</f>
        <v>25000</v>
      </c>
      <c r="E31" s="7">
        <v>30</v>
      </c>
      <c r="F31" s="32">
        <f>C31-SUM(C33:L33)</f>
        <v>137903.22580645161</v>
      </c>
      <c r="G31" s="7"/>
      <c r="H31" s="41"/>
      <c r="I31" s="41"/>
      <c r="J31" s="41"/>
      <c r="K31" s="41"/>
      <c r="L31" s="41"/>
      <c r="M31" s="41"/>
      <c r="N31" s="41"/>
      <c r="O31" s="42"/>
    </row>
    <row r="32" spans="1:15" ht="16" x14ac:dyDescent="0.25">
      <c r="A32" s="28"/>
      <c r="B32" s="7"/>
      <c r="C32" s="46" t="s">
        <v>68</v>
      </c>
      <c r="D32" s="46" t="s">
        <v>69</v>
      </c>
      <c r="E32" s="46" t="s">
        <v>70</v>
      </c>
      <c r="F32" s="46" t="s">
        <v>71</v>
      </c>
      <c r="G32" s="46" t="s">
        <v>72</v>
      </c>
      <c r="H32" s="46" t="s">
        <v>73</v>
      </c>
      <c r="I32" s="46" t="s">
        <v>74</v>
      </c>
      <c r="J32" s="46" t="s">
        <v>75</v>
      </c>
      <c r="K32" s="46" t="s">
        <v>76</v>
      </c>
      <c r="L32" s="46" t="s">
        <v>77</v>
      </c>
      <c r="M32" s="46" t="s">
        <v>79</v>
      </c>
      <c r="N32" s="41"/>
      <c r="O32" s="42"/>
    </row>
    <row r="33" spans="1:15" ht="16" x14ac:dyDescent="0.25">
      <c r="A33" s="28"/>
      <c r="B33" s="7" t="s">
        <v>0</v>
      </c>
      <c r="C33" s="23">
        <f>SYD($C$31,$D$31,$E$31,1)</f>
        <v>16129.032258064517</v>
      </c>
      <c r="D33" s="23">
        <f>SYD($C$31,$D$31,$E$31,2)</f>
        <v>15591.397849462366</v>
      </c>
      <c r="E33" s="23">
        <f>SYD($C$31,$D$31,$E$31,3)</f>
        <v>15053.763440860215</v>
      </c>
      <c r="F33" s="23">
        <f>SYD($C$31,$D$31,$E$31,4)</f>
        <v>14516.129032258064</v>
      </c>
      <c r="G33" s="23">
        <f>SYD($C$31,$D$31,$E$31,5)</f>
        <v>13978.494623655914</v>
      </c>
      <c r="H33" s="23">
        <f>SYD($C$31,$D$31,$E$31,6)</f>
        <v>13440.860215053763</v>
      </c>
      <c r="I33" s="23">
        <f>SYD($C$31,$D$31,$E$31,7)</f>
        <v>12903.225806451614</v>
      </c>
      <c r="J33" s="23">
        <f>SYD($C$31,$D$31,$E$31,8)</f>
        <v>12365.591397849463</v>
      </c>
      <c r="K33" s="23">
        <f>SYD($C$31,$D$31,$E$31,9)</f>
        <v>11827.956989247312</v>
      </c>
      <c r="L33" s="23">
        <f>SYD($C$31,$D$31,$E$31,10)</f>
        <v>11290.322580645161</v>
      </c>
      <c r="M33" s="23">
        <f>SYD($C$31,$D$31,$E$31,11)</f>
        <v>10752.68817204301</v>
      </c>
      <c r="N33" s="41"/>
      <c r="O33" s="42"/>
    </row>
    <row r="34" spans="1:15" ht="16" x14ac:dyDescent="0.25">
      <c r="A34" s="28"/>
      <c r="B34" s="29" t="s">
        <v>1</v>
      </c>
      <c r="C34" s="7"/>
      <c r="D34" s="7"/>
      <c r="E34" s="7"/>
      <c r="F34" s="7"/>
      <c r="G34" s="7"/>
      <c r="H34" s="41"/>
      <c r="I34" s="41"/>
      <c r="J34" s="41"/>
      <c r="K34" s="41"/>
      <c r="L34" s="41"/>
      <c r="M34" s="41"/>
      <c r="N34" s="41"/>
      <c r="O34" s="42"/>
    </row>
    <row r="35" spans="1:15" ht="16" x14ac:dyDescent="0.25">
      <c r="A35" s="28" t="s">
        <v>66</v>
      </c>
      <c r="B35" s="7"/>
      <c r="C35" s="46">
        <f>C20</f>
        <v>275000</v>
      </c>
      <c r="D35" s="7">
        <f>5000*5</f>
        <v>25000</v>
      </c>
      <c r="E35" s="7">
        <v>30</v>
      </c>
      <c r="F35" s="32">
        <f>C35-SUM(C37:N37)</f>
        <v>116935.48387096773</v>
      </c>
      <c r="G35" s="7"/>
      <c r="H35" s="41"/>
      <c r="I35" s="41"/>
      <c r="J35" s="41"/>
      <c r="K35" s="41"/>
      <c r="L35" s="41"/>
      <c r="M35" s="41"/>
      <c r="N35" s="41"/>
      <c r="O35" s="42"/>
    </row>
    <row r="36" spans="1:15" ht="16" x14ac:dyDescent="0.25">
      <c r="A36" s="28"/>
      <c r="B36" s="7"/>
      <c r="C36" s="46" t="s">
        <v>68</v>
      </c>
      <c r="D36" s="46" t="s">
        <v>69</v>
      </c>
      <c r="E36" s="46" t="s">
        <v>70</v>
      </c>
      <c r="F36" s="46" t="s">
        <v>71</v>
      </c>
      <c r="G36" s="46" t="s">
        <v>72</v>
      </c>
      <c r="H36" s="46" t="s">
        <v>73</v>
      </c>
      <c r="I36" s="46" t="s">
        <v>74</v>
      </c>
      <c r="J36" s="46" t="s">
        <v>75</v>
      </c>
      <c r="K36" s="46" t="s">
        <v>76</v>
      </c>
      <c r="L36" s="46" t="s">
        <v>77</v>
      </c>
      <c r="M36" s="46" t="s">
        <v>79</v>
      </c>
      <c r="N36" s="46" t="s">
        <v>80</v>
      </c>
      <c r="O36" s="102" t="s">
        <v>81</v>
      </c>
    </row>
    <row r="37" spans="1:15" ht="16" x14ac:dyDescent="0.25">
      <c r="A37" s="28"/>
      <c r="B37" s="7" t="s">
        <v>0</v>
      </c>
      <c r="C37" s="23">
        <f>SYD($C$35,$D$35,$E$35,1)</f>
        <v>16129.032258064517</v>
      </c>
      <c r="D37" s="23">
        <f>SYD($C$35,$D$35,$E$35,2)</f>
        <v>15591.397849462366</v>
      </c>
      <c r="E37" s="23">
        <f>SYD($C$35,$D$35,$E$35,3)</f>
        <v>15053.763440860215</v>
      </c>
      <c r="F37" s="23">
        <f>SYD($C$35,$D$35,$E$35,4)</f>
        <v>14516.129032258064</v>
      </c>
      <c r="G37" s="23">
        <f>SYD($C$35,$D$35,$E$35,5)</f>
        <v>13978.494623655914</v>
      </c>
      <c r="H37" s="23">
        <f>SYD($C$35,$D$35,$E$35,6)</f>
        <v>13440.860215053763</v>
      </c>
      <c r="I37" s="23">
        <f>SYD($C$35,$D$35,$E$35,7)</f>
        <v>12903.225806451614</v>
      </c>
      <c r="J37" s="23">
        <f>SYD($C$35,$D$35,$E$35,8)</f>
        <v>12365.591397849463</v>
      </c>
      <c r="K37" s="23">
        <f>SYD($C$35,$D$35,$E$35,9)</f>
        <v>11827.956989247312</v>
      </c>
      <c r="L37" s="23">
        <f>SYD($C$35,$D$35,$E$35,10)</f>
        <v>11290.322580645161</v>
      </c>
      <c r="M37" s="23">
        <f>SYD($C$35,$D$35,$E$35,11)</f>
        <v>10752.68817204301</v>
      </c>
      <c r="N37" s="23">
        <f>SYD($C$35,$D$35,$E$35,12)</f>
        <v>10215.053763440861</v>
      </c>
      <c r="O37" s="103">
        <f>SYD($C$35,$D$35,$E$35,13)</f>
        <v>9677.4193548387102</v>
      </c>
    </row>
    <row r="38" spans="1:15" ht="16" x14ac:dyDescent="0.25">
      <c r="A38" s="28"/>
      <c r="B38" s="29" t="s">
        <v>1</v>
      </c>
      <c r="C38" s="7"/>
      <c r="D38" s="7"/>
      <c r="E38" s="7"/>
      <c r="F38" s="7"/>
      <c r="G38" s="7"/>
      <c r="H38" s="41"/>
      <c r="I38" s="41"/>
      <c r="J38" s="41"/>
      <c r="K38" s="41"/>
      <c r="L38" s="41"/>
      <c r="M38" s="41"/>
      <c r="N38" s="41"/>
      <c r="O38" s="42"/>
    </row>
    <row r="39" spans="1:15" ht="16" x14ac:dyDescent="0.25">
      <c r="A39" s="28" t="s">
        <v>67</v>
      </c>
      <c r="B39" s="7"/>
      <c r="C39" s="46">
        <f>C23</f>
        <v>385000</v>
      </c>
      <c r="D39" s="7">
        <f>5000*7</f>
        <v>35000</v>
      </c>
      <c r="E39" s="7">
        <v>30</v>
      </c>
      <c r="F39" s="32">
        <f>C39-SUM(C41:M41,C43:M43,C45:H45)</f>
        <v>37258.064516129205</v>
      </c>
      <c r="G39" s="7"/>
      <c r="H39" s="41"/>
      <c r="I39" s="41"/>
      <c r="J39" s="41"/>
      <c r="K39" s="41"/>
      <c r="L39" s="41"/>
      <c r="M39" s="41"/>
      <c r="N39" s="41"/>
      <c r="O39" s="42"/>
    </row>
    <row r="40" spans="1:15" ht="16" x14ac:dyDescent="0.25">
      <c r="A40" s="28"/>
      <c r="B40" s="7"/>
      <c r="C40" s="46" t="s">
        <v>68</v>
      </c>
      <c r="D40" s="46" t="s">
        <v>69</v>
      </c>
      <c r="E40" s="46" t="s">
        <v>70</v>
      </c>
      <c r="F40" s="46" t="s">
        <v>71</v>
      </c>
      <c r="G40" s="46" t="s">
        <v>72</v>
      </c>
      <c r="H40" s="46" t="s">
        <v>73</v>
      </c>
      <c r="I40" s="46" t="s">
        <v>74</v>
      </c>
      <c r="J40" s="46" t="s">
        <v>75</v>
      </c>
      <c r="K40" s="46" t="s">
        <v>76</v>
      </c>
      <c r="L40" s="46" t="s">
        <v>77</v>
      </c>
      <c r="M40" s="46" t="s">
        <v>79</v>
      </c>
      <c r="N40" s="41"/>
      <c r="O40" s="42"/>
    </row>
    <row r="41" spans="1:15" ht="16" x14ac:dyDescent="0.25">
      <c r="A41" s="28"/>
      <c r="B41" s="7" t="s">
        <v>0</v>
      </c>
      <c r="C41" s="23">
        <f>SYD($C$39,$D$39,$E$39,1)</f>
        <v>22580.645161290322</v>
      </c>
      <c r="D41" s="23">
        <f>SYD($C$39,$D$39,$E$39,2)</f>
        <v>21827.956989247312</v>
      </c>
      <c r="E41" s="23">
        <f>SYD($C$39,$D$39,$E$39,3)</f>
        <v>21075.268817204302</v>
      </c>
      <c r="F41" s="23">
        <f>SYD($C$39,$D$39,$E$39,4)</f>
        <v>20322.580645161292</v>
      </c>
      <c r="G41" s="23">
        <f>SYD($C$39,$D$39,$E$39,5)</f>
        <v>19569.892473118278</v>
      </c>
      <c r="H41" s="23">
        <f>SYD($C$39,$D$39,$E$39,6)</f>
        <v>18817.204301075268</v>
      </c>
      <c r="I41" s="23">
        <f>SYD($C$39,$D$39,$E$39,7)</f>
        <v>18064.516129032258</v>
      </c>
      <c r="J41" s="23">
        <f>SYD($C$39,$D$39,$E$39,8)</f>
        <v>17311.827956989247</v>
      </c>
      <c r="K41" s="23">
        <f>SYD($C$39,$D$39,$E$39,9)</f>
        <v>16559.139784946237</v>
      </c>
      <c r="L41" s="23">
        <f>SYD($C$39,$D$39,$E$39,10)</f>
        <v>15806.451612903225</v>
      </c>
      <c r="M41" s="23">
        <f>SYD($C$39,$D$39,$E$39,11)</f>
        <v>15053.763440860215</v>
      </c>
      <c r="N41" s="41"/>
      <c r="O41" s="42"/>
    </row>
    <row r="42" spans="1:15" x14ac:dyDescent="0.15">
      <c r="A42" s="40"/>
      <c r="B42" s="41"/>
      <c r="C42" s="46" t="s">
        <v>82</v>
      </c>
      <c r="D42" s="46" t="s">
        <v>81</v>
      </c>
      <c r="E42" s="46" t="s">
        <v>83</v>
      </c>
      <c r="F42" s="46" t="s">
        <v>84</v>
      </c>
      <c r="G42" s="46" t="s">
        <v>85</v>
      </c>
      <c r="H42" s="46" t="s">
        <v>86</v>
      </c>
      <c r="I42" s="46" t="s">
        <v>87</v>
      </c>
      <c r="J42" s="46" t="s">
        <v>88</v>
      </c>
      <c r="K42" s="46" t="s">
        <v>89</v>
      </c>
      <c r="L42" s="46" t="s">
        <v>90</v>
      </c>
      <c r="M42" s="46" t="s">
        <v>91</v>
      </c>
      <c r="N42" s="41"/>
      <c r="O42" s="42"/>
    </row>
    <row r="43" spans="1:15" ht="16" x14ac:dyDescent="0.25">
      <c r="A43" s="40"/>
      <c r="B43" s="41"/>
      <c r="C43" s="23">
        <f>SYD($C$39,$D$39,$E$39,12)</f>
        <v>14301.075268817205</v>
      </c>
      <c r="D43" s="23">
        <f>SYD($C$39,$D$39,$E$39,13)</f>
        <v>13548.387096774193</v>
      </c>
      <c r="E43" s="23">
        <f>SYD($C$39,$D$39,$E$39,14)</f>
        <v>12795.698924731183</v>
      </c>
      <c r="F43" s="23">
        <f>SYD($C$39,$D$39,$E$39,15)</f>
        <v>12043.010752688173</v>
      </c>
      <c r="G43" s="23">
        <f>SYD($C$39,$D$39,$E$39,16)</f>
        <v>11290.322580645161</v>
      </c>
      <c r="H43" s="23">
        <f>SYD($C$39,$D$39,$E$39,17)</f>
        <v>10537.634408602151</v>
      </c>
      <c r="I43" s="23">
        <f>SYD($C$39,$D$39,$E$39,18)</f>
        <v>9784.9462365591389</v>
      </c>
      <c r="J43" s="23">
        <f>SYD($C$39,$D$39,$E$39,19)</f>
        <v>9032.2580645161288</v>
      </c>
      <c r="K43" s="23">
        <f>SYD($C$39,$D$39,$E$39,20)</f>
        <v>8279.5698924731187</v>
      </c>
      <c r="L43" s="23">
        <f>SYD($C$39,$D$39,$E$39,21)</f>
        <v>7526.8817204301076</v>
      </c>
      <c r="M43" s="23">
        <f>SYD($C$39,$D$39,$E$39,22)</f>
        <v>6774.1935483870966</v>
      </c>
      <c r="N43" s="41"/>
      <c r="O43" s="42"/>
    </row>
    <row r="44" spans="1:15" x14ac:dyDescent="0.15">
      <c r="A44" s="40"/>
      <c r="B44" s="41"/>
      <c r="C44" s="46" t="s">
        <v>92</v>
      </c>
      <c r="D44" s="46" t="s">
        <v>93</v>
      </c>
      <c r="E44" s="46" t="s">
        <v>94</v>
      </c>
      <c r="F44" s="46" t="s">
        <v>95</v>
      </c>
      <c r="G44" s="46" t="s">
        <v>96</v>
      </c>
      <c r="H44" s="46" t="s">
        <v>97</v>
      </c>
      <c r="I44" s="46" t="s">
        <v>98</v>
      </c>
      <c r="J44" s="41"/>
      <c r="K44" s="41"/>
      <c r="L44" s="41"/>
      <c r="M44" s="41"/>
      <c r="N44" s="41"/>
      <c r="O44" s="42"/>
    </row>
    <row r="45" spans="1:15" ht="17" thickBot="1" x14ac:dyDescent="0.3">
      <c r="A45" s="43"/>
      <c r="B45" s="44"/>
      <c r="C45" s="104">
        <f>SYD($C$39,$D$39,$E$39,23)</f>
        <v>6021.5053763440865</v>
      </c>
      <c r="D45" s="104">
        <f>SYD($C$39,$D$39,$E$39,24)</f>
        <v>5268.8172043010754</v>
      </c>
      <c r="E45" s="104">
        <f>SYD($C$39,$D$39,$E$39,25)</f>
        <v>4516.1290322580644</v>
      </c>
      <c r="F45" s="104">
        <f>SYD($C$39,$D$39,$E$39,26)</f>
        <v>3763.4408602150538</v>
      </c>
      <c r="G45" s="104">
        <f>SYD($C$39,$D$39,$E$39,27)</f>
        <v>3010.7526881720432</v>
      </c>
      <c r="H45" s="104">
        <f>SYD($C$39,$D$39,$E$39,28)</f>
        <v>2258.0645161290322</v>
      </c>
      <c r="I45" s="104">
        <f>SYD($C$39,$D$39,$E$39,29)</f>
        <v>1505.3763440860216</v>
      </c>
      <c r="J45" s="44"/>
      <c r="K45" s="44"/>
      <c r="L45" s="44"/>
      <c r="M45" s="44"/>
      <c r="N45" s="44"/>
      <c r="O45" s="45"/>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zoomScale="190" zoomScaleNormal="190" workbookViewId="0">
      <selection activeCell="G6" sqref="G6"/>
    </sheetView>
  </sheetViews>
  <sheetFormatPr baseColWidth="10" defaultRowHeight="13" x14ac:dyDescent="0.15"/>
  <cols>
    <col min="1" max="1" width="21.6640625" bestFit="1" customWidth="1"/>
    <col min="3" max="3" width="12.5" bestFit="1" customWidth="1"/>
    <col min="4" max="4" width="16.5" bestFit="1" customWidth="1"/>
    <col min="5" max="5" width="9.33203125" customWidth="1"/>
    <col min="6" max="6" width="25" bestFit="1" customWidth="1"/>
  </cols>
  <sheetData>
    <row r="1" spans="1:7" x14ac:dyDescent="0.15">
      <c r="A1" t="s">
        <v>188</v>
      </c>
      <c r="B1">
        <f>2000*52</f>
        <v>104000</v>
      </c>
      <c r="F1" t="s">
        <v>212</v>
      </c>
      <c r="G1" s="153">
        <f>SUM(E8:E22)</f>
        <v>150582.13742059554</v>
      </c>
    </row>
    <row r="2" spans="1:7" x14ac:dyDescent="0.15">
      <c r="A2" t="s">
        <v>209</v>
      </c>
      <c r="B2" s="153">
        <f>'9-11'!I6/52/2000</f>
        <v>169.23076923076923</v>
      </c>
      <c r="F2" t="s">
        <v>214</v>
      </c>
      <c r="G2" s="153">
        <f>SUM(D11:D17)</f>
        <v>46.014656933002485</v>
      </c>
    </row>
    <row r="3" spans="1:7" x14ac:dyDescent="0.15">
      <c r="A3" t="s">
        <v>206</v>
      </c>
      <c r="B3">
        <v>11</v>
      </c>
      <c r="F3" t="s">
        <v>209</v>
      </c>
      <c r="G3" s="153">
        <f>B2</f>
        <v>169.23076923076923</v>
      </c>
    </row>
    <row r="4" spans="1:7" x14ac:dyDescent="0.15">
      <c r="A4" t="s">
        <v>207</v>
      </c>
      <c r="B4">
        <v>24</v>
      </c>
    </row>
    <row r="5" spans="1:7" x14ac:dyDescent="0.15">
      <c r="A5" t="s">
        <v>208</v>
      </c>
      <c r="B5">
        <f>ROUNDUP(B1/52/82,0)</f>
        <v>25</v>
      </c>
      <c r="F5" t="s">
        <v>215</v>
      </c>
      <c r="G5" s="153">
        <f>ROUNDUP(G1/(G3-G2),0)</f>
        <v>1223</v>
      </c>
    </row>
    <row r="7" spans="1:7" x14ac:dyDescent="0.15">
      <c r="A7" t="s">
        <v>189</v>
      </c>
      <c r="B7" t="s">
        <v>190</v>
      </c>
      <c r="C7" t="s">
        <v>210</v>
      </c>
      <c r="D7" t="s">
        <v>211</v>
      </c>
      <c r="E7" t="s">
        <v>213</v>
      </c>
    </row>
    <row r="8" spans="1:7" ht="16" x14ac:dyDescent="0.15">
      <c r="A8" s="111" t="s">
        <v>186</v>
      </c>
      <c r="B8" s="154" t="s">
        <v>204</v>
      </c>
      <c r="C8" s="153">
        <f>-VLOOKUP(A8,'9-11'!H:I,2,0)</f>
        <v>1344000</v>
      </c>
      <c r="E8" s="153">
        <f>C8/52</f>
        <v>25846.153846153848</v>
      </c>
    </row>
    <row r="9" spans="1:7" ht="16" x14ac:dyDescent="0.15">
      <c r="A9" s="111" t="s">
        <v>191</v>
      </c>
      <c r="B9" t="s">
        <v>204</v>
      </c>
      <c r="C9" s="153">
        <f>-VLOOKUP(A9,'9-11'!H:I,2,0)+'9-11'!F8</f>
        <v>4368000</v>
      </c>
      <c r="E9" s="153">
        <f>C9/52</f>
        <v>84000</v>
      </c>
    </row>
    <row r="10" spans="1:7" ht="16" x14ac:dyDescent="0.15">
      <c r="A10" s="111" t="s">
        <v>192</v>
      </c>
      <c r="B10" t="s">
        <v>204</v>
      </c>
      <c r="C10" s="153">
        <f>-VLOOKUP(A10,'9-11'!H:I,2,0)+'9-11'!F9</f>
        <v>262080</v>
      </c>
      <c r="E10" s="153">
        <f>C10/52</f>
        <v>5040</v>
      </c>
    </row>
    <row r="11" spans="1:7" x14ac:dyDescent="0.15">
      <c r="A11" s="129" t="s">
        <v>193</v>
      </c>
      <c r="B11" t="s">
        <v>205</v>
      </c>
      <c r="C11" s="153">
        <f>-VLOOKUP(A11,'9-11'!H:I,2,0)</f>
        <v>77007.81</v>
      </c>
      <c r="D11" s="153">
        <f>C11/52/2000</f>
        <v>0.74045971153846157</v>
      </c>
    </row>
    <row r="12" spans="1:7" x14ac:dyDescent="0.15">
      <c r="A12" s="129" t="s">
        <v>194</v>
      </c>
      <c r="B12" t="s">
        <v>205</v>
      </c>
      <c r="C12" s="153">
        <f>-VLOOKUP(A12,'9-11'!H:I,2,0)</f>
        <v>154000</v>
      </c>
      <c r="D12" s="153">
        <f>C12/52/2000</f>
        <v>1.4807692307692306</v>
      </c>
    </row>
    <row r="13" spans="1:7" x14ac:dyDescent="0.15">
      <c r="A13" s="129" t="s">
        <v>195</v>
      </c>
      <c r="B13" t="s">
        <v>204</v>
      </c>
      <c r="C13" s="153">
        <f>-VLOOKUP(A13,'9-11'!H:I,2,0)</f>
        <v>76870.661999999997</v>
      </c>
      <c r="E13" s="153">
        <f>C13/52</f>
        <v>1478.2819615384615</v>
      </c>
    </row>
    <row r="14" spans="1:7" ht="16" x14ac:dyDescent="0.15">
      <c r="A14" s="111" t="s">
        <v>196</v>
      </c>
      <c r="B14" t="s">
        <v>204</v>
      </c>
      <c r="C14" s="153">
        <f>-VLOOKUP(A14,'9-11'!H:I,2,0)</f>
        <v>201600</v>
      </c>
      <c r="E14" s="153">
        <f>C14/52</f>
        <v>3876.9230769230771</v>
      </c>
    </row>
    <row r="15" spans="1:7" ht="16" x14ac:dyDescent="0.15">
      <c r="A15" s="111" t="s">
        <v>197</v>
      </c>
      <c r="B15" t="s">
        <v>205</v>
      </c>
      <c r="C15" s="153">
        <f>-VLOOKUP(A15,'9-11'!H:I,2,0)</f>
        <v>2700000</v>
      </c>
      <c r="D15" s="153">
        <f>C15/52/2000</f>
        <v>25.96153846153846</v>
      </c>
    </row>
    <row r="16" spans="1:7" ht="16" x14ac:dyDescent="0.15">
      <c r="A16" s="111" t="s">
        <v>185</v>
      </c>
      <c r="B16" t="s">
        <v>204</v>
      </c>
      <c r="C16" s="153">
        <f>-VLOOKUP(A16,'9-11'!H:I,2,0)</f>
        <v>672000</v>
      </c>
      <c r="E16" s="153">
        <f>C16/52</f>
        <v>12923.076923076924</v>
      </c>
    </row>
    <row r="17" spans="1:5" ht="16" x14ac:dyDescent="0.15">
      <c r="A17" s="111" t="s">
        <v>198</v>
      </c>
      <c r="B17" t="s">
        <v>205</v>
      </c>
      <c r="C17" s="153">
        <f>'9-11'!F10</f>
        <v>1854516.5110322579</v>
      </c>
      <c r="D17" s="153">
        <f>C17/52/2000</f>
        <v>17.831889529156328</v>
      </c>
    </row>
    <row r="18" spans="1:5" ht="16" x14ac:dyDescent="0.15">
      <c r="A18" s="111" t="s">
        <v>199</v>
      </c>
      <c r="B18" t="s">
        <v>204</v>
      </c>
      <c r="C18" s="153">
        <f>'9-11'!F11</f>
        <v>226300</v>
      </c>
      <c r="E18" s="153">
        <f>C18/52</f>
        <v>4351.9230769230771</v>
      </c>
    </row>
    <row r="19" spans="1:5" ht="16" x14ac:dyDescent="0.15">
      <c r="A19" s="111" t="s">
        <v>200</v>
      </c>
      <c r="B19" t="s">
        <v>204</v>
      </c>
      <c r="C19" s="153">
        <f>'9-11'!F13</f>
        <v>885</v>
      </c>
      <c r="E19" s="153">
        <f>C19/52</f>
        <v>17.01923076923077</v>
      </c>
    </row>
    <row r="20" spans="1:5" ht="16" x14ac:dyDescent="0.15">
      <c r="A20" s="111" t="s">
        <v>203</v>
      </c>
      <c r="B20" t="s">
        <v>204</v>
      </c>
      <c r="C20" s="153">
        <f>-VLOOKUP(A20,'9-11'!H:I,2,0)</f>
        <v>640000</v>
      </c>
      <c r="E20" s="153">
        <f>C20/52</f>
        <v>12307.692307692309</v>
      </c>
    </row>
    <row r="21" spans="1:5" ht="16" x14ac:dyDescent="0.15">
      <c r="A21" s="111" t="s">
        <v>201</v>
      </c>
      <c r="B21" t="s">
        <v>204</v>
      </c>
      <c r="C21" s="153">
        <f>-VLOOKUP(A21,'9-11'!H:I,2,0)</f>
        <v>16600</v>
      </c>
      <c r="E21" s="153">
        <f>C21/52</f>
        <v>319.23076923076923</v>
      </c>
    </row>
    <row r="22" spans="1:5" ht="16" x14ac:dyDescent="0.15">
      <c r="A22" s="111" t="s">
        <v>202</v>
      </c>
      <c r="B22" t="s">
        <v>204</v>
      </c>
      <c r="C22" s="153">
        <f>-VLOOKUP(A22,'9-11'!H:I,2,0)</f>
        <v>21935.483870967742</v>
      </c>
      <c r="E22" s="153">
        <f>C22/52</f>
        <v>421.83622828784121</v>
      </c>
    </row>
  </sheetData>
  <autoFilter ref="A7:C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52" customWidth="1"/>
    <col min="2" max="2" width="25.6640625" style="61" customWidth="1"/>
    <col min="3" max="3" width="12.6640625" style="52" customWidth="1"/>
    <col min="4" max="15" width="9" style="52" customWidth="1"/>
    <col min="16" max="16" width="12.33203125" style="52" customWidth="1"/>
    <col min="17" max="29" width="7.6640625" style="52" customWidth="1"/>
    <col min="30" max="30" width="9.83203125" style="52" customWidth="1"/>
    <col min="31" max="31" width="2.6640625" style="52" customWidth="1"/>
    <col min="32" max="16384" width="8.83203125" style="52"/>
  </cols>
  <sheetData>
    <row r="1" spans="1:30" ht="35" customHeight="1" x14ac:dyDescent="0.2">
      <c r="A1" s="50"/>
      <c r="B1" s="51" t="s">
        <v>108</v>
      </c>
      <c r="J1" s="53"/>
      <c r="Q1" s="54"/>
      <c r="R1" s="54"/>
      <c r="S1" s="54"/>
      <c r="T1" s="54"/>
      <c r="U1" s="54"/>
      <c r="V1" s="54"/>
      <c r="W1" s="54"/>
      <c r="X1" s="54"/>
      <c r="Y1" s="54"/>
      <c r="Z1" s="54"/>
      <c r="AA1" s="54"/>
      <c r="AB1" s="54"/>
      <c r="AC1" s="54"/>
      <c r="AD1" s="55" t="s">
        <v>109</v>
      </c>
    </row>
    <row r="2" spans="1:30" ht="60" customHeight="1" x14ac:dyDescent="0.2">
      <c r="B2" s="56" t="s">
        <v>110</v>
      </c>
      <c r="E2" s="57"/>
      <c r="G2" s="57"/>
      <c r="K2" s="57"/>
      <c r="L2" s="57"/>
      <c r="M2" s="57"/>
      <c r="N2" s="57"/>
      <c r="O2" s="57"/>
      <c r="X2" s="58"/>
      <c r="Y2" s="58"/>
      <c r="Z2" s="58"/>
      <c r="AA2" s="58"/>
      <c r="AB2" s="59" t="s">
        <v>111</v>
      </c>
      <c r="AC2" s="59" t="s">
        <v>112</v>
      </c>
      <c r="AD2" s="60">
        <v>2017</v>
      </c>
    </row>
    <row r="3" spans="1:30" ht="20" customHeight="1" x14ac:dyDescent="0.2">
      <c r="B3" s="61" t="s">
        <v>113</v>
      </c>
      <c r="D3" s="62" t="str">
        <f>UPPER(TEXT(DATE(FYStartYear,FYMonthNo,1),"mmm-jj"))</f>
        <v>JAN-JJ</v>
      </c>
      <c r="E3" s="62" t="str">
        <f>UPPER(TEXT(DATE(FYStartYear,FYMonthNo+1,1),"mmm-jj"))</f>
        <v>FEB-JJ</v>
      </c>
      <c r="F3" s="62" t="str">
        <f>UPPER(TEXT(DATE(FYStartYear,FYMonthNo+2,1),"mmm-jj"))</f>
        <v>MAR-JJ</v>
      </c>
      <c r="G3" s="62" t="str">
        <f>UPPER(TEXT(DATE(FYStartYear,FYMonthNo+3,1),"mmm-jj"))</f>
        <v>APR-JJ</v>
      </c>
      <c r="H3" s="62" t="str">
        <f>UPPER(TEXT(DATE(FYStartYear,FYMonthNo+4,1),"mmm-jj"))</f>
        <v>MAY-JJ</v>
      </c>
      <c r="I3" s="62" t="str">
        <f>UPPER(TEXT(DATE(FYStartYear,FYMonthNo+5,1),"mmm-jj"))</f>
        <v>JUN-JJ</v>
      </c>
      <c r="J3" s="62" t="str">
        <f>UPPER(TEXT(DATE(FYStartYear,FYMonthNo+6,1),"mmm-jj"))</f>
        <v>JUL-JJ</v>
      </c>
      <c r="K3" s="62" t="str">
        <f>UPPER(TEXT(DATE(FYStartYear,FYMonthNo+7,1),"mmm-jj"))</f>
        <v>AUG-JJ</v>
      </c>
      <c r="L3" s="62" t="str">
        <f>UPPER(TEXT(DATE(FYStartYear,FYMonthNo+8,1),"mmm-jj"))</f>
        <v>SEP-JJ</v>
      </c>
      <c r="M3" s="62" t="str">
        <f>UPPER(TEXT(DATE(FYStartYear,FYMonthNo+9,1),"mmm-jj"))</f>
        <v>OCT-JJ</v>
      </c>
      <c r="N3" s="62" t="str">
        <f>UPPER(TEXT(DATE(FYStartYear,FYMonthNo+10,1),"mmm-jj"))</f>
        <v>NOV-JJ</v>
      </c>
      <c r="O3" s="62" t="str">
        <f>UPPER(TEXT(DATE(FYStartYear,FYMonthNo+11,1),"mmm-jj"))</f>
        <v>DEC-JJ</v>
      </c>
      <c r="P3" s="62" t="s">
        <v>114</v>
      </c>
      <c r="Q3" s="62" t="s">
        <v>115</v>
      </c>
      <c r="R3" s="62" t="str">
        <f>LEFT(D3,3)&amp;" %"</f>
        <v>JAN %</v>
      </c>
      <c r="S3" s="62" t="str">
        <f t="shared" ref="S3:AC3" si="0">LEFT(E3,3)&amp;" %"</f>
        <v>FEB %</v>
      </c>
      <c r="T3" s="62" t="str">
        <f t="shared" si="0"/>
        <v>MAR %</v>
      </c>
      <c r="U3" s="62" t="str">
        <f t="shared" si="0"/>
        <v>APR %</v>
      </c>
      <c r="V3" s="62" t="str">
        <f t="shared" si="0"/>
        <v>MAY %</v>
      </c>
      <c r="W3" s="62" t="str">
        <f t="shared" si="0"/>
        <v>JUN %</v>
      </c>
      <c r="X3" s="62" t="str">
        <f t="shared" si="0"/>
        <v>JUL %</v>
      </c>
      <c r="Y3" s="62" t="str">
        <f t="shared" si="0"/>
        <v>AUG %</v>
      </c>
      <c r="Z3" s="62" t="str">
        <f t="shared" si="0"/>
        <v>SEP %</v>
      </c>
      <c r="AA3" s="62" t="str">
        <f t="shared" si="0"/>
        <v>OCT %</v>
      </c>
      <c r="AB3" s="62" t="str">
        <f t="shared" si="0"/>
        <v>NOV %</v>
      </c>
      <c r="AC3" s="62" t="str">
        <f t="shared" si="0"/>
        <v>DEC %</v>
      </c>
      <c r="AD3" s="62" t="s">
        <v>116</v>
      </c>
    </row>
    <row r="4" spans="1:30" ht="35" customHeight="1" x14ac:dyDescent="0.2">
      <c r="B4" s="63" t="s">
        <v>117</v>
      </c>
      <c r="C4" s="64" t="s">
        <v>118</v>
      </c>
      <c r="D4" s="65" t="s">
        <v>119</v>
      </c>
      <c r="E4" s="65" t="s">
        <v>120</v>
      </c>
      <c r="F4" s="65" t="s">
        <v>121</v>
      </c>
      <c r="G4" s="65" t="s">
        <v>122</v>
      </c>
      <c r="H4" s="65" t="s">
        <v>123</v>
      </c>
      <c r="I4" s="65" t="s">
        <v>124</v>
      </c>
      <c r="J4" s="65" t="s">
        <v>125</v>
      </c>
      <c r="K4" s="65" t="s">
        <v>126</v>
      </c>
      <c r="L4" s="65" t="s">
        <v>127</v>
      </c>
      <c r="M4" s="65" t="s">
        <v>128</v>
      </c>
      <c r="N4" s="65" t="s">
        <v>129</v>
      </c>
      <c r="O4" s="65" t="s">
        <v>130</v>
      </c>
      <c r="P4" s="65" t="s">
        <v>131</v>
      </c>
      <c r="Q4" s="66" t="s">
        <v>132</v>
      </c>
      <c r="R4" s="66" t="s">
        <v>133</v>
      </c>
      <c r="S4" s="66" t="s">
        <v>134</v>
      </c>
      <c r="T4" s="66" t="s">
        <v>135</v>
      </c>
      <c r="U4" s="66" t="s">
        <v>136</v>
      </c>
      <c r="V4" s="66" t="s">
        <v>137</v>
      </c>
      <c r="W4" s="66" t="s">
        <v>138</v>
      </c>
      <c r="X4" s="66" t="s">
        <v>139</v>
      </c>
      <c r="Y4" s="66" t="s">
        <v>140</v>
      </c>
      <c r="Z4" s="66" t="s">
        <v>141</v>
      </c>
      <c r="AA4" s="66" t="s">
        <v>142</v>
      </c>
      <c r="AB4" s="66" t="s">
        <v>143</v>
      </c>
      <c r="AC4" s="66" t="s">
        <v>144</v>
      </c>
      <c r="AD4" s="65" t="s">
        <v>145</v>
      </c>
    </row>
    <row r="5" spans="1:30" ht="35" customHeight="1" x14ac:dyDescent="0.2">
      <c r="B5" s="67" t="s">
        <v>146</v>
      </c>
      <c r="C5" s="68"/>
      <c r="D5" s="69">
        <v>1286</v>
      </c>
      <c r="E5" s="69">
        <v>1320</v>
      </c>
      <c r="F5" s="69">
        <v>1288</v>
      </c>
      <c r="G5" s="69">
        <v>1485</v>
      </c>
      <c r="H5" s="69">
        <v>1503</v>
      </c>
      <c r="I5" s="69">
        <v>1632</v>
      </c>
      <c r="J5" s="69">
        <v>1692</v>
      </c>
      <c r="K5" s="69">
        <v>1275</v>
      </c>
      <c r="L5" s="69">
        <v>1208</v>
      </c>
      <c r="M5" s="69">
        <v>1408</v>
      </c>
      <c r="N5" s="69">
        <v>1620</v>
      </c>
      <c r="O5" s="69">
        <v>1369</v>
      </c>
      <c r="P5" s="70">
        <f>SUM(Inkomsten[[#This Row],[Jan]:[Dec]])</f>
        <v>17086</v>
      </c>
      <c r="Q5" s="71">
        <v>0.12</v>
      </c>
      <c r="R5" s="72">
        <f>IFERROR(Inkomsten[[#This Row],[Jan]]/Inkomsten[[#Totals],[Jan]],"-")</f>
        <v>0.97498104624715698</v>
      </c>
      <c r="S5" s="72">
        <f>IFERROR(Inkomsten[[#This Row],[Feb]]/Inkomsten[[#Totals],[Feb]],"-")</f>
        <v>0.97201767304860087</v>
      </c>
      <c r="T5" s="72">
        <f>IFERROR(Inkomsten[[#This Row],[Mrt]]/Inkomsten[[#Totals],[Mrt]],"-")</f>
        <v>0.96696696696696693</v>
      </c>
      <c r="U5" s="72">
        <f>IFERROR(Inkomsten[[#This Row],[Apr]]/Inkomsten[[#Totals],[Apr]],"-")</f>
        <v>0.9680573663624511</v>
      </c>
      <c r="V5" s="72">
        <f>IFERROR(Inkomsten[[#This Row],[Mei]]/Inkomsten[[#Totals],[Mei]],"-")</f>
        <v>0.96718146718146714</v>
      </c>
      <c r="W5" s="72">
        <f>IFERROR(Inkomsten[[#This Row],[Jun]]/Inkomsten[[#Totals],[Jun]],"-")</f>
        <v>0.97841726618705038</v>
      </c>
      <c r="X5" s="72">
        <f>IFERROR(Inkomsten[[#This Row],[Jul]]/Inkomsten[[#Totals],[Jul]],"-")</f>
        <v>0.9814385150812065</v>
      </c>
      <c r="Y5" s="72">
        <f>IFERROR(Inkomsten[[#This Row],[Aug]]/Inkomsten[[#Totals],[Aug]],"-")</f>
        <v>0.96958174904942962</v>
      </c>
      <c r="Z5" s="72">
        <f>IFERROR(Inkomsten[[#This Row],[Sep]]/Inkomsten[[#Totals],[Sep]],"-")</f>
        <v>0.96717373899119297</v>
      </c>
      <c r="AA5" s="72">
        <f>IFERROR(Inkomsten[[#This Row],[Okt]]/Inkomsten[[#Totals],[Okt]],"-")</f>
        <v>0.97372060857538034</v>
      </c>
      <c r="AB5" s="72">
        <f>IFERROR(Inkomsten[[#This Row],[Nov]]/Inkomsten[[#Totals],[Nov]],"-")</f>
        <v>0.97649186256781195</v>
      </c>
      <c r="AC5" s="72">
        <f>IFERROR(Inkomsten[[#This Row],[Dec]]/Inkomsten[[#Totals],[Dec]],"-")</f>
        <v>0.97161107168204397</v>
      </c>
      <c r="AD5" s="72">
        <f>IFERROR(Inkomsten[[#This Row],[Jaarlijks]]/Inkomsten[[#Totals],[Jaarlijks]],"-")</f>
        <v>0.97261911538680479</v>
      </c>
    </row>
    <row r="6" spans="1:30" ht="35" customHeight="1" x14ac:dyDescent="0.2">
      <c r="B6" s="67" t="s">
        <v>147</v>
      </c>
      <c r="C6" s="68"/>
      <c r="D6" s="69">
        <v>33</v>
      </c>
      <c r="E6" s="69">
        <v>38</v>
      </c>
      <c r="F6" s="69">
        <v>44</v>
      </c>
      <c r="G6" s="69">
        <v>49</v>
      </c>
      <c r="H6" s="69">
        <v>51</v>
      </c>
      <c r="I6" s="69">
        <v>36</v>
      </c>
      <c r="J6" s="69">
        <v>32</v>
      </c>
      <c r="K6" s="69">
        <v>40</v>
      </c>
      <c r="L6" s="69">
        <v>41</v>
      </c>
      <c r="M6" s="69">
        <v>38</v>
      </c>
      <c r="N6" s="69">
        <v>39</v>
      </c>
      <c r="O6" s="69">
        <v>40</v>
      </c>
      <c r="P6" s="70">
        <f>SUM(Inkomsten[[#This Row],[Jan]:[Dec]])</f>
        <v>481</v>
      </c>
      <c r="Q6" s="71">
        <v>0.18</v>
      </c>
      <c r="R6" s="72">
        <f>IFERROR(Inkomsten[[#This Row],[Jan]]/Inkomsten[[#Totals],[Jan]],"-")</f>
        <v>2.5018953752843062E-2</v>
      </c>
      <c r="S6" s="72">
        <f>IFERROR(Inkomsten[[#This Row],[Feb]]/Inkomsten[[#Totals],[Feb]],"-")</f>
        <v>2.7982326951399118E-2</v>
      </c>
      <c r="T6" s="72">
        <f>IFERROR(Inkomsten[[#This Row],[Mrt]]/Inkomsten[[#Totals],[Mrt]],"-")</f>
        <v>3.3033033033033031E-2</v>
      </c>
      <c r="U6" s="72">
        <f>IFERROR(Inkomsten[[#This Row],[Apr]]/Inkomsten[[#Totals],[Apr]],"-")</f>
        <v>3.1942633637548894E-2</v>
      </c>
      <c r="V6" s="72">
        <f>IFERROR(Inkomsten[[#This Row],[Mei]]/Inkomsten[[#Totals],[Mei]],"-")</f>
        <v>3.2818532818532815E-2</v>
      </c>
      <c r="W6" s="72">
        <f>IFERROR(Inkomsten[[#This Row],[Jun]]/Inkomsten[[#Totals],[Jun]],"-")</f>
        <v>2.1582733812949641E-2</v>
      </c>
      <c r="X6" s="72">
        <f>IFERROR(Inkomsten[[#This Row],[Jul]]/Inkomsten[[#Totals],[Jul]],"-")</f>
        <v>1.8561484918793503E-2</v>
      </c>
      <c r="Y6" s="72">
        <f>IFERROR(Inkomsten[[#This Row],[Aug]]/Inkomsten[[#Totals],[Aug]],"-")</f>
        <v>3.0418250950570342E-2</v>
      </c>
      <c r="Z6" s="72">
        <f>IFERROR(Inkomsten[[#This Row],[Sep]]/Inkomsten[[#Totals],[Sep]],"-")</f>
        <v>3.2826261008807048E-2</v>
      </c>
      <c r="AA6" s="72">
        <f>IFERROR(Inkomsten[[#This Row],[Okt]]/Inkomsten[[#Totals],[Okt]],"-")</f>
        <v>2.6279391424619641E-2</v>
      </c>
      <c r="AB6" s="72">
        <f>IFERROR(Inkomsten[[#This Row],[Nov]]/Inkomsten[[#Totals],[Nov]],"-")</f>
        <v>2.3508137432188065E-2</v>
      </c>
      <c r="AC6" s="72">
        <f>IFERROR(Inkomsten[[#This Row],[Dec]]/Inkomsten[[#Totals],[Dec]],"-")</f>
        <v>2.8388928317955996E-2</v>
      </c>
      <c r="AD6" s="72">
        <f>IFERROR(Inkomsten[[#This Row],[Jaarlijks]]/Inkomsten[[#Totals],[Jaarlijks]],"-")</f>
        <v>2.7380884613195197E-2</v>
      </c>
    </row>
    <row r="7" spans="1:30" ht="35" customHeight="1" x14ac:dyDescent="0.2">
      <c r="B7" s="73" t="s">
        <v>148</v>
      </c>
      <c r="C7" s="74"/>
      <c r="D7" s="75">
        <f>SUBTOTAL(109,Inkomsten[Jan])</f>
        <v>1319</v>
      </c>
      <c r="E7" s="75">
        <f>SUBTOTAL(109,Inkomsten[Feb])</f>
        <v>1358</v>
      </c>
      <c r="F7" s="75">
        <f>SUBTOTAL(109,Inkomsten[Mrt])</f>
        <v>1332</v>
      </c>
      <c r="G7" s="75">
        <f>SUBTOTAL(109,Inkomsten[Apr])</f>
        <v>1534</v>
      </c>
      <c r="H7" s="75">
        <f>SUBTOTAL(109,Inkomsten[Mei])</f>
        <v>1554</v>
      </c>
      <c r="I7" s="75">
        <f>SUBTOTAL(109,Inkomsten[Jun])</f>
        <v>1668</v>
      </c>
      <c r="J7" s="75">
        <f>SUBTOTAL(109,Inkomsten[Jul])</f>
        <v>1724</v>
      </c>
      <c r="K7" s="75">
        <f>SUBTOTAL(109,Inkomsten[Aug])</f>
        <v>1315</v>
      </c>
      <c r="L7" s="75">
        <f>SUBTOTAL(109,Inkomsten[Sep])</f>
        <v>1249</v>
      </c>
      <c r="M7" s="75">
        <f>SUBTOTAL(109,Inkomsten[Okt])</f>
        <v>1446</v>
      </c>
      <c r="N7" s="75">
        <f>SUBTOTAL(109,Inkomsten[Nov])</f>
        <v>1659</v>
      </c>
      <c r="O7" s="75">
        <f>SUBTOTAL(109,Inkomsten[Dec])</f>
        <v>1409</v>
      </c>
      <c r="P7" s="75">
        <f>SUBTOTAL(109,Inkomsten[Jaarlijks])</f>
        <v>17567</v>
      </c>
      <c r="Q7" s="76">
        <f>SUBTOTAL(109,Inkomsten[Index %])</f>
        <v>0.3</v>
      </c>
      <c r="R7" s="76">
        <f>SUBTOTAL(109,Inkomsten[Jan %])</f>
        <v>1</v>
      </c>
      <c r="S7" s="76">
        <f>SUBTOTAL(109,Inkomsten[Feb %])</f>
        <v>1</v>
      </c>
      <c r="T7" s="76">
        <f>SUBTOTAL(109,Inkomsten[Mrt %])</f>
        <v>1</v>
      </c>
      <c r="U7" s="76">
        <f>SUBTOTAL(109,Inkomsten[Apr %])</f>
        <v>1</v>
      </c>
      <c r="V7" s="76">
        <f>SUBTOTAL(109,Inkomsten[Mei %])</f>
        <v>1</v>
      </c>
      <c r="W7" s="76">
        <f>SUBTOTAL(109,Inkomsten[Jun %])</f>
        <v>1</v>
      </c>
      <c r="X7" s="76">
        <f>SUBTOTAL(109,Inkomsten[Jul %])</f>
        <v>1</v>
      </c>
      <c r="Y7" s="76">
        <f>SUBTOTAL(109,Inkomsten[Aug %])</f>
        <v>1</v>
      </c>
      <c r="Z7" s="76">
        <f>SUBTOTAL(109,Inkomsten[Sep %])</f>
        <v>1</v>
      </c>
      <c r="AA7" s="76">
        <f>SUBTOTAL(109,Inkomsten[Okt %])</f>
        <v>1</v>
      </c>
      <c r="AB7" s="76">
        <f>SUBTOTAL(109,Inkomsten[Nov %])</f>
        <v>1</v>
      </c>
      <c r="AC7" s="76">
        <f>SUBTOTAL(109,Inkomsten[Dec %])</f>
        <v>1</v>
      </c>
      <c r="AD7" s="77">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80" customWidth="1"/>
    <col min="2" max="2" width="25.6640625" style="85" customWidth="1"/>
    <col min="3" max="3" width="12.6640625" style="80" customWidth="1"/>
    <col min="4" max="15" width="9" style="80" customWidth="1"/>
    <col min="16" max="16" width="12.33203125" style="80" customWidth="1"/>
    <col min="17" max="29" width="7.6640625" style="80" customWidth="1"/>
    <col min="30" max="30" width="9.83203125" style="80" customWidth="1"/>
    <col min="31" max="31" width="2.6640625" style="80" customWidth="1"/>
    <col min="32" max="16384" width="8.83203125" style="80"/>
  </cols>
  <sheetData>
    <row r="1" spans="1:30" ht="35" customHeight="1" x14ac:dyDescent="0.2">
      <c r="A1" s="78"/>
      <c r="B1" s="79" t="str">
        <f>Projection_Period_Title</f>
        <v>TWELVE MONTHS</v>
      </c>
      <c r="J1" s="81"/>
      <c r="Q1" s="54"/>
      <c r="R1" s="54"/>
      <c r="S1" s="54"/>
      <c r="T1" s="54"/>
      <c r="U1" s="54"/>
      <c r="V1" s="54"/>
      <c r="W1" s="54"/>
      <c r="X1" s="54"/>
      <c r="Y1" s="54"/>
      <c r="Z1" s="54"/>
      <c r="AA1" s="54"/>
      <c r="AB1" s="54"/>
      <c r="AC1" s="54"/>
      <c r="AD1" s="82" t="str">
        <f>Bedrijfsnaam</f>
        <v>&lt; Your Company &gt;</v>
      </c>
    </row>
    <row r="2" spans="1:30" ht="60" customHeight="1" x14ac:dyDescent="0.2">
      <c r="B2" s="83" t="str">
        <f>[1]Income!$B$2</f>
        <v>INCOME-STATEMENT</v>
      </c>
      <c r="D2" s="101"/>
      <c r="E2" s="57"/>
      <c r="G2" s="57"/>
      <c r="K2" s="57"/>
      <c r="L2" s="57"/>
      <c r="M2" s="57"/>
      <c r="N2" s="57"/>
      <c r="O2" s="57"/>
      <c r="P2" s="101"/>
      <c r="X2" s="58"/>
      <c r="Y2" s="58"/>
      <c r="Z2" s="58"/>
      <c r="AA2" s="58"/>
      <c r="AB2" s="84" t="s">
        <v>149</v>
      </c>
      <c r="AC2" s="84" t="str">
        <f>FYMonthStart</f>
        <v>JAN</v>
      </c>
      <c r="AD2" s="84">
        <f>FYStartYear</f>
        <v>2017</v>
      </c>
    </row>
    <row r="3" spans="1:30" ht="20" customHeight="1" x14ac:dyDescent="0.2">
      <c r="D3" s="86" t="str">
        <f>UPPER(TEXT(DATE(FYStartYear,FYMonthNo,1),"mmm-jj"))</f>
        <v>JAN-JJ</v>
      </c>
      <c r="E3" s="86" t="str">
        <f>UPPER(TEXT(DATE(FYStartYear,FYMonthNo+1,1),"mmm-jj"))</f>
        <v>FEB-JJ</v>
      </c>
      <c r="F3" s="86" t="str">
        <f>UPPER(TEXT(DATE(FYStartYear,FYMonthNo+2,1),"mmm-jj"))</f>
        <v>MAR-JJ</v>
      </c>
      <c r="G3" s="86" t="str">
        <f>UPPER(TEXT(DATE(FYStartYear,FYMonthNo+3,1),"mmm-jj"))</f>
        <v>APR-JJ</v>
      </c>
      <c r="H3" s="86" t="str">
        <f>UPPER(TEXT(DATE(FYStartYear,FYMonthNo+4,1),"mmm-jj"))</f>
        <v>MAY-JJ</v>
      </c>
      <c r="I3" s="86" t="str">
        <f>UPPER(TEXT(DATE(FYStartYear,FYMonthNo+5,1),"mmm-jj"))</f>
        <v>JUN-JJ</v>
      </c>
      <c r="J3" s="86" t="str">
        <f>UPPER(TEXT(DATE(FYStartYear,FYMonthNo+6,1),"mmm-jj"))</f>
        <v>JUL-JJ</v>
      </c>
      <c r="K3" s="86" t="str">
        <f>UPPER(TEXT(DATE(FYStartYear,FYMonthNo+7,1),"mmm-jj"))</f>
        <v>AUG-JJ</v>
      </c>
      <c r="L3" s="86" t="str">
        <f>UPPER(TEXT(DATE(FYStartYear,FYMonthNo+8,1),"mmm-jj"))</f>
        <v>SEP-JJ</v>
      </c>
      <c r="M3" s="86" t="str">
        <f>UPPER(TEXT(DATE(FYStartYear,FYMonthNo+9,1),"mmm-jj"))</f>
        <v>OCT-JJ</v>
      </c>
      <c r="N3" s="86" t="str">
        <f>UPPER(TEXT(DATE(FYStartYear,FYMonthNo+10,1),"mmm-jj"))</f>
        <v>NOV-JJ</v>
      </c>
      <c r="O3" s="86" t="str">
        <f>UPPER(TEXT(DATE(FYStartYear,FYMonthNo+11,1),"mmm-jj"))</f>
        <v>DEC-JJ</v>
      </c>
      <c r="P3" s="86" t="s">
        <v>114</v>
      </c>
      <c r="Q3" s="86" t="s">
        <v>115</v>
      </c>
      <c r="R3" s="86" t="str">
        <f>LEFT(D3,3)&amp;" %"</f>
        <v>JAN %</v>
      </c>
      <c r="S3" s="86" t="str">
        <f t="shared" ref="S3:AC3" si="0">LEFT(E3,3)&amp;" %"</f>
        <v>FEB %</v>
      </c>
      <c r="T3" s="86" t="str">
        <f t="shared" si="0"/>
        <v>MAR %</v>
      </c>
      <c r="U3" s="86" t="str">
        <f t="shared" si="0"/>
        <v>APR %</v>
      </c>
      <c r="V3" s="86" t="str">
        <f t="shared" si="0"/>
        <v>MAY %</v>
      </c>
      <c r="W3" s="86" t="str">
        <f t="shared" si="0"/>
        <v>JUN %</v>
      </c>
      <c r="X3" s="86" t="str">
        <f t="shared" si="0"/>
        <v>JUL %</v>
      </c>
      <c r="Y3" s="86" t="str">
        <f t="shared" si="0"/>
        <v>AUG %</v>
      </c>
      <c r="Z3" s="86" t="str">
        <f t="shared" si="0"/>
        <v>SEP %</v>
      </c>
      <c r="AA3" s="86" t="str">
        <f t="shared" si="0"/>
        <v>OCT %</v>
      </c>
      <c r="AB3" s="86" t="str">
        <f t="shared" si="0"/>
        <v>NOV %</v>
      </c>
      <c r="AC3" s="86" t="str">
        <f t="shared" si="0"/>
        <v>DEC %</v>
      </c>
      <c r="AD3" s="86" t="s">
        <v>116</v>
      </c>
    </row>
    <row r="4" spans="1:30" ht="35" customHeight="1" x14ac:dyDescent="0.2">
      <c r="B4" s="87" t="s">
        <v>150</v>
      </c>
      <c r="C4" s="88" t="s">
        <v>118</v>
      </c>
      <c r="D4" s="65" t="s">
        <v>151</v>
      </c>
      <c r="E4" s="65" t="s">
        <v>120</v>
      </c>
      <c r="F4" s="65" t="s">
        <v>121</v>
      </c>
      <c r="G4" s="65" t="s">
        <v>122</v>
      </c>
      <c r="H4" s="65" t="s">
        <v>123</v>
      </c>
      <c r="I4" s="65" t="s">
        <v>124</v>
      </c>
      <c r="J4" s="65" t="s">
        <v>125</v>
      </c>
      <c r="K4" s="65" t="s">
        <v>126</v>
      </c>
      <c r="L4" s="65" t="s">
        <v>127</v>
      </c>
      <c r="M4" s="65" t="s">
        <v>128</v>
      </c>
      <c r="N4" s="65" t="s">
        <v>129</v>
      </c>
      <c r="O4" s="65" t="s">
        <v>130</v>
      </c>
      <c r="P4" s="65" t="s">
        <v>131</v>
      </c>
      <c r="Q4" s="66" t="s">
        <v>132</v>
      </c>
      <c r="R4" s="66" t="s">
        <v>133</v>
      </c>
      <c r="S4" s="66" t="s">
        <v>134</v>
      </c>
      <c r="T4" s="66" t="s">
        <v>135</v>
      </c>
      <c r="U4" s="66" t="s">
        <v>136</v>
      </c>
      <c r="V4" s="66" t="s">
        <v>137</v>
      </c>
      <c r="W4" s="66" t="s">
        <v>138</v>
      </c>
      <c r="X4" s="66" t="s">
        <v>139</v>
      </c>
      <c r="Y4" s="66" t="s">
        <v>140</v>
      </c>
      <c r="Z4" s="66" t="s">
        <v>141</v>
      </c>
      <c r="AA4" s="66" t="s">
        <v>142</v>
      </c>
      <c r="AB4" s="66" t="s">
        <v>143</v>
      </c>
      <c r="AC4" s="66" t="s">
        <v>144</v>
      </c>
      <c r="AD4" s="65" t="s">
        <v>145</v>
      </c>
    </row>
    <row r="5" spans="1:30" ht="35" customHeight="1" x14ac:dyDescent="0.2">
      <c r="B5" s="67" t="s">
        <v>152</v>
      </c>
      <c r="C5" s="89" t="s">
        <v>153</v>
      </c>
      <c r="D5" s="90">
        <v>180</v>
      </c>
      <c r="E5" s="90">
        <v>181</v>
      </c>
      <c r="F5" s="90">
        <v>183</v>
      </c>
      <c r="G5" s="90">
        <v>179</v>
      </c>
      <c r="H5" s="90">
        <v>195</v>
      </c>
      <c r="I5" s="90">
        <v>180</v>
      </c>
      <c r="J5" s="90">
        <v>181</v>
      </c>
      <c r="K5" s="90">
        <v>179</v>
      </c>
      <c r="L5" s="90">
        <v>180</v>
      </c>
      <c r="M5" s="90">
        <v>181</v>
      </c>
      <c r="N5" s="90">
        <v>180</v>
      </c>
      <c r="O5" s="90">
        <v>179</v>
      </c>
      <c r="P5" s="91">
        <f>SUM(tblExpenses[[#This Row],[Kolom1]:[Dec]])</f>
        <v>2178</v>
      </c>
      <c r="Q5" s="92">
        <v>0.12</v>
      </c>
      <c r="R5" s="93">
        <f>tblExpenses[[#This Row],[Kolom1]]/tblExpenses[[#Totals],[Kolom1]]</f>
        <v>0.12640449438202248</v>
      </c>
      <c r="S5" s="93">
        <f>tblExpenses[[#This Row],[Feb]]/tblExpenses[[#Totals],[Feb]]</f>
        <v>0.12845990063875087</v>
      </c>
      <c r="T5" s="93">
        <f>tblExpenses[[#This Row],[Mrt]]/tblExpenses[[#Totals],[Mrt]]</f>
        <v>0.12896405919661733</v>
      </c>
      <c r="U5" s="93">
        <f>tblExpenses[[#This Row],[Apr]]/tblExpenses[[#Totals],[Apr]]</f>
        <v>0.12526242127361792</v>
      </c>
      <c r="V5" s="93">
        <f>tblExpenses[[#This Row],[Mei]]/tblExpenses[[#Totals],[Mei]]</f>
        <v>0.13849431818181818</v>
      </c>
      <c r="W5" s="93">
        <f>tblExpenses[[#This Row],[Jun]]/tblExpenses[[#Totals],[Jun]]</f>
        <v>0.13284132841328414</v>
      </c>
      <c r="X5" s="93">
        <f>tblExpenses[[#This Row],[Jul]]/tblExpenses[[#Totals],[Jul]]</f>
        <v>0.13348082595870206</v>
      </c>
      <c r="Y5" s="93">
        <f>tblExpenses[[#This Row],[Aug]]/tblExpenses[[#Totals],[Aug]]</f>
        <v>0.1346877351392024</v>
      </c>
      <c r="Z5" s="93">
        <f>tblExpenses[[#This Row],[Sep]]/tblExpenses[[#Totals],[Sep]]</f>
        <v>0.12693935119887165</v>
      </c>
      <c r="AA5" s="93">
        <f>tblExpenses[[#This Row],[Okt]]/tblExpenses[[#Totals],[Okt]]</f>
        <v>0.13407407407407407</v>
      </c>
      <c r="AB5" s="93">
        <f>tblExpenses[[#This Row],[Nov]]/tblExpenses[[#Totals],[Nov]]</f>
        <v>0.12465373961218837</v>
      </c>
      <c r="AC5" s="93">
        <f>tblExpenses[[#This Row],[Dec]]/tblExpenses[[#Totals],[Dec]]</f>
        <v>0.12722103766879886</v>
      </c>
      <c r="AD5" s="93">
        <f>tblExpenses[[#This Row],[Jaarlijks]]/tblExpenses[[#Totals],[Jaarlijks]]</f>
        <v>0.13004537855266302</v>
      </c>
    </row>
    <row r="6" spans="1:30" ht="35" customHeight="1" x14ac:dyDescent="0.2">
      <c r="B6" s="67" t="s">
        <v>154</v>
      </c>
      <c r="C6" s="89" t="s">
        <v>153</v>
      </c>
      <c r="D6" s="90">
        <v>11</v>
      </c>
      <c r="E6" s="90">
        <v>11</v>
      </c>
      <c r="F6" s="90">
        <v>11</v>
      </c>
      <c r="G6" s="90">
        <v>11</v>
      </c>
      <c r="H6" s="90">
        <v>11</v>
      </c>
      <c r="I6" s="90">
        <v>11</v>
      </c>
      <c r="J6" s="90">
        <v>11</v>
      </c>
      <c r="K6" s="90">
        <v>11</v>
      </c>
      <c r="L6" s="90">
        <v>11</v>
      </c>
      <c r="M6" s="90">
        <v>11</v>
      </c>
      <c r="N6" s="90">
        <v>11</v>
      </c>
      <c r="O6" s="90">
        <v>11</v>
      </c>
      <c r="P6" s="91">
        <f>SUM(tblExpenses[[#This Row],[Kolom1]:[Dec]])</f>
        <v>132</v>
      </c>
      <c r="Q6" s="92">
        <v>0.09</v>
      </c>
      <c r="R6" s="93">
        <f>tblExpenses[[#This Row],[Kolom1]]/tblExpenses[[#Totals],[Kolom1]]</f>
        <v>7.7247191011235953E-3</v>
      </c>
      <c r="S6" s="93">
        <f>tblExpenses[[#This Row],[Feb]]/tblExpenses[[#Totals],[Feb]]</f>
        <v>7.806955287437899E-3</v>
      </c>
      <c r="T6" s="93">
        <f>tblExpenses[[#This Row],[Mrt]]/tblExpenses[[#Totals],[Mrt]]</f>
        <v>7.7519379844961239E-3</v>
      </c>
      <c r="U6" s="93">
        <f>tblExpenses[[#This Row],[Apr]]/tblExpenses[[#Totals],[Apr]]</f>
        <v>7.6976906927921623E-3</v>
      </c>
      <c r="V6" s="93">
        <f>tblExpenses[[#This Row],[Mei]]/tblExpenses[[#Totals],[Mei]]</f>
        <v>7.8125E-3</v>
      </c>
      <c r="W6" s="93">
        <f>tblExpenses[[#This Row],[Jun]]/tblExpenses[[#Totals],[Jun]]</f>
        <v>8.1180811808118074E-3</v>
      </c>
      <c r="X6" s="93">
        <f>tblExpenses[[#This Row],[Jul]]/tblExpenses[[#Totals],[Jul]]</f>
        <v>8.1120943952802359E-3</v>
      </c>
      <c r="Y6" s="93">
        <f>tblExpenses[[#This Row],[Aug]]/tblExpenses[[#Totals],[Aug]]</f>
        <v>8.2768999247554553E-3</v>
      </c>
      <c r="Z6" s="93">
        <f>tblExpenses[[#This Row],[Sep]]/tblExpenses[[#Totals],[Sep]]</f>
        <v>7.7574047954866009E-3</v>
      </c>
      <c r="AA6" s="93">
        <f>tblExpenses[[#This Row],[Okt]]/tblExpenses[[#Totals],[Okt]]</f>
        <v>8.1481481481481474E-3</v>
      </c>
      <c r="AB6" s="93">
        <f>tblExpenses[[#This Row],[Nov]]/tblExpenses[[#Totals],[Nov]]</f>
        <v>7.6177285318559558E-3</v>
      </c>
      <c r="AC6" s="93">
        <f>tblExpenses[[#This Row],[Dec]]/tblExpenses[[#Totals],[Dec]]</f>
        <v>7.818052594171997E-3</v>
      </c>
      <c r="AD6" s="93">
        <f>tblExpenses[[#This Row],[Jaarlijks]]/tblExpenses[[#Totals],[Jaarlijks]]</f>
        <v>7.8815380941007884E-3</v>
      </c>
    </row>
    <row r="7" spans="1:30" ht="35" customHeight="1" x14ac:dyDescent="0.2">
      <c r="B7" s="67" t="s">
        <v>155</v>
      </c>
      <c r="C7" s="89" t="s">
        <v>153</v>
      </c>
      <c r="D7" s="90">
        <v>30</v>
      </c>
      <c r="E7" s="90">
        <v>32</v>
      </c>
      <c r="F7" s="90">
        <v>33</v>
      </c>
      <c r="G7" s="90">
        <v>38</v>
      </c>
      <c r="H7" s="90">
        <v>33</v>
      </c>
      <c r="I7" s="90">
        <v>30</v>
      </c>
      <c r="J7" s="90">
        <v>29</v>
      </c>
      <c r="K7" s="90">
        <v>26</v>
      </c>
      <c r="L7" s="90">
        <v>35</v>
      </c>
      <c r="M7" s="90">
        <v>36</v>
      </c>
      <c r="N7" s="90">
        <v>26</v>
      </c>
      <c r="O7" s="90">
        <v>23</v>
      </c>
      <c r="P7" s="91">
        <f>SUM(tblExpenses[[#This Row],[Kolom1]:[Dec]])</f>
        <v>371</v>
      </c>
      <c r="Q7" s="92">
        <v>0.02</v>
      </c>
      <c r="R7" s="93">
        <f>tblExpenses[[#This Row],[Kolom1]]/tblExpenses[[#Totals],[Kolom1]]</f>
        <v>2.1067415730337078E-2</v>
      </c>
      <c r="S7" s="93">
        <f>tblExpenses[[#This Row],[Feb]]/tblExpenses[[#Totals],[Feb]]</f>
        <v>2.2711142654364799E-2</v>
      </c>
      <c r="T7" s="93">
        <f>tblExpenses[[#This Row],[Mrt]]/tblExpenses[[#Totals],[Mrt]]</f>
        <v>2.3255813953488372E-2</v>
      </c>
      <c r="U7" s="93">
        <f>tblExpenses[[#This Row],[Apr]]/tblExpenses[[#Totals],[Apr]]</f>
        <v>2.6592022393282014E-2</v>
      </c>
      <c r="V7" s="93">
        <f>tblExpenses[[#This Row],[Mei]]/tblExpenses[[#Totals],[Mei]]</f>
        <v>2.34375E-2</v>
      </c>
      <c r="W7" s="93">
        <f>tblExpenses[[#This Row],[Jun]]/tblExpenses[[#Totals],[Jun]]</f>
        <v>2.2140221402214021E-2</v>
      </c>
      <c r="X7" s="93">
        <f>tblExpenses[[#This Row],[Jul]]/tblExpenses[[#Totals],[Jul]]</f>
        <v>2.1386430678466076E-2</v>
      </c>
      <c r="Y7" s="93">
        <f>tblExpenses[[#This Row],[Aug]]/tblExpenses[[#Totals],[Aug]]</f>
        <v>1.9563581640331076E-2</v>
      </c>
      <c r="Z7" s="93">
        <f>tblExpenses[[#This Row],[Sep]]/tblExpenses[[#Totals],[Sep]]</f>
        <v>2.4682651622002821E-2</v>
      </c>
      <c r="AA7" s="93">
        <f>tblExpenses[[#This Row],[Okt]]/tblExpenses[[#Totals],[Okt]]</f>
        <v>2.6666666666666668E-2</v>
      </c>
      <c r="AB7" s="93">
        <f>tblExpenses[[#This Row],[Nov]]/tblExpenses[[#Totals],[Nov]]</f>
        <v>1.8005540166204988E-2</v>
      </c>
      <c r="AC7" s="93">
        <f>tblExpenses[[#This Row],[Dec]]/tblExpenses[[#Totals],[Dec]]</f>
        <v>1.6346837242359632E-2</v>
      </c>
      <c r="AD7" s="93">
        <f>tblExpenses[[#This Row],[Jaarlijks]]/tblExpenses[[#Totals],[Jaarlijks]]</f>
        <v>2.2151898734177215E-2</v>
      </c>
    </row>
    <row r="8" spans="1:30" ht="35" customHeight="1" x14ac:dyDescent="0.2">
      <c r="B8" s="67" t="s">
        <v>156</v>
      </c>
      <c r="C8" s="89" t="s">
        <v>153</v>
      </c>
      <c r="D8" s="90">
        <v>10</v>
      </c>
      <c r="E8" s="90">
        <v>10</v>
      </c>
      <c r="F8" s="90">
        <v>10</v>
      </c>
      <c r="G8" s="90">
        <v>10</v>
      </c>
      <c r="H8" s="90">
        <v>10</v>
      </c>
      <c r="I8" s="90">
        <v>10</v>
      </c>
      <c r="J8" s="90">
        <v>10</v>
      </c>
      <c r="K8" s="90">
        <v>10</v>
      </c>
      <c r="L8" s="90">
        <v>10</v>
      </c>
      <c r="M8" s="90">
        <v>10</v>
      </c>
      <c r="N8" s="90">
        <v>10</v>
      </c>
      <c r="O8" s="90">
        <v>10</v>
      </c>
      <c r="P8" s="91">
        <f>SUM(tblExpenses[[#This Row],[Kolom1]:[Dec]])</f>
        <v>120</v>
      </c>
      <c r="Q8" s="92">
        <v>0.08</v>
      </c>
      <c r="R8" s="93">
        <f>tblExpenses[[#This Row],[Kolom1]]/tblExpenses[[#Totals],[Kolom1]]</f>
        <v>7.0224719101123594E-3</v>
      </c>
      <c r="S8" s="93">
        <f>tblExpenses[[#This Row],[Feb]]/tblExpenses[[#Totals],[Feb]]</f>
        <v>7.0972320794889989E-3</v>
      </c>
      <c r="T8" s="93">
        <f>tblExpenses[[#This Row],[Mrt]]/tblExpenses[[#Totals],[Mrt]]</f>
        <v>7.0472163495419312E-3</v>
      </c>
      <c r="U8" s="93">
        <f>tblExpenses[[#This Row],[Apr]]/tblExpenses[[#Totals],[Apr]]</f>
        <v>6.9979006298110571E-3</v>
      </c>
      <c r="V8" s="93">
        <f>tblExpenses[[#This Row],[Mei]]/tblExpenses[[#Totals],[Mei]]</f>
        <v>7.102272727272727E-3</v>
      </c>
      <c r="W8" s="93">
        <f>tblExpenses[[#This Row],[Jun]]/tblExpenses[[#Totals],[Jun]]</f>
        <v>7.3800738007380072E-3</v>
      </c>
      <c r="X8" s="93">
        <f>tblExpenses[[#This Row],[Jul]]/tblExpenses[[#Totals],[Jul]]</f>
        <v>7.3746312684365781E-3</v>
      </c>
      <c r="Y8" s="93">
        <f>tblExpenses[[#This Row],[Aug]]/tblExpenses[[#Totals],[Aug]]</f>
        <v>7.5244544770504138E-3</v>
      </c>
      <c r="Z8" s="93">
        <f>tblExpenses[[#This Row],[Sep]]/tblExpenses[[#Totals],[Sep]]</f>
        <v>7.052186177715092E-3</v>
      </c>
      <c r="AA8" s="93">
        <f>tblExpenses[[#This Row],[Okt]]/tblExpenses[[#Totals],[Okt]]</f>
        <v>7.4074074074074077E-3</v>
      </c>
      <c r="AB8" s="93">
        <f>tblExpenses[[#This Row],[Nov]]/tblExpenses[[#Totals],[Nov]]</f>
        <v>6.9252077562326868E-3</v>
      </c>
      <c r="AC8" s="93">
        <f>tblExpenses[[#This Row],[Dec]]/tblExpenses[[#Totals],[Dec]]</f>
        <v>7.1073205401563609E-3</v>
      </c>
      <c r="AD8" s="93">
        <f>tblExpenses[[#This Row],[Jaarlijks]]/tblExpenses[[#Totals],[Jaarlijks]]</f>
        <v>7.1650346310007168E-3</v>
      </c>
    </row>
    <row r="9" spans="1:30" ht="35" customHeight="1" x14ac:dyDescent="0.2">
      <c r="B9" s="67" t="s">
        <v>157</v>
      </c>
      <c r="C9" s="89" t="s">
        <v>153</v>
      </c>
      <c r="D9" s="90">
        <v>43</v>
      </c>
      <c r="E9" s="90">
        <v>40</v>
      </c>
      <c r="F9" s="90">
        <v>45</v>
      </c>
      <c r="G9" s="90">
        <v>43</v>
      </c>
      <c r="H9" s="90">
        <v>42</v>
      </c>
      <c r="I9" s="90">
        <v>38</v>
      </c>
      <c r="J9" s="90">
        <v>36</v>
      </c>
      <c r="K9" s="90">
        <v>34</v>
      </c>
      <c r="L9" s="90">
        <v>30</v>
      </c>
      <c r="M9" s="90">
        <v>28</v>
      </c>
      <c r="N9" s="90">
        <v>32</v>
      </c>
      <c r="O9" s="90">
        <v>36</v>
      </c>
      <c r="P9" s="91">
        <f>SUM(tblExpenses[[#This Row],[Kolom1]:[Dec]])</f>
        <v>447</v>
      </c>
      <c r="Q9" s="92">
        <v>0.03</v>
      </c>
      <c r="R9" s="93">
        <f>tblExpenses[[#This Row],[Kolom1]]/tblExpenses[[#Totals],[Kolom1]]</f>
        <v>3.0196629213483147E-2</v>
      </c>
      <c r="S9" s="93">
        <f>tblExpenses[[#This Row],[Feb]]/tblExpenses[[#Totals],[Feb]]</f>
        <v>2.8388928317955996E-2</v>
      </c>
      <c r="T9" s="93">
        <f>tblExpenses[[#This Row],[Mrt]]/tblExpenses[[#Totals],[Mrt]]</f>
        <v>3.1712473572938688E-2</v>
      </c>
      <c r="U9" s="93">
        <f>tblExpenses[[#This Row],[Apr]]/tblExpenses[[#Totals],[Apr]]</f>
        <v>3.0090972708187544E-2</v>
      </c>
      <c r="V9" s="93">
        <f>tblExpenses[[#This Row],[Mei]]/tblExpenses[[#Totals],[Mei]]</f>
        <v>2.9829545454545456E-2</v>
      </c>
      <c r="W9" s="93">
        <f>tblExpenses[[#This Row],[Jun]]/tblExpenses[[#Totals],[Jun]]</f>
        <v>2.8044280442804426E-2</v>
      </c>
      <c r="X9" s="93">
        <f>tblExpenses[[#This Row],[Jul]]/tblExpenses[[#Totals],[Jul]]</f>
        <v>2.6548672566371681E-2</v>
      </c>
      <c r="Y9" s="93">
        <f>tblExpenses[[#This Row],[Aug]]/tblExpenses[[#Totals],[Aug]]</f>
        <v>2.5583145221971408E-2</v>
      </c>
      <c r="Z9" s="93">
        <f>tblExpenses[[#This Row],[Sep]]/tblExpenses[[#Totals],[Sep]]</f>
        <v>2.1156558533145273E-2</v>
      </c>
      <c r="AA9" s="93">
        <f>tblExpenses[[#This Row],[Okt]]/tblExpenses[[#Totals],[Okt]]</f>
        <v>2.074074074074074E-2</v>
      </c>
      <c r="AB9" s="93">
        <f>tblExpenses[[#This Row],[Nov]]/tblExpenses[[#Totals],[Nov]]</f>
        <v>2.2160664819944598E-2</v>
      </c>
      <c r="AC9" s="93">
        <f>tblExpenses[[#This Row],[Dec]]/tblExpenses[[#Totals],[Dec]]</f>
        <v>2.5586353944562899E-2</v>
      </c>
      <c r="AD9" s="93">
        <f>tblExpenses[[#This Row],[Jaarlijks]]/tblExpenses[[#Totals],[Jaarlijks]]</f>
        <v>2.668975400047767E-2</v>
      </c>
    </row>
    <row r="10" spans="1:30" ht="35" customHeight="1" x14ac:dyDescent="0.2">
      <c r="B10" s="67" t="s">
        <v>158</v>
      </c>
      <c r="C10" s="89" t="s">
        <v>153</v>
      </c>
      <c r="D10" s="90">
        <v>21</v>
      </c>
      <c r="E10" s="90">
        <v>22</v>
      </c>
      <c r="F10" s="90">
        <v>40</v>
      </c>
      <c r="G10" s="90">
        <v>35</v>
      </c>
      <c r="H10" s="90">
        <v>20</v>
      </c>
      <c r="I10" s="90">
        <v>21</v>
      </c>
      <c r="J10" s="90">
        <v>18</v>
      </c>
      <c r="K10" s="90">
        <v>19</v>
      </c>
      <c r="L10" s="90">
        <v>17</v>
      </c>
      <c r="M10" s="90">
        <v>20</v>
      </c>
      <c r="N10" s="90">
        <v>21</v>
      </c>
      <c r="O10" s="90">
        <v>22</v>
      </c>
      <c r="P10" s="91">
        <f>SUM(tblExpenses[[#This Row],[Kolom1]:[Dec]])</f>
        <v>276</v>
      </c>
      <c r="Q10" s="92">
        <v>0.15</v>
      </c>
      <c r="R10" s="93">
        <f>tblExpenses[[#This Row],[Kolom1]]/tblExpenses[[#Totals],[Kolom1]]</f>
        <v>1.4747191011235955E-2</v>
      </c>
      <c r="S10" s="93">
        <f>tblExpenses[[#This Row],[Feb]]/tblExpenses[[#Totals],[Feb]]</f>
        <v>1.5613910574875798E-2</v>
      </c>
      <c r="T10" s="93">
        <f>tblExpenses[[#This Row],[Mrt]]/tblExpenses[[#Totals],[Mrt]]</f>
        <v>2.8188865398167725E-2</v>
      </c>
      <c r="U10" s="93">
        <f>tblExpenses[[#This Row],[Apr]]/tblExpenses[[#Totals],[Apr]]</f>
        <v>2.4492652204338699E-2</v>
      </c>
      <c r="V10" s="93">
        <f>tblExpenses[[#This Row],[Mei]]/tblExpenses[[#Totals],[Mei]]</f>
        <v>1.4204545454545454E-2</v>
      </c>
      <c r="W10" s="93">
        <f>tblExpenses[[#This Row],[Jun]]/tblExpenses[[#Totals],[Jun]]</f>
        <v>1.5498154981549815E-2</v>
      </c>
      <c r="X10" s="93">
        <f>tblExpenses[[#This Row],[Jul]]/tblExpenses[[#Totals],[Jul]]</f>
        <v>1.3274336283185841E-2</v>
      </c>
      <c r="Y10" s="93">
        <f>tblExpenses[[#This Row],[Aug]]/tblExpenses[[#Totals],[Aug]]</f>
        <v>1.4296463506395787E-2</v>
      </c>
      <c r="Z10" s="93">
        <f>tblExpenses[[#This Row],[Sep]]/tblExpenses[[#Totals],[Sep]]</f>
        <v>1.1988716502115656E-2</v>
      </c>
      <c r="AA10" s="93">
        <f>tblExpenses[[#This Row],[Okt]]/tblExpenses[[#Totals],[Okt]]</f>
        <v>1.4814814814814815E-2</v>
      </c>
      <c r="AB10" s="93">
        <f>tblExpenses[[#This Row],[Nov]]/tblExpenses[[#Totals],[Nov]]</f>
        <v>1.4542936288088643E-2</v>
      </c>
      <c r="AC10" s="93">
        <f>tblExpenses[[#This Row],[Dec]]/tblExpenses[[#Totals],[Dec]]</f>
        <v>1.5636105188343994E-2</v>
      </c>
      <c r="AD10" s="93">
        <f>tblExpenses[[#This Row],[Jaarlijks]]/tblExpenses[[#Totals],[Jaarlijks]]</f>
        <v>1.6479579651301649E-2</v>
      </c>
    </row>
    <row r="11" spans="1:30" ht="35" customHeight="1" x14ac:dyDescent="0.2">
      <c r="B11" s="67" t="s">
        <v>159</v>
      </c>
      <c r="C11" s="89" t="s">
        <v>153</v>
      </c>
      <c r="D11" s="90">
        <v>6</v>
      </c>
      <c r="E11" s="90">
        <v>5</v>
      </c>
      <c r="F11" s="90">
        <v>4</v>
      </c>
      <c r="G11" s="90">
        <v>5</v>
      </c>
      <c r="H11" s="90">
        <v>6</v>
      </c>
      <c r="I11" s="90">
        <v>8</v>
      </c>
      <c r="J11" s="90">
        <v>4</v>
      </c>
      <c r="K11" s="90">
        <v>3</v>
      </c>
      <c r="L11" s="90">
        <v>5</v>
      </c>
      <c r="M11" s="90">
        <v>7</v>
      </c>
      <c r="N11" s="90">
        <v>3</v>
      </c>
      <c r="O11" s="90">
        <v>5</v>
      </c>
      <c r="P11" s="91">
        <f>SUM(tblExpenses[[#This Row],[Kolom1]:[Dec]])</f>
        <v>61</v>
      </c>
      <c r="Q11" s="92">
        <v>0.12</v>
      </c>
      <c r="R11" s="93">
        <f>tblExpenses[[#This Row],[Kolom1]]/tblExpenses[[#Totals],[Kolom1]]</f>
        <v>4.2134831460674156E-3</v>
      </c>
      <c r="S11" s="93">
        <f>tblExpenses[[#This Row],[Feb]]/tblExpenses[[#Totals],[Feb]]</f>
        <v>3.5486160397444995E-3</v>
      </c>
      <c r="T11" s="93">
        <f>tblExpenses[[#This Row],[Mrt]]/tblExpenses[[#Totals],[Mrt]]</f>
        <v>2.8188865398167725E-3</v>
      </c>
      <c r="U11" s="93">
        <f>tblExpenses[[#This Row],[Apr]]/tblExpenses[[#Totals],[Apr]]</f>
        <v>3.4989503149055285E-3</v>
      </c>
      <c r="V11" s="93">
        <f>tblExpenses[[#This Row],[Mei]]/tblExpenses[[#Totals],[Mei]]</f>
        <v>4.261363636363636E-3</v>
      </c>
      <c r="W11" s="93">
        <f>tblExpenses[[#This Row],[Jun]]/tblExpenses[[#Totals],[Jun]]</f>
        <v>5.9040590405904057E-3</v>
      </c>
      <c r="X11" s="93">
        <f>tblExpenses[[#This Row],[Jul]]/tblExpenses[[#Totals],[Jul]]</f>
        <v>2.9498525073746312E-3</v>
      </c>
      <c r="Y11" s="93">
        <f>tblExpenses[[#This Row],[Aug]]/tblExpenses[[#Totals],[Aug]]</f>
        <v>2.257336343115124E-3</v>
      </c>
      <c r="Z11" s="93">
        <f>tblExpenses[[#This Row],[Sep]]/tblExpenses[[#Totals],[Sep]]</f>
        <v>3.526093088857546E-3</v>
      </c>
      <c r="AA11" s="93">
        <f>tblExpenses[[#This Row],[Okt]]/tblExpenses[[#Totals],[Okt]]</f>
        <v>5.185185185185185E-3</v>
      </c>
      <c r="AB11" s="93">
        <f>tblExpenses[[#This Row],[Nov]]/tblExpenses[[#Totals],[Nov]]</f>
        <v>2.0775623268698062E-3</v>
      </c>
      <c r="AC11" s="93">
        <f>tblExpenses[[#This Row],[Dec]]/tblExpenses[[#Totals],[Dec]]</f>
        <v>3.5536602700781805E-3</v>
      </c>
      <c r="AD11" s="93">
        <f>tblExpenses[[#This Row],[Jaarlijks]]/tblExpenses[[#Totals],[Jaarlijks]]</f>
        <v>3.6422259374253641E-3</v>
      </c>
    </row>
    <row r="12" spans="1:30" ht="35" customHeight="1" x14ac:dyDescent="0.2">
      <c r="B12" s="67" t="s">
        <v>160</v>
      </c>
      <c r="C12" s="89" t="s">
        <v>153</v>
      </c>
      <c r="D12" s="90">
        <v>6</v>
      </c>
      <c r="E12" s="90">
        <v>6</v>
      </c>
      <c r="F12" s="90">
        <v>6</v>
      </c>
      <c r="G12" s="90">
        <v>6</v>
      </c>
      <c r="H12" s="90">
        <v>6</v>
      </c>
      <c r="I12" s="90">
        <v>6</v>
      </c>
      <c r="J12" s="90">
        <v>6</v>
      </c>
      <c r="K12" s="90">
        <v>6</v>
      </c>
      <c r="L12" s="90">
        <v>6</v>
      </c>
      <c r="M12" s="90">
        <v>6</v>
      </c>
      <c r="N12" s="90">
        <v>6</v>
      </c>
      <c r="O12" s="90">
        <v>6</v>
      </c>
      <c r="P12" s="91">
        <f>SUM(tblExpenses[[#This Row],[Kolom1]:[Dec]])</f>
        <v>72</v>
      </c>
      <c r="Q12" s="92">
        <v>0.09</v>
      </c>
      <c r="R12" s="93">
        <f>tblExpenses[[#This Row],[Kolom1]]/tblExpenses[[#Totals],[Kolom1]]</f>
        <v>4.2134831460674156E-3</v>
      </c>
      <c r="S12" s="93">
        <f>tblExpenses[[#This Row],[Feb]]/tblExpenses[[#Totals],[Feb]]</f>
        <v>4.2583392476933995E-3</v>
      </c>
      <c r="T12" s="93">
        <f>tblExpenses[[#This Row],[Mrt]]/tblExpenses[[#Totals],[Mrt]]</f>
        <v>4.2283298097251587E-3</v>
      </c>
      <c r="U12" s="93">
        <f>tblExpenses[[#This Row],[Apr]]/tblExpenses[[#Totals],[Apr]]</f>
        <v>4.1987403778866337E-3</v>
      </c>
      <c r="V12" s="93">
        <f>tblExpenses[[#This Row],[Mei]]/tblExpenses[[#Totals],[Mei]]</f>
        <v>4.261363636363636E-3</v>
      </c>
      <c r="W12" s="93">
        <f>tblExpenses[[#This Row],[Jun]]/tblExpenses[[#Totals],[Jun]]</f>
        <v>4.4280442804428043E-3</v>
      </c>
      <c r="X12" s="93">
        <f>tblExpenses[[#This Row],[Jul]]/tblExpenses[[#Totals],[Jul]]</f>
        <v>4.4247787610619468E-3</v>
      </c>
      <c r="Y12" s="93">
        <f>tblExpenses[[#This Row],[Aug]]/tblExpenses[[#Totals],[Aug]]</f>
        <v>4.5146726862302479E-3</v>
      </c>
      <c r="Z12" s="93">
        <f>tblExpenses[[#This Row],[Sep]]/tblExpenses[[#Totals],[Sep]]</f>
        <v>4.2313117066290554E-3</v>
      </c>
      <c r="AA12" s="93">
        <f>tblExpenses[[#This Row],[Okt]]/tblExpenses[[#Totals],[Okt]]</f>
        <v>4.4444444444444444E-3</v>
      </c>
      <c r="AB12" s="93">
        <f>tblExpenses[[#This Row],[Nov]]/tblExpenses[[#Totals],[Nov]]</f>
        <v>4.1551246537396124E-3</v>
      </c>
      <c r="AC12" s="93">
        <f>tblExpenses[[#This Row],[Dec]]/tblExpenses[[#Totals],[Dec]]</f>
        <v>4.2643923240938165E-3</v>
      </c>
      <c r="AD12" s="93">
        <f>tblExpenses[[#This Row],[Jaarlijks]]/tblExpenses[[#Totals],[Jaarlijks]]</f>
        <v>4.2990207786004295E-3</v>
      </c>
    </row>
    <row r="13" spans="1:30" ht="35" customHeight="1" x14ac:dyDescent="0.2">
      <c r="B13" s="67" t="s">
        <v>161</v>
      </c>
      <c r="C13" s="89" t="s">
        <v>153</v>
      </c>
      <c r="D13" s="90">
        <v>48</v>
      </c>
      <c r="E13" s="90">
        <v>48</v>
      </c>
      <c r="F13" s="90">
        <v>48</v>
      </c>
      <c r="G13" s="90">
        <v>48</v>
      </c>
      <c r="H13" s="90">
        <v>48</v>
      </c>
      <c r="I13" s="90">
        <v>48</v>
      </c>
      <c r="J13" s="90">
        <v>48</v>
      </c>
      <c r="K13" s="90">
        <v>48</v>
      </c>
      <c r="L13" s="90">
        <v>48</v>
      </c>
      <c r="M13" s="90">
        <v>48</v>
      </c>
      <c r="N13" s="90">
        <v>48</v>
      </c>
      <c r="O13" s="90">
        <v>48</v>
      </c>
      <c r="P13" s="91">
        <f>SUM(tblExpenses[[#This Row],[Kolom1]:[Dec]])</f>
        <v>576</v>
      </c>
      <c r="Q13" s="92">
        <v>0.01</v>
      </c>
      <c r="R13" s="93">
        <f>tblExpenses[[#This Row],[Kolom1]]/tblExpenses[[#Totals],[Kolom1]]</f>
        <v>3.3707865168539325E-2</v>
      </c>
      <c r="S13" s="93">
        <f>tblExpenses[[#This Row],[Feb]]/tblExpenses[[#Totals],[Feb]]</f>
        <v>3.4066713981547196E-2</v>
      </c>
      <c r="T13" s="93">
        <f>tblExpenses[[#This Row],[Mrt]]/tblExpenses[[#Totals],[Mrt]]</f>
        <v>3.382663847780127E-2</v>
      </c>
      <c r="U13" s="93">
        <f>tblExpenses[[#This Row],[Apr]]/tblExpenses[[#Totals],[Apr]]</f>
        <v>3.358992302309307E-2</v>
      </c>
      <c r="V13" s="93">
        <f>tblExpenses[[#This Row],[Mei]]/tblExpenses[[#Totals],[Mei]]</f>
        <v>3.4090909090909088E-2</v>
      </c>
      <c r="W13" s="93">
        <f>tblExpenses[[#This Row],[Jun]]/tblExpenses[[#Totals],[Jun]]</f>
        <v>3.5424354243542434E-2</v>
      </c>
      <c r="X13" s="93">
        <f>tblExpenses[[#This Row],[Jul]]/tblExpenses[[#Totals],[Jul]]</f>
        <v>3.5398230088495575E-2</v>
      </c>
      <c r="Y13" s="93">
        <f>tblExpenses[[#This Row],[Aug]]/tblExpenses[[#Totals],[Aug]]</f>
        <v>3.6117381489841983E-2</v>
      </c>
      <c r="Z13" s="93">
        <f>tblExpenses[[#This Row],[Sep]]/tblExpenses[[#Totals],[Sep]]</f>
        <v>3.3850493653032443E-2</v>
      </c>
      <c r="AA13" s="93">
        <f>tblExpenses[[#This Row],[Okt]]/tblExpenses[[#Totals],[Okt]]</f>
        <v>3.5555555555555556E-2</v>
      </c>
      <c r="AB13" s="93">
        <f>tblExpenses[[#This Row],[Nov]]/tblExpenses[[#Totals],[Nov]]</f>
        <v>3.3240997229916899E-2</v>
      </c>
      <c r="AC13" s="93">
        <f>tblExpenses[[#This Row],[Dec]]/tblExpenses[[#Totals],[Dec]]</f>
        <v>3.4115138592750532E-2</v>
      </c>
      <c r="AD13" s="93">
        <f>tblExpenses[[#This Row],[Jaarlijks]]/tblExpenses[[#Totals],[Jaarlijks]]</f>
        <v>3.4392166228803436E-2</v>
      </c>
    </row>
    <row r="14" spans="1:30" ht="35" customHeight="1" x14ac:dyDescent="0.2">
      <c r="B14" s="67" t="s">
        <v>162</v>
      </c>
      <c r="C14" s="89" t="s">
        <v>153</v>
      </c>
      <c r="D14" s="90">
        <v>1</v>
      </c>
      <c r="E14" s="90">
        <v>1</v>
      </c>
      <c r="F14" s="90">
        <v>1</v>
      </c>
      <c r="G14" s="90">
        <v>1</v>
      </c>
      <c r="H14" s="90">
        <v>1</v>
      </c>
      <c r="I14" s="90">
        <v>1</v>
      </c>
      <c r="J14" s="90">
        <v>1</v>
      </c>
      <c r="K14" s="90">
        <v>1</v>
      </c>
      <c r="L14" s="90">
        <v>1</v>
      </c>
      <c r="M14" s="90">
        <v>1</v>
      </c>
      <c r="N14" s="90">
        <v>1</v>
      </c>
      <c r="O14" s="90">
        <v>1</v>
      </c>
      <c r="P14" s="91">
        <f>SUM(tblExpenses[[#This Row],[Kolom1]:[Dec]])</f>
        <v>12</v>
      </c>
      <c r="Q14" s="92">
        <v>0.01</v>
      </c>
      <c r="R14" s="93">
        <f>tblExpenses[[#This Row],[Kolom1]]/tblExpenses[[#Totals],[Kolom1]]</f>
        <v>7.0224719101123594E-4</v>
      </c>
      <c r="S14" s="93">
        <f>tblExpenses[[#This Row],[Feb]]/tblExpenses[[#Totals],[Feb]]</f>
        <v>7.0972320794889996E-4</v>
      </c>
      <c r="T14" s="93">
        <f>tblExpenses[[#This Row],[Mrt]]/tblExpenses[[#Totals],[Mrt]]</f>
        <v>7.0472163495419312E-4</v>
      </c>
      <c r="U14" s="93">
        <f>tblExpenses[[#This Row],[Apr]]/tblExpenses[[#Totals],[Apr]]</f>
        <v>6.9979006298110562E-4</v>
      </c>
      <c r="V14" s="93">
        <f>tblExpenses[[#This Row],[Mei]]/tblExpenses[[#Totals],[Mei]]</f>
        <v>7.1022727272727275E-4</v>
      </c>
      <c r="W14" s="93">
        <f>tblExpenses[[#This Row],[Jun]]/tblExpenses[[#Totals],[Jun]]</f>
        <v>7.3800738007380072E-4</v>
      </c>
      <c r="X14" s="93">
        <f>tblExpenses[[#This Row],[Jul]]/tblExpenses[[#Totals],[Jul]]</f>
        <v>7.3746312684365781E-4</v>
      </c>
      <c r="Y14" s="93">
        <f>tblExpenses[[#This Row],[Aug]]/tblExpenses[[#Totals],[Aug]]</f>
        <v>7.5244544770504136E-4</v>
      </c>
      <c r="Z14" s="93">
        <f>tblExpenses[[#This Row],[Sep]]/tblExpenses[[#Totals],[Sep]]</f>
        <v>7.0521861777150916E-4</v>
      </c>
      <c r="AA14" s="93">
        <f>tblExpenses[[#This Row],[Okt]]/tblExpenses[[#Totals],[Okt]]</f>
        <v>7.407407407407407E-4</v>
      </c>
      <c r="AB14" s="93">
        <f>tblExpenses[[#This Row],[Nov]]/tblExpenses[[#Totals],[Nov]]</f>
        <v>6.925207756232687E-4</v>
      </c>
      <c r="AC14" s="93">
        <f>tblExpenses[[#This Row],[Dec]]/tblExpenses[[#Totals],[Dec]]</f>
        <v>7.1073205401563609E-4</v>
      </c>
      <c r="AD14" s="93">
        <f>tblExpenses[[#This Row],[Jaarlijks]]/tblExpenses[[#Totals],[Jaarlijks]]</f>
        <v>7.165034631000717E-4</v>
      </c>
    </row>
    <row r="15" spans="1:30" ht="35" customHeight="1" x14ac:dyDescent="0.2">
      <c r="B15" s="67" t="s">
        <v>163</v>
      </c>
      <c r="C15" s="89" t="s">
        <v>153</v>
      </c>
      <c r="D15" s="90">
        <v>11</v>
      </c>
      <c r="E15" s="90">
        <v>11</v>
      </c>
      <c r="F15" s="90">
        <v>11</v>
      </c>
      <c r="G15" s="90">
        <v>11</v>
      </c>
      <c r="H15" s="90">
        <v>11</v>
      </c>
      <c r="I15" s="90">
        <v>11</v>
      </c>
      <c r="J15" s="90">
        <v>11</v>
      </c>
      <c r="K15" s="90">
        <v>11</v>
      </c>
      <c r="L15" s="90">
        <v>11</v>
      </c>
      <c r="M15" s="90">
        <v>11</v>
      </c>
      <c r="N15" s="90">
        <v>11</v>
      </c>
      <c r="O15" s="90">
        <v>11</v>
      </c>
      <c r="P15" s="91">
        <f>SUM(tblExpenses[[#This Row],[Kolom1]:[Dec]])</f>
        <v>132</v>
      </c>
      <c r="Q15" s="92">
        <v>0.01</v>
      </c>
      <c r="R15" s="93">
        <f>tblExpenses[[#This Row],[Kolom1]]/tblExpenses[[#Totals],[Kolom1]]</f>
        <v>7.7247191011235953E-3</v>
      </c>
      <c r="S15" s="93">
        <f>tblExpenses[[#This Row],[Feb]]/tblExpenses[[#Totals],[Feb]]</f>
        <v>7.806955287437899E-3</v>
      </c>
      <c r="T15" s="93">
        <f>tblExpenses[[#This Row],[Mrt]]/tblExpenses[[#Totals],[Mrt]]</f>
        <v>7.7519379844961239E-3</v>
      </c>
      <c r="U15" s="93">
        <f>tblExpenses[[#This Row],[Apr]]/tblExpenses[[#Totals],[Apr]]</f>
        <v>7.6976906927921623E-3</v>
      </c>
      <c r="V15" s="93">
        <f>tblExpenses[[#This Row],[Mei]]/tblExpenses[[#Totals],[Mei]]</f>
        <v>7.8125E-3</v>
      </c>
      <c r="W15" s="93">
        <f>tblExpenses[[#This Row],[Jun]]/tblExpenses[[#Totals],[Jun]]</f>
        <v>8.1180811808118074E-3</v>
      </c>
      <c r="X15" s="93">
        <f>tblExpenses[[#This Row],[Jul]]/tblExpenses[[#Totals],[Jul]]</f>
        <v>8.1120943952802359E-3</v>
      </c>
      <c r="Y15" s="93">
        <f>tblExpenses[[#This Row],[Aug]]/tblExpenses[[#Totals],[Aug]]</f>
        <v>8.2768999247554553E-3</v>
      </c>
      <c r="Z15" s="93">
        <f>tblExpenses[[#This Row],[Sep]]/tblExpenses[[#Totals],[Sep]]</f>
        <v>7.7574047954866009E-3</v>
      </c>
      <c r="AA15" s="93">
        <f>tblExpenses[[#This Row],[Okt]]/tblExpenses[[#Totals],[Okt]]</f>
        <v>8.1481481481481474E-3</v>
      </c>
      <c r="AB15" s="93">
        <f>tblExpenses[[#This Row],[Nov]]/tblExpenses[[#Totals],[Nov]]</f>
        <v>7.6177285318559558E-3</v>
      </c>
      <c r="AC15" s="93">
        <f>tblExpenses[[#This Row],[Dec]]/tblExpenses[[#Totals],[Dec]]</f>
        <v>7.818052594171997E-3</v>
      </c>
      <c r="AD15" s="93">
        <f>tblExpenses[[#This Row],[Jaarlijks]]/tblExpenses[[#Totals],[Jaarlijks]]</f>
        <v>7.8815380941007884E-3</v>
      </c>
    </row>
    <row r="16" spans="1:30" ht="35" customHeight="1" x14ac:dyDescent="0.2">
      <c r="B16" s="67" t="s">
        <v>164</v>
      </c>
      <c r="C16" s="89" t="s">
        <v>153</v>
      </c>
      <c r="D16" s="90">
        <v>11</v>
      </c>
      <c r="E16" s="90">
        <v>11</v>
      </c>
      <c r="F16" s="90">
        <v>11</v>
      </c>
      <c r="G16" s="90">
        <v>11</v>
      </c>
      <c r="H16" s="90">
        <v>11</v>
      </c>
      <c r="I16" s="90">
        <v>11</v>
      </c>
      <c r="J16" s="90">
        <v>11</v>
      </c>
      <c r="K16" s="90">
        <v>11</v>
      </c>
      <c r="L16" s="90">
        <v>11</v>
      </c>
      <c r="M16" s="90">
        <v>11</v>
      </c>
      <c r="N16" s="90">
        <v>11</v>
      </c>
      <c r="O16" s="90">
        <v>11</v>
      </c>
      <c r="P16" s="91">
        <f>SUM(tblExpenses[[#This Row],[Kolom1]:[Dec]])</f>
        <v>132</v>
      </c>
      <c r="Q16" s="92">
        <v>0.01</v>
      </c>
      <c r="R16" s="93">
        <f>tblExpenses[[#This Row],[Kolom1]]/tblExpenses[[#Totals],[Kolom1]]</f>
        <v>7.7247191011235953E-3</v>
      </c>
      <c r="S16" s="93">
        <f>tblExpenses[[#This Row],[Feb]]/tblExpenses[[#Totals],[Feb]]</f>
        <v>7.806955287437899E-3</v>
      </c>
      <c r="T16" s="93">
        <f>tblExpenses[[#This Row],[Mrt]]/tblExpenses[[#Totals],[Mrt]]</f>
        <v>7.7519379844961239E-3</v>
      </c>
      <c r="U16" s="93">
        <f>tblExpenses[[#This Row],[Apr]]/tblExpenses[[#Totals],[Apr]]</f>
        <v>7.6976906927921623E-3</v>
      </c>
      <c r="V16" s="93">
        <f>tblExpenses[[#This Row],[Mei]]/tblExpenses[[#Totals],[Mei]]</f>
        <v>7.8125E-3</v>
      </c>
      <c r="W16" s="93">
        <f>tblExpenses[[#This Row],[Jun]]/tblExpenses[[#Totals],[Jun]]</f>
        <v>8.1180811808118074E-3</v>
      </c>
      <c r="X16" s="93">
        <f>tblExpenses[[#This Row],[Jul]]/tblExpenses[[#Totals],[Jul]]</f>
        <v>8.1120943952802359E-3</v>
      </c>
      <c r="Y16" s="93">
        <f>tblExpenses[[#This Row],[Aug]]/tblExpenses[[#Totals],[Aug]]</f>
        <v>8.2768999247554553E-3</v>
      </c>
      <c r="Z16" s="93">
        <f>tblExpenses[[#This Row],[Sep]]/tblExpenses[[#Totals],[Sep]]</f>
        <v>7.7574047954866009E-3</v>
      </c>
      <c r="AA16" s="93">
        <f>tblExpenses[[#This Row],[Okt]]/tblExpenses[[#Totals],[Okt]]</f>
        <v>8.1481481481481474E-3</v>
      </c>
      <c r="AB16" s="93">
        <f>tblExpenses[[#This Row],[Nov]]/tblExpenses[[#Totals],[Nov]]</f>
        <v>7.6177285318559558E-3</v>
      </c>
      <c r="AC16" s="93">
        <f>tblExpenses[[#This Row],[Dec]]/tblExpenses[[#Totals],[Dec]]</f>
        <v>7.818052594171997E-3</v>
      </c>
      <c r="AD16" s="93">
        <f>tblExpenses[[#This Row],[Jaarlijks]]/tblExpenses[[#Totals],[Jaarlijks]]</f>
        <v>7.8815380941007884E-3</v>
      </c>
    </row>
    <row r="17" spans="1:30" ht="35" customHeight="1" x14ac:dyDescent="0.2">
      <c r="B17" s="94" t="s">
        <v>165</v>
      </c>
      <c r="C17" s="89" t="s">
        <v>153</v>
      </c>
      <c r="D17" s="90">
        <v>19</v>
      </c>
      <c r="E17" s="90">
        <v>19</v>
      </c>
      <c r="F17" s="90">
        <v>19</v>
      </c>
      <c r="G17" s="90">
        <v>19</v>
      </c>
      <c r="H17" s="90">
        <v>19</v>
      </c>
      <c r="I17" s="90">
        <v>19</v>
      </c>
      <c r="J17" s="90">
        <v>19</v>
      </c>
      <c r="K17" s="90">
        <v>19</v>
      </c>
      <c r="L17" s="90">
        <v>19</v>
      </c>
      <c r="M17" s="90">
        <v>19</v>
      </c>
      <c r="N17" s="90">
        <v>19</v>
      </c>
      <c r="O17" s="90">
        <v>19</v>
      </c>
      <c r="P17" s="91">
        <f>SUM(tblExpenses[[#This Row],[Kolom1]:[Dec]])</f>
        <v>228</v>
      </c>
      <c r="Q17" s="92">
        <v>0.14000000000000001</v>
      </c>
      <c r="R17" s="93">
        <f>tblExpenses[[#This Row],[Kolom1]]/tblExpenses[[#Totals],[Kolom1]]</f>
        <v>1.3342696629213483E-2</v>
      </c>
      <c r="S17" s="93">
        <f>tblExpenses[[#This Row],[Feb]]/tblExpenses[[#Totals],[Feb]]</f>
        <v>1.3484740951029099E-2</v>
      </c>
      <c r="T17" s="93">
        <f>tblExpenses[[#This Row],[Mrt]]/tblExpenses[[#Totals],[Mrt]]</f>
        <v>1.3389711064129669E-2</v>
      </c>
      <c r="U17" s="93">
        <f>tblExpenses[[#This Row],[Apr]]/tblExpenses[[#Totals],[Apr]]</f>
        <v>1.3296011196641007E-2</v>
      </c>
      <c r="V17" s="93">
        <f>tblExpenses[[#This Row],[Mei]]/tblExpenses[[#Totals],[Mei]]</f>
        <v>1.3494318181818182E-2</v>
      </c>
      <c r="W17" s="93">
        <f>tblExpenses[[#This Row],[Jun]]/tblExpenses[[#Totals],[Jun]]</f>
        <v>1.4022140221402213E-2</v>
      </c>
      <c r="X17" s="93">
        <f>tblExpenses[[#This Row],[Jul]]/tblExpenses[[#Totals],[Jul]]</f>
        <v>1.4011799410029498E-2</v>
      </c>
      <c r="Y17" s="93">
        <f>tblExpenses[[#This Row],[Aug]]/tblExpenses[[#Totals],[Aug]]</f>
        <v>1.4296463506395787E-2</v>
      </c>
      <c r="Z17" s="93">
        <f>tblExpenses[[#This Row],[Sep]]/tblExpenses[[#Totals],[Sep]]</f>
        <v>1.3399153737658674E-2</v>
      </c>
      <c r="AA17" s="93">
        <f>tblExpenses[[#This Row],[Okt]]/tblExpenses[[#Totals],[Okt]]</f>
        <v>1.4074074074074074E-2</v>
      </c>
      <c r="AB17" s="93">
        <f>tblExpenses[[#This Row],[Nov]]/tblExpenses[[#Totals],[Nov]]</f>
        <v>1.3157894736842105E-2</v>
      </c>
      <c r="AC17" s="93">
        <f>tblExpenses[[#This Row],[Dec]]/tblExpenses[[#Totals],[Dec]]</f>
        <v>1.3503909026297086E-2</v>
      </c>
      <c r="AD17" s="93">
        <f>tblExpenses[[#This Row],[Jaarlijks]]/tblExpenses[[#Totals],[Jaarlijks]]</f>
        <v>1.3613565798901361E-2</v>
      </c>
    </row>
    <row r="18" spans="1:30" ht="35" customHeight="1" x14ac:dyDescent="0.2">
      <c r="B18" s="67" t="s">
        <v>166</v>
      </c>
      <c r="C18" s="89" t="s">
        <v>153</v>
      </c>
      <c r="D18" s="90">
        <v>20</v>
      </c>
      <c r="E18" s="90">
        <v>20</v>
      </c>
      <c r="F18" s="90">
        <v>20</v>
      </c>
      <c r="G18" s="90">
        <v>20</v>
      </c>
      <c r="H18" s="90">
        <v>20</v>
      </c>
      <c r="I18" s="90">
        <v>20</v>
      </c>
      <c r="J18" s="90">
        <v>20</v>
      </c>
      <c r="K18" s="90">
        <v>20</v>
      </c>
      <c r="L18" s="90">
        <v>20</v>
      </c>
      <c r="M18" s="90">
        <v>20</v>
      </c>
      <c r="N18" s="90">
        <v>20</v>
      </c>
      <c r="O18" s="90">
        <v>20</v>
      </c>
      <c r="P18" s="91">
        <f>SUM(tblExpenses[[#This Row],[Kolom1]:[Dec]])</f>
        <v>240</v>
      </c>
      <c r="Q18" s="92">
        <v>0.06</v>
      </c>
      <c r="R18" s="93">
        <f>tblExpenses[[#This Row],[Kolom1]]/tblExpenses[[#Totals],[Kolom1]]</f>
        <v>1.4044943820224719E-2</v>
      </c>
      <c r="S18" s="93">
        <f>tblExpenses[[#This Row],[Feb]]/tblExpenses[[#Totals],[Feb]]</f>
        <v>1.4194464158977998E-2</v>
      </c>
      <c r="T18" s="93">
        <f>tblExpenses[[#This Row],[Mrt]]/tblExpenses[[#Totals],[Mrt]]</f>
        <v>1.4094432699083862E-2</v>
      </c>
      <c r="U18" s="93">
        <f>tblExpenses[[#This Row],[Apr]]/tblExpenses[[#Totals],[Apr]]</f>
        <v>1.3995801259622114E-2</v>
      </c>
      <c r="V18" s="93">
        <f>tblExpenses[[#This Row],[Mei]]/tblExpenses[[#Totals],[Mei]]</f>
        <v>1.4204545454545454E-2</v>
      </c>
      <c r="W18" s="93">
        <f>tblExpenses[[#This Row],[Jun]]/tblExpenses[[#Totals],[Jun]]</f>
        <v>1.4760147601476014E-2</v>
      </c>
      <c r="X18" s="93">
        <f>tblExpenses[[#This Row],[Jul]]/tblExpenses[[#Totals],[Jul]]</f>
        <v>1.4749262536873156E-2</v>
      </c>
      <c r="Y18" s="93">
        <f>tblExpenses[[#This Row],[Aug]]/tblExpenses[[#Totals],[Aug]]</f>
        <v>1.5048908954100828E-2</v>
      </c>
      <c r="Z18" s="93">
        <f>tblExpenses[[#This Row],[Sep]]/tblExpenses[[#Totals],[Sep]]</f>
        <v>1.4104372355430184E-2</v>
      </c>
      <c r="AA18" s="93">
        <f>tblExpenses[[#This Row],[Okt]]/tblExpenses[[#Totals],[Okt]]</f>
        <v>1.4814814814814815E-2</v>
      </c>
      <c r="AB18" s="93">
        <f>tblExpenses[[#This Row],[Nov]]/tblExpenses[[#Totals],[Nov]]</f>
        <v>1.3850415512465374E-2</v>
      </c>
      <c r="AC18" s="93">
        <f>tblExpenses[[#This Row],[Dec]]/tblExpenses[[#Totals],[Dec]]</f>
        <v>1.4214641080312722E-2</v>
      </c>
      <c r="AD18" s="93">
        <f>tblExpenses[[#This Row],[Jaarlijks]]/tblExpenses[[#Totals],[Jaarlijks]]</f>
        <v>1.4330069262001434E-2</v>
      </c>
    </row>
    <row r="19" spans="1:30" ht="35" customHeight="1" x14ac:dyDescent="0.2">
      <c r="B19" s="67" t="s">
        <v>167</v>
      </c>
      <c r="C19" s="89" t="s">
        <v>153</v>
      </c>
      <c r="D19" s="90">
        <v>357</v>
      </c>
      <c r="E19" s="90">
        <v>357</v>
      </c>
      <c r="F19" s="90">
        <v>357</v>
      </c>
      <c r="G19" s="90">
        <v>357</v>
      </c>
      <c r="H19" s="90">
        <v>357</v>
      </c>
      <c r="I19" s="90">
        <v>357</v>
      </c>
      <c r="J19" s="90">
        <v>357</v>
      </c>
      <c r="K19" s="90">
        <v>357</v>
      </c>
      <c r="L19" s="90">
        <v>357</v>
      </c>
      <c r="M19" s="90">
        <v>357</v>
      </c>
      <c r="N19" s="90">
        <v>357</v>
      </c>
      <c r="O19" s="90">
        <v>357</v>
      </c>
      <c r="P19" s="91">
        <f>SUM(tblExpenses[[#This Row],[Kolom1]:[Dec]])</f>
        <v>4284</v>
      </c>
      <c r="Q19" s="92">
        <v>0.01</v>
      </c>
      <c r="R19" s="93">
        <f>tblExpenses[[#This Row],[Kolom1]]/tblExpenses[[#Totals],[Kolom1]]</f>
        <v>0.25070224719101125</v>
      </c>
      <c r="S19" s="93">
        <f>tblExpenses[[#This Row],[Feb]]/tblExpenses[[#Totals],[Feb]]</f>
        <v>0.25337118523775726</v>
      </c>
      <c r="T19" s="93">
        <f>tblExpenses[[#This Row],[Mrt]]/tblExpenses[[#Totals],[Mrt]]</f>
        <v>0.25158562367864695</v>
      </c>
      <c r="U19" s="93">
        <f>tblExpenses[[#This Row],[Apr]]/tblExpenses[[#Totals],[Apr]]</f>
        <v>0.24982505248425471</v>
      </c>
      <c r="V19" s="93">
        <f>tblExpenses[[#This Row],[Mei]]/tblExpenses[[#Totals],[Mei]]</f>
        <v>0.25355113636363635</v>
      </c>
      <c r="W19" s="93">
        <f>tblExpenses[[#This Row],[Jun]]/tblExpenses[[#Totals],[Jun]]</f>
        <v>0.26346863468634685</v>
      </c>
      <c r="X19" s="93">
        <f>tblExpenses[[#This Row],[Jul]]/tblExpenses[[#Totals],[Jul]]</f>
        <v>0.26327433628318586</v>
      </c>
      <c r="Y19" s="93">
        <f>tblExpenses[[#This Row],[Aug]]/tblExpenses[[#Totals],[Aug]]</f>
        <v>0.26862302483069977</v>
      </c>
      <c r="Z19" s="93">
        <f>tblExpenses[[#This Row],[Sep]]/tblExpenses[[#Totals],[Sep]]</f>
        <v>0.25176304654442877</v>
      </c>
      <c r="AA19" s="93">
        <f>tblExpenses[[#This Row],[Okt]]/tblExpenses[[#Totals],[Okt]]</f>
        <v>0.26444444444444443</v>
      </c>
      <c r="AB19" s="93">
        <f>tblExpenses[[#This Row],[Nov]]/tblExpenses[[#Totals],[Nov]]</f>
        <v>0.24722991689750692</v>
      </c>
      <c r="AC19" s="93">
        <f>tblExpenses[[#This Row],[Dec]]/tblExpenses[[#Totals],[Dec]]</f>
        <v>0.2537313432835821</v>
      </c>
      <c r="AD19" s="93">
        <f>tblExpenses[[#This Row],[Jaarlijks]]/tblExpenses[[#Totals],[Jaarlijks]]</f>
        <v>0.25579173632672558</v>
      </c>
    </row>
    <row r="20" spans="1:30" ht="35" customHeight="1" x14ac:dyDescent="0.2">
      <c r="B20" s="67" t="s">
        <v>168</v>
      </c>
      <c r="C20" s="89" t="s">
        <v>153</v>
      </c>
      <c r="D20" s="90">
        <v>650</v>
      </c>
      <c r="E20" s="90">
        <v>635</v>
      </c>
      <c r="F20" s="90">
        <v>620</v>
      </c>
      <c r="G20" s="90">
        <v>635</v>
      </c>
      <c r="H20" s="90">
        <v>618</v>
      </c>
      <c r="I20" s="90">
        <v>584</v>
      </c>
      <c r="J20" s="90">
        <v>594</v>
      </c>
      <c r="K20" s="90">
        <v>574</v>
      </c>
      <c r="L20" s="90">
        <v>657</v>
      </c>
      <c r="M20" s="90">
        <v>584</v>
      </c>
      <c r="N20" s="90">
        <v>688</v>
      </c>
      <c r="O20" s="90">
        <v>648</v>
      </c>
      <c r="P20" s="91">
        <f>SUM(tblExpenses[[#This Row],[Kolom1]:[Dec]])</f>
        <v>7487</v>
      </c>
      <c r="Q20" s="92">
        <v>0.01</v>
      </c>
      <c r="R20" s="93">
        <f>tblExpenses[[#This Row],[Kolom1]]/tblExpenses[[#Totals],[Kolom1]]</f>
        <v>0.45646067415730335</v>
      </c>
      <c r="S20" s="93">
        <f>tblExpenses[[#This Row],[Feb]]/tblExpenses[[#Totals],[Feb]]</f>
        <v>0.45067423704755144</v>
      </c>
      <c r="T20" s="93">
        <f>tblExpenses[[#This Row],[Mrt]]/tblExpenses[[#Totals],[Mrt]]</f>
        <v>0.43692741367159971</v>
      </c>
      <c r="U20" s="93">
        <f>tblExpenses[[#This Row],[Apr]]/tblExpenses[[#Totals],[Apr]]</f>
        <v>0.44436668999300211</v>
      </c>
      <c r="V20" s="93">
        <f>tblExpenses[[#This Row],[Mei]]/tblExpenses[[#Totals],[Mei]]</f>
        <v>0.43892045454545453</v>
      </c>
      <c r="W20" s="93">
        <f>tblExpenses[[#This Row],[Jun]]/tblExpenses[[#Totals],[Jun]]</f>
        <v>0.43099630996309962</v>
      </c>
      <c r="X20" s="93">
        <f>tblExpenses[[#This Row],[Jul]]/tblExpenses[[#Totals],[Jul]]</f>
        <v>0.43805309734513276</v>
      </c>
      <c r="Y20" s="93">
        <f>tblExpenses[[#This Row],[Aug]]/tblExpenses[[#Totals],[Aug]]</f>
        <v>0.43190368698269377</v>
      </c>
      <c r="Z20" s="93">
        <f>tblExpenses[[#This Row],[Sep]]/tblExpenses[[#Totals],[Sep]]</f>
        <v>0.46332863187588152</v>
      </c>
      <c r="AA20" s="93">
        <f>tblExpenses[[#This Row],[Okt]]/tblExpenses[[#Totals],[Okt]]</f>
        <v>0.43259259259259258</v>
      </c>
      <c r="AB20" s="93">
        <f>tblExpenses[[#This Row],[Nov]]/tblExpenses[[#Totals],[Nov]]</f>
        <v>0.47645429362880887</v>
      </c>
      <c r="AC20" s="93">
        <f>tblExpenses[[#This Row],[Dec]]/tblExpenses[[#Totals],[Dec]]</f>
        <v>0.4605543710021322</v>
      </c>
      <c r="AD20" s="93">
        <f>tblExpenses[[#This Row],[Jaarlijks]]/tblExpenses[[#Totals],[Jaarlijks]]</f>
        <v>0.44703845235251971</v>
      </c>
    </row>
    <row r="21" spans="1:30" ht="35" customHeight="1" x14ac:dyDescent="0.2">
      <c r="B21" s="94"/>
      <c r="C21" s="89" t="s">
        <v>153</v>
      </c>
      <c r="D21" s="90"/>
      <c r="E21" s="90"/>
      <c r="F21" s="90"/>
      <c r="G21" s="90"/>
      <c r="H21" s="90"/>
      <c r="I21" s="90"/>
      <c r="J21" s="90"/>
      <c r="K21" s="90"/>
      <c r="L21" s="90"/>
      <c r="M21" s="90"/>
      <c r="N21" s="90"/>
      <c r="O21" s="90"/>
      <c r="P21" s="91">
        <f>SUM(tblExpenses[[#This Row],[Kolom1]:[Dec]])</f>
        <v>0</v>
      </c>
      <c r="Q21" s="92">
        <v>0.01</v>
      </c>
      <c r="R21" s="93">
        <f>tblExpenses[[#This Row],[Kolom1]]/tblExpenses[[#Totals],[Kolom1]]</f>
        <v>0</v>
      </c>
      <c r="S21" s="93">
        <f>tblExpenses[[#This Row],[Feb]]/tblExpenses[[#Totals],[Feb]]</f>
        <v>0</v>
      </c>
      <c r="T21" s="93">
        <f>tblExpenses[[#This Row],[Mrt]]/tblExpenses[[#Totals],[Mrt]]</f>
        <v>0</v>
      </c>
      <c r="U21" s="93">
        <f>tblExpenses[[#This Row],[Apr]]/tblExpenses[[#Totals],[Apr]]</f>
        <v>0</v>
      </c>
      <c r="V21" s="93">
        <f>tblExpenses[[#This Row],[Mei]]/tblExpenses[[#Totals],[Mei]]</f>
        <v>0</v>
      </c>
      <c r="W21" s="93">
        <f>tblExpenses[[#This Row],[Jun]]/tblExpenses[[#Totals],[Jun]]</f>
        <v>0</v>
      </c>
      <c r="X21" s="93">
        <f>tblExpenses[[#This Row],[Jul]]/tblExpenses[[#Totals],[Jul]]</f>
        <v>0</v>
      </c>
      <c r="Y21" s="93">
        <f>tblExpenses[[#This Row],[Aug]]/tblExpenses[[#Totals],[Aug]]</f>
        <v>0</v>
      </c>
      <c r="Z21" s="93">
        <f>tblExpenses[[#This Row],[Sep]]/tblExpenses[[#Totals],[Sep]]</f>
        <v>0</v>
      </c>
      <c r="AA21" s="93">
        <f>tblExpenses[[#This Row],[Okt]]/tblExpenses[[#Totals],[Okt]]</f>
        <v>0</v>
      </c>
      <c r="AB21" s="93">
        <f>tblExpenses[[#This Row],[Nov]]/tblExpenses[[#Totals],[Nov]]</f>
        <v>0</v>
      </c>
      <c r="AC21" s="93">
        <f>tblExpenses[[#This Row],[Dec]]/tblExpenses[[#Totals],[Dec]]</f>
        <v>0</v>
      </c>
      <c r="AD21" s="93">
        <f>tblExpenses[[#This Row],[Jaarlijks]]/tblExpenses[[#Totals],[Jaarlijks]]</f>
        <v>0</v>
      </c>
    </row>
    <row r="22" spans="1:30" ht="35" customHeight="1" x14ac:dyDescent="0.2">
      <c r="A22" s="95"/>
      <c r="B22" s="94"/>
      <c r="C22" s="89" t="s">
        <v>153</v>
      </c>
      <c r="D22" s="90"/>
      <c r="E22" s="90"/>
      <c r="F22" s="90"/>
      <c r="G22" s="90"/>
      <c r="H22" s="90"/>
      <c r="I22" s="90"/>
      <c r="J22" s="90"/>
      <c r="K22" s="90"/>
      <c r="L22" s="90"/>
      <c r="M22" s="90"/>
      <c r="N22" s="90"/>
      <c r="O22" s="90"/>
      <c r="P22" s="91">
        <f>SUM(tblExpenses[[#This Row],[Kolom1]:[Dec]])</f>
        <v>0</v>
      </c>
      <c r="Q22" s="92">
        <v>0.01</v>
      </c>
      <c r="R22" s="93">
        <f>tblExpenses[[#This Row],[Kolom1]]/tblExpenses[[#Totals],[Kolom1]]</f>
        <v>0</v>
      </c>
      <c r="S22" s="93">
        <f>tblExpenses[[#This Row],[Feb]]/tblExpenses[[#Totals],[Feb]]</f>
        <v>0</v>
      </c>
      <c r="T22" s="93">
        <f>tblExpenses[[#This Row],[Mrt]]/tblExpenses[[#Totals],[Mrt]]</f>
        <v>0</v>
      </c>
      <c r="U22" s="93">
        <f>tblExpenses[[#This Row],[Apr]]/tblExpenses[[#Totals],[Apr]]</f>
        <v>0</v>
      </c>
      <c r="V22" s="93">
        <f>tblExpenses[[#This Row],[Mei]]/tblExpenses[[#Totals],[Mei]]</f>
        <v>0</v>
      </c>
      <c r="W22" s="93">
        <f>tblExpenses[[#This Row],[Jun]]/tblExpenses[[#Totals],[Jun]]</f>
        <v>0</v>
      </c>
      <c r="X22" s="93">
        <f>tblExpenses[[#This Row],[Jul]]/tblExpenses[[#Totals],[Jul]]</f>
        <v>0</v>
      </c>
      <c r="Y22" s="93">
        <f>tblExpenses[[#This Row],[Aug]]/tblExpenses[[#Totals],[Aug]]</f>
        <v>0</v>
      </c>
      <c r="Z22" s="93">
        <f>tblExpenses[[#This Row],[Sep]]/tblExpenses[[#Totals],[Sep]]</f>
        <v>0</v>
      </c>
      <c r="AA22" s="93">
        <f>tblExpenses[[#This Row],[Okt]]/tblExpenses[[#Totals],[Okt]]</f>
        <v>0</v>
      </c>
      <c r="AB22" s="93">
        <f>tblExpenses[[#This Row],[Nov]]/tblExpenses[[#Totals],[Nov]]</f>
        <v>0</v>
      </c>
      <c r="AC22" s="93">
        <f>tblExpenses[[#This Row],[Dec]]/tblExpenses[[#Totals],[Dec]]</f>
        <v>0</v>
      </c>
      <c r="AD22" s="93">
        <f>tblExpenses[[#This Row],[Jaarlijks]]/tblExpenses[[#Totals],[Jaarlijks]]</f>
        <v>0</v>
      </c>
    </row>
    <row r="23" spans="1:30" ht="35" customHeight="1" x14ac:dyDescent="0.2">
      <c r="A23" s="85"/>
      <c r="B23" s="94"/>
      <c r="C23" s="89" t="s">
        <v>153</v>
      </c>
      <c r="D23" s="90"/>
      <c r="E23" s="90"/>
      <c r="F23" s="90"/>
      <c r="G23" s="90"/>
      <c r="H23" s="90"/>
      <c r="I23" s="90"/>
      <c r="J23" s="90"/>
      <c r="K23" s="90"/>
      <c r="L23" s="90"/>
      <c r="M23" s="90"/>
      <c r="N23" s="90"/>
      <c r="O23" s="90"/>
      <c r="P23" s="91">
        <f>SUM(tblExpenses[[#This Row],[Kolom1]:[Dec]])</f>
        <v>0</v>
      </c>
      <c r="Q23" s="92">
        <v>0.02</v>
      </c>
      <c r="R23" s="93">
        <f>tblExpenses[[#This Row],[Kolom1]]/tblExpenses[[#Totals],[Kolom1]]</f>
        <v>0</v>
      </c>
      <c r="S23" s="93">
        <f>tblExpenses[[#This Row],[Feb]]/tblExpenses[[#Totals],[Feb]]</f>
        <v>0</v>
      </c>
      <c r="T23" s="93">
        <f>tblExpenses[[#This Row],[Mrt]]/tblExpenses[[#Totals],[Mrt]]</f>
        <v>0</v>
      </c>
      <c r="U23" s="93">
        <f>tblExpenses[[#This Row],[Apr]]/tblExpenses[[#Totals],[Apr]]</f>
        <v>0</v>
      </c>
      <c r="V23" s="93">
        <f>tblExpenses[[#This Row],[Mei]]/tblExpenses[[#Totals],[Mei]]</f>
        <v>0</v>
      </c>
      <c r="W23" s="93">
        <f>tblExpenses[[#This Row],[Jun]]/tblExpenses[[#Totals],[Jun]]</f>
        <v>0</v>
      </c>
      <c r="X23" s="93">
        <f>tblExpenses[[#This Row],[Jul]]/tblExpenses[[#Totals],[Jul]]</f>
        <v>0</v>
      </c>
      <c r="Y23" s="93">
        <f>tblExpenses[[#This Row],[Aug]]/tblExpenses[[#Totals],[Aug]]</f>
        <v>0</v>
      </c>
      <c r="Z23" s="93">
        <f>tblExpenses[[#This Row],[Sep]]/tblExpenses[[#Totals],[Sep]]</f>
        <v>0</v>
      </c>
      <c r="AA23" s="93">
        <f>tblExpenses[[#This Row],[Okt]]/tblExpenses[[#Totals],[Okt]]</f>
        <v>0</v>
      </c>
      <c r="AB23" s="93">
        <f>tblExpenses[[#This Row],[Nov]]/tblExpenses[[#Totals],[Nov]]</f>
        <v>0</v>
      </c>
      <c r="AC23" s="93">
        <f>tblExpenses[[#This Row],[Dec]]/tblExpenses[[#Totals],[Dec]]</f>
        <v>0</v>
      </c>
      <c r="AD23" s="93">
        <f>tblExpenses[[#This Row],[Jaarlijks]]/tblExpenses[[#Totals],[Jaarlijks]]</f>
        <v>0</v>
      </c>
    </row>
    <row r="24" spans="1:30" s="52" customFormat="1" ht="35" customHeight="1" x14ac:dyDescent="0.2">
      <c r="B24" s="73" t="s">
        <v>169</v>
      </c>
      <c r="C24" s="96"/>
      <c r="D24" s="75">
        <f>SUBTOTAL(109,tblExpenses[Kolom1])</f>
        <v>1424</v>
      </c>
      <c r="E24" s="75">
        <f>SUBTOTAL(109,tblExpenses[Feb])</f>
        <v>1409</v>
      </c>
      <c r="F24" s="75">
        <f>SUBTOTAL(109,tblExpenses[Mrt])</f>
        <v>1419</v>
      </c>
      <c r="G24" s="75">
        <f>SUBTOTAL(109,tblExpenses[Apr])</f>
        <v>1429</v>
      </c>
      <c r="H24" s="75">
        <f>SUBTOTAL(109,tblExpenses[Mei])</f>
        <v>1408</v>
      </c>
      <c r="I24" s="75">
        <f>SUBTOTAL(109,tblExpenses[Jun])</f>
        <v>1355</v>
      </c>
      <c r="J24" s="75">
        <f>SUBTOTAL(109,tblExpenses[Jul])</f>
        <v>1356</v>
      </c>
      <c r="K24" s="75">
        <f>SUBTOTAL(109,tblExpenses[Aug])</f>
        <v>1329</v>
      </c>
      <c r="L24" s="75">
        <f>SUBTOTAL(109,tblExpenses[Sep])</f>
        <v>1418</v>
      </c>
      <c r="M24" s="75">
        <f>SUBTOTAL(109,tblExpenses[Okt])</f>
        <v>1350</v>
      </c>
      <c r="N24" s="75">
        <f>SUBTOTAL(109,tblExpenses[Nov])</f>
        <v>1444</v>
      </c>
      <c r="O24" s="75">
        <f>SUBTOTAL(109,tblExpenses[Dec])</f>
        <v>1407</v>
      </c>
      <c r="P24" s="75">
        <f>SUBTOTAL(109,tblExpenses[Jaarlijks])</f>
        <v>16748</v>
      </c>
      <c r="Q24" s="76">
        <f>SUBTOTAL(109,tblExpenses[Index %])</f>
        <v>1</v>
      </c>
      <c r="R24" s="76">
        <f>SUBTOTAL(109,tblExpenses[Jan %])</f>
        <v>1</v>
      </c>
      <c r="S24" s="76">
        <f>SUBTOTAL(109,tblExpenses[Feb %])</f>
        <v>1</v>
      </c>
      <c r="T24" s="76">
        <f>SUBTOTAL(109,tblExpenses[Mrt %])</f>
        <v>1</v>
      </c>
      <c r="U24" s="76">
        <f>SUBTOTAL(109,tblExpenses[Apr %])</f>
        <v>1</v>
      </c>
      <c r="V24" s="76">
        <f>SUBTOTAL(109,tblExpenses[Mei %])</f>
        <v>1</v>
      </c>
      <c r="W24" s="76">
        <f>SUBTOTAL(109,tblExpenses[Jun %])</f>
        <v>1</v>
      </c>
      <c r="X24" s="76">
        <f>SUBTOTAL(109,tblExpenses[Jul %])</f>
        <v>0.99999999999999989</v>
      </c>
      <c r="Y24" s="76">
        <f>SUBTOTAL(109,tblExpenses[Aug %])</f>
        <v>1</v>
      </c>
      <c r="Z24" s="76">
        <f>SUBTOTAL(109,tblExpenses[Sep %])</f>
        <v>1</v>
      </c>
      <c r="AA24" s="76">
        <f>SUBTOTAL(109,tblExpenses[Okt %])</f>
        <v>1</v>
      </c>
      <c r="AB24" s="76">
        <f>SUBTOTAL(109,tblExpenses[Nov %])</f>
        <v>1</v>
      </c>
      <c r="AC24" s="76">
        <f>SUBTOTAL(109,tblExpenses[Dec %])</f>
        <v>1</v>
      </c>
      <c r="AD24" s="76">
        <f>SUBTOTAL(109,tblExpenses[Jaar %])</f>
        <v>1</v>
      </c>
    </row>
    <row r="25" spans="1:30" ht="35" customHeight="1" x14ac:dyDescent="0.2">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c r="AB25" s="81"/>
      <c r="AC25" s="81"/>
      <c r="AD25" s="81"/>
    </row>
    <row r="26" spans="1:30" ht="35" customHeight="1" x14ac:dyDescent="0.2">
      <c r="B26" s="97" t="s">
        <v>170</v>
      </c>
      <c r="C26" s="98"/>
      <c r="D26" s="99">
        <f>[1]Verkoopkosten!$D$14-tblExpenses[[#Totals],[Kolom1]]</f>
        <v>-105</v>
      </c>
      <c r="E26" s="99">
        <f>[1]Verkoopkosten!E14-tblExpenses[[#Totals],[Feb]]</f>
        <v>-51</v>
      </c>
      <c r="F26" s="99">
        <f>[1]Verkoopkosten!F14-tblExpenses[[#Totals],[Mrt]]</f>
        <v>-87</v>
      </c>
      <c r="G26" s="99">
        <f>[1]Verkoopkosten!G14-tblExpenses[[#Totals],[Apr]]</f>
        <v>105</v>
      </c>
      <c r="H26" s="99">
        <f>[1]Verkoopkosten!H14-tblExpenses[[#Totals],[Mei]]</f>
        <v>146</v>
      </c>
      <c r="I26" s="99">
        <f>[1]Verkoopkosten!I14-tblExpenses[[#Totals],[Jun]]</f>
        <v>313</v>
      </c>
      <c r="J26" s="99">
        <f>[1]Verkoopkosten!J14-tblExpenses[[#Totals],[Jul]]</f>
        <v>368</v>
      </c>
      <c r="K26" s="99">
        <f>[1]Verkoopkosten!K14-tblExpenses[[#Totals],[Aug]]</f>
        <v>-14</v>
      </c>
      <c r="L26" s="99">
        <f>[1]Verkoopkosten!L14-tblExpenses[[#Totals],[Sep]]</f>
        <v>-169</v>
      </c>
      <c r="M26" s="99">
        <f>[1]Verkoopkosten!M14-tblExpenses[[#Totals],[Okt]]</f>
        <v>96</v>
      </c>
      <c r="N26" s="99">
        <f>[1]Verkoopkosten!N14-tblExpenses[[#Totals],[Nov]]</f>
        <v>215</v>
      </c>
      <c r="O26" s="99">
        <f>[1]Verkoopkosten!O14-tblExpenses[[#Totals],[Dec]]</f>
        <v>2</v>
      </c>
      <c r="P26" s="99">
        <f>SUM(D26:O26)</f>
        <v>819</v>
      </c>
      <c r="Q26" s="98"/>
      <c r="R26" s="100">
        <f>D26/$P$26</f>
        <v>-0.12820512820512819</v>
      </c>
      <c r="S26" s="100">
        <f t="shared" ref="S26:AD26" si="1">E26/$P$26</f>
        <v>-6.2271062271062272E-2</v>
      </c>
      <c r="T26" s="100">
        <f t="shared" si="1"/>
        <v>-0.10622710622710622</v>
      </c>
      <c r="U26" s="100">
        <f t="shared" si="1"/>
        <v>0.12820512820512819</v>
      </c>
      <c r="V26" s="100">
        <f t="shared" si="1"/>
        <v>0.17826617826617827</v>
      </c>
      <c r="W26" s="100">
        <f t="shared" si="1"/>
        <v>0.38217338217338215</v>
      </c>
      <c r="X26" s="100">
        <f t="shared" si="1"/>
        <v>0.44932844932844934</v>
      </c>
      <c r="Y26" s="100">
        <f t="shared" si="1"/>
        <v>-1.7094017094017096E-2</v>
      </c>
      <c r="Z26" s="100">
        <f t="shared" si="1"/>
        <v>-0.20634920634920634</v>
      </c>
      <c r="AA26" s="100">
        <f t="shared" si="1"/>
        <v>0.11721611721611722</v>
      </c>
      <c r="AB26" s="100">
        <f t="shared" si="1"/>
        <v>0.26251526251526253</v>
      </c>
      <c r="AC26" s="100">
        <f t="shared" si="1"/>
        <v>2.442002442002442E-3</v>
      </c>
      <c r="AD26" s="100">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9-11</vt:lpstr>
      <vt:lpstr>Depreciation&amp;Cost</vt:lpstr>
      <vt:lpstr>BEP</vt:lpstr>
      <vt:lpstr>Income</vt:lpstr>
      <vt:lpstr>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2018-09-20T10:04:52Z</dcterms:modified>
</cp:coreProperties>
</file>