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oeli/Desktop/校内/HZ/Dew-IT/finance/"/>
    </mc:Choice>
  </mc:AlternateContent>
  <bookViews>
    <workbookView xWindow="0" yWindow="460" windowWidth="28800" windowHeight="16340" tabRatio="500"/>
  </bookViews>
  <sheets>
    <sheet name="9-11" sheetId="1" r:id="rId1"/>
    <sheet name="Depreciation&amp;Cost" sheetId="2" r:id="rId2"/>
    <sheet name="Income" sheetId="3" r:id="rId3"/>
    <sheet name="Expenses" sheetId="4" r:id="rId4"/>
  </sheets>
  <externalReferences>
    <externalReference r:id="rId5"/>
  </externalReferences>
  <definedNames>
    <definedName name="Bedrijfsnaam" localSheetId="3">[1]Income!$AD$1</definedName>
    <definedName name="Bedrijfsnaam">Income!$AD$1</definedName>
    <definedName name="FYMonthNo" localSheetId="3">IF(Expenses!FYMonthStart="JAN",1,IF(Expenses!FYMonthStart="FEB",2,IF(Expenses!FYMonthStart="MRT",3,IF(Expenses!FYMonthStart="APR",4,IF(Expenses!FYMonthStart="MEI",5,IF(Expenses!FYMonthStart="JUN",6,IF(Expenses!FYMonthStart="JUL",7,IF(Expenses!FYMonthStart="AUG",8,IF(Expenses!FYMonthStart="SEP",9,IF(Expenses!FYMonthStart="OKT",10,IF(Expenses!FYMonthStart="NOV",11,12)))))))))))</definedName>
    <definedName name="FYMonthNo">IF(FYMonthStart="JAN",1,IF(FYMonthStart="FEB",2,IF(FYMonthStart="MRT",3,IF(FYMonthStart="APR",4,IF(FYMonthStart="MEI",5,IF(FYMonthStart="JUN",6,IF(FYMonthStart="JUL",7,IF(FYMonthStart="AUG",8,IF(FYMonthStart="SEP",9,IF(FYMonthStart="OKT",10,IF(FYMonthStart="NOV",11,12)))))))))))</definedName>
    <definedName name="FYMonthStart" localSheetId="3">[1]Income!$AC$2</definedName>
    <definedName name="FYMonthStart">Income!$AC$2</definedName>
    <definedName name="FYStartYear" localSheetId="3">[1]Income!$AD$2</definedName>
    <definedName name="FYStartYear">Income!$AD$2</definedName>
    <definedName name="_xlnm.Print_Area" localSheetId="0">'9-11'!$A$1:$J$39</definedName>
    <definedName name="_xlnm.Print_Titles" localSheetId="3">Expenses!$3:$4</definedName>
    <definedName name="_xlnm.Print_Titles" localSheetId="2">Income!$3:$4</definedName>
    <definedName name="Projection_Period_Title" localSheetId="3">[1]Income!$B$1</definedName>
    <definedName name="Projection_Period_Title">Income!$B$1</definedName>
    <definedName name="Titel1" localSheetId="3">[1]!Inkomsten[[#Headers],[TURNOVER]]</definedName>
    <definedName name="Titel1">Inkomsten[[#Headers],[TURNOVER]]</definedName>
    <definedName name="Titel2">[1]!Verkoopkosten[[#Headers],[Costs of Sales]]</definedName>
    <definedName name="Titel3">tblExpenses[[#Headers],[ONKOSTEN]]</definedName>
    <definedName name="Wksht_Title" localSheetId="3">[1]Income!$B$2</definedName>
    <definedName name="Wksht_Title">Income!$B$2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 i="1" l="1"/>
  <c r="F25" i="1"/>
  <c r="K10" i="2"/>
  <c r="F23" i="1"/>
  <c r="K8" i="2"/>
  <c r="J8" i="2"/>
  <c r="I15" i="1"/>
  <c r="H15" i="1"/>
  <c r="I7" i="1"/>
  <c r="H7" i="1"/>
  <c r="J14" i="2"/>
  <c r="J16" i="2"/>
  <c r="J12" i="2"/>
  <c r="I14" i="1"/>
  <c r="H14" i="1"/>
  <c r="J13" i="2"/>
  <c r="K13" i="2"/>
  <c r="I9" i="1"/>
  <c r="J9" i="2"/>
  <c r="I10" i="1"/>
  <c r="J10" i="2"/>
  <c r="I11" i="1"/>
  <c r="J11" i="2"/>
  <c r="I12" i="1"/>
  <c r="I13" i="1"/>
  <c r="I21" i="1"/>
  <c r="J15" i="2"/>
  <c r="F10" i="1"/>
  <c r="C22" i="1"/>
  <c r="F12" i="1"/>
  <c r="H13" i="1"/>
  <c r="F7" i="1"/>
  <c r="J7" i="2"/>
  <c r="K7" i="2"/>
  <c r="F9" i="1"/>
  <c r="I8" i="1"/>
  <c r="C15" i="1"/>
  <c r="I17" i="1"/>
  <c r="C18" i="1"/>
  <c r="I18" i="1"/>
  <c r="C21" i="1"/>
  <c r="I19" i="1"/>
  <c r="F8" i="1"/>
  <c r="D24" i="4"/>
  <c r="D26" i="4"/>
  <c r="E24" i="4"/>
  <c r="E26" i="4"/>
  <c r="F24" i="4"/>
  <c r="F26" i="4"/>
  <c r="G24" i="4"/>
  <c r="G26" i="4"/>
  <c r="H24" i="4"/>
  <c r="H26" i="4"/>
  <c r="I24" i="4"/>
  <c r="I26" i="4"/>
  <c r="J24" i="4"/>
  <c r="J26" i="4"/>
  <c r="K24" i="4"/>
  <c r="K26" i="4"/>
  <c r="L24" i="4"/>
  <c r="L26" i="4"/>
  <c r="M24" i="4"/>
  <c r="M26" i="4"/>
  <c r="N24" i="4"/>
  <c r="N26" i="4"/>
  <c r="O24" i="4"/>
  <c r="O26" i="4"/>
  <c r="P26" i="4"/>
  <c r="AD26" i="4"/>
  <c r="AC26" i="4"/>
  <c r="AB26" i="4"/>
  <c r="AA26" i="4"/>
  <c r="Z26" i="4"/>
  <c r="Y26" i="4"/>
  <c r="X26" i="4"/>
  <c r="W26" i="4"/>
  <c r="V26" i="4"/>
  <c r="U26" i="4"/>
  <c r="T26" i="4"/>
  <c r="S26" i="4"/>
  <c r="R26" i="4"/>
  <c r="P5" i="4"/>
  <c r="P6" i="4"/>
  <c r="P7" i="4"/>
  <c r="P8" i="4"/>
  <c r="P9" i="4"/>
  <c r="P10" i="4"/>
  <c r="P11" i="4"/>
  <c r="P12" i="4"/>
  <c r="P13" i="4"/>
  <c r="P14" i="4"/>
  <c r="P15" i="4"/>
  <c r="P16" i="4"/>
  <c r="P17" i="4"/>
  <c r="P18" i="4"/>
  <c r="P19" i="4"/>
  <c r="P20" i="4"/>
  <c r="P21" i="4"/>
  <c r="P22" i="4"/>
  <c r="P23" i="4"/>
  <c r="P24" i="4"/>
  <c r="AD5" i="4"/>
  <c r="AD6" i="4"/>
  <c r="AD7" i="4"/>
  <c r="AD8" i="4"/>
  <c r="AD9" i="4"/>
  <c r="AD10" i="4"/>
  <c r="AD11" i="4"/>
  <c r="AD12" i="4"/>
  <c r="AD13" i="4"/>
  <c r="AD14" i="4"/>
  <c r="AD15" i="4"/>
  <c r="AD16" i="4"/>
  <c r="AD17" i="4"/>
  <c r="AD18" i="4"/>
  <c r="AD19" i="4"/>
  <c r="AD20" i="4"/>
  <c r="AD21" i="4"/>
  <c r="AD22" i="4"/>
  <c r="AD23" i="4"/>
  <c r="AD24" i="4"/>
  <c r="AC5" i="4"/>
  <c r="AC6" i="4"/>
  <c r="AC7" i="4"/>
  <c r="AC8" i="4"/>
  <c r="AC9" i="4"/>
  <c r="AC10" i="4"/>
  <c r="AC11" i="4"/>
  <c r="AC12" i="4"/>
  <c r="AC13" i="4"/>
  <c r="AC14" i="4"/>
  <c r="AC15" i="4"/>
  <c r="AC16" i="4"/>
  <c r="AC17" i="4"/>
  <c r="AC18" i="4"/>
  <c r="AC19" i="4"/>
  <c r="AC20" i="4"/>
  <c r="AC21" i="4"/>
  <c r="AC22" i="4"/>
  <c r="AC23" i="4"/>
  <c r="AC24" i="4"/>
  <c r="AB5" i="4"/>
  <c r="AB6" i="4"/>
  <c r="AB7" i="4"/>
  <c r="AB8" i="4"/>
  <c r="AB9" i="4"/>
  <c r="AB10" i="4"/>
  <c r="AB11" i="4"/>
  <c r="AB12" i="4"/>
  <c r="AB13" i="4"/>
  <c r="AB14" i="4"/>
  <c r="AB15" i="4"/>
  <c r="AB16" i="4"/>
  <c r="AB17" i="4"/>
  <c r="AB18" i="4"/>
  <c r="AB19" i="4"/>
  <c r="AB20" i="4"/>
  <c r="AB21" i="4"/>
  <c r="AB22" i="4"/>
  <c r="AB23" i="4"/>
  <c r="AB24" i="4"/>
  <c r="AA5" i="4"/>
  <c r="AA6" i="4"/>
  <c r="AA7" i="4"/>
  <c r="AA8" i="4"/>
  <c r="AA9" i="4"/>
  <c r="AA10" i="4"/>
  <c r="AA11" i="4"/>
  <c r="AA12" i="4"/>
  <c r="AA13" i="4"/>
  <c r="AA14" i="4"/>
  <c r="AA15" i="4"/>
  <c r="AA16" i="4"/>
  <c r="AA17" i="4"/>
  <c r="AA18" i="4"/>
  <c r="AA19" i="4"/>
  <c r="AA20" i="4"/>
  <c r="AA21" i="4"/>
  <c r="AA22" i="4"/>
  <c r="AA23" i="4"/>
  <c r="AA24" i="4"/>
  <c r="Z5" i="4"/>
  <c r="Z6" i="4"/>
  <c r="Z7" i="4"/>
  <c r="Z8" i="4"/>
  <c r="Z9" i="4"/>
  <c r="Z10" i="4"/>
  <c r="Z11" i="4"/>
  <c r="Z12" i="4"/>
  <c r="Z13" i="4"/>
  <c r="Z14" i="4"/>
  <c r="Z15" i="4"/>
  <c r="Z16" i="4"/>
  <c r="Z17" i="4"/>
  <c r="Z18" i="4"/>
  <c r="Z19" i="4"/>
  <c r="Z20" i="4"/>
  <c r="Z21" i="4"/>
  <c r="Z22" i="4"/>
  <c r="Z23" i="4"/>
  <c r="Z24" i="4"/>
  <c r="Y5" i="4"/>
  <c r="Y6" i="4"/>
  <c r="Y7" i="4"/>
  <c r="Y8" i="4"/>
  <c r="Y9" i="4"/>
  <c r="Y10" i="4"/>
  <c r="Y11" i="4"/>
  <c r="Y12" i="4"/>
  <c r="Y13" i="4"/>
  <c r="Y14" i="4"/>
  <c r="Y15" i="4"/>
  <c r="Y16" i="4"/>
  <c r="Y17" i="4"/>
  <c r="Y18" i="4"/>
  <c r="Y19" i="4"/>
  <c r="Y20" i="4"/>
  <c r="Y21" i="4"/>
  <c r="Y22" i="4"/>
  <c r="Y23" i="4"/>
  <c r="Y24" i="4"/>
  <c r="X5" i="4"/>
  <c r="X6" i="4"/>
  <c r="X7" i="4"/>
  <c r="X8" i="4"/>
  <c r="X9" i="4"/>
  <c r="X10" i="4"/>
  <c r="X11" i="4"/>
  <c r="X12" i="4"/>
  <c r="X13" i="4"/>
  <c r="X14" i="4"/>
  <c r="X15" i="4"/>
  <c r="X16" i="4"/>
  <c r="X17" i="4"/>
  <c r="X18" i="4"/>
  <c r="X19" i="4"/>
  <c r="X20" i="4"/>
  <c r="X21" i="4"/>
  <c r="X22" i="4"/>
  <c r="X23" i="4"/>
  <c r="X24" i="4"/>
  <c r="W5" i="4"/>
  <c r="W6" i="4"/>
  <c r="W7" i="4"/>
  <c r="W8" i="4"/>
  <c r="W9" i="4"/>
  <c r="W10" i="4"/>
  <c r="W11" i="4"/>
  <c r="W12" i="4"/>
  <c r="W13" i="4"/>
  <c r="W14" i="4"/>
  <c r="W15" i="4"/>
  <c r="W16" i="4"/>
  <c r="W17" i="4"/>
  <c r="W18" i="4"/>
  <c r="W19" i="4"/>
  <c r="W20" i="4"/>
  <c r="W21" i="4"/>
  <c r="W22" i="4"/>
  <c r="W23" i="4"/>
  <c r="W24" i="4"/>
  <c r="V5" i="4"/>
  <c r="V6" i="4"/>
  <c r="V7" i="4"/>
  <c r="V8" i="4"/>
  <c r="V9" i="4"/>
  <c r="V10" i="4"/>
  <c r="V11" i="4"/>
  <c r="V12" i="4"/>
  <c r="V13" i="4"/>
  <c r="V14" i="4"/>
  <c r="V15" i="4"/>
  <c r="V16" i="4"/>
  <c r="V17" i="4"/>
  <c r="V18" i="4"/>
  <c r="V19" i="4"/>
  <c r="V20" i="4"/>
  <c r="V21" i="4"/>
  <c r="V22" i="4"/>
  <c r="V23" i="4"/>
  <c r="V24" i="4"/>
  <c r="U5" i="4"/>
  <c r="U6" i="4"/>
  <c r="U7" i="4"/>
  <c r="U8" i="4"/>
  <c r="U9" i="4"/>
  <c r="U10" i="4"/>
  <c r="U11" i="4"/>
  <c r="U12" i="4"/>
  <c r="U13" i="4"/>
  <c r="U14" i="4"/>
  <c r="U15" i="4"/>
  <c r="U16" i="4"/>
  <c r="U17" i="4"/>
  <c r="U18" i="4"/>
  <c r="U19" i="4"/>
  <c r="U20" i="4"/>
  <c r="U21" i="4"/>
  <c r="U22" i="4"/>
  <c r="U23" i="4"/>
  <c r="U24" i="4"/>
  <c r="T5" i="4"/>
  <c r="T6" i="4"/>
  <c r="T7" i="4"/>
  <c r="T8" i="4"/>
  <c r="T9" i="4"/>
  <c r="T10" i="4"/>
  <c r="T11" i="4"/>
  <c r="T12" i="4"/>
  <c r="T13" i="4"/>
  <c r="T14" i="4"/>
  <c r="T15" i="4"/>
  <c r="T16" i="4"/>
  <c r="T17" i="4"/>
  <c r="T18" i="4"/>
  <c r="T19" i="4"/>
  <c r="T20" i="4"/>
  <c r="T21" i="4"/>
  <c r="T22" i="4"/>
  <c r="T23" i="4"/>
  <c r="T24" i="4"/>
  <c r="S5" i="4"/>
  <c r="S6" i="4"/>
  <c r="S7" i="4"/>
  <c r="S8" i="4"/>
  <c r="S9" i="4"/>
  <c r="S10" i="4"/>
  <c r="S11" i="4"/>
  <c r="S12" i="4"/>
  <c r="S13" i="4"/>
  <c r="S14" i="4"/>
  <c r="S15" i="4"/>
  <c r="S16" i="4"/>
  <c r="S17" i="4"/>
  <c r="S18" i="4"/>
  <c r="S19" i="4"/>
  <c r="S20" i="4"/>
  <c r="S21" i="4"/>
  <c r="S22" i="4"/>
  <c r="S23" i="4"/>
  <c r="S24" i="4"/>
  <c r="R5" i="4"/>
  <c r="R6" i="4"/>
  <c r="R7" i="4"/>
  <c r="R8" i="4"/>
  <c r="R9" i="4"/>
  <c r="R10" i="4"/>
  <c r="R11" i="4"/>
  <c r="R12" i="4"/>
  <c r="R13" i="4"/>
  <c r="R14" i="4"/>
  <c r="R15" i="4"/>
  <c r="R16" i="4"/>
  <c r="R17" i="4"/>
  <c r="R18" i="4"/>
  <c r="R19" i="4"/>
  <c r="R20" i="4"/>
  <c r="R21" i="4"/>
  <c r="R22" i="4"/>
  <c r="R23" i="4"/>
  <c r="R24" i="4"/>
  <c r="Q24" i="4"/>
  <c r="O3" i="4"/>
  <c r="AC3" i="4"/>
  <c r="N3" i="4"/>
  <c r="AB3" i="4"/>
  <c r="M3" i="4"/>
  <c r="AA3" i="4"/>
  <c r="L3" i="4"/>
  <c r="Z3" i="4"/>
  <c r="K3" i="4"/>
  <c r="Y3" i="4"/>
  <c r="J3" i="4"/>
  <c r="X3" i="4"/>
  <c r="I3" i="4"/>
  <c r="W3" i="4"/>
  <c r="H3" i="4"/>
  <c r="V3" i="4"/>
  <c r="G3" i="4"/>
  <c r="U3" i="4"/>
  <c r="F3" i="4"/>
  <c r="T3" i="4"/>
  <c r="E3" i="4"/>
  <c r="S3" i="4"/>
  <c r="D3" i="4"/>
  <c r="R3" i="4"/>
  <c r="AD2" i="4"/>
  <c r="AC2" i="4"/>
  <c r="B2" i="4"/>
  <c r="AD1" i="4"/>
  <c r="B1" i="4"/>
  <c r="P5" i="3"/>
  <c r="P6" i="3"/>
  <c r="P7" i="3"/>
  <c r="AD5" i="3"/>
  <c r="AD6" i="3"/>
  <c r="AD7" i="3"/>
  <c r="O7" i="3"/>
  <c r="AC5" i="3"/>
  <c r="AC6" i="3"/>
  <c r="AC7" i="3"/>
  <c r="N7" i="3"/>
  <c r="AB5" i="3"/>
  <c r="AB6" i="3"/>
  <c r="AB7" i="3"/>
  <c r="M7" i="3"/>
  <c r="AA5" i="3"/>
  <c r="AA6" i="3"/>
  <c r="AA7" i="3"/>
  <c r="L7" i="3"/>
  <c r="Z5" i="3"/>
  <c r="Z6" i="3"/>
  <c r="Z7" i="3"/>
  <c r="K7" i="3"/>
  <c r="Y5" i="3"/>
  <c r="Y6" i="3"/>
  <c r="Y7" i="3"/>
  <c r="J7" i="3"/>
  <c r="X5" i="3"/>
  <c r="X6" i="3"/>
  <c r="X7" i="3"/>
  <c r="I7" i="3"/>
  <c r="W5" i="3"/>
  <c r="W6" i="3"/>
  <c r="W7" i="3"/>
  <c r="H7" i="3"/>
  <c r="V5" i="3"/>
  <c r="V6" i="3"/>
  <c r="V7" i="3"/>
  <c r="G7" i="3"/>
  <c r="U5" i="3"/>
  <c r="U6" i="3"/>
  <c r="U7" i="3"/>
  <c r="F7" i="3"/>
  <c r="T5" i="3"/>
  <c r="T6" i="3"/>
  <c r="T7" i="3"/>
  <c r="E7" i="3"/>
  <c r="S5" i="3"/>
  <c r="S6" i="3"/>
  <c r="S7" i="3"/>
  <c r="D7" i="3"/>
  <c r="R5" i="3"/>
  <c r="R6" i="3"/>
  <c r="R7" i="3"/>
  <c r="Q7" i="3"/>
  <c r="O3" i="3"/>
  <c r="AC3" i="3"/>
  <c r="N3" i="3"/>
  <c r="AB3" i="3"/>
  <c r="M3" i="3"/>
  <c r="AA3" i="3"/>
  <c r="L3" i="3"/>
  <c r="Z3" i="3"/>
  <c r="K3" i="3"/>
  <c r="Y3" i="3"/>
  <c r="J3" i="3"/>
  <c r="X3" i="3"/>
  <c r="I3" i="3"/>
  <c r="W3" i="3"/>
  <c r="H3" i="3"/>
  <c r="V3" i="3"/>
  <c r="G3" i="3"/>
  <c r="U3" i="3"/>
  <c r="F3" i="3"/>
  <c r="T3" i="3"/>
  <c r="E3" i="3"/>
  <c r="S3" i="3"/>
  <c r="D3" i="3"/>
  <c r="R3" i="3"/>
  <c r="F18" i="1"/>
  <c r="F6" i="1"/>
  <c r="F14" i="1"/>
  <c r="L2" i="2"/>
  <c r="L4" i="2"/>
  <c r="L3" i="2"/>
  <c r="F13" i="1"/>
  <c r="C20" i="1"/>
  <c r="F39" i="2"/>
  <c r="I45" i="2"/>
  <c r="H45" i="2"/>
  <c r="G45" i="2"/>
  <c r="F45" i="2"/>
  <c r="E45" i="2"/>
  <c r="D45" i="2"/>
  <c r="C45" i="2"/>
  <c r="M43" i="2"/>
  <c r="L43" i="2"/>
  <c r="K43" i="2"/>
  <c r="J43" i="2"/>
  <c r="I43" i="2"/>
  <c r="H43" i="2"/>
  <c r="G43" i="2"/>
  <c r="F43" i="2"/>
  <c r="E43" i="2"/>
  <c r="D43" i="2"/>
  <c r="C43" i="2"/>
  <c r="M41" i="2"/>
  <c r="L41" i="2"/>
  <c r="K41" i="2"/>
  <c r="J41" i="2"/>
  <c r="I41" i="2"/>
  <c r="H41" i="2"/>
  <c r="G41" i="2"/>
  <c r="F41" i="2"/>
  <c r="E41" i="2"/>
  <c r="D41" i="2"/>
  <c r="C41" i="2"/>
  <c r="C20" i="2"/>
  <c r="C35" i="2"/>
  <c r="D35" i="2"/>
  <c r="C37" i="2"/>
  <c r="D37" i="2"/>
  <c r="E37" i="2"/>
  <c r="F37" i="2"/>
  <c r="G37" i="2"/>
  <c r="H37" i="2"/>
  <c r="I37" i="2"/>
  <c r="J37" i="2"/>
  <c r="K37" i="2"/>
  <c r="L37" i="2"/>
  <c r="M37" i="2"/>
  <c r="N37" i="2"/>
  <c r="F35" i="2"/>
  <c r="O37" i="2"/>
  <c r="C17" i="2"/>
  <c r="C31" i="2"/>
  <c r="D31" i="2"/>
  <c r="C33" i="2"/>
  <c r="D33" i="2"/>
  <c r="E33" i="2"/>
  <c r="F33" i="2"/>
  <c r="G33" i="2"/>
  <c r="H33" i="2"/>
  <c r="I33" i="2"/>
  <c r="J33" i="2"/>
  <c r="K33" i="2"/>
  <c r="L33" i="2"/>
  <c r="F31" i="2"/>
  <c r="M33" i="2"/>
  <c r="D39" i="2"/>
  <c r="C23" i="2"/>
  <c r="C39" i="2"/>
  <c r="C9" i="2"/>
  <c r="D9" i="2"/>
  <c r="C6" i="2"/>
  <c r="D6" i="2"/>
  <c r="C19" i="1"/>
  <c r="E16" i="2"/>
  <c r="E19" i="2"/>
  <c r="E22" i="2"/>
  <c r="F16" i="2"/>
  <c r="F19" i="2"/>
  <c r="F22" i="2"/>
  <c r="C17" i="1"/>
  <c r="C16" i="1"/>
  <c r="C11" i="2"/>
  <c r="D11" i="2"/>
  <c r="E11" i="2"/>
  <c r="F11" i="2"/>
  <c r="G11" i="2"/>
  <c r="F12" i="2"/>
  <c r="C10" i="2"/>
  <c r="F6" i="2"/>
  <c r="G6" i="2"/>
  <c r="F7" i="2"/>
  <c r="C7" i="2"/>
  <c r="C3" i="2"/>
  <c r="D3" i="2"/>
  <c r="C4" i="2"/>
  <c r="C11" i="1"/>
  <c r="C14" i="1"/>
  <c r="F16" i="1"/>
  <c r="F19" i="1"/>
  <c r="C26" i="1"/>
  <c r="F26" i="1"/>
  <c r="C27" i="1"/>
  <c r="F27" i="1"/>
  <c r="F28" i="1"/>
  <c r="C28" i="1"/>
</calcChain>
</file>

<file path=xl/comments1.xml><?xml version="1.0" encoding="utf-8"?>
<comments xmlns="http://schemas.openxmlformats.org/spreadsheetml/2006/main">
  <authors>
    <author>李 文华</author>
  </authors>
  <commentList>
    <comment ref="C22" authorId="0">
      <text>
        <r>
          <rPr>
            <sz val="11"/>
            <color indexed="81"/>
            <rFont val="ＭＳ Ｐゴシック"/>
            <family val="2"/>
            <charset val="128"/>
          </rPr>
          <t xml:space="preserve">Zoe:
pallets broken
</t>
        </r>
      </text>
    </comment>
  </commentList>
</comments>
</file>

<file path=xl/sharedStrings.xml><?xml version="1.0" encoding="utf-8"?>
<sst xmlns="http://schemas.openxmlformats.org/spreadsheetml/2006/main" count="284" uniqueCount="191">
  <si>
    <t>depreciation</t>
    <phoneticPr fontId="3" type="noConversion"/>
  </si>
  <si>
    <t>draft for calculating depreciation of sum-of-year-digit</t>
    <phoneticPr fontId="3" type="noConversion"/>
  </si>
  <si>
    <t>Total Liability &amp; Equity</t>
    <phoneticPr fontId="3" type="noConversion"/>
  </si>
  <si>
    <t>ttl asset</t>
    <phoneticPr fontId="3" type="noConversion"/>
  </si>
  <si>
    <t>ttl equity</t>
    <phoneticPr fontId="3" type="noConversion"/>
  </si>
  <si>
    <t>ttl fixed asset</t>
    <phoneticPr fontId="3" type="noConversion"/>
  </si>
  <si>
    <t>Retained earnings</t>
    <phoneticPr fontId="2" type="noConversion"/>
  </si>
  <si>
    <t>Surplus reserves</t>
    <phoneticPr fontId="2" type="noConversion"/>
  </si>
  <si>
    <t>capital reserves</t>
    <phoneticPr fontId="2" type="noConversion"/>
  </si>
  <si>
    <t>net loss in fixed assets</t>
    <phoneticPr fontId="3" type="noConversion"/>
  </si>
  <si>
    <t>equity</t>
    <phoneticPr fontId="2" type="noConversion"/>
  </si>
  <si>
    <t>de-eqp</t>
    <phoneticPr fontId="3" type="noConversion"/>
  </si>
  <si>
    <t>Equipment</t>
    <phoneticPr fontId="3" type="noConversion"/>
  </si>
  <si>
    <t>ttl current debt</t>
    <phoneticPr fontId="2" type="noConversion"/>
  </si>
  <si>
    <t>long term debt</t>
    <phoneticPr fontId="2" type="noConversion"/>
  </si>
  <si>
    <t>pallets</t>
    <phoneticPr fontId="3" type="noConversion"/>
  </si>
  <si>
    <t>  </t>
  </si>
  <si>
    <t>long term debt</t>
    <phoneticPr fontId="3" type="noConversion"/>
  </si>
  <si>
    <t>de-DC</t>
    <phoneticPr fontId="3" type="noConversion"/>
  </si>
  <si>
    <t>ttl current debt</t>
    <phoneticPr fontId="3" type="noConversion"/>
  </si>
  <si>
    <t>DC</t>
    <phoneticPr fontId="3" type="noConversion"/>
  </si>
  <si>
    <t>other current debt</t>
    <phoneticPr fontId="2" type="noConversion"/>
  </si>
  <si>
    <t>de-truck</t>
    <phoneticPr fontId="3" type="noConversion"/>
  </si>
  <si>
    <t>eqp</t>
    <phoneticPr fontId="2" type="noConversion"/>
  </si>
  <si>
    <t>debt due within 1 year</t>
    <phoneticPr fontId="2" type="noConversion"/>
  </si>
  <si>
    <t>trucks</t>
    <phoneticPr fontId="3" type="noConversion"/>
  </si>
  <si>
    <t>interest payable</t>
    <phoneticPr fontId="2" type="noConversion"/>
  </si>
  <si>
    <t>long term investment</t>
    <phoneticPr fontId="3" type="noConversion"/>
  </si>
  <si>
    <t>dc</t>
    <phoneticPr fontId="2" type="noConversion"/>
  </si>
  <si>
    <t>fixed asset</t>
    <phoneticPr fontId="3" type="noConversion"/>
  </si>
  <si>
    <t>truck</t>
    <phoneticPr fontId="2" type="noConversion"/>
  </si>
  <si>
    <t>insurance payable</t>
    <phoneticPr fontId="2" type="noConversion"/>
  </si>
  <si>
    <t>ttl current asset</t>
    <phoneticPr fontId="3" type="noConversion"/>
  </si>
  <si>
    <t>tax payable</t>
    <phoneticPr fontId="2" type="noConversion"/>
  </si>
  <si>
    <t>net loss of current asset</t>
    <phoneticPr fontId="3" type="noConversion"/>
  </si>
  <si>
    <t>welfare payable</t>
    <phoneticPr fontId="2" type="noConversion"/>
  </si>
  <si>
    <t>inventory</t>
    <phoneticPr fontId="3" type="noConversion"/>
  </si>
  <si>
    <t>salary payable</t>
    <phoneticPr fontId="2" type="noConversion"/>
  </si>
  <si>
    <t>provision bad-debt</t>
    <phoneticPr fontId="3" type="noConversion"/>
  </si>
  <si>
    <t>account payable</t>
    <phoneticPr fontId="2" type="noConversion"/>
  </si>
  <si>
    <t>account receivable</t>
    <phoneticPr fontId="3" type="noConversion"/>
  </si>
  <si>
    <t>turnover</t>
    <phoneticPr fontId="3" type="noConversion"/>
  </si>
  <si>
    <t>short term debt</t>
    <phoneticPr fontId="2" type="noConversion"/>
  </si>
  <si>
    <t>cash</t>
    <phoneticPr fontId="3" type="noConversion"/>
  </si>
  <si>
    <t>income statement</t>
    <phoneticPr fontId="3" type="noConversion"/>
  </si>
  <si>
    <t>current debt</t>
    <phoneticPr fontId="3" type="noConversion"/>
  </si>
  <si>
    <t>current asset</t>
    <phoneticPr fontId="3" type="noConversion"/>
  </si>
  <si>
    <t>debt</t>
    <phoneticPr fontId="3" type="noConversion"/>
  </si>
  <si>
    <t>asset</t>
    <phoneticPr fontId="3" type="noConversion"/>
  </si>
  <si>
    <t>balance sheet</t>
    <phoneticPr fontId="3" type="noConversion"/>
  </si>
  <si>
    <t>Other income</t>
    <phoneticPr fontId="2" type="noConversion"/>
  </si>
  <si>
    <t>lend part of the DC out</t>
    <phoneticPr fontId="2" type="noConversion"/>
  </si>
  <si>
    <t>bank interest</t>
    <phoneticPr fontId="2" type="noConversion"/>
  </si>
  <si>
    <t>depreciation of truck</t>
    <phoneticPr fontId="2" type="noConversion"/>
  </si>
  <si>
    <t>Land</t>
    <phoneticPr fontId="3" type="noConversion"/>
  </si>
  <si>
    <t>France</t>
    <phoneticPr fontId="2" type="noConversion"/>
  </si>
  <si>
    <t>land</t>
    <phoneticPr fontId="2" type="noConversion"/>
  </si>
  <si>
    <t>warehouse</t>
    <phoneticPr fontId="2" type="noConversion"/>
  </si>
  <si>
    <t>DC</t>
    <phoneticPr fontId="2" type="noConversion"/>
  </si>
  <si>
    <t>Germany</t>
    <phoneticPr fontId="2" type="noConversion"/>
  </si>
  <si>
    <t>Netherlands</t>
    <phoneticPr fontId="2" type="noConversion"/>
  </si>
  <si>
    <t>pallets</t>
    <phoneticPr fontId="2" type="noConversion"/>
  </si>
  <si>
    <t>ttl value</t>
    <phoneticPr fontId="2" type="noConversion"/>
  </si>
  <si>
    <t>each value</t>
    <phoneticPr fontId="2" type="noConversion"/>
  </si>
  <si>
    <t>eqp: forklift</t>
    <phoneticPr fontId="2" type="noConversion"/>
  </si>
  <si>
    <t>original value</t>
    <phoneticPr fontId="2" type="noConversion"/>
  </si>
  <si>
    <t>dep every year</t>
    <phoneticPr fontId="2" type="noConversion"/>
  </si>
  <si>
    <t>value at the begin of year</t>
    <phoneticPr fontId="2" type="noConversion"/>
  </si>
  <si>
    <t>france</t>
    <phoneticPr fontId="2" type="noConversion"/>
  </si>
  <si>
    <t>germany</t>
    <phoneticPr fontId="2" type="noConversion"/>
  </si>
  <si>
    <t>netherlands</t>
    <phoneticPr fontId="2" type="noConversion"/>
  </si>
  <si>
    <t>year 1</t>
    <phoneticPr fontId="2" type="noConversion"/>
  </si>
  <si>
    <t>year 2</t>
  </si>
  <si>
    <t>year 3</t>
  </si>
  <si>
    <t>year 4</t>
  </si>
  <si>
    <t>year 5</t>
  </si>
  <si>
    <t>year 6</t>
  </si>
  <si>
    <t>year 7</t>
  </si>
  <si>
    <t>year 8</t>
  </si>
  <si>
    <t>year 9</t>
  </si>
  <si>
    <t>year 10</t>
  </si>
  <si>
    <t>value of year beginning</t>
    <phoneticPr fontId="2" type="noConversion"/>
  </si>
  <si>
    <t>year 11</t>
  </si>
  <si>
    <t>year 12</t>
  </si>
  <si>
    <t>year 13</t>
  </si>
  <si>
    <t>year 12</t>
    <phoneticPr fontId="2" type="noConversion"/>
  </si>
  <si>
    <t>year 14</t>
  </si>
  <si>
    <t>year 15</t>
  </si>
  <si>
    <t>year 16</t>
  </si>
  <si>
    <t>year 17</t>
  </si>
  <si>
    <t>year 18</t>
  </si>
  <si>
    <t>year 19</t>
  </si>
  <si>
    <t>year 20</t>
  </si>
  <si>
    <t>year 21</t>
  </si>
  <si>
    <t>year 22</t>
  </si>
  <si>
    <t>year 23</t>
    <phoneticPr fontId="2" type="noConversion"/>
  </si>
  <si>
    <t>year 24</t>
  </si>
  <si>
    <t>year 25</t>
  </si>
  <si>
    <t>year 26</t>
  </si>
  <si>
    <t>year 27</t>
  </si>
  <si>
    <t>year 28</t>
  </si>
  <si>
    <t>year 29</t>
  </si>
  <si>
    <t>depreciation of eqp</t>
    <phoneticPr fontId="2" type="noConversion"/>
  </si>
  <si>
    <t>infrustructure payable</t>
    <phoneticPr fontId="2" type="noConversion"/>
  </si>
  <si>
    <t>bank loan</t>
    <phoneticPr fontId="2" type="noConversion"/>
  </si>
  <si>
    <t>ten years</t>
    <phoneticPr fontId="2" type="noConversion"/>
  </si>
  <si>
    <t>five years</t>
    <phoneticPr fontId="2" type="noConversion"/>
  </si>
  <si>
    <t>one year emergency loan</t>
    <phoneticPr fontId="2" type="noConversion"/>
  </si>
  <si>
    <t>interest rate</t>
    <phoneticPr fontId="2" type="noConversion"/>
  </si>
  <si>
    <t>interest</t>
    <phoneticPr fontId="2" type="noConversion"/>
  </si>
  <si>
    <t>amount</t>
    <phoneticPr fontId="2" type="noConversion"/>
  </si>
  <si>
    <t>TWELVE MONTHS</t>
  </si>
  <si>
    <t>&lt; Your Company &gt;</t>
  </si>
  <si>
    <t>INCOME-STATEMENT</t>
  </si>
  <si>
    <t>FISCAL YEAR BEGINS:</t>
  </si>
  <si>
    <t>JAN</t>
  </si>
  <si>
    <t>x € 1,000,-</t>
  </si>
  <si>
    <t>JAARLIJKS</t>
  </si>
  <si>
    <t>IND %</t>
  </si>
  <si>
    <t>JAAR %</t>
  </si>
  <si>
    <t>TURNOVER</t>
  </si>
  <si>
    <t>TREND</t>
  </si>
  <si>
    <t>Jan</t>
  </si>
  <si>
    <t>Feb</t>
  </si>
  <si>
    <t>Mrt</t>
  </si>
  <si>
    <t>Apr</t>
  </si>
  <si>
    <t>Mei</t>
  </si>
  <si>
    <t>Jun</t>
  </si>
  <si>
    <t>Jul</t>
  </si>
  <si>
    <t>Aug</t>
  </si>
  <si>
    <t>Sep</t>
  </si>
  <si>
    <t>Okt</t>
  </si>
  <si>
    <t>Nov</t>
  </si>
  <si>
    <t>Dec</t>
  </si>
  <si>
    <t>Jaarlijks</t>
  </si>
  <si>
    <t>Index %</t>
  </si>
  <si>
    <t>Jan %</t>
  </si>
  <si>
    <t>Feb %</t>
  </si>
  <si>
    <t>Mrt %</t>
  </si>
  <si>
    <t>Apr %</t>
  </si>
  <si>
    <t>Mei %</t>
  </si>
  <si>
    <t>Jun %</t>
  </si>
  <si>
    <t>Jul %</t>
  </si>
  <si>
    <t>Aug %</t>
  </si>
  <si>
    <t>Sep %</t>
  </si>
  <si>
    <t>Okt %</t>
  </si>
  <si>
    <t>Nov %</t>
  </si>
  <si>
    <t>Dec %</t>
  </si>
  <si>
    <t>Jaar %</t>
  </si>
  <si>
    <t>Turnover Transport</t>
  </si>
  <si>
    <t>Other Income</t>
  </si>
  <si>
    <t>Total Income</t>
  </si>
  <si>
    <t>FISCAL YEAR:</t>
  </si>
  <si>
    <t>ONKOSTEN</t>
  </si>
  <si>
    <t>Kolom1</t>
  </si>
  <si>
    <t>Wages</t>
  </si>
  <si>
    <t xml:space="preserve"> </t>
  </si>
  <si>
    <t>Pensions</t>
  </si>
  <si>
    <t>External exployees</t>
  </si>
  <si>
    <t>Inventory costs</t>
  </si>
  <si>
    <t>Repair and maintenance</t>
  </si>
  <si>
    <t>Marketing</t>
  </si>
  <si>
    <t>Travellingcosts</t>
  </si>
  <si>
    <t>Legal and accounting costs</t>
  </si>
  <si>
    <t>Rent</t>
  </si>
  <si>
    <t>Telephone costs</t>
  </si>
  <si>
    <t>Utility costs (water, gas, electricity)</t>
  </si>
  <si>
    <t>Insurance</t>
  </si>
  <si>
    <t>Belastingen (onroerend goed enz.)</t>
  </si>
  <si>
    <t>Interest</t>
  </si>
  <si>
    <t>Depreciation</t>
  </si>
  <si>
    <t>Fuel</t>
  </si>
  <si>
    <t>TOTALE ONKOSTEN</t>
  </si>
  <si>
    <t>Nettowinst</t>
  </si>
  <si>
    <t>SALARY</t>
    <phoneticPr fontId="2" type="noConversion"/>
  </si>
  <si>
    <t>salary</t>
    <phoneticPr fontId="3" type="noConversion"/>
  </si>
  <si>
    <t>profit</t>
    <phoneticPr fontId="3" type="noConversion"/>
  </si>
  <si>
    <t>welfare</t>
    <phoneticPr fontId="2" type="noConversion"/>
  </si>
  <si>
    <t>welfare</t>
    <phoneticPr fontId="3" type="noConversion"/>
  </si>
  <si>
    <t>electricity</t>
    <phoneticPr fontId="2" type="noConversion"/>
  </si>
  <si>
    <t>monthly</t>
    <phoneticPr fontId="2" type="noConversion"/>
  </si>
  <si>
    <t>communication</t>
    <phoneticPr fontId="2" type="noConversion"/>
  </si>
  <si>
    <t>water</t>
    <phoneticPr fontId="2" type="noConversion"/>
  </si>
  <si>
    <t>infrustructure</t>
    <phoneticPr fontId="2" type="noConversion"/>
  </si>
  <si>
    <t>tax</t>
    <phoneticPr fontId="2" type="noConversion"/>
  </si>
  <si>
    <t>fuel</t>
    <phoneticPr fontId="2" type="noConversion"/>
  </si>
  <si>
    <t>PAID</t>
    <phoneticPr fontId="2" type="noConversion"/>
  </si>
  <si>
    <t>PAYABLE</t>
    <phoneticPr fontId="2" type="noConversion"/>
  </si>
  <si>
    <t>marketing&amp;accounting</t>
  </si>
  <si>
    <t>inventory maintenance</t>
  </si>
  <si>
    <t>Paid-in Capital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</si>
</sst>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1" formatCode="_(* #,##0_);_(* \(#,##0\);_(* &quot;-&quot;_);_(@_)"/>
    <numFmt numFmtId="43" formatCode="_(* #,##0.00_);_(* \(#,##0.00\);_(* &quot;-&quot;??_);_(@_)"/>
    <numFmt numFmtId="164" formatCode="_(* #,##0.00_);_(* \(#,##0.00\);_(* &quot;-&quot;_);_(@_)"/>
    <numFmt numFmtId="165" formatCode="[$-413]mmm/yy;@"/>
    <numFmt numFmtId="166" formatCode=";;;"/>
    <numFmt numFmtId="167" formatCode="_(&quot;$&quot;* #,##0_);_(&quot;$&quot;* \(#,##0\);_(&quot;$&quot;* &quot;-&quot;_);_(@_)"/>
    <numFmt numFmtId="168" formatCode="_ &quot;€&quot;\ * #,##0_ ;_ &quot;€&quot;\ * \-#,##0_ ;_ &quot;€&quot;\ * &quot;-&quot;_ ;_ @_ "/>
  </numFmts>
  <fonts count="29" x14ac:knownFonts="1">
    <font>
      <sz val="10"/>
      <name val="Arial"/>
      <family val="2"/>
    </font>
    <font>
      <sz val="10"/>
      <name val="Microsoft YaHei"/>
      <family val="2"/>
    </font>
    <font>
      <sz val="9"/>
      <name val="Arial"/>
      <family val="2"/>
    </font>
    <font>
      <sz val="8"/>
      <name val="Arial"/>
      <family val="2"/>
    </font>
    <font>
      <b/>
      <sz val="8"/>
      <name val="Microsoft YaHei"/>
      <family val="2"/>
    </font>
    <font>
      <b/>
      <sz val="10"/>
      <name val="Microsoft YaHei"/>
      <family val="2"/>
    </font>
    <font>
      <sz val="8"/>
      <name val="Microsoft YaHei"/>
      <family val="2"/>
    </font>
    <font>
      <b/>
      <sz val="8"/>
      <color theme="1"/>
      <name val="Microsoft YaHei"/>
      <family val="2"/>
    </font>
    <font>
      <sz val="9"/>
      <name val="Microsoft YaHei"/>
      <family val="2"/>
    </font>
    <font>
      <sz val="12"/>
      <name val="Microsoft YaHei"/>
      <family val="2"/>
    </font>
    <font>
      <b/>
      <sz val="12"/>
      <name val="Microsoft YaHei"/>
      <family val="2"/>
    </font>
    <font>
      <sz val="11"/>
      <name val="Microsoft YaHei"/>
      <family val="2"/>
    </font>
    <font>
      <b/>
      <sz val="11"/>
      <name val="Microsoft YaHei"/>
      <family val="2"/>
    </font>
    <font>
      <b/>
      <sz val="12"/>
      <color theme="0"/>
      <name val="DengXian"/>
      <family val="2"/>
      <charset val="134"/>
      <scheme val="minor"/>
    </font>
    <font>
      <sz val="11"/>
      <color theme="1"/>
      <name val="DengXian"/>
      <family val="2"/>
      <scheme val="minor"/>
    </font>
    <font>
      <b/>
      <i/>
      <sz val="16"/>
      <color theme="7" tint="-0.24994659260841701"/>
      <name val="DengXian Light"/>
      <family val="1"/>
      <scheme val="major"/>
    </font>
    <font>
      <b/>
      <i/>
      <sz val="22"/>
      <color theme="7"/>
      <name val="DengXian Light"/>
      <family val="1"/>
      <scheme val="major"/>
    </font>
    <font>
      <b/>
      <i/>
      <sz val="22"/>
      <color theme="7" tint="-0.24994659260841701"/>
      <name val="DengXian Light"/>
      <family val="1"/>
      <scheme val="major"/>
    </font>
    <font>
      <b/>
      <sz val="22"/>
      <color theme="3"/>
      <name val="DengXian"/>
      <family val="2"/>
      <scheme val="minor"/>
    </font>
    <font>
      <b/>
      <sz val="26"/>
      <color theme="3"/>
      <name val="DengXian"/>
      <family val="2"/>
      <scheme val="minor"/>
    </font>
    <font>
      <b/>
      <sz val="11"/>
      <color theme="8"/>
      <name val="DengXian"/>
      <family val="2"/>
      <scheme val="minor"/>
    </font>
    <font>
      <b/>
      <sz val="12"/>
      <color theme="8"/>
      <name val="DengXian Light"/>
      <family val="1"/>
      <scheme val="major"/>
    </font>
    <font>
      <sz val="11"/>
      <color theme="3"/>
      <name val="DengXian Light"/>
      <family val="1"/>
      <scheme val="major"/>
    </font>
    <font>
      <b/>
      <sz val="12"/>
      <color theme="3"/>
      <name val="DengXian"/>
      <family val="2"/>
      <scheme val="minor"/>
    </font>
    <font>
      <sz val="10"/>
      <color theme="1"/>
      <name val="DengXian"/>
      <family val="2"/>
      <scheme val="minor"/>
    </font>
    <font>
      <sz val="11"/>
      <name val="DengXian"/>
      <family val="2"/>
      <scheme val="minor"/>
    </font>
    <font>
      <b/>
      <sz val="11"/>
      <color theme="0"/>
      <name val="DengXian"/>
      <family val="2"/>
      <scheme val="minor"/>
    </font>
    <font>
      <sz val="11"/>
      <color indexed="81"/>
      <name val="ＭＳ Ｐゴシック"/>
      <family val="2"/>
      <charset val="128"/>
    </font>
    <font>
      <sz val="10"/>
      <name val="Arial"/>
      <family val="2"/>
    </font>
  </fonts>
  <fills count="9">
    <fill>
      <patternFill patternType="none"/>
    </fill>
    <fill>
      <patternFill patternType="gray125"/>
    </fill>
    <fill>
      <patternFill patternType="solid">
        <fgColor indexed="17"/>
        <bgColor indexed="64"/>
      </patternFill>
    </fill>
    <fill>
      <patternFill patternType="solid">
        <fgColor theme="9"/>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theme="4" tint="0.39997558519241921"/>
        <bgColor indexed="64"/>
      </patternFill>
    </fill>
    <fill>
      <patternFill patternType="solid">
        <fgColor theme="3"/>
        <bgColor indexed="64"/>
      </patternFill>
    </fill>
    <fill>
      <patternFill patternType="solid">
        <fgColor rgb="FFFFFF00"/>
        <bgColor indexed="64"/>
      </patternFill>
    </fill>
  </fills>
  <borders count="32">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indexed="12"/>
      </left>
      <right style="thin">
        <color indexed="21"/>
      </right>
      <top style="thin">
        <color indexed="12"/>
      </top>
      <bottom style="thin">
        <color indexed="12"/>
      </bottom>
      <diagonal/>
    </border>
    <border>
      <left style="thin">
        <color auto="1"/>
      </left>
      <right/>
      <top style="thin">
        <color auto="1"/>
      </top>
      <bottom/>
      <diagonal/>
    </border>
    <border>
      <left style="thin">
        <color indexed="21"/>
      </left>
      <right style="thin">
        <color indexed="21"/>
      </right>
      <top style="double">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style="double">
        <color indexed="21"/>
      </top>
      <bottom style="double">
        <color indexed="21"/>
      </bottom>
      <diagonal/>
    </border>
    <border>
      <left style="thin">
        <color indexed="21"/>
      </left>
      <right style="thin">
        <color indexed="12"/>
      </right>
      <top style="thin">
        <color indexed="12"/>
      </top>
      <bottom style="thin">
        <color indexed="12"/>
      </bottom>
      <diagonal/>
    </border>
    <border>
      <left/>
      <right style="thin">
        <color indexed="21"/>
      </right>
      <top/>
      <bottom/>
      <diagonal/>
    </border>
    <border>
      <left style="thin">
        <color indexed="21"/>
      </left>
      <right/>
      <top/>
      <bottom/>
      <diagonal/>
    </border>
    <border>
      <left/>
      <right style="thin">
        <color indexed="21"/>
      </right>
      <top style="thin">
        <color indexed="21"/>
      </top>
      <bottom/>
      <diagonal/>
    </border>
    <border>
      <left style="thin">
        <color indexed="21"/>
      </left>
      <right/>
      <top style="thin">
        <color indexed="21"/>
      </top>
      <bottom/>
      <diagonal/>
    </border>
    <border>
      <left style="thin">
        <color theme="4" tint="0.59999389629810485"/>
      </left>
      <right/>
      <top/>
      <bottom/>
      <diagonal/>
    </border>
    <border>
      <left/>
      <right style="thin">
        <color theme="4" tint="0.59999389629810485"/>
      </right>
      <top style="thin">
        <color indexed="21"/>
      </top>
      <bottom style="thin">
        <color indexed="12"/>
      </bottom>
      <diagonal/>
    </border>
    <border>
      <left style="thin">
        <color theme="4" tint="0.59999389629810485"/>
      </left>
      <right/>
      <top style="thin">
        <color indexed="21"/>
      </top>
      <bottom style="thin">
        <color indexed="12"/>
      </bottom>
      <diagonal/>
    </border>
    <border>
      <left style="thin">
        <color indexed="12"/>
      </left>
      <right style="thin">
        <color indexed="12"/>
      </right>
      <top style="thin">
        <color indexed="12"/>
      </top>
      <bottom style="thin">
        <color indexed="1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12"/>
      </left>
      <right style="thin">
        <color indexed="21"/>
      </right>
      <top style="thin">
        <color auto="1"/>
      </top>
      <bottom style="thin">
        <color indexed="12"/>
      </bottom>
      <diagonal/>
    </border>
    <border>
      <left/>
      <right/>
      <top style="thin">
        <color auto="1"/>
      </top>
      <bottom/>
      <diagonal/>
    </border>
    <border>
      <left/>
      <right/>
      <top/>
      <bottom style="dotted">
        <color theme="3"/>
      </bottom>
      <diagonal/>
    </border>
    <border>
      <left style="thin">
        <color auto="1"/>
      </left>
      <right style="thin">
        <color auto="1"/>
      </right>
      <top/>
      <bottom style="thin">
        <color auto="1"/>
      </bottom>
      <diagonal/>
    </border>
    <border>
      <left/>
      <right/>
      <top style="thin">
        <color theme="0"/>
      </top>
      <bottom/>
      <diagonal/>
    </border>
  </borders>
  <cellStyleXfs count="18">
    <xf numFmtId="0" fontId="0" fillId="0" borderId="0"/>
    <xf numFmtId="0" fontId="14" fillId="0" borderId="0"/>
    <xf numFmtId="0" fontId="15" fillId="0" borderId="29" applyProtection="0">
      <alignment vertical="center"/>
    </xf>
    <xf numFmtId="0" fontId="17" fillId="0" borderId="0" applyFill="0" applyProtection="0">
      <alignment horizontal="right" vertical="center"/>
    </xf>
    <xf numFmtId="0" fontId="18" fillId="0" borderId="0" applyNumberFormat="0" applyFill="0" applyBorder="0" applyProtection="0">
      <alignment vertical="center"/>
    </xf>
    <xf numFmtId="0" fontId="21" fillId="0" borderId="0" applyFill="0" applyProtection="0">
      <alignment horizontal="right" vertical="center"/>
    </xf>
    <xf numFmtId="165" fontId="22" fillId="0" borderId="30" applyFill="0" applyProtection="0">
      <alignment horizontal="center" vertical="center"/>
    </xf>
    <xf numFmtId="0" fontId="23" fillId="0" borderId="0">
      <alignment horizontal="right" indent="1"/>
    </xf>
    <xf numFmtId="0" fontId="14" fillId="0" borderId="0">
      <alignment horizontal="right" wrapText="1" indent="1"/>
    </xf>
    <xf numFmtId="167" fontId="14" fillId="4" borderId="31" applyNumberFormat="0" applyFont="0" applyAlignment="0">
      <alignment horizontal="center"/>
    </xf>
    <xf numFmtId="168" fontId="25" fillId="0" borderId="0" applyFill="0" applyBorder="0" applyAlignment="0" applyProtection="0"/>
    <xf numFmtId="9" fontId="25" fillId="0" borderId="0" applyFill="0" applyBorder="0" applyProtection="0">
      <alignment horizontal="right"/>
    </xf>
    <xf numFmtId="167" fontId="25" fillId="5" borderId="31" applyNumberFormat="0" applyFont="0" applyAlignment="0"/>
    <xf numFmtId="167" fontId="25" fillId="6" borderId="31" applyNumberFormat="0" applyFont="0" applyAlignment="0"/>
    <xf numFmtId="0" fontId="13" fillId="7" borderId="0">
      <alignment horizontal="right" vertical="center" indent="1"/>
    </xf>
    <xf numFmtId="168" fontId="26" fillId="7" borderId="0" applyBorder="0" applyAlignment="0" applyProtection="0"/>
    <xf numFmtId="9" fontId="26" fillId="7" borderId="0" applyBorder="0" applyAlignment="0" applyProtection="0"/>
    <xf numFmtId="43" fontId="28" fillId="0" borderId="0" applyFont="0" applyFill="0" applyBorder="0" applyAlignment="0" applyProtection="0"/>
  </cellStyleXfs>
  <cellXfs count="150">
    <xf numFmtId="0" fontId="0" fillId="0" borderId="0" xfId="0"/>
    <xf numFmtId="0" fontId="1" fillId="0" borderId="0" xfId="0" applyFont="1"/>
    <xf numFmtId="43" fontId="1" fillId="0" borderId="0" xfId="0" applyNumberFormat="1" applyFont="1"/>
    <xf numFmtId="8" fontId="1" fillId="0" borderId="0" xfId="0" applyNumberFormat="1" applyFont="1" applyBorder="1"/>
    <xf numFmtId="0" fontId="1" fillId="0" borderId="1" xfId="0" applyFont="1" applyBorder="1"/>
    <xf numFmtId="0" fontId="1" fillId="0" borderId="2" xfId="0" applyFont="1" applyBorder="1"/>
    <xf numFmtId="0" fontId="1" fillId="0" borderId="3" xfId="0" applyFont="1" applyBorder="1"/>
    <xf numFmtId="0" fontId="1" fillId="0" borderId="0" xfId="0" applyFont="1" applyBorder="1"/>
    <xf numFmtId="0" fontId="1" fillId="0" borderId="4" xfId="0" applyFont="1" applyBorder="1"/>
    <xf numFmtId="0" fontId="1" fillId="0" borderId="6" xfId="0" applyFont="1" applyBorder="1"/>
    <xf numFmtId="164" fontId="4" fillId="2" borderId="7" xfId="0" applyNumberFormat="1" applyFont="1" applyFill="1" applyBorder="1" applyAlignment="1">
      <alignment horizontal="right" vertical="center" wrapText="1"/>
    </xf>
    <xf numFmtId="0" fontId="4" fillId="2" borderId="8" xfId="0" applyFont="1" applyFill="1" applyBorder="1" applyAlignment="1">
      <alignment horizontal="left" vertical="center" wrapText="1"/>
    </xf>
    <xf numFmtId="164" fontId="4" fillId="2" borderId="9" xfId="0" applyNumberFormat="1" applyFont="1" applyFill="1" applyBorder="1" applyAlignment="1">
      <alignment horizontal="right" vertical="center" wrapText="1"/>
    </xf>
    <xf numFmtId="0" fontId="1" fillId="0" borderId="0" xfId="0" applyFont="1" applyBorder="1" applyAlignment="1">
      <alignment vertical="center"/>
    </xf>
    <xf numFmtId="0" fontId="1" fillId="0" borderId="0" xfId="0" applyFont="1" applyAlignment="1">
      <alignment vertical="center"/>
    </xf>
    <xf numFmtId="0" fontId="4" fillId="0" borderId="0" xfId="0" applyFont="1" applyFill="1" applyBorder="1" applyAlignment="1">
      <alignment vertical="center" wrapText="1"/>
    </xf>
    <xf numFmtId="0" fontId="6" fillId="0" borderId="0" xfId="0" applyFont="1" applyBorder="1" applyAlignment="1">
      <alignment vertical="center"/>
    </xf>
    <xf numFmtId="0" fontId="4" fillId="0" borderId="13" xfId="0" applyFont="1" applyBorder="1" applyAlignment="1">
      <alignment vertical="center" wrapText="1"/>
    </xf>
    <xf numFmtId="0" fontId="4" fillId="0" borderId="14" xfId="0" applyFont="1" applyBorder="1" applyAlignment="1">
      <alignment horizontal="left" vertical="center" wrapText="1"/>
    </xf>
    <xf numFmtId="0" fontId="1" fillId="0" borderId="0" xfId="0" applyFont="1" applyAlignment="1"/>
    <xf numFmtId="0" fontId="10" fillId="0" borderId="0" xfId="0" applyFont="1" applyBorder="1" applyAlignment="1">
      <alignment horizontal="center"/>
    </xf>
    <xf numFmtId="0" fontId="9" fillId="0" borderId="0" xfId="0" applyFont="1" applyBorder="1" applyAlignment="1">
      <alignment horizontal="center"/>
    </xf>
    <xf numFmtId="0" fontId="11" fillId="0" borderId="0" xfId="0" applyFont="1" applyBorder="1"/>
    <xf numFmtId="8" fontId="1" fillId="3" borderId="0" xfId="0" applyNumberFormat="1" applyFont="1" applyFill="1" applyBorder="1"/>
    <xf numFmtId="8" fontId="1" fillId="3" borderId="2" xfId="0" applyNumberFormat="1" applyFont="1" applyFill="1" applyBorder="1"/>
    <xf numFmtId="0" fontId="1" fillId="0" borderId="19" xfId="0" applyFont="1" applyBorder="1"/>
    <xf numFmtId="0" fontId="1" fillId="0" borderId="20" xfId="0" applyFont="1" applyBorder="1"/>
    <xf numFmtId="0" fontId="1" fillId="0" borderId="21" xfId="0" applyFont="1" applyBorder="1"/>
    <xf numFmtId="0" fontId="1" fillId="0" borderId="22" xfId="0" applyFont="1" applyBorder="1"/>
    <xf numFmtId="0" fontId="5" fillId="0" borderId="0" xfId="0" applyFont="1" applyBorder="1"/>
    <xf numFmtId="0" fontId="1" fillId="0" borderId="23" xfId="0" applyFont="1" applyBorder="1"/>
    <xf numFmtId="8" fontId="1" fillId="0" borderId="23" xfId="0" applyNumberFormat="1" applyFont="1" applyBorder="1"/>
    <xf numFmtId="43" fontId="1" fillId="0" borderId="0" xfId="0" applyNumberFormat="1" applyFont="1" applyBorder="1"/>
    <xf numFmtId="0" fontId="1" fillId="0" borderId="24" xfId="0" applyFont="1" applyBorder="1"/>
    <xf numFmtId="0" fontId="1" fillId="0" borderId="25" xfId="0" applyFont="1" applyBorder="1"/>
    <xf numFmtId="43" fontId="1" fillId="0" borderId="25" xfId="0" applyNumberFormat="1" applyFont="1" applyBorder="1"/>
    <xf numFmtId="0" fontId="1" fillId="0" borderId="26" xfId="0" applyFont="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0" xfId="0" applyBorder="1"/>
    <xf numFmtId="0" fontId="0" fillId="0" borderId="23" xfId="0" applyBorder="1"/>
    <xf numFmtId="0" fontId="0" fillId="0" borderId="24" xfId="0" applyBorder="1"/>
    <xf numFmtId="0" fontId="0" fillId="0" borderId="25" xfId="0" applyBorder="1"/>
    <xf numFmtId="0" fontId="0" fillId="0" borderId="26" xfId="0" applyBorder="1"/>
    <xf numFmtId="164" fontId="4" fillId="0" borderId="0" xfId="0" applyNumberFormat="1" applyFont="1" applyBorder="1" applyAlignment="1">
      <alignment horizontal="right" wrapText="1"/>
    </xf>
    <xf numFmtId="164" fontId="4" fillId="0" borderId="27" xfId="0" applyNumberFormat="1" applyFont="1" applyBorder="1" applyAlignment="1">
      <alignment horizontal="right" wrapText="1"/>
    </xf>
    <xf numFmtId="0" fontId="1" fillId="0" borderId="28" xfId="0" applyFont="1" applyBorder="1"/>
    <xf numFmtId="43" fontId="1" fillId="0" borderId="0" xfId="0" applyNumberFormat="1" applyFont="1" applyAlignment="1">
      <alignment vertical="center"/>
    </xf>
    <xf numFmtId="0" fontId="14" fillId="0" borderId="0" xfId="1" applyNumberFormat="1" applyFont="1"/>
    <xf numFmtId="0" fontId="15" fillId="0" borderId="29" xfId="2" applyFont="1" applyAlignment="1">
      <alignment vertical="center"/>
    </xf>
    <xf numFmtId="0" fontId="14" fillId="0" borderId="0" xfId="1" applyFont="1"/>
    <xf numFmtId="0" fontId="14" fillId="0" borderId="0" xfId="1" applyFont="1" applyAlignment="1">
      <alignment horizontal="center"/>
    </xf>
    <xf numFmtId="0" fontId="16" fillId="0" borderId="0" xfId="1" applyFont="1" applyBorder="1" applyAlignment="1">
      <alignment horizontal="right" vertical="center"/>
    </xf>
    <xf numFmtId="0" fontId="17" fillId="0" borderId="0" xfId="3" applyFont="1">
      <alignment horizontal="right" vertical="center"/>
    </xf>
    <xf numFmtId="0" fontId="18" fillId="0" borderId="0" xfId="4" applyFont="1" applyBorder="1" applyAlignment="1">
      <alignment vertical="center"/>
    </xf>
    <xf numFmtId="0" fontId="19" fillId="0" borderId="0" xfId="1" applyFont="1" applyBorder="1" applyAlignment="1">
      <alignment vertical="center"/>
    </xf>
    <xf numFmtId="0" fontId="20" fillId="0" borderId="0" xfId="1" applyFont="1"/>
    <xf numFmtId="0" fontId="21" fillId="0" borderId="0" xfId="5" applyFont="1">
      <alignment horizontal="right" vertical="center"/>
    </xf>
    <xf numFmtId="0" fontId="21" fillId="0" borderId="0" xfId="5" applyNumberFormat="1" applyFont="1">
      <alignment horizontal="right" vertical="center"/>
    </xf>
    <xf numFmtId="0" fontId="14" fillId="0" borderId="0" xfId="1" applyFont="1" applyAlignment="1"/>
    <xf numFmtId="165" fontId="22" fillId="0" borderId="30" xfId="6" applyFont="1">
      <alignment horizontal="center" vertical="center"/>
    </xf>
    <xf numFmtId="0" fontId="23" fillId="0" borderId="0" xfId="7" applyFont="1" applyAlignment="1">
      <alignment horizontal="right"/>
    </xf>
    <xf numFmtId="0" fontId="23" fillId="0" borderId="0" xfId="7" applyFont="1">
      <alignment horizontal="right" indent="1"/>
    </xf>
    <xf numFmtId="166" fontId="14" fillId="0" borderId="0" xfId="1" applyNumberFormat="1" applyFont="1" applyFill="1" applyBorder="1" applyAlignment="1">
      <alignment horizontal="center"/>
    </xf>
    <xf numFmtId="166" fontId="14" fillId="0" borderId="0" xfId="1" applyNumberFormat="1" applyFont="1" applyFill="1" applyBorder="1" applyAlignment="1">
      <alignment horizontal="right"/>
    </xf>
    <xf numFmtId="0" fontId="0" fillId="0" borderId="0" xfId="8" applyFont="1" applyAlignment="1">
      <alignment horizontal="right" wrapText="1"/>
    </xf>
    <xf numFmtId="0" fontId="24" fillId="4" borderId="31" xfId="9" applyNumberFormat="1" applyFont="1" applyAlignment="1">
      <alignment horizontal="center"/>
    </xf>
    <xf numFmtId="168" fontId="25" fillId="0" borderId="0" xfId="10" applyFont="1" applyFill="1" applyBorder="1"/>
    <xf numFmtId="168" fontId="25" fillId="4" borderId="31" xfId="10" applyFont="1" applyFill="1" applyBorder="1" applyAlignment="1">
      <alignment horizontal="center"/>
    </xf>
    <xf numFmtId="9" fontId="25" fillId="0" borderId="0" xfId="11" applyFont="1" applyFill="1" applyBorder="1" applyAlignment="1">
      <alignment horizontal="right"/>
    </xf>
    <xf numFmtId="9" fontId="25" fillId="4" borderId="31" xfId="11" applyFont="1" applyFill="1" applyBorder="1" applyAlignment="1">
      <alignment horizontal="right"/>
    </xf>
    <xf numFmtId="0" fontId="14" fillId="0" borderId="0" xfId="1" applyFont="1" applyFill="1" applyBorder="1" applyAlignment="1">
      <alignment horizontal="right" wrapText="1"/>
    </xf>
    <xf numFmtId="0" fontId="14" fillId="0" borderId="0" xfId="1" applyFont="1" applyFill="1" applyBorder="1"/>
    <xf numFmtId="168" fontId="14" fillId="0" borderId="0" xfId="1" applyNumberFormat="1" applyFont="1" applyFill="1" applyBorder="1"/>
    <xf numFmtId="9" fontId="14" fillId="0" borderId="0" xfId="1" applyNumberFormat="1" applyFont="1" applyFill="1" applyBorder="1" applyAlignment="1">
      <alignment horizontal="right"/>
    </xf>
    <xf numFmtId="9" fontId="14" fillId="0" borderId="0" xfId="1" applyNumberFormat="1" applyFont="1"/>
    <xf numFmtId="0" fontId="14" fillId="0" borderId="0" xfId="1" applyNumberFormat="1"/>
    <xf numFmtId="0" fontId="15" fillId="0" borderId="29" xfId="2" applyAlignment="1">
      <alignment vertical="center"/>
    </xf>
    <xf numFmtId="0" fontId="14" fillId="0" borderId="0" xfId="1"/>
    <xf numFmtId="0" fontId="14" fillId="0" borderId="0" xfId="1" applyAlignment="1">
      <alignment horizontal="center"/>
    </xf>
    <xf numFmtId="0" fontId="17" fillId="0" borderId="0" xfId="3">
      <alignment horizontal="right" vertical="center"/>
    </xf>
    <xf numFmtId="0" fontId="18" fillId="0" borderId="0" xfId="4" applyBorder="1" applyAlignment="1">
      <alignment vertical="center"/>
    </xf>
    <xf numFmtId="0" fontId="21" fillId="0" borderId="0" xfId="5">
      <alignment horizontal="right" vertical="center"/>
    </xf>
    <xf numFmtId="0" fontId="14" fillId="0" borderId="0" xfId="1" applyAlignment="1"/>
    <xf numFmtId="165" fontId="22" fillId="0" borderId="30" xfId="6">
      <alignment horizontal="center" vertical="center"/>
    </xf>
    <xf numFmtId="0" fontId="23" fillId="0" borderId="0" xfId="7" applyAlignment="1">
      <alignment horizontal="right" wrapText="1"/>
    </xf>
    <xf numFmtId="0" fontId="23" fillId="0" borderId="0" xfId="7">
      <alignment horizontal="right" indent="1"/>
    </xf>
    <xf numFmtId="0" fontId="0" fillId="5" borderId="31" xfId="12" applyNumberFormat="1" applyFont="1" applyAlignment="1">
      <alignment horizontal="center"/>
    </xf>
    <xf numFmtId="168" fontId="0" fillId="0" borderId="0" xfId="10" applyFont="1" applyFill="1" applyBorder="1"/>
    <xf numFmtId="168" fontId="25" fillId="5" borderId="31" xfId="10" applyFill="1" applyBorder="1"/>
    <xf numFmtId="9" fontId="0" fillId="0" borderId="0" xfId="11" applyFont="1" applyFill="1" applyBorder="1" applyAlignment="1">
      <alignment horizontal="right"/>
    </xf>
    <xf numFmtId="9" fontId="25" fillId="5" borderId="31" xfId="11" applyFill="1" applyBorder="1" applyAlignment="1">
      <alignment horizontal="right"/>
    </xf>
    <xf numFmtId="0" fontId="14" fillId="0" borderId="0" xfId="8" applyAlignment="1">
      <alignment horizontal="right" wrapText="1"/>
    </xf>
    <xf numFmtId="0" fontId="14" fillId="0" borderId="0" xfId="1" applyBorder="1"/>
    <xf numFmtId="0" fontId="14" fillId="0" borderId="0" xfId="1" applyFont="1" applyFill="1" applyBorder="1" applyAlignment="1">
      <alignment horizontal="center"/>
    </xf>
    <xf numFmtId="0" fontId="13" fillId="7" borderId="0" xfId="14" applyAlignment="1">
      <alignment horizontal="right" vertical="center"/>
    </xf>
    <xf numFmtId="0" fontId="13" fillId="7" borderId="0" xfId="14">
      <alignment horizontal="right" vertical="center" indent="1"/>
    </xf>
    <xf numFmtId="168" fontId="26" fillId="7" borderId="0" xfId="15" applyFill="1" applyAlignment="1">
      <alignment horizontal="right" vertical="center" indent="1"/>
    </xf>
    <xf numFmtId="9" fontId="26" fillId="7" borderId="0" xfId="16" applyFill="1" applyAlignment="1">
      <alignment horizontal="right" vertical="center" indent="1"/>
    </xf>
    <xf numFmtId="168" fontId="14" fillId="0" borderId="0" xfId="1" applyNumberFormat="1"/>
    <xf numFmtId="164" fontId="4" fillId="0" borderId="23" xfId="0" applyNumberFormat="1" applyFont="1" applyBorder="1" applyAlignment="1">
      <alignment horizontal="right" wrapText="1"/>
    </xf>
    <xf numFmtId="8" fontId="1" fillId="3" borderId="23" xfId="0" applyNumberFormat="1" applyFont="1" applyFill="1" applyBorder="1"/>
    <xf numFmtId="8" fontId="1" fillId="3" borderId="25" xfId="0" applyNumberFormat="1" applyFont="1" applyFill="1" applyBorder="1"/>
    <xf numFmtId="0" fontId="12" fillId="0" borderId="0" xfId="0" applyFont="1" applyBorder="1" applyAlignment="1">
      <alignment horizontal="left" vertical="center"/>
    </xf>
    <xf numFmtId="0" fontId="11" fillId="0" borderId="0" xfId="0" applyFont="1" applyBorder="1" applyAlignment="1">
      <alignment horizontal="left" vertical="center"/>
    </xf>
    <xf numFmtId="0" fontId="4" fillId="0" borderId="17" xfId="0" applyFont="1" applyBorder="1" applyAlignment="1">
      <alignment horizontal="left" vertical="center" wrapText="1"/>
    </xf>
    <xf numFmtId="0" fontId="4" fillId="0" borderId="16" xfId="0" applyFont="1" applyBorder="1" applyAlignment="1">
      <alignment horizontal="left" vertical="center" wrapText="1"/>
    </xf>
    <xf numFmtId="43" fontId="5" fillId="0" borderId="0" xfId="17" applyFont="1" applyBorder="1" applyAlignment="1">
      <alignment horizontal="left" vertical="center"/>
    </xf>
    <xf numFmtId="43" fontId="1" fillId="0" borderId="0" xfId="17" applyFont="1" applyBorder="1" applyAlignment="1">
      <alignment horizontal="left" vertical="center"/>
    </xf>
    <xf numFmtId="43" fontId="1" fillId="0" borderId="0" xfId="17" applyFont="1"/>
    <xf numFmtId="43" fontId="10" fillId="0" borderId="0" xfId="17" applyFont="1" applyBorder="1" applyAlignment="1">
      <alignment horizontal="center"/>
    </xf>
    <xf numFmtId="43" fontId="9" fillId="0" borderId="0" xfId="17" applyFont="1" applyBorder="1" applyAlignment="1"/>
    <xf numFmtId="43" fontId="1" fillId="0" borderId="0" xfId="17" applyFont="1" applyAlignment="1"/>
    <xf numFmtId="43" fontId="4" fillId="0" borderId="14" xfId="17" applyFont="1" applyBorder="1" applyAlignment="1">
      <alignment vertical="center" wrapText="1"/>
    </xf>
    <xf numFmtId="43" fontId="4" fillId="0" borderId="13" xfId="17" applyFont="1" applyBorder="1" applyAlignment="1">
      <alignment vertical="center" wrapText="1"/>
    </xf>
    <xf numFmtId="43" fontId="1" fillId="0" borderId="0" xfId="17" applyFont="1" applyAlignment="1">
      <alignment vertical="center"/>
    </xf>
    <xf numFmtId="43" fontId="4" fillId="2" borderId="8" xfId="17" applyFont="1" applyFill="1" applyBorder="1" applyAlignment="1">
      <alignment vertical="center" wrapText="1"/>
    </xf>
    <xf numFmtId="43" fontId="4" fillId="2" borderId="7" xfId="17" applyFont="1" applyFill="1" applyBorder="1" applyAlignment="1">
      <alignment horizontal="right" vertical="center" wrapText="1"/>
    </xf>
    <xf numFmtId="43" fontId="4" fillId="0" borderId="12" xfId="17" applyFont="1" applyBorder="1" applyAlignment="1">
      <alignment vertical="center"/>
    </xf>
    <xf numFmtId="43" fontId="6" fillId="0" borderId="11" xfId="17" applyFont="1" applyBorder="1" applyAlignment="1">
      <alignment vertical="center"/>
    </xf>
    <xf numFmtId="43" fontId="1" fillId="0" borderId="0" xfId="17" applyFont="1" applyBorder="1" applyAlignment="1">
      <alignment vertical="center"/>
    </xf>
    <xf numFmtId="43" fontId="4" fillId="2" borderId="9" xfId="17" applyFont="1" applyFill="1" applyBorder="1" applyAlignment="1">
      <alignment horizontal="right" vertical="center" wrapText="1"/>
    </xf>
    <xf numFmtId="2" fontId="0" fillId="0" borderId="0" xfId="0" applyNumberFormat="1"/>
    <xf numFmtId="164" fontId="4" fillId="8" borderId="18" xfId="0" applyNumberFormat="1" applyFont="1" applyFill="1" applyBorder="1" applyAlignment="1">
      <alignment horizontal="right" vertical="center" wrapText="1"/>
    </xf>
    <xf numFmtId="0" fontId="4" fillId="0" borderId="0" xfId="0" applyFont="1" applyBorder="1" applyAlignment="1">
      <alignment horizontal="center" vertical="center"/>
    </xf>
    <xf numFmtId="0" fontId="6" fillId="0" borderId="0" xfId="0" applyFont="1" applyBorder="1" applyAlignment="1">
      <alignment horizontal="center" vertical="center"/>
    </xf>
    <xf numFmtId="43" fontId="4" fillId="0" borderId="0" xfId="17" applyFont="1" applyBorder="1" applyAlignment="1">
      <alignment horizontal="center" vertical="center"/>
    </xf>
    <xf numFmtId="43" fontId="6" fillId="0" borderId="0" xfId="17" applyFont="1" applyBorder="1" applyAlignment="1">
      <alignment vertical="center"/>
    </xf>
    <xf numFmtId="0" fontId="5" fillId="0" borderId="0" xfId="0" applyFont="1" applyBorder="1" applyAlignment="1">
      <alignment horizontal="left" vertical="center" wrapText="1"/>
    </xf>
    <xf numFmtId="0" fontId="1" fillId="0" borderId="0" xfId="0" applyFont="1" applyBorder="1" applyAlignment="1">
      <alignment horizontal="left" vertical="center" wrapText="1"/>
    </xf>
    <xf numFmtId="0" fontId="8" fillId="0" borderId="0" xfId="0" applyFont="1" applyBorder="1" applyAlignment="1">
      <alignment vertical="center"/>
    </xf>
    <xf numFmtId="43" fontId="5" fillId="0" borderId="0" xfId="17" applyFont="1" applyAlignment="1">
      <alignment vertical="center"/>
    </xf>
    <xf numFmtId="0" fontId="6" fillId="0" borderId="18" xfId="0" applyFont="1" applyBorder="1" applyAlignment="1">
      <alignment horizontal="left" vertical="center" wrapText="1"/>
    </xf>
    <xf numFmtId="164" fontId="4" fillId="0" borderId="18" xfId="0" applyNumberFormat="1" applyFont="1" applyBorder="1" applyAlignment="1">
      <alignment horizontal="right" vertical="center" wrapText="1"/>
    </xf>
    <xf numFmtId="43" fontId="6" fillId="0" borderId="8" xfId="17" applyFont="1" applyBorder="1" applyAlignment="1">
      <alignment vertical="center" wrapText="1"/>
    </xf>
    <xf numFmtId="43" fontId="4" fillId="0" borderId="8" xfId="17" applyFont="1" applyBorder="1" applyAlignment="1">
      <alignment horizontal="right" vertical="center" wrapText="1"/>
    </xf>
    <xf numFmtId="43" fontId="0" fillId="0" borderId="0" xfId="17" applyFont="1" applyAlignment="1">
      <alignment vertical="center"/>
    </xf>
    <xf numFmtId="0" fontId="6" fillId="0" borderId="10" xfId="0" applyFont="1" applyBorder="1" applyAlignment="1">
      <alignment horizontal="left" vertical="center" wrapText="1"/>
    </xf>
    <xf numFmtId="164" fontId="4" fillId="0" borderId="5" xfId="0" applyNumberFormat="1" applyFont="1" applyBorder="1" applyAlignment="1">
      <alignment horizontal="right" vertical="center" wrapText="1"/>
    </xf>
    <xf numFmtId="0" fontId="6" fillId="0" borderId="15" xfId="0" applyFont="1" applyBorder="1" applyAlignment="1">
      <alignment vertical="center"/>
    </xf>
    <xf numFmtId="164" fontId="4" fillId="0" borderId="5" xfId="0" applyNumberFormat="1" applyFont="1" applyBorder="1" applyAlignment="1">
      <alignment horizontal="right" vertical="center"/>
    </xf>
    <xf numFmtId="164" fontId="7" fillId="0" borderId="5" xfId="0" applyNumberFormat="1" applyFont="1" applyBorder="1" applyAlignment="1">
      <alignment horizontal="right" vertical="center"/>
    </xf>
    <xf numFmtId="43" fontId="6" fillId="0" borderId="10" xfId="17" applyFont="1" applyBorder="1" applyAlignment="1">
      <alignment vertical="center" wrapText="1"/>
    </xf>
    <xf numFmtId="43" fontId="4" fillId="0" borderId="5" xfId="17" applyFont="1" applyBorder="1" applyAlignment="1">
      <alignment horizontal="right" vertical="center" wrapText="1"/>
    </xf>
    <xf numFmtId="0" fontId="6" fillId="0" borderId="12" xfId="0" applyFont="1" applyBorder="1" applyAlignment="1">
      <alignment horizontal="left" vertical="center" wrapText="1"/>
    </xf>
    <xf numFmtId="164" fontId="4" fillId="0" borderId="11" xfId="0" applyNumberFormat="1" applyFont="1" applyBorder="1" applyAlignment="1">
      <alignment horizontal="right" vertical="center" wrapText="1"/>
    </xf>
    <xf numFmtId="41" fontId="1" fillId="3" borderId="0" xfId="0" applyNumberFormat="1" applyFont="1" applyFill="1" applyAlignment="1">
      <alignment vertical="center"/>
    </xf>
    <xf numFmtId="43" fontId="1" fillId="3" borderId="0" xfId="17" applyFont="1" applyFill="1" applyAlignment="1">
      <alignment vertical="center"/>
    </xf>
  </cellXfs>
  <cellStyles count="18">
    <cellStyle name="Comma" xfId="17" builtinId="3"/>
    <cellStyle name="Normal" xfId="0" builtinId="0"/>
    <cellStyle name="Opvulling Inkomsten" xfId="9"/>
    <cellStyle name="Opvulling Onkosten" xfId="12"/>
    <cellStyle name="Opvulling Verkoopkosten" xfId="13"/>
    <cellStyle name="Tabeldetails" xfId="8"/>
    <cellStyle name="Tabelkop 1" xfId="7"/>
    <cellStyle name="Winst" xfId="14"/>
    <cellStyle name="Winstbedrag" xfId="15"/>
    <cellStyle name="Winstpercentage" xfId="16"/>
    <cellStyle name="常规 2" xfId="1"/>
    <cellStyle name="标题 1 2" xfId="2"/>
    <cellStyle name="标题 2 2" xfId="3"/>
    <cellStyle name="标题 3 2" xfId="5"/>
    <cellStyle name="标题 4 2" xfId="6"/>
    <cellStyle name="标题 5" xfId="4"/>
    <cellStyle name="百分比 2" xfId="11"/>
    <cellStyle name="货币[0] 2" xfId="10"/>
  </cellStyles>
  <dxfs count="71">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font>
        <b val="0"/>
        <i val="0"/>
        <strike val="0"/>
        <condense val="0"/>
        <extend val="0"/>
        <outline val="0"/>
        <shadow val="0"/>
        <u val="none"/>
        <vertAlign val="baseline"/>
        <sz val="11"/>
        <color theme="1"/>
        <name val="DengXian"/>
        <scheme val="minor"/>
      </font>
      <numFmt numFmtId="13" formatCode="0%"/>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DengXian"/>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border>
        <left/>
        <right style="dotted">
          <color theme="6" tint="0.39994506668294322"/>
        </right>
        <top style="thin">
          <color theme="6" tint="0.39994506668294322"/>
        </top>
        <bottom style="thin">
          <color theme="6" tint="0.39994506668294322"/>
        </bottom>
        <vertical style="dotted">
          <color theme="6" tint="0.39994506668294322"/>
        </vertical>
        <horizontal style="thin">
          <color theme="6" tint="0.39994506668294322"/>
        </horizontal>
      </border>
    </dxf>
    <dxf>
      <border>
        <left/>
        <right style="dotted">
          <color theme="6" tint="0.39994506668294322"/>
        </right>
        <top style="thin">
          <color theme="6" tint="0.39994506668294322"/>
        </top>
        <bottom style="thin">
          <color theme="6" tint="0.39994506668294322"/>
        </bottom>
        <vertical style="dotted">
          <color theme="6" tint="0.399945066682943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
      <border>
        <left/>
        <right style="dotted">
          <color theme="5" tint="0.39991454817346722"/>
        </right>
        <top style="thin">
          <color theme="5" tint="0.39994506668294322"/>
        </top>
        <bottom style="thin">
          <color theme="5" tint="0.39994506668294322"/>
        </bottom>
        <vertical style="dotted">
          <color theme="5" tint="0.39994506668294322"/>
        </vertical>
        <horizontal style="thin">
          <color theme="5" tint="0.39994506668294322"/>
        </horizontal>
      </border>
    </dxf>
    <dxf>
      <border>
        <left/>
        <right style="dotted">
          <color theme="5" tint="0.39991454817346722"/>
        </right>
        <top style="thin">
          <color theme="5" tint="0.39994506668294322"/>
        </top>
        <bottom style="thin">
          <color theme="5" tint="0.39994506668294322"/>
        </bottom>
        <vertical style="dotted">
          <color theme="5" tint="0.399914548173467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s>
  <tableStyles count="2" defaultTableStyle="TableStyleMedium9" defaultPivotStyle="PivotStyleMedium7">
    <tableStyle name="Inkomsten Winst en verlies" pivot="0" count="5">
      <tableStyleElement type="wholeTable" dxfId="70"/>
      <tableStyleElement type="headerRow" dxfId="69"/>
      <tableStyleElement type="totalRow" dxfId="68"/>
      <tableStyleElement type="firstRowStripe" dxfId="67"/>
      <tableStyleElement type="secondRowStripe" dxfId="66"/>
    </tableStyle>
    <tableStyle name="Onkosten Winst en verlies" pivot="0" count="5">
      <tableStyleElement type="wholeTable" dxfId="65"/>
      <tableStyleElement type="headerRow" dxfId="64"/>
      <tableStyleElement type="total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oeli/Downloads/Break-Even%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heetName val="Verkoopkosten"/>
      <sheetName val="Expenses"/>
      <sheetName val="Break-Even Analysis"/>
    </sheetNames>
    <sheetDataSet>
      <sheetData sheetId="0">
        <row r="1">
          <cell r="B1" t="str">
            <v>TWELVE MONTHS</v>
          </cell>
          <cell r="AD1" t="str">
            <v>&lt; Your Company &gt;</v>
          </cell>
        </row>
        <row r="2">
          <cell r="B2" t="str">
            <v>INCOME-STATEMENT</v>
          </cell>
          <cell r="AC2" t="str">
            <v>JAN</v>
          </cell>
          <cell r="AD2">
            <v>2017</v>
          </cell>
        </row>
      </sheetData>
      <sheetData sheetId="1">
        <row r="14">
          <cell r="D14">
            <v>1319</v>
          </cell>
          <cell r="E14">
            <v>1358</v>
          </cell>
          <cell r="F14">
            <v>1332</v>
          </cell>
          <cell r="G14">
            <v>1534</v>
          </cell>
          <cell r="H14">
            <v>1554</v>
          </cell>
          <cell r="I14">
            <v>1668</v>
          </cell>
          <cell r="J14">
            <v>1724</v>
          </cell>
          <cell r="K14">
            <v>1315</v>
          </cell>
          <cell r="L14">
            <v>1249</v>
          </cell>
          <cell r="M14">
            <v>1446</v>
          </cell>
          <cell r="N14">
            <v>1659</v>
          </cell>
          <cell r="O14">
            <v>1409</v>
          </cell>
        </row>
      </sheetData>
      <sheetData sheetId="2"/>
      <sheetData sheetId="3" refreshError="1"/>
    </sheetDataSet>
  </externalBook>
</externalLink>
</file>

<file path=xl/tables/table1.xml><?xml version="1.0" encoding="utf-8"?>
<table xmlns="http://schemas.openxmlformats.org/spreadsheetml/2006/main" id="1" name="Inkomsten" displayName="Inkomsten" ref="B4:AD7" totalsRowCount="1">
  <autoFilter ref="B4:A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name="TURNOVER" totalsRowLabel="Total Income" dataDxfId="60" totalsRowDxfId="59"/>
    <tableColumn id="29" name="TREND" dataDxfId="58" totalsRowDxfId="57"/>
    <tableColumn id="2" name="Jan" totalsRowFunction="sum" totalsRowDxfId="56"/>
    <tableColumn id="3" name="Feb" totalsRowFunction="sum" totalsRowDxfId="55"/>
    <tableColumn id="4" name="Mrt" totalsRowFunction="sum" totalsRowDxfId="54"/>
    <tableColumn id="5" name="Apr" totalsRowFunction="sum" totalsRowDxfId="53"/>
    <tableColumn id="6" name="Mei" totalsRowFunction="sum" totalsRowDxfId="52"/>
    <tableColumn id="7" name="Jun" totalsRowFunction="sum" totalsRowDxfId="51"/>
    <tableColumn id="8" name="Jul" totalsRowFunction="sum" totalsRowDxfId="50"/>
    <tableColumn id="9" name="Aug" totalsRowFunction="sum" totalsRowDxfId="49"/>
    <tableColumn id="10" name="Sep" totalsRowFunction="sum" totalsRowDxfId="48"/>
    <tableColumn id="11" name="Okt" totalsRowFunction="sum" totalsRowDxfId="47"/>
    <tableColumn id="12" name="Nov" totalsRowFunction="sum" totalsRowDxfId="46"/>
    <tableColumn id="13" name="Dec" totalsRowFunction="sum" totalsRowDxfId="45"/>
    <tableColumn id="14" name="Jaarlijks" totalsRowFunction="sum" totalsRowDxfId="44">
      <calculatedColumnFormula>SUM(Inkomsten[[#This Row],[Jan]:[Dec]])</calculatedColumnFormula>
    </tableColumn>
    <tableColumn id="15" name="Index %" totalsRowFunction="sum" totalsRowDxfId="43"/>
    <tableColumn id="16" name="Jan %" totalsRowFunction="sum" totalsRowDxfId="42">
      <calculatedColumnFormula>IFERROR(Inkomsten[[#This Row],[Jan]]/Inkomsten[[#Totals],[Jan]],"-")</calculatedColumnFormula>
    </tableColumn>
    <tableColumn id="17" name="Feb %" totalsRowFunction="sum" totalsRowDxfId="41">
      <calculatedColumnFormula>IFERROR(Inkomsten[[#This Row],[Feb]]/Inkomsten[[#Totals],[Feb]],"-")</calculatedColumnFormula>
    </tableColumn>
    <tableColumn id="18" name="Mrt %" totalsRowFunction="sum" totalsRowDxfId="40">
      <calculatedColumnFormula>IFERROR(Inkomsten[[#This Row],[Mrt]]/Inkomsten[[#Totals],[Mrt]],"-")</calculatedColumnFormula>
    </tableColumn>
    <tableColumn id="19" name="Apr %" totalsRowFunction="sum" totalsRowDxfId="39">
      <calculatedColumnFormula>IFERROR(Inkomsten[[#This Row],[Apr]]/Inkomsten[[#Totals],[Apr]],"-")</calculatedColumnFormula>
    </tableColumn>
    <tableColumn id="20" name="Mei %" totalsRowFunction="sum" totalsRowDxfId="38">
      <calculatedColumnFormula>IFERROR(Inkomsten[[#This Row],[Mei]]/Inkomsten[[#Totals],[Mei]],"-")</calculatedColumnFormula>
    </tableColumn>
    <tableColumn id="21" name="Jun %" totalsRowFunction="sum" totalsRowDxfId="37">
      <calculatedColumnFormula>IFERROR(Inkomsten[[#This Row],[Jun]]/Inkomsten[[#Totals],[Jun]],"-")</calculatedColumnFormula>
    </tableColumn>
    <tableColumn id="22" name="Jul %" totalsRowFunction="sum" totalsRowDxfId="36">
      <calculatedColumnFormula>IFERROR(Inkomsten[[#This Row],[Jul]]/Inkomsten[[#Totals],[Jul]],"-")</calculatedColumnFormula>
    </tableColumn>
    <tableColumn id="23" name="Aug %" totalsRowFunction="sum" totalsRowDxfId="35">
      <calculatedColumnFormula>IFERROR(Inkomsten[[#This Row],[Aug]]/Inkomsten[[#Totals],[Aug]],"-")</calculatedColumnFormula>
    </tableColumn>
    <tableColumn id="24" name="Sep %" totalsRowFunction="sum" totalsRowDxfId="34">
      <calculatedColumnFormula>IFERROR(Inkomsten[[#This Row],[Sep]]/Inkomsten[[#Totals],[Sep]],"-")</calculatedColumnFormula>
    </tableColumn>
    <tableColumn id="25" name="Okt %" totalsRowFunction="sum" totalsRowDxfId="33">
      <calculatedColumnFormula>IFERROR(Inkomsten[[#This Row],[Okt]]/Inkomsten[[#Totals],[Okt]],"-")</calculatedColumnFormula>
    </tableColumn>
    <tableColumn id="26" name="Nov %" totalsRowFunction="sum" totalsRowDxfId="32">
      <calculatedColumnFormula>IFERROR(Inkomsten[[#This Row],[Nov]]/Inkomsten[[#Totals],[Nov]],"-")</calculatedColumnFormula>
    </tableColumn>
    <tableColumn id="27" name="Dec %" totalsRowFunction="sum" totalsRowDxfId="31">
      <calculatedColumnFormula>IFERROR(Inkomsten[[#This Row],[Dec]]/Inkomsten[[#Totals],[Dec]],"-")</calculatedColumnFormula>
    </tableColumn>
    <tableColumn id="28" name="Jaar %" totalsRowFunction="sum" totalsRowDxfId="30">
      <calculatedColumnFormula>IFERROR(Inkomsten[[#This Row],[Jaarlijks]]/Inkomsten[[#Totals],[Jaarlijks]],"-")</calculatedColumnFormula>
    </tableColumn>
  </tableColumns>
  <tableStyleInfo name="Inkomsten Winst en verlies" showFirstColumn="0" showLastColumn="0" showRowStripes="1" showColumnStripes="0"/>
  <extLst>
    <ext xmlns:x14="http://schemas.microsoft.com/office/spreadsheetml/2009/9/main" uri="{504A1905-F514-4f6f-8877-14C23A59335A}">
      <x14:table altTextSummary="Overzicht van de maandelijkse verkoopcijfers, jaarlijks totaal en maandelijks percentage voor elke inkomstenpost"/>
    </ext>
  </extLst>
</table>
</file>

<file path=xl/tables/table2.xml><?xml version="1.0" encoding="utf-8"?>
<table xmlns="http://schemas.openxmlformats.org/spreadsheetml/2006/main" id="2" name="tblExpenses" displayName="tblExpenses" ref="B4:AD24" totalsRowCount="1">
  <tableColumns count="29">
    <tableColumn id="1" name="ONKOSTEN" totalsRowLabel="TOTALE ONKOSTEN" dataDxfId="29" totalsRowDxfId="28" dataCellStyle="常规 2"/>
    <tableColumn id="2" name="TREND" totalsRowDxfId="27" dataCellStyle="常规 2"/>
    <tableColumn id="3" name="Kolom1" totalsRowFunction="sum" totalsRowDxfId="26" dataCellStyle="常规 2"/>
    <tableColumn id="4" name="Feb" totalsRowFunction="sum" totalsRowDxfId="25" dataCellStyle="常规 2"/>
    <tableColumn id="5" name="Mrt" totalsRowFunction="sum" totalsRowDxfId="24" dataCellStyle="常规 2"/>
    <tableColumn id="6" name="Apr" totalsRowFunction="sum" totalsRowDxfId="23" dataCellStyle="常规 2"/>
    <tableColumn id="7" name="Mei" totalsRowFunction="sum" totalsRowDxfId="22" dataCellStyle="常规 2"/>
    <tableColumn id="8" name="Jun" totalsRowFunction="sum" totalsRowDxfId="21" dataCellStyle="常规 2"/>
    <tableColumn id="9" name="Jul" totalsRowFunction="sum" totalsRowDxfId="20" dataCellStyle="常规 2"/>
    <tableColumn id="10" name="Aug" totalsRowFunction="sum" totalsRowDxfId="19" dataCellStyle="常规 2"/>
    <tableColumn id="11" name="Sep" totalsRowFunction="sum" totalsRowDxfId="18" dataCellStyle="常规 2"/>
    <tableColumn id="12" name="Okt" totalsRowFunction="sum" totalsRowDxfId="17" dataCellStyle="常规 2"/>
    <tableColumn id="13" name="Nov" totalsRowFunction="sum" totalsRowDxfId="16" dataCellStyle="常规 2"/>
    <tableColumn id="14" name="Dec" totalsRowFunction="sum" totalsRowDxfId="15" dataCellStyle="常规 2"/>
    <tableColumn id="15" name="Jaarlijks" totalsRowFunction="sum" totalsRowDxfId="14" dataCellStyle="常规 2">
      <calculatedColumnFormula>SUM(tblExpenses[[#This Row],[Kolom1]:[Dec]])</calculatedColumnFormula>
    </tableColumn>
    <tableColumn id="16" name="Index %" totalsRowFunction="sum" totalsRowDxfId="13" dataCellStyle="常规 2"/>
    <tableColumn id="17" name="Jan %" totalsRowFunction="sum" totalsRowDxfId="12" dataCellStyle="常规 2">
      <calculatedColumnFormula>tblExpenses[[#This Row],[Kolom1]]/tblExpenses[[#Totals],[Kolom1]]</calculatedColumnFormula>
    </tableColumn>
    <tableColumn id="18" name="Feb %" totalsRowFunction="sum" totalsRowDxfId="11" dataCellStyle="常规 2">
      <calculatedColumnFormula>tblExpenses[[#This Row],[Feb]]/tblExpenses[[#Totals],[Feb]]</calculatedColumnFormula>
    </tableColumn>
    <tableColumn id="19" name="Mrt %" totalsRowFunction="sum" totalsRowDxfId="10" dataCellStyle="常规 2">
      <calculatedColumnFormula>tblExpenses[[#This Row],[Mrt]]/tblExpenses[[#Totals],[Mrt]]</calculatedColumnFormula>
    </tableColumn>
    <tableColumn id="20" name="Apr %" totalsRowFunction="sum" totalsRowDxfId="9" dataCellStyle="常规 2">
      <calculatedColumnFormula>tblExpenses[[#This Row],[Apr]]/tblExpenses[[#Totals],[Apr]]</calculatedColumnFormula>
    </tableColumn>
    <tableColumn id="21" name="Mei %" totalsRowFunction="sum" totalsRowDxfId="8" dataCellStyle="常规 2">
      <calculatedColumnFormula>tblExpenses[[#This Row],[Mei]]/tblExpenses[[#Totals],[Mei]]</calculatedColumnFormula>
    </tableColumn>
    <tableColumn id="22" name="Jun %" totalsRowFunction="sum" totalsRowDxfId="7" dataCellStyle="常规 2">
      <calculatedColumnFormula>tblExpenses[[#This Row],[Jun]]/tblExpenses[[#Totals],[Jun]]</calculatedColumnFormula>
    </tableColumn>
    <tableColumn id="23" name="Jul %" totalsRowFunction="sum" totalsRowDxfId="6" dataCellStyle="常规 2">
      <calculatedColumnFormula>tblExpenses[[#This Row],[Jul]]/tblExpenses[[#Totals],[Jul]]</calculatedColumnFormula>
    </tableColumn>
    <tableColumn id="24" name="Aug %" totalsRowFunction="sum" totalsRowDxfId="5" dataCellStyle="常规 2">
      <calculatedColumnFormula>tblExpenses[[#This Row],[Aug]]/tblExpenses[[#Totals],[Aug]]</calculatedColumnFormula>
    </tableColumn>
    <tableColumn id="25" name="Sep %" totalsRowFunction="sum" totalsRowDxfId="4" dataCellStyle="常规 2">
      <calculatedColumnFormula>tblExpenses[[#This Row],[Sep]]/tblExpenses[[#Totals],[Sep]]</calculatedColumnFormula>
    </tableColumn>
    <tableColumn id="26" name="Okt %" totalsRowFunction="sum" totalsRowDxfId="3" dataCellStyle="常规 2">
      <calculatedColumnFormula>tblExpenses[[#This Row],[Okt]]/tblExpenses[[#Totals],[Okt]]</calculatedColumnFormula>
    </tableColumn>
    <tableColumn id="27" name="Nov %" totalsRowFunction="sum" totalsRowDxfId="2" dataCellStyle="常规 2">
      <calculatedColumnFormula>tblExpenses[[#This Row],[Nov]]/tblExpenses[[#Totals],[Nov]]</calculatedColumnFormula>
    </tableColumn>
    <tableColumn id="28" name="Dec %" totalsRowFunction="sum" totalsRowDxfId="1" dataCellStyle="常规 2">
      <calculatedColumnFormula>tblExpenses[[#This Row],[Dec]]/tblExpenses[[#Totals],[Dec]]</calculatedColumnFormula>
    </tableColumn>
    <tableColumn id="29" name="Jaar %" totalsRowFunction="sum" totalsRowDxfId="0" dataCellStyle="常规 2">
      <calculatedColumnFormula>tblExpenses[[#This Row],[Jaarlijks]]/tblExpenses[[#Totals],[Jaarlijks]]</calculatedColumnFormula>
    </tableColumn>
  </tableColumns>
  <tableStyleInfo name="Onkosten Winst en verlies" showFirstColumn="0" showLastColumn="0" showRowStripes="1" showColumnStripes="0"/>
  <extLst>
    <ext xmlns:x14="http://schemas.microsoft.com/office/spreadsheetml/2009/9/main" uri="{504A1905-F514-4f6f-8877-14C23A59335A}">
      <x14:table altTextSummary="Overzicht van onkosten, jaarlijks totaal en maandelijks percentage voor elke onkostenpost"/>
    </ext>
  </extLst>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28"/>
  <sheetViews>
    <sheetView showGridLines="0" tabSelected="1" zoomScale="119" workbookViewId="0">
      <selection activeCell="E2" sqref="E2"/>
    </sheetView>
  </sheetViews>
  <sheetFormatPr baseColWidth="10" defaultColWidth="8.83203125" defaultRowHeight="16" x14ac:dyDescent="0.25"/>
  <cols>
    <col min="1" max="1" width="1.5" style="1" customWidth="1"/>
    <col min="2" max="2" width="43.5" style="1" customWidth="1"/>
    <col min="3" max="3" width="12.6640625" style="1" bestFit="1" customWidth="1"/>
    <col min="4" max="4" width="3.33203125" style="1" customWidth="1"/>
    <col min="5" max="5" width="48.5" style="1" customWidth="1"/>
    <col min="6" max="6" width="13.6640625" style="1" customWidth="1"/>
    <col min="7" max="8" width="11.5" style="1" bestFit="1" customWidth="1"/>
    <col min="9" max="9" width="14.33203125" style="1" bestFit="1" customWidth="1"/>
    <col min="10" max="10" width="12.83203125" style="1" bestFit="1" customWidth="1"/>
    <col min="11" max="11" width="8.83203125" style="1"/>
    <col min="12" max="12" width="11.6640625" style="1" bestFit="1" customWidth="1"/>
    <col min="13" max="16384" width="8.83203125" style="1"/>
  </cols>
  <sheetData>
    <row r="1" spans="2:10" ht="18.75" customHeight="1" x14ac:dyDescent="0.25">
      <c r="B1" s="105" t="s">
        <v>49</v>
      </c>
      <c r="C1" s="106"/>
      <c r="D1" s="22"/>
      <c r="E1" s="109"/>
      <c r="F1" s="110"/>
      <c r="G1" s="111"/>
      <c r="H1" s="111" t="s">
        <v>50</v>
      </c>
      <c r="I1" s="111"/>
      <c r="J1" s="111"/>
    </row>
    <row r="2" spans="2:10" ht="18" x14ac:dyDescent="0.25">
      <c r="B2" s="20"/>
      <c r="C2" s="21"/>
      <c r="D2" s="7"/>
      <c r="E2" s="112"/>
      <c r="F2" s="113"/>
      <c r="G2" s="111"/>
      <c r="H2" s="111" t="s">
        <v>51</v>
      </c>
      <c r="I2" s="111"/>
      <c r="J2" s="111"/>
    </row>
    <row r="3" spans="2:10" x14ac:dyDescent="0.25">
      <c r="B3" s="126"/>
      <c r="C3" s="127"/>
      <c r="D3" s="16"/>
      <c r="E3" s="128"/>
      <c r="F3" s="129"/>
      <c r="G3" s="117"/>
      <c r="H3" s="117" t="s">
        <v>52</v>
      </c>
      <c r="I3" s="117"/>
      <c r="J3" s="111"/>
    </row>
    <row r="4" spans="2:10" s="19" customFormat="1" ht="20" customHeight="1" x14ac:dyDescent="0.25">
      <c r="B4" s="130" t="s">
        <v>48</v>
      </c>
      <c r="C4" s="131"/>
      <c r="D4" s="132"/>
      <c r="E4" s="109" t="s">
        <v>47</v>
      </c>
      <c r="F4" s="110"/>
      <c r="G4" s="117"/>
      <c r="H4" s="117"/>
      <c r="I4" s="117"/>
      <c r="J4" s="114"/>
    </row>
    <row r="5" spans="2:10" ht="16" customHeight="1" x14ac:dyDescent="0.25">
      <c r="B5" s="18" t="s">
        <v>46</v>
      </c>
      <c r="C5" s="17" t="s">
        <v>16</v>
      </c>
      <c r="D5" s="16"/>
      <c r="E5" s="115" t="s">
        <v>45</v>
      </c>
      <c r="F5" s="116" t="s">
        <v>16</v>
      </c>
      <c r="G5" s="117"/>
      <c r="H5" s="133" t="s">
        <v>44</v>
      </c>
      <c r="I5" s="117"/>
      <c r="J5" s="111"/>
    </row>
    <row r="6" spans="2:10" ht="14" customHeight="1" x14ac:dyDescent="0.25">
      <c r="B6" s="134" t="s">
        <v>43</v>
      </c>
      <c r="C6" s="135">
        <v>3239571.71</v>
      </c>
      <c r="D6" s="16"/>
      <c r="E6" s="136" t="s">
        <v>42</v>
      </c>
      <c r="F6" s="137">
        <f>'Depreciation&amp;Cost'!K3</f>
        <v>1750</v>
      </c>
      <c r="G6" s="117"/>
      <c r="H6" s="117" t="s">
        <v>41</v>
      </c>
      <c r="I6" s="117">
        <v>17600000</v>
      </c>
      <c r="J6" s="117"/>
    </row>
    <row r="7" spans="2:10" ht="14" customHeight="1" x14ac:dyDescent="0.25">
      <c r="B7" s="134" t="s">
        <v>40</v>
      </c>
      <c r="C7" s="135">
        <v>620000</v>
      </c>
      <c r="D7" s="16"/>
      <c r="E7" s="136" t="s">
        <v>39</v>
      </c>
      <c r="F7" s="137">
        <f>SUM('Depreciation&amp;Cost'!K9:K11)</f>
        <v>27988.951999999997</v>
      </c>
      <c r="G7" s="117"/>
      <c r="H7" s="117" t="str">
        <f>'Depreciation&amp;Cost'!I14</f>
        <v>inventory maintenance</v>
      </c>
      <c r="I7" s="117">
        <f>-'Depreciation&amp;Cost'!J14</f>
        <v>-1344000</v>
      </c>
      <c r="J7" s="117"/>
    </row>
    <row r="8" spans="2:10" ht="14" customHeight="1" x14ac:dyDescent="0.25">
      <c r="B8" s="134" t="s">
        <v>38</v>
      </c>
      <c r="C8" s="125">
        <f>-387500</f>
        <v>-387500</v>
      </c>
      <c r="D8" s="16"/>
      <c r="E8" s="136" t="s">
        <v>37</v>
      </c>
      <c r="F8" s="137">
        <f>'Depreciation&amp;Cost'!K7</f>
        <v>336000</v>
      </c>
      <c r="G8" s="117"/>
      <c r="H8" s="117" t="s">
        <v>175</v>
      </c>
      <c r="I8" s="117">
        <f>-'Depreciation&amp;Cost'!J7</f>
        <v>-4032000</v>
      </c>
      <c r="J8" s="117"/>
    </row>
    <row r="9" spans="2:10" ht="14" customHeight="1" x14ac:dyDescent="0.25">
      <c r="B9" s="134" t="s">
        <v>36</v>
      </c>
      <c r="C9" s="135">
        <v>75200</v>
      </c>
      <c r="D9" s="16"/>
      <c r="E9" s="136" t="s">
        <v>35</v>
      </c>
      <c r="F9" s="137">
        <f>'Depreciation&amp;Cost'!K8</f>
        <v>20160</v>
      </c>
      <c r="G9" s="117"/>
      <c r="H9" s="117" t="s">
        <v>178</v>
      </c>
      <c r="I9" s="117">
        <f>-'Depreciation&amp;Cost'!J8</f>
        <v>-241920</v>
      </c>
      <c r="J9" s="111"/>
    </row>
    <row r="10" spans="2:10" ht="14" customHeight="1" thickBot="1" x14ac:dyDescent="0.3">
      <c r="B10" s="134" t="s">
        <v>34</v>
      </c>
      <c r="C10" s="125">
        <v>26867</v>
      </c>
      <c r="D10" s="16"/>
      <c r="E10" s="136" t="s">
        <v>33</v>
      </c>
      <c r="F10" s="137">
        <f>'Depreciation&amp;Cost'!J15</f>
        <v>1854516.5110322579</v>
      </c>
      <c r="G10" s="117"/>
      <c r="H10" s="138" t="s">
        <v>179</v>
      </c>
      <c r="I10" s="117">
        <f>-'Depreciation&amp;Cost'!J9</f>
        <v>-77007.81</v>
      </c>
      <c r="J10" s="111"/>
    </row>
    <row r="11" spans="2:10" ht="14" customHeight="1" thickTop="1" x14ac:dyDescent="0.25">
      <c r="B11" s="11" t="s">
        <v>32</v>
      </c>
      <c r="C11" s="10">
        <f>SUM(C6:C10)</f>
        <v>3574138.71</v>
      </c>
      <c r="D11" s="16"/>
      <c r="E11" s="136" t="s">
        <v>31</v>
      </c>
      <c r="F11" s="137">
        <v>226300</v>
      </c>
      <c r="G11" s="117"/>
      <c r="H11" s="138" t="s">
        <v>181</v>
      </c>
      <c r="I11" s="117">
        <f>-'Depreciation&amp;Cost'!J10</f>
        <v>-154000</v>
      </c>
      <c r="J11" s="111"/>
    </row>
    <row r="12" spans="2:10" s="14" customFormat="1" ht="16" customHeight="1" x14ac:dyDescent="0.25">
      <c r="B12" s="107" t="s">
        <v>29</v>
      </c>
      <c r="C12" s="108"/>
      <c r="D12" s="16"/>
      <c r="E12" s="136" t="s">
        <v>103</v>
      </c>
      <c r="F12" s="137">
        <f>'Depreciation&amp;Cost'!K13</f>
        <v>16800</v>
      </c>
      <c r="G12" s="117"/>
      <c r="H12" s="138" t="s">
        <v>182</v>
      </c>
      <c r="I12" s="117">
        <f>-'Depreciation&amp;Cost'!J11</f>
        <v>-76870.661999999997</v>
      </c>
      <c r="J12" s="111"/>
    </row>
    <row r="13" spans="2:10" x14ac:dyDescent="0.25">
      <c r="B13" s="139" t="s">
        <v>27</v>
      </c>
      <c r="C13" s="140">
        <v>500000</v>
      </c>
      <c r="D13" s="141"/>
      <c r="E13" s="136" t="s">
        <v>26</v>
      </c>
      <c r="F13" s="137">
        <f>SUM('Depreciation&amp;Cost'!L2:L4)</f>
        <v>885</v>
      </c>
      <c r="G13" s="117"/>
      <c r="H13" s="117" t="str">
        <f>'Depreciation&amp;Cost'!I13</f>
        <v>infrustructure</v>
      </c>
      <c r="I13" s="117">
        <f>-'Depreciation&amp;Cost'!J13</f>
        <v>-201600</v>
      </c>
      <c r="J13" s="111"/>
    </row>
    <row r="14" spans="2:10" ht="16" customHeight="1" x14ac:dyDescent="0.25">
      <c r="B14" s="139" t="s">
        <v>25</v>
      </c>
      <c r="C14" s="140">
        <f>SUM('Depreciation&amp;Cost'!C3,'Depreciation&amp;Cost'!F7,'Depreciation&amp;Cost'!F12)</f>
        <v>4180000</v>
      </c>
      <c r="D14" s="16"/>
      <c r="E14" s="136" t="s">
        <v>24</v>
      </c>
      <c r="F14" s="137">
        <f>'Depreciation&amp;Cost'!K4</f>
        <v>400</v>
      </c>
      <c r="G14" s="117"/>
      <c r="H14" s="117" t="str">
        <f>'Depreciation&amp;Cost'!I12</f>
        <v>fuel</v>
      </c>
      <c r="I14" s="117">
        <f>-'Depreciation&amp;Cost'!J12</f>
        <v>-2700000</v>
      </c>
      <c r="J14" s="111"/>
    </row>
    <row r="15" spans="2:10" ht="14" customHeight="1" thickBot="1" x14ac:dyDescent="0.3">
      <c r="B15" s="139" t="s">
        <v>22</v>
      </c>
      <c r="C15" s="140">
        <f>-(SUM('Depreciation&amp;Cost'!C4,'Depreciation&amp;Cost'!C7,'Depreciation&amp;Cost'!C10))</f>
        <v>-640000</v>
      </c>
      <c r="D15" s="16"/>
      <c r="E15" s="136" t="s">
        <v>21</v>
      </c>
      <c r="F15" s="137">
        <v>0</v>
      </c>
      <c r="G15" s="117"/>
      <c r="H15" s="117" t="str">
        <f>'Depreciation&amp;Cost'!I16</f>
        <v>marketing&amp;accounting</v>
      </c>
      <c r="I15" s="117">
        <f>-'Depreciation&amp;Cost'!J16</f>
        <v>-672000</v>
      </c>
      <c r="J15" s="111"/>
    </row>
    <row r="16" spans="2:10" ht="14" customHeight="1" thickTop="1" x14ac:dyDescent="0.25">
      <c r="B16" s="139" t="s">
        <v>54</v>
      </c>
      <c r="C16" s="140">
        <f>SUM('Depreciation&amp;Cost'!C15,'Depreciation&amp;Cost'!C18,'Depreciation&amp;Cost'!C21)</f>
        <v>85000</v>
      </c>
      <c r="D16" s="16"/>
      <c r="E16" s="118" t="s">
        <v>19</v>
      </c>
      <c r="F16" s="119">
        <f>SUM(F6:F15)</f>
        <v>2484800.4630322577</v>
      </c>
      <c r="G16" s="117"/>
      <c r="H16" s="117" t="s">
        <v>0</v>
      </c>
      <c r="I16" s="117"/>
      <c r="J16" s="111"/>
    </row>
    <row r="17" spans="2:12" ht="14" customHeight="1" x14ac:dyDescent="0.25">
      <c r="B17" s="139" t="s">
        <v>20</v>
      </c>
      <c r="C17" s="140">
        <f>SUM('Depreciation&amp;Cost'!F16,'Depreciation&amp;Cost'!F19,'Depreciation&amp;Cost'!F22)</f>
        <v>505300</v>
      </c>
      <c r="D17" s="16"/>
      <c r="E17" s="115" t="s">
        <v>17</v>
      </c>
      <c r="F17" s="116" t="s">
        <v>16</v>
      </c>
      <c r="G17" s="117"/>
      <c r="H17" s="117" t="s">
        <v>30</v>
      </c>
      <c r="I17" s="117">
        <f>C15</f>
        <v>-640000</v>
      </c>
      <c r="J17" s="111"/>
    </row>
    <row r="18" spans="2:12" ht="14" customHeight="1" thickBot="1" x14ac:dyDescent="0.3">
      <c r="B18" s="139" t="s">
        <v>18</v>
      </c>
      <c r="C18" s="142">
        <f>-SUM('Depreciation&amp;Cost'!E16,'Depreciation&amp;Cost'!E19,'Depreciation&amp;Cost'!E22)</f>
        <v>-16600</v>
      </c>
      <c r="D18" s="16"/>
      <c r="E18" s="136" t="s">
        <v>14</v>
      </c>
      <c r="F18" s="137">
        <f>'Depreciation&amp;Cost'!K2</f>
        <v>10000</v>
      </c>
      <c r="G18" s="117"/>
      <c r="H18" s="117" t="s">
        <v>28</v>
      </c>
      <c r="I18" s="117">
        <f>C18</f>
        <v>-16600</v>
      </c>
      <c r="J18" s="111"/>
    </row>
    <row r="19" spans="2:12" ht="14" customHeight="1" thickTop="1" x14ac:dyDescent="0.25">
      <c r="B19" s="139" t="s">
        <v>15</v>
      </c>
      <c r="C19" s="142">
        <f>'Depreciation&amp;Cost'!B27</f>
        <v>100000</v>
      </c>
      <c r="D19" s="16"/>
      <c r="E19" s="118" t="s">
        <v>13</v>
      </c>
      <c r="F19" s="119">
        <f>SUM(F18)</f>
        <v>10000</v>
      </c>
      <c r="G19" s="117"/>
      <c r="H19" s="117" t="s">
        <v>23</v>
      </c>
      <c r="I19" s="117">
        <f>C21</f>
        <v>-21935.483870967742</v>
      </c>
      <c r="J19" s="117"/>
    </row>
    <row r="20" spans="2:12" ht="14" customHeight="1" x14ac:dyDescent="0.25">
      <c r="B20" s="139" t="s">
        <v>12</v>
      </c>
      <c r="C20" s="140">
        <f>SUM('Depreciation&amp;Cost'!F31,'Depreciation&amp;Cost'!F35,'Depreciation&amp;Cost'!F39)</f>
        <v>292096.77419354854</v>
      </c>
      <c r="D20" s="16"/>
      <c r="E20" s="120" t="s">
        <v>10</v>
      </c>
      <c r="F20" s="121"/>
      <c r="G20" s="117"/>
      <c r="H20" s="117"/>
      <c r="I20" s="117"/>
      <c r="J20" s="122"/>
    </row>
    <row r="21" spans="2:12" ht="14" customHeight="1" x14ac:dyDescent="0.25">
      <c r="B21" s="139" t="s">
        <v>11</v>
      </c>
      <c r="C21" s="143">
        <f>-SUM('Depreciation&amp;Cost'!M33,'Depreciation&amp;Cost'!O37,'Depreciation&amp;Cost'!I45)</f>
        <v>-21935.483870967742</v>
      </c>
      <c r="D21" s="16"/>
      <c r="E21" s="144" t="s">
        <v>10</v>
      </c>
      <c r="F21" s="145">
        <v>285000</v>
      </c>
      <c r="G21" s="117"/>
      <c r="H21" s="117" t="s">
        <v>176</v>
      </c>
      <c r="I21" s="117">
        <f>SUM(I6:I19)</f>
        <v>7422066.0441290317</v>
      </c>
      <c r="J21" s="111"/>
    </row>
    <row r="22" spans="2:12" ht="14" customHeight="1" x14ac:dyDescent="0.25">
      <c r="B22" s="139" t="s">
        <v>9</v>
      </c>
      <c r="C22" s="140">
        <f>-2000</f>
        <v>-2000</v>
      </c>
      <c r="D22" s="15"/>
      <c r="E22" s="144" t="s">
        <v>190</v>
      </c>
      <c r="F22" s="145">
        <v>126000</v>
      </c>
      <c r="G22" s="117"/>
      <c r="H22" s="117"/>
      <c r="I22" s="117"/>
      <c r="J22" s="111"/>
      <c r="L22" s="2"/>
    </row>
    <row r="23" spans="2:12" s="14" customFormat="1" ht="18" customHeight="1" x14ac:dyDescent="0.25">
      <c r="B23" s="146"/>
      <c r="C23" s="147"/>
      <c r="D23" s="13"/>
      <c r="E23" s="144" t="s">
        <v>8</v>
      </c>
      <c r="F23" s="145">
        <f>F21*0.29</f>
        <v>82650</v>
      </c>
      <c r="G23" s="117"/>
      <c r="H23" s="117"/>
      <c r="I23" s="117"/>
      <c r="J23" s="111"/>
      <c r="L23" s="49"/>
    </row>
    <row r="24" spans="2:12" s="13" customFormat="1" ht="17.25" customHeight="1" x14ac:dyDescent="0.25">
      <c r="B24" s="146"/>
      <c r="C24" s="147"/>
      <c r="D24" s="14"/>
      <c r="E24" s="144" t="s">
        <v>7</v>
      </c>
      <c r="F24" s="145">
        <v>3500000</v>
      </c>
      <c r="G24" s="122"/>
      <c r="H24" s="117"/>
      <c r="I24" s="117"/>
      <c r="J24" s="111"/>
    </row>
    <row r="25" spans="2:12" ht="17" thickBot="1" x14ac:dyDescent="0.3">
      <c r="B25" s="146"/>
      <c r="C25" s="147"/>
      <c r="D25" s="14"/>
      <c r="E25" s="144" t="s">
        <v>6</v>
      </c>
      <c r="F25" s="145">
        <f>I21-F10-F24</f>
        <v>2067549.5330967735</v>
      </c>
      <c r="G25" s="117"/>
      <c r="H25" s="117"/>
      <c r="I25" s="117"/>
      <c r="J25" s="111"/>
    </row>
    <row r="26" spans="2:12" ht="18" thickTop="1" thickBot="1" x14ac:dyDescent="0.3">
      <c r="B26" s="11" t="s">
        <v>5</v>
      </c>
      <c r="C26" s="12">
        <f>SUM(C13:C22)</f>
        <v>4981861.2903225813</v>
      </c>
      <c r="D26" s="14"/>
      <c r="E26" s="118" t="s">
        <v>4</v>
      </c>
      <c r="F26" s="123">
        <f>SUM(F21:F25)</f>
        <v>6061199.5330967735</v>
      </c>
      <c r="G26" s="117"/>
      <c r="H26" s="122"/>
      <c r="I26" s="122"/>
      <c r="J26" s="111"/>
    </row>
    <row r="27" spans="2:12" ht="17" thickTop="1" x14ac:dyDescent="0.25">
      <c r="B27" s="11" t="s">
        <v>3</v>
      </c>
      <c r="C27" s="10">
        <f>C11+C26</f>
        <v>8556000.0003225803</v>
      </c>
      <c r="D27" s="14"/>
      <c r="E27" s="118" t="s">
        <v>2</v>
      </c>
      <c r="F27" s="119">
        <f>SUM(F16,F19,F26)</f>
        <v>8555999.9961290322</v>
      </c>
      <c r="G27" s="117"/>
      <c r="H27" s="117"/>
      <c r="I27" s="117"/>
      <c r="J27" s="111"/>
    </row>
    <row r="28" spans="2:12" x14ac:dyDescent="0.25">
      <c r="B28" s="13"/>
      <c r="C28" s="148">
        <f>C27-F27</f>
        <v>4.1935481131076813E-3</v>
      </c>
      <c r="D28" s="14"/>
      <c r="E28" s="117"/>
      <c r="F28" s="149">
        <f>8556000-F27</f>
        <v>3.8709677755832672E-3</v>
      </c>
      <c r="G28" s="117"/>
      <c r="H28" s="117"/>
      <c r="I28" s="117"/>
      <c r="J28" s="111"/>
    </row>
  </sheetData>
  <mergeCells count="5">
    <mergeCell ref="B1:C1"/>
    <mergeCell ref="E1:F1"/>
    <mergeCell ref="B4:C4"/>
    <mergeCell ref="E4:F4"/>
    <mergeCell ref="B12:C12"/>
  </mergeCells>
  <phoneticPr fontId="3" type="noConversion"/>
  <printOptions horizontalCentered="1"/>
  <pageMargins left="0.75" right="0.75" top="1" bottom="1" header="0.5" footer="0.5"/>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N18" sqref="N18"/>
    </sheetView>
  </sheetViews>
  <sheetFormatPr baseColWidth="10" defaultRowHeight="13" x14ac:dyDescent="0.15"/>
  <cols>
    <col min="3" max="3" width="12.5" customWidth="1"/>
    <col min="4" max="4" width="11.1640625" customWidth="1"/>
    <col min="6" max="6" width="12.5" bestFit="1" customWidth="1"/>
    <col min="9" max="9" width="20.1640625" bestFit="1" customWidth="1"/>
  </cols>
  <sheetData>
    <row r="1" spans="1:12" ht="16" x14ac:dyDescent="0.25">
      <c r="A1" s="25"/>
      <c r="B1" s="26" t="s">
        <v>53</v>
      </c>
      <c r="C1" s="26"/>
      <c r="D1" s="26"/>
      <c r="E1" s="26"/>
      <c r="F1" s="26"/>
      <c r="G1" s="27"/>
      <c r="I1" s="37" t="s">
        <v>104</v>
      </c>
      <c r="J1" s="38" t="s">
        <v>108</v>
      </c>
      <c r="K1" s="38" t="s">
        <v>110</v>
      </c>
      <c r="L1" s="39" t="s">
        <v>109</v>
      </c>
    </row>
    <row r="2" spans="1:12" ht="16" x14ac:dyDescent="0.25">
      <c r="A2" s="28"/>
      <c r="B2" s="29" t="s">
        <v>1</v>
      </c>
      <c r="C2" s="7"/>
      <c r="D2" s="7"/>
      <c r="E2" s="7"/>
      <c r="F2" s="7"/>
      <c r="G2" s="30"/>
      <c r="I2" s="40" t="s">
        <v>105</v>
      </c>
      <c r="J2" s="13">
        <v>6.5000000000000002E-2</v>
      </c>
      <c r="K2" s="7">
        <v>10000</v>
      </c>
      <c r="L2" s="30">
        <f>K2*J2</f>
        <v>650</v>
      </c>
    </row>
    <row r="3" spans="1:12" ht="16" x14ac:dyDescent="0.25">
      <c r="A3" s="28"/>
      <c r="B3" s="9"/>
      <c r="C3" s="47">
        <f>70000*22</f>
        <v>1540000</v>
      </c>
      <c r="D3" s="48">
        <f>15000*22</f>
        <v>330000</v>
      </c>
      <c r="E3" s="8">
        <v>10</v>
      </c>
      <c r="F3" s="7"/>
      <c r="G3" s="30"/>
      <c r="I3" s="40" t="s">
        <v>106</v>
      </c>
      <c r="J3" s="13">
        <v>0.1</v>
      </c>
      <c r="K3" s="7">
        <v>1750</v>
      </c>
      <c r="L3" s="30">
        <f t="shared" ref="L3:L4" si="0">K3*J3</f>
        <v>175</v>
      </c>
    </row>
    <row r="4" spans="1:12" ht="17" thickBot="1" x14ac:dyDescent="0.3">
      <c r="A4" s="28"/>
      <c r="B4" s="6" t="s">
        <v>0</v>
      </c>
      <c r="C4" s="24">
        <f>SYD(C3,D3,E3,1)</f>
        <v>220000</v>
      </c>
      <c r="D4" s="5"/>
      <c r="E4" s="4"/>
      <c r="F4" s="7"/>
      <c r="G4" s="30"/>
      <c r="I4" s="43" t="s">
        <v>107</v>
      </c>
      <c r="J4" s="34">
        <v>0.15</v>
      </c>
      <c r="K4" s="34">
        <v>400</v>
      </c>
      <c r="L4" s="36">
        <f t="shared" si="0"/>
        <v>60</v>
      </c>
    </row>
    <row r="5" spans="1:12" ht="16" x14ac:dyDescent="0.25">
      <c r="A5" s="28"/>
      <c r="B5" s="29" t="s">
        <v>1</v>
      </c>
      <c r="C5" s="7"/>
      <c r="D5" s="7"/>
      <c r="E5" s="7"/>
      <c r="F5" s="7"/>
      <c r="G5" s="30"/>
    </row>
    <row r="6" spans="1:12" ht="16" x14ac:dyDescent="0.25">
      <c r="A6" s="28"/>
      <c r="B6" s="9"/>
      <c r="C6" s="47">
        <f>70000*40</f>
        <v>2800000</v>
      </c>
      <c r="D6" s="48">
        <f>15000*40</f>
        <v>600000</v>
      </c>
      <c r="E6" s="8">
        <v>10</v>
      </c>
      <c r="F6" s="3">
        <f>SYD($C$6,$D$6,$E$6,1)</f>
        <v>400000</v>
      </c>
      <c r="G6" s="31">
        <f>SYD($C$6,$D$6,$E$6,2)</f>
        <v>360000</v>
      </c>
      <c r="I6" t="s">
        <v>180</v>
      </c>
      <c r="J6" t="s">
        <v>186</v>
      </c>
      <c r="K6" t="s">
        <v>187</v>
      </c>
    </row>
    <row r="7" spans="1:12" ht="16" x14ac:dyDescent="0.25">
      <c r="A7" s="28"/>
      <c r="B7" s="6" t="s">
        <v>0</v>
      </c>
      <c r="C7" s="24">
        <f>SYD($C$6,$D$6,$E$6,3)</f>
        <v>320000</v>
      </c>
      <c r="D7" s="5"/>
      <c r="E7" s="4"/>
      <c r="F7" s="32">
        <f>C6-F6-G6</f>
        <v>2040000</v>
      </c>
      <c r="G7" s="30"/>
      <c r="I7" t="s">
        <v>174</v>
      </c>
      <c r="J7" s="124">
        <f>15*8*5*48*140</f>
        <v>4032000</v>
      </c>
      <c r="K7" s="124">
        <f>15*8*5*4*140</f>
        <v>336000</v>
      </c>
    </row>
    <row r="8" spans="1:12" ht="16" x14ac:dyDescent="0.25">
      <c r="A8" s="28"/>
      <c r="B8" s="29" t="s">
        <v>1</v>
      </c>
      <c r="C8" s="7"/>
      <c r="D8" s="7"/>
      <c r="E8" s="7"/>
      <c r="F8" s="7"/>
      <c r="G8" s="30"/>
      <c r="I8" t="s">
        <v>177</v>
      </c>
      <c r="J8" s="124">
        <f>0.06*J7</f>
        <v>241920</v>
      </c>
      <c r="K8" s="124">
        <f>0.06*K7</f>
        <v>20160</v>
      </c>
    </row>
    <row r="9" spans="1:12" ht="16" x14ac:dyDescent="0.25">
      <c r="A9" s="28"/>
      <c r="B9" s="9"/>
      <c r="C9" s="47">
        <f>70000*20</f>
        <v>1400000</v>
      </c>
      <c r="D9" s="48">
        <f>15000*20</f>
        <v>300000</v>
      </c>
      <c r="E9" s="8">
        <v>10</v>
      </c>
      <c r="F9" s="7"/>
      <c r="G9" s="30"/>
      <c r="I9" t="s">
        <v>179</v>
      </c>
      <c r="J9" s="124">
        <f>11*K9</f>
        <v>77007.81</v>
      </c>
      <c r="K9" s="124">
        <v>7000.71</v>
      </c>
    </row>
    <row r="10" spans="1:12" ht="16" x14ac:dyDescent="0.25">
      <c r="A10" s="28"/>
      <c r="B10" s="6" t="s">
        <v>0</v>
      </c>
      <c r="C10" s="24">
        <f>SYD($C$9,$D$9,$E$9,6)</f>
        <v>100000</v>
      </c>
      <c r="D10" s="5"/>
      <c r="E10" s="4"/>
      <c r="F10" s="7"/>
      <c r="G10" s="30"/>
      <c r="I10" t="s">
        <v>181</v>
      </c>
      <c r="J10" s="124">
        <f t="shared" ref="J10:J11" si="1">11*K10</f>
        <v>154000</v>
      </c>
      <c r="K10" s="124">
        <f>14000</f>
        <v>14000</v>
      </c>
    </row>
    <row r="11" spans="1:12" ht="16" x14ac:dyDescent="0.25">
      <c r="A11" s="28"/>
      <c r="B11" s="7"/>
      <c r="C11" s="3">
        <f>SYD($C$9,$D$9,$E$9,1)</f>
        <v>200000</v>
      </c>
      <c r="D11" s="3">
        <f>SYD($C$9,$D$9,$E$9,2)</f>
        <v>180000</v>
      </c>
      <c r="E11" s="3">
        <f>SYD($C$9,$D$9,$E$9,3)</f>
        <v>160000</v>
      </c>
      <c r="F11" s="3">
        <f>SYD($C$9,$D$9,$E$9,4)</f>
        <v>140000</v>
      </c>
      <c r="G11" s="31">
        <f>SYD($C$9,$D$9,$E$9,5)</f>
        <v>120000</v>
      </c>
      <c r="I11" t="s">
        <v>182</v>
      </c>
      <c r="J11" s="124">
        <f t="shared" si="1"/>
        <v>76870.661999999997</v>
      </c>
      <c r="K11" s="124">
        <v>6988.2420000000002</v>
      </c>
    </row>
    <row r="12" spans="1:12" ht="17" thickBot="1" x14ac:dyDescent="0.3">
      <c r="A12" s="33"/>
      <c r="B12" s="34"/>
      <c r="C12" s="34"/>
      <c r="D12" s="34"/>
      <c r="E12" s="34"/>
      <c r="F12" s="35">
        <f>C9-SUM(C11:G11)</f>
        <v>600000</v>
      </c>
      <c r="G12" s="36"/>
      <c r="I12" t="s">
        <v>185</v>
      </c>
      <c r="J12" s="124">
        <f>225000*12</f>
        <v>2700000</v>
      </c>
      <c r="K12" s="124"/>
    </row>
    <row r="13" spans="1:12" ht="14" thickBot="1" x14ac:dyDescent="0.2">
      <c r="I13" t="s">
        <v>183</v>
      </c>
      <c r="J13" s="124">
        <f>J7/20</f>
        <v>201600</v>
      </c>
      <c r="K13" s="124">
        <f>K7/20</f>
        <v>16800</v>
      </c>
    </row>
    <row r="14" spans="1:12" x14ac:dyDescent="0.15">
      <c r="A14" s="37"/>
      <c r="B14" s="38"/>
      <c r="C14" s="38" t="s">
        <v>65</v>
      </c>
      <c r="D14" s="38">
        <v>40</v>
      </c>
      <c r="E14" s="38" t="s">
        <v>66</v>
      </c>
      <c r="F14" s="38" t="s">
        <v>67</v>
      </c>
      <c r="G14" s="39"/>
      <c r="I14" t="s">
        <v>189</v>
      </c>
      <c r="J14" s="124">
        <f>K7/3*12</f>
        <v>1344000</v>
      </c>
      <c r="K14" s="124"/>
    </row>
    <row r="15" spans="1:12" x14ac:dyDescent="0.15">
      <c r="A15" s="40" t="s">
        <v>55</v>
      </c>
      <c r="B15" s="41" t="s">
        <v>56</v>
      </c>
      <c r="C15" s="41">
        <v>20000</v>
      </c>
      <c r="D15" s="41">
        <v>10</v>
      </c>
      <c r="E15" s="41"/>
      <c r="F15" s="41"/>
      <c r="G15" s="42"/>
      <c r="I15" t="s">
        <v>184</v>
      </c>
      <c r="J15" s="124">
        <f>('9-11'!I21-20000)*0.25+20000*0.2</f>
        <v>1854516.5110322579</v>
      </c>
      <c r="K15" s="124"/>
    </row>
    <row r="16" spans="1:12" x14ac:dyDescent="0.15">
      <c r="A16" s="40"/>
      <c r="B16" s="41" t="s">
        <v>57</v>
      </c>
      <c r="C16" s="41">
        <v>200000</v>
      </c>
      <c r="D16" s="41">
        <v>30000</v>
      </c>
      <c r="E16" s="41">
        <f>(C16-D16)/$D$14</f>
        <v>4250</v>
      </c>
      <c r="F16" s="41">
        <f>C16-E16*D15</f>
        <v>157500</v>
      </c>
      <c r="G16" s="42"/>
      <c r="I16" t="s">
        <v>188</v>
      </c>
      <c r="J16" s="124">
        <f>K7/6*12</f>
        <v>672000</v>
      </c>
      <c r="K16" s="124"/>
    </row>
    <row r="17" spans="1:15" x14ac:dyDescent="0.15">
      <c r="A17" s="40"/>
      <c r="B17" s="41" t="s">
        <v>64</v>
      </c>
      <c r="C17" s="41">
        <f>55000*5</f>
        <v>275000</v>
      </c>
      <c r="D17" s="41"/>
      <c r="E17" s="41"/>
      <c r="F17" s="41"/>
      <c r="G17" s="42"/>
    </row>
    <row r="18" spans="1:15" x14ac:dyDescent="0.15">
      <c r="A18" s="40" t="s">
        <v>59</v>
      </c>
      <c r="B18" s="41" t="s">
        <v>56</v>
      </c>
      <c r="C18" s="41">
        <v>25000</v>
      </c>
      <c r="D18" s="41">
        <v>12</v>
      </c>
      <c r="E18" s="41"/>
      <c r="F18" s="41"/>
      <c r="G18" s="42"/>
    </row>
    <row r="19" spans="1:15" x14ac:dyDescent="0.15">
      <c r="A19" s="40"/>
      <c r="B19" s="41" t="s">
        <v>57</v>
      </c>
      <c r="C19" s="41">
        <v>220000</v>
      </c>
      <c r="D19" s="41">
        <v>36000</v>
      </c>
      <c r="E19" s="41">
        <f>(C19-D19)/$D$14</f>
        <v>4600</v>
      </c>
      <c r="F19" s="41">
        <f>C19-E19*D18</f>
        <v>164800</v>
      </c>
      <c r="G19" s="42"/>
    </row>
    <row r="20" spans="1:15" x14ac:dyDescent="0.15">
      <c r="A20" s="40"/>
      <c r="B20" s="41" t="s">
        <v>64</v>
      </c>
      <c r="C20" s="41">
        <f>55000*5</f>
        <v>275000</v>
      </c>
      <c r="D20" s="41"/>
      <c r="E20" s="41"/>
      <c r="F20" s="41"/>
      <c r="G20" s="42"/>
    </row>
    <row r="21" spans="1:15" x14ac:dyDescent="0.15">
      <c r="A21" s="40" t="s">
        <v>60</v>
      </c>
      <c r="B21" s="41" t="s">
        <v>56</v>
      </c>
      <c r="C21" s="41">
        <v>40000</v>
      </c>
      <c r="D21" s="41">
        <v>28</v>
      </c>
      <c r="E21" s="41"/>
      <c r="F21" s="41"/>
      <c r="G21" s="42"/>
    </row>
    <row r="22" spans="1:15" x14ac:dyDescent="0.15">
      <c r="A22" s="40"/>
      <c r="B22" s="41" t="s">
        <v>58</v>
      </c>
      <c r="C22" s="41">
        <v>400000</v>
      </c>
      <c r="D22" s="41">
        <v>90000</v>
      </c>
      <c r="E22" s="41">
        <f>(C22-D22)/$D$14</f>
        <v>7750</v>
      </c>
      <c r="F22" s="41">
        <f>C22-E22*D21</f>
        <v>183000</v>
      </c>
      <c r="G22" s="42"/>
    </row>
    <row r="23" spans="1:15" x14ac:dyDescent="0.15">
      <c r="A23" s="40"/>
      <c r="B23" s="41" t="s">
        <v>64</v>
      </c>
      <c r="C23" s="41">
        <f>55000*7</f>
        <v>385000</v>
      </c>
      <c r="D23" s="41"/>
      <c r="E23" s="41"/>
      <c r="F23" s="41"/>
      <c r="G23" s="42"/>
    </row>
    <row r="24" spans="1:15" x14ac:dyDescent="0.15">
      <c r="A24" s="40"/>
      <c r="B24" s="41"/>
      <c r="C24" s="41"/>
      <c r="D24" s="41"/>
      <c r="E24" s="41"/>
      <c r="F24" s="41"/>
      <c r="G24" s="42"/>
    </row>
    <row r="25" spans="1:15" x14ac:dyDescent="0.15">
      <c r="A25" s="40"/>
      <c r="B25" s="41"/>
      <c r="C25" s="41"/>
      <c r="D25" s="41"/>
      <c r="E25" s="41"/>
      <c r="F25" s="41"/>
      <c r="G25" s="42"/>
    </row>
    <row r="26" spans="1:15" x14ac:dyDescent="0.15">
      <c r="A26" s="40"/>
      <c r="B26" s="41" t="s">
        <v>62</v>
      </c>
      <c r="C26" s="41" t="s">
        <v>63</v>
      </c>
      <c r="D26" s="41"/>
      <c r="E26" s="41"/>
      <c r="F26" s="41"/>
      <c r="G26" s="42"/>
    </row>
    <row r="27" spans="1:15" ht="14" thickBot="1" x14ac:dyDescent="0.2">
      <c r="A27" s="43" t="s">
        <v>61</v>
      </c>
      <c r="B27" s="44">
        <v>100000</v>
      </c>
      <c r="C27" s="44">
        <v>10</v>
      </c>
      <c r="D27" s="44"/>
      <c r="E27" s="44"/>
      <c r="F27" s="44"/>
      <c r="G27" s="45"/>
    </row>
    <row r="28" spans="1:15" ht="14" thickBot="1" x14ac:dyDescent="0.2"/>
    <row r="29" spans="1:15" ht="16" x14ac:dyDescent="0.25">
      <c r="A29" s="25"/>
      <c r="B29" s="26" t="s">
        <v>102</v>
      </c>
      <c r="C29" s="26"/>
      <c r="D29" s="26"/>
      <c r="E29" s="26"/>
      <c r="F29" s="26"/>
      <c r="G29" s="26"/>
      <c r="H29" s="38"/>
      <c r="I29" s="38"/>
      <c r="J29" s="38"/>
      <c r="K29" s="38"/>
      <c r="L29" s="38"/>
      <c r="M29" s="38"/>
      <c r="N29" s="38"/>
      <c r="O29" s="39"/>
    </row>
    <row r="30" spans="1:15" ht="16" x14ac:dyDescent="0.25">
      <c r="A30" s="28"/>
      <c r="B30" s="29" t="s">
        <v>1</v>
      </c>
      <c r="C30" s="7"/>
      <c r="D30" s="7"/>
      <c r="E30" s="7"/>
      <c r="F30" s="7" t="s">
        <v>81</v>
      </c>
      <c r="G30" s="7"/>
      <c r="H30" s="41"/>
      <c r="I30" s="41"/>
      <c r="J30" s="41"/>
      <c r="K30" s="41"/>
      <c r="L30" s="41"/>
      <c r="M30" s="41"/>
      <c r="N30" s="41"/>
      <c r="O30" s="42"/>
    </row>
    <row r="31" spans="1:15" ht="16" x14ac:dyDescent="0.25">
      <c r="A31" s="28" t="s">
        <v>68</v>
      </c>
      <c r="B31" s="7"/>
      <c r="C31" s="46">
        <f>C17</f>
        <v>275000</v>
      </c>
      <c r="D31" s="7">
        <f>5000*5</f>
        <v>25000</v>
      </c>
      <c r="E31" s="7">
        <v>30</v>
      </c>
      <c r="F31" s="32">
        <f>C31-SUM(C33:L33)</f>
        <v>137903.22580645161</v>
      </c>
      <c r="G31" s="7"/>
      <c r="H31" s="41"/>
      <c r="I31" s="41"/>
      <c r="J31" s="41"/>
      <c r="K31" s="41"/>
      <c r="L31" s="41"/>
      <c r="M31" s="41"/>
      <c r="N31" s="41"/>
      <c r="O31" s="42"/>
    </row>
    <row r="32" spans="1:15" ht="16" x14ac:dyDescent="0.25">
      <c r="A32" s="28"/>
      <c r="B32" s="7"/>
      <c r="C32" s="46" t="s">
        <v>71</v>
      </c>
      <c r="D32" s="46" t="s">
        <v>72</v>
      </c>
      <c r="E32" s="46" t="s">
        <v>73</v>
      </c>
      <c r="F32" s="46" t="s">
        <v>74</v>
      </c>
      <c r="G32" s="46" t="s">
        <v>75</v>
      </c>
      <c r="H32" s="46" t="s">
        <v>76</v>
      </c>
      <c r="I32" s="46" t="s">
        <v>77</v>
      </c>
      <c r="J32" s="46" t="s">
        <v>78</v>
      </c>
      <c r="K32" s="46" t="s">
        <v>79</v>
      </c>
      <c r="L32" s="46" t="s">
        <v>80</v>
      </c>
      <c r="M32" s="46" t="s">
        <v>82</v>
      </c>
      <c r="N32" s="41"/>
      <c r="O32" s="42"/>
    </row>
    <row r="33" spans="1:15" ht="16" x14ac:dyDescent="0.25">
      <c r="A33" s="28"/>
      <c r="B33" s="7" t="s">
        <v>0</v>
      </c>
      <c r="C33" s="23">
        <f>SYD($C$31,$D$31,$E$31,1)</f>
        <v>16129.032258064517</v>
      </c>
      <c r="D33" s="23">
        <f>SYD($C$31,$D$31,$E$31,2)</f>
        <v>15591.397849462366</v>
      </c>
      <c r="E33" s="23">
        <f>SYD($C$31,$D$31,$E$31,3)</f>
        <v>15053.763440860215</v>
      </c>
      <c r="F33" s="23">
        <f>SYD($C$31,$D$31,$E$31,4)</f>
        <v>14516.129032258064</v>
      </c>
      <c r="G33" s="23">
        <f>SYD($C$31,$D$31,$E$31,5)</f>
        <v>13978.494623655914</v>
      </c>
      <c r="H33" s="23">
        <f>SYD($C$31,$D$31,$E$31,6)</f>
        <v>13440.860215053763</v>
      </c>
      <c r="I33" s="23">
        <f>SYD($C$31,$D$31,$E$31,7)</f>
        <v>12903.225806451614</v>
      </c>
      <c r="J33" s="23">
        <f>SYD($C$31,$D$31,$E$31,8)</f>
        <v>12365.591397849463</v>
      </c>
      <c r="K33" s="23">
        <f>SYD($C$31,$D$31,$E$31,9)</f>
        <v>11827.956989247312</v>
      </c>
      <c r="L33" s="23">
        <f>SYD($C$31,$D$31,$E$31,10)</f>
        <v>11290.322580645161</v>
      </c>
      <c r="M33" s="23">
        <f>SYD($C$31,$D$31,$E$31,11)</f>
        <v>10752.68817204301</v>
      </c>
      <c r="N33" s="41"/>
      <c r="O33" s="42"/>
    </row>
    <row r="34" spans="1:15" ht="16" x14ac:dyDescent="0.25">
      <c r="A34" s="28"/>
      <c r="B34" s="29" t="s">
        <v>1</v>
      </c>
      <c r="C34" s="7"/>
      <c r="D34" s="7"/>
      <c r="E34" s="7"/>
      <c r="F34" s="7"/>
      <c r="G34" s="7"/>
      <c r="H34" s="41"/>
      <c r="I34" s="41"/>
      <c r="J34" s="41"/>
      <c r="K34" s="41"/>
      <c r="L34" s="41"/>
      <c r="M34" s="41"/>
      <c r="N34" s="41"/>
      <c r="O34" s="42"/>
    </row>
    <row r="35" spans="1:15" ht="16" x14ac:dyDescent="0.25">
      <c r="A35" s="28" t="s">
        <v>69</v>
      </c>
      <c r="B35" s="7"/>
      <c r="C35" s="46">
        <f>C20</f>
        <v>275000</v>
      </c>
      <c r="D35" s="7">
        <f>5000*5</f>
        <v>25000</v>
      </c>
      <c r="E35" s="7">
        <v>30</v>
      </c>
      <c r="F35" s="32">
        <f>C35-SUM(C37:N37)</f>
        <v>116935.48387096773</v>
      </c>
      <c r="G35" s="7"/>
      <c r="H35" s="41"/>
      <c r="I35" s="41"/>
      <c r="J35" s="41"/>
      <c r="K35" s="41"/>
      <c r="L35" s="41"/>
      <c r="M35" s="41"/>
      <c r="N35" s="41"/>
      <c r="O35" s="42"/>
    </row>
    <row r="36" spans="1:15" ht="16" x14ac:dyDescent="0.25">
      <c r="A36" s="28"/>
      <c r="B36" s="7"/>
      <c r="C36" s="46" t="s">
        <v>71</v>
      </c>
      <c r="D36" s="46" t="s">
        <v>72</v>
      </c>
      <c r="E36" s="46" t="s">
        <v>73</v>
      </c>
      <c r="F36" s="46" t="s">
        <v>74</v>
      </c>
      <c r="G36" s="46" t="s">
        <v>75</v>
      </c>
      <c r="H36" s="46" t="s">
        <v>76</v>
      </c>
      <c r="I36" s="46" t="s">
        <v>77</v>
      </c>
      <c r="J36" s="46" t="s">
        <v>78</v>
      </c>
      <c r="K36" s="46" t="s">
        <v>79</v>
      </c>
      <c r="L36" s="46" t="s">
        <v>80</v>
      </c>
      <c r="M36" s="46" t="s">
        <v>82</v>
      </c>
      <c r="N36" s="46" t="s">
        <v>83</v>
      </c>
      <c r="O36" s="102" t="s">
        <v>84</v>
      </c>
    </row>
    <row r="37" spans="1:15" ht="16" x14ac:dyDescent="0.25">
      <c r="A37" s="28"/>
      <c r="B37" s="7" t="s">
        <v>0</v>
      </c>
      <c r="C37" s="23">
        <f>SYD($C$35,$D$35,$E$35,1)</f>
        <v>16129.032258064517</v>
      </c>
      <c r="D37" s="23">
        <f>SYD($C$35,$D$35,$E$35,2)</f>
        <v>15591.397849462366</v>
      </c>
      <c r="E37" s="23">
        <f>SYD($C$35,$D$35,$E$35,3)</f>
        <v>15053.763440860215</v>
      </c>
      <c r="F37" s="23">
        <f>SYD($C$35,$D$35,$E$35,4)</f>
        <v>14516.129032258064</v>
      </c>
      <c r="G37" s="23">
        <f>SYD($C$35,$D$35,$E$35,5)</f>
        <v>13978.494623655914</v>
      </c>
      <c r="H37" s="23">
        <f>SYD($C$35,$D$35,$E$35,6)</f>
        <v>13440.860215053763</v>
      </c>
      <c r="I37" s="23">
        <f>SYD($C$35,$D$35,$E$35,7)</f>
        <v>12903.225806451614</v>
      </c>
      <c r="J37" s="23">
        <f>SYD($C$35,$D$35,$E$35,8)</f>
        <v>12365.591397849463</v>
      </c>
      <c r="K37" s="23">
        <f>SYD($C$35,$D$35,$E$35,9)</f>
        <v>11827.956989247312</v>
      </c>
      <c r="L37" s="23">
        <f>SYD($C$35,$D$35,$E$35,10)</f>
        <v>11290.322580645161</v>
      </c>
      <c r="M37" s="23">
        <f>SYD($C$35,$D$35,$E$35,11)</f>
        <v>10752.68817204301</v>
      </c>
      <c r="N37" s="23">
        <f>SYD($C$35,$D$35,$E$35,12)</f>
        <v>10215.053763440861</v>
      </c>
      <c r="O37" s="103">
        <f>SYD($C$35,$D$35,$E$35,13)</f>
        <v>9677.4193548387102</v>
      </c>
    </row>
    <row r="38" spans="1:15" ht="16" x14ac:dyDescent="0.25">
      <c r="A38" s="28"/>
      <c r="B38" s="29" t="s">
        <v>1</v>
      </c>
      <c r="C38" s="7"/>
      <c r="D38" s="7"/>
      <c r="E38" s="7"/>
      <c r="F38" s="7"/>
      <c r="G38" s="7"/>
      <c r="H38" s="41"/>
      <c r="I38" s="41"/>
      <c r="J38" s="41"/>
      <c r="K38" s="41"/>
      <c r="L38" s="41"/>
      <c r="M38" s="41"/>
      <c r="N38" s="41"/>
      <c r="O38" s="42"/>
    </row>
    <row r="39" spans="1:15" ht="16" x14ac:dyDescent="0.25">
      <c r="A39" s="28" t="s">
        <v>70</v>
      </c>
      <c r="B39" s="7"/>
      <c r="C39" s="46">
        <f>C23</f>
        <v>385000</v>
      </c>
      <c r="D39" s="7">
        <f>5000*7</f>
        <v>35000</v>
      </c>
      <c r="E39" s="7">
        <v>30</v>
      </c>
      <c r="F39" s="32">
        <f>C39-SUM(C41:M41,C43:M43,C45:H45)</f>
        <v>37258.064516129205</v>
      </c>
      <c r="G39" s="7"/>
      <c r="H39" s="41"/>
      <c r="I39" s="41"/>
      <c r="J39" s="41"/>
      <c r="K39" s="41"/>
      <c r="L39" s="41"/>
      <c r="M39" s="41"/>
      <c r="N39" s="41"/>
      <c r="O39" s="42"/>
    </row>
    <row r="40" spans="1:15" ht="16" x14ac:dyDescent="0.25">
      <c r="A40" s="28"/>
      <c r="B40" s="7"/>
      <c r="C40" s="46" t="s">
        <v>71</v>
      </c>
      <c r="D40" s="46" t="s">
        <v>72</v>
      </c>
      <c r="E40" s="46" t="s">
        <v>73</v>
      </c>
      <c r="F40" s="46" t="s">
        <v>74</v>
      </c>
      <c r="G40" s="46" t="s">
        <v>75</v>
      </c>
      <c r="H40" s="46" t="s">
        <v>76</v>
      </c>
      <c r="I40" s="46" t="s">
        <v>77</v>
      </c>
      <c r="J40" s="46" t="s">
        <v>78</v>
      </c>
      <c r="K40" s="46" t="s">
        <v>79</v>
      </c>
      <c r="L40" s="46" t="s">
        <v>80</v>
      </c>
      <c r="M40" s="46" t="s">
        <v>82</v>
      </c>
      <c r="N40" s="41"/>
      <c r="O40" s="42"/>
    </row>
    <row r="41" spans="1:15" ht="16" x14ac:dyDescent="0.25">
      <c r="A41" s="28"/>
      <c r="B41" s="7" t="s">
        <v>0</v>
      </c>
      <c r="C41" s="23">
        <f>SYD($C$39,$D$39,$E$39,1)</f>
        <v>22580.645161290322</v>
      </c>
      <c r="D41" s="23">
        <f>SYD($C$39,$D$39,$E$39,2)</f>
        <v>21827.956989247312</v>
      </c>
      <c r="E41" s="23">
        <f>SYD($C$39,$D$39,$E$39,3)</f>
        <v>21075.268817204302</v>
      </c>
      <c r="F41" s="23">
        <f>SYD($C$39,$D$39,$E$39,4)</f>
        <v>20322.580645161292</v>
      </c>
      <c r="G41" s="23">
        <f>SYD($C$39,$D$39,$E$39,5)</f>
        <v>19569.892473118278</v>
      </c>
      <c r="H41" s="23">
        <f>SYD($C$39,$D$39,$E$39,6)</f>
        <v>18817.204301075268</v>
      </c>
      <c r="I41" s="23">
        <f>SYD($C$39,$D$39,$E$39,7)</f>
        <v>18064.516129032258</v>
      </c>
      <c r="J41" s="23">
        <f>SYD($C$39,$D$39,$E$39,8)</f>
        <v>17311.827956989247</v>
      </c>
      <c r="K41" s="23">
        <f>SYD($C$39,$D$39,$E$39,9)</f>
        <v>16559.139784946237</v>
      </c>
      <c r="L41" s="23">
        <f>SYD($C$39,$D$39,$E$39,10)</f>
        <v>15806.451612903225</v>
      </c>
      <c r="M41" s="23">
        <f>SYD($C$39,$D$39,$E$39,11)</f>
        <v>15053.763440860215</v>
      </c>
      <c r="N41" s="41"/>
      <c r="O41" s="42"/>
    </row>
    <row r="42" spans="1:15" x14ac:dyDescent="0.15">
      <c r="A42" s="40"/>
      <c r="B42" s="41"/>
      <c r="C42" s="46" t="s">
        <v>85</v>
      </c>
      <c r="D42" s="46" t="s">
        <v>84</v>
      </c>
      <c r="E42" s="46" t="s">
        <v>86</v>
      </c>
      <c r="F42" s="46" t="s">
        <v>87</v>
      </c>
      <c r="G42" s="46" t="s">
        <v>88</v>
      </c>
      <c r="H42" s="46" t="s">
        <v>89</v>
      </c>
      <c r="I42" s="46" t="s">
        <v>90</v>
      </c>
      <c r="J42" s="46" t="s">
        <v>91</v>
      </c>
      <c r="K42" s="46" t="s">
        <v>92</v>
      </c>
      <c r="L42" s="46" t="s">
        <v>93</v>
      </c>
      <c r="M42" s="46" t="s">
        <v>94</v>
      </c>
      <c r="N42" s="41"/>
      <c r="O42" s="42"/>
    </row>
    <row r="43" spans="1:15" ht="16" x14ac:dyDescent="0.25">
      <c r="A43" s="40"/>
      <c r="B43" s="41"/>
      <c r="C43" s="23">
        <f>SYD($C$39,$D$39,$E$39,12)</f>
        <v>14301.075268817205</v>
      </c>
      <c r="D43" s="23">
        <f>SYD($C$39,$D$39,$E$39,13)</f>
        <v>13548.387096774193</v>
      </c>
      <c r="E43" s="23">
        <f>SYD($C$39,$D$39,$E$39,14)</f>
        <v>12795.698924731183</v>
      </c>
      <c r="F43" s="23">
        <f>SYD($C$39,$D$39,$E$39,15)</f>
        <v>12043.010752688173</v>
      </c>
      <c r="G43" s="23">
        <f>SYD($C$39,$D$39,$E$39,16)</f>
        <v>11290.322580645161</v>
      </c>
      <c r="H43" s="23">
        <f>SYD($C$39,$D$39,$E$39,17)</f>
        <v>10537.634408602151</v>
      </c>
      <c r="I43" s="23">
        <f>SYD($C$39,$D$39,$E$39,18)</f>
        <v>9784.9462365591389</v>
      </c>
      <c r="J43" s="23">
        <f>SYD($C$39,$D$39,$E$39,19)</f>
        <v>9032.2580645161288</v>
      </c>
      <c r="K43" s="23">
        <f>SYD($C$39,$D$39,$E$39,20)</f>
        <v>8279.5698924731187</v>
      </c>
      <c r="L43" s="23">
        <f>SYD($C$39,$D$39,$E$39,21)</f>
        <v>7526.8817204301076</v>
      </c>
      <c r="M43" s="23">
        <f>SYD($C$39,$D$39,$E$39,22)</f>
        <v>6774.1935483870966</v>
      </c>
      <c r="N43" s="41"/>
      <c r="O43" s="42"/>
    </row>
    <row r="44" spans="1:15" x14ac:dyDescent="0.15">
      <c r="A44" s="40"/>
      <c r="B44" s="41"/>
      <c r="C44" s="46" t="s">
        <v>95</v>
      </c>
      <c r="D44" s="46" t="s">
        <v>96</v>
      </c>
      <c r="E44" s="46" t="s">
        <v>97</v>
      </c>
      <c r="F44" s="46" t="s">
        <v>98</v>
      </c>
      <c r="G44" s="46" t="s">
        <v>99</v>
      </c>
      <c r="H44" s="46" t="s">
        <v>100</v>
      </c>
      <c r="I44" s="46" t="s">
        <v>101</v>
      </c>
      <c r="J44" s="41"/>
      <c r="K44" s="41"/>
      <c r="L44" s="41"/>
      <c r="M44" s="41"/>
      <c r="N44" s="41"/>
      <c r="O44" s="42"/>
    </row>
    <row r="45" spans="1:15" ht="17" thickBot="1" x14ac:dyDescent="0.3">
      <c r="A45" s="43"/>
      <c r="B45" s="44"/>
      <c r="C45" s="104">
        <f>SYD($C$39,$D$39,$E$39,23)</f>
        <v>6021.5053763440865</v>
      </c>
      <c r="D45" s="104">
        <f>SYD($C$39,$D$39,$E$39,24)</f>
        <v>5268.8172043010754</v>
      </c>
      <c r="E45" s="104">
        <f>SYD($C$39,$D$39,$E$39,25)</f>
        <v>4516.1290322580644</v>
      </c>
      <c r="F45" s="104">
        <f>SYD($C$39,$D$39,$E$39,26)</f>
        <v>3763.4408602150538</v>
      </c>
      <c r="G45" s="104">
        <f>SYD($C$39,$D$39,$E$39,27)</f>
        <v>3010.7526881720432</v>
      </c>
      <c r="H45" s="104">
        <f>SYD($C$39,$D$39,$E$39,28)</f>
        <v>2258.0645161290322</v>
      </c>
      <c r="I45" s="104">
        <f>SYD($C$39,$D$39,$E$39,29)</f>
        <v>1505.3763440860216</v>
      </c>
      <c r="J45" s="44"/>
      <c r="K45" s="44"/>
      <c r="L45" s="44"/>
      <c r="M45" s="44"/>
      <c r="N45" s="44"/>
      <c r="O45" s="45"/>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autoPageBreaks="0" fitToPage="1"/>
  </sheetPr>
  <dimension ref="A1:AD7"/>
  <sheetViews>
    <sheetView showGridLines="0" topLeftCell="B1" workbookViewId="0">
      <pane ySplit="3" topLeftCell="A4" activePane="bottomLeft" state="frozen"/>
      <selection pane="bottomLeft" activeCell="D9" sqref="D9"/>
    </sheetView>
  </sheetViews>
  <sheetFormatPr baseColWidth="10" defaultColWidth="8.83203125" defaultRowHeight="35" customHeight="1" x14ac:dyDescent="0.2"/>
  <cols>
    <col min="1" max="1" width="2.6640625" style="52" customWidth="1"/>
    <col min="2" max="2" width="25.6640625" style="61" customWidth="1"/>
    <col min="3" max="3" width="12.6640625" style="52" customWidth="1"/>
    <col min="4" max="15" width="9" style="52" customWidth="1"/>
    <col min="16" max="16" width="12.33203125" style="52" customWidth="1"/>
    <col min="17" max="29" width="7.6640625" style="52" customWidth="1"/>
    <col min="30" max="30" width="9.83203125" style="52" customWidth="1"/>
    <col min="31" max="31" width="2.6640625" style="52" customWidth="1"/>
    <col min="32" max="16384" width="8.83203125" style="52"/>
  </cols>
  <sheetData>
    <row r="1" spans="1:30" ht="35" customHeight="1" x14ac:dyDescent="0.2">
      <c r="A1" s="50"/>
      <c r="B1" s="51" t="s">
        <v>111</v>
      </c>
      <c r="J1" s="53"/>
      <c r="Q1" s="54"/>
      <c r="R1" s="54"/>
      <c r="S1" s="54"/>
      <c r="T1" s="54"/>
      <c r="U1" s="54"/>
      <c r="V1" s="54"/>
      <c r="W1" s="54"/>
      <c r="X1" s="54"/>
      <c r="Y1" s="54"/>
      <c r="Z1" s="54"/>
      <c r="AA1" s="54"/>
      <c r="AB1" s="54"/>
      <c r="AC1" s="54"/>
      <c r="AD1" s="55" t="s">
        <v>112</v>
      </c>
    </row>
    <row r="2" spans="1:30" ht="60" customHeight="1" x14ac:dyDescent="0.2">
      <c r="B2" s="56" t="s">
        <v>113</v>
      </c>
      <c r="E2" s="57"/>
      <c r="G2" s="57"/>
      <c r="K2" s="57"/>
      <c r="L2" s="57"/>
      <c r="M2" s="57"/>
      <c r="N2" s="57"/>
      <c r="O2" s="57"/>
      <c r="X2" s="58"/>
      <c r="Y2" s="58"/>
      <c r="Z2" s="58"/>
      <c r="AA2" s="58"/>
      <c r="AB2" s="59" t="s">
        <v>114</v>
      </c>
      <c r="AC2" s="59" t="s">
        <v>115</v>
      </c>
      <c r="AD2" s="60">
        <v>2017</v>
      </c>
    </row>
    <row r="3" spans="1:30" ht="20" customHeight="1" x14ac:dyDescent="0.2">
      <c r="B3" s="61" t="s">
        <v>116</v>
      </c>
      <c r="D3" s="62" t="str">
        <f>UPPER(TEXT(DATE(FYStartYear,FYMonthNo,1),"mmm-jj"))</f>
        <v>JAN-JJ</v>
      </c>
      <c r="E3" s="62" t="str">
        <f>UPPER(TEXT(DATE(FYStartYear,FYMonthNo+1,1),"mmm-jj"))</f>
        <v>FEB-JJ</v>
      </c>
      <c r="F3" s="62" t="str">
        <f>UPPER(TEXT(DATE(FYStartYear,FYMonthNo+2,1),"mmm-jj"))</f>
        <v>MAR-JJ</v>
      </c>
      <c r="G3" s="62" t="str">
        <f>UPPER(TEXT(DATE(FYStartYear,FYMonthNo+3,1),"mmm-jj"))</f>
        <v>APR-JJ</v>
      </c>
      <c r="H3" s="62" t="str">
        <f>UPPER(TEXT(DATE(FYStartYear,FYMonthNo+4,1),"mmm-jj"))</f>
        <v>MAY-JJ</v>
      </c>
      <c r="I3" s="62" t="str">
        <f>UPPER(TEXT(DATE(FYStartYear,FYMonthNo+5,1),"mmm-jj"))</f>
        <v>JUN-JJ</v>
      </c>
      <c r="J3" s="62" t="str">
        <f>UPPER(TEXT(DATE(FYStartYear,FYMonthNo+6,1),"mmm-jj"))</f>
        <v>JUL-JJ</v>
      </c>
      <c r="K3" s="62" t="str">
        <f>UPPER(TEXT(DATE(FYStartYear,FYMonthNo+7,1),"mmm-jj"))</f>
        <v>AUG-JJ</v>
      </c>
      <c r="L3" s="62" t="str">
        <f>UPPER(TEXT(DATE(FYStartYear,FYMonthNo+8,1),"mmm-jj"))</f>
        <v>SEP-JJ</v>
      </c>
      <c r="M3" s="62" t="str">
        <f>UPPER(TEXT(DATE(FYStartYear,FYMonthNo+9,1),"mmm-jj"))</f>
        <v>OCT-JJ</v>
      </c>
      <c r="N3" s="62" t="str">
        <f>UPPER(TEXT(DATE(FYStartYear,FYMonthNo+10,1),"mmm-jj"))</f>
        <v>NOV-JJ</v>
      </c>
      <c r="O3" s="62" t="str">
        <f>UPPER(TEXT(DATE(FYStartYear,FYMonthNo+11,1),"mmm-jj"))</f>
        <v>DEC-JJ</v>
      </c>
      <c r="P3" s="62" t="s">
        <v>117</v>
      </c>
      <c r="Q3" s="62" t="s">
        <v>118</v>
      </c>
      <c r="R3" s="62" t="str">
        <f>LEFT(D3,3)&amp;" %"</f>
        <v>JAN %</v>
      </c>
      <c r="S3" s="62" t="str">
        <f t="shared" ref="S3:AC3" si="0">LEFT(E3,3)&amp;" %"</f>
        <v>FEB %</v>
      </c>
      <c r="T3" s="62" t="str">
        <f t="shared" si="0"/>
        <v>MAR %</v>
      </c>
      <c r="U3" s="62" t="str">
        <f t="shared" si="0"/>
        <v>APR %</v>
      </c>
      <c r="V3" s="62" t="str">
        <f t="shared" si="0"/>
        <v>MAY %</v>
      </c>
      <c r="W3" s="62" t="str">
        <f t="shared" si="0"/>
        <v>JUN %</v>
      </c>
      <c r="X3" s="62" t="str">
        <f t="shared" si="0"/>
        <v>JUL %</v>
      </c>
      <c r="Y3" s="62" t="str">
        <f t="shared" si="0"/>
        <v>AUG %</v>
      </c>
      <c r="Z3" s="62" t="str">
        <f t="shared" si="0"/>
        <v>SEP %</v>
      </c>
      <c r="AA3" s="62" t="str">
        <f t="shared" si="0"/>
        <v>OCT %</v>
      </c>
      <c r="AB3" s="62" t="str">
        <f t="shared" si="0"/>
        <v>NOV %</v>
      </c>
      <c r="AC3" s="62" t="str">
        <f t="shared" si="0"/>
        <v>DEC %</v>
      </c>
      <c r="AD3" s="62" t="s">
        <v>119</v>
      </c>
    </row>
    <row r="4" spans="1:30" ht="35" customHeight="1" x14ac:dyDescent="0.2">
      <c r="B4" s="63" t="s">
        <v>120</v>
      </c>
      <c r="C4" s="64" t="s">
        <v>121</v>
      </c>
      <c r="D4" s="65" t="s">
        <v>122</v>
      </c>
      <c r="E4" s="65" t="s">
        <v>123</v>
      </c>
      <c r="F4" s="65" t="s">
        <v>124</v>
      </c>
      <c r="G4" s="65" t="s">
        <v>125</v>
      </c>
      <c r="H4" s="65" t="s">
        <v>126</v>
      </c>
      <c r="I4" s="65" t="s">
        <v>127</v>
      </c>
      <c r="J4" s="65" t="s">
        <v>128</v>
      </c>
      <c r="K4" s="65" t="s">
        <v>129</v>
      </c>
      <c r="L4" s="65" t="s">
        <v>130</v>
      </c>
      <c r="M4" s="65" t="s">
        <v>131</v>
      </c>
      <c r="N4" s="65" t="s">
        <v>132</v>
      </c>
      <c r="O4" s="65" t="s">
        <v>133</v>
      </c>
      <c r="P4" s="65" t="s">
        <v>134</v>
      </c>
      <c r="Q4" s="66" t="s">
        <v>135</v>
      </c>
      <c r="R4" s="66" t="s">
        <v>136</v>
      </c>
      <c r="S4" s="66" t="s">
        <v>137</v>
      </c>
      <c r="T4" s="66" t="s">
        <v>138</v>
      </c>
      <c r="U4" s="66" t="s">
        <v>139</v>
      </c>
      <c r="V4" s="66" t="s">
        <v>140</v>
      </c>
      <c r="W4" s="66" t="s">
        <v>141</v>
      </c>
      <c r="X4" s="66" t="s">
        <v>142</v>
      </c>
      <c r="Y4" s="66" t="s">
        <v>143</v>
      </c>
      <c r="Z4" s="66" t="s">
        <v>144</v>
      </c>
      <c r="AA4" s="66" t="s">
        <v>145</v>
      </c>
      <c r="AB4" s="66" t="s">
        <v>146</v>
      </c>
      <c r="AC4" s="66" t="s">
        <v>147</v>
      </c>
      <c r="AD4" s="65" t="s">
        <v>148</v>
      </c>
    </row>
    <row r="5" spans="1:30" ht="35" customHeight="1" x14ac:dyDescent="0.2">
      <c r="B5" s="67" t="s">
        <v>149</v>
      </c>
      <c r="C5" s="68"/>
      <c r="D5" s="69">
        <v>1286</v>
      </c>
      <c r="E5" s="69">
        <v>1320</v>
      </c>
      <c r="F5" s="69">
        <v>1288</v>
      </c>
      <c r="G5" s="69">
        <v>1485</v>
      </c>
      <c r="H5" s="69">
        <v>1503</v>
      </c>
      <c r="I5" s="69">
        <v>1632</v>
      </c>
      <c r="J5" s="69">
        <v>1692</v>
      </c>
      <c r="K5" s="69">
        <v>1275</v>
      </c>
      <c r="L5" s="69">
        <v>1208</v>
      </c>
      <c r="M5" s="69">
        <v>1408</v>
      </c>
      <c r="N5" s="69">
        <v>1620</v>
      </c>
      <c r="O5" s="69">
        <v>1369</v>
      </c>
      <c r="P5" s="70">
        <f>SUM(Inkomsten[[#This Row],[Jan]:[Dec]])</f>
        <v>17086</v>
      </c>
      <c r="Q5" s="71">
        <v>0.12</v>
      </c>
      <c r="R5" s="72">
        <f>IFERROR(Inkomsten[[#This Row],[Jan]]/Inkomsten[[#Totals],[Jan]],"-")</f>
        <v>0.97498104624715698</v>
      </c>
      <c r="S5" s="72">
        <f>IFERROR(Inkomsten[[#This Row],[Feb]]/Inkomsten[[#Totals],[Feb]],"-")</f>
        <v>0.97201767304860087</v>
      </c>
      <c r="T5" s="72">
        <f>IFERROR(Inkomsten[[#This Row],[Mrt]]/Inkomsten[[#Totals],[Mrt]],"-")</f>
        <v>0.96696696696696693</v>
      </c>
      <c r="U5" s="72">
        <f>IFERROR(Inkomsten[[#This Row],[Apr]]/Inkomsten[[#Totals],[Apr]],"-")</f>
        <v>0.9680573663624511</v>
      </c>
      <c r="V5" s="72">
        <f>IFERROR(Inkomsten[[#This Row],[Mei]]/Inkomsten[[#Totals],[Mei]],"-")</f>
        <v>0.96718146718146714</v>
      </c>
      <c r="W5" s="72">
        <f>IFERROR(Inkomsten[[#This Row],[Jun]]/Inkomsten[[#Totals],[Jun]],"-")</f>
        <v>0.97841726618705038</v>
      </c>
      <c r="X5" s="72">
        <f>IFERROR(Inkomsten[[#This Row],[Jul]]/Inkomsten[[#Totals],[Jul]],"-")</f>
        <v>0.9814385150812065</v>
      </c>
      <c r="Y5" s="72">
        <f>IFERROR(Inkomsten[[#This Row],[Aug]]/Inkomsten[[#Totals],[Aug]],"-")</f>
        <v>0.96958174904942962</v>
      </c>
      <c r="Z5" s="72">
        <f>IFERROR(Inkomsten[[#This Row],[Sep]]/Inkomsten[[#Totals],[Sep]],"-")</f>
        <v>0.96717373899119297</v>
      </c>
      <c r="AA5" s="72">
        <f>IFERROR(Inkomsten[[#This Row],[Okt]]/Inkomsten[[#Totals],[Okt]],"-")</f>
        <v>0.97372060857538034</v>
      </c>
      <c r="AB5" s="72">
        <f>IFERROR(Inkomsten[[#This Row],[Nov]]/Inkomsten[[#Totals],[Nov]],"-")</f>
        <v>0.97649186256781195</v>
      </c>
      <c r="AC5" s="72">
        <f>IFERROR(Inkomsten[[#This Row],[Dec]]/Inkomsten[[#Totals],[Dec]],"-")</f>
        <v>0.97161107168204397</v>
      </c>
      <c r="AD5" s="72">
        <f>IFERROR(Inkomsten[[#This Row],[Jaarlijks]]/Inkomsten[[#Totals],[Jaarlijks]],"-")</f>
        <v>0.97261911538680479</v>
      </c>
    </row>
    <row r="6" spans="1:30" ht="35" customHeight="1" x14ac:dyDescent="0.2">
      <c r="B6" s="67" t="s">
        <v>150</v>
      </c>
      <c r="C6" s="68"/>
      <c r="D6" s="69">
        <v>33</v>
      </c>
      <c r="E6" s="69">
        <v>38</v>
      </c>
      <c r="F6" s="69">
        <v>44</v>
      </c>
      <c r="G6" s="69">
        <v>49</v>
      </c>
      <c r="H6" s="69">
        <v>51</v>
      </c>
      <c r="I6" s="69">
        <v>36</v>
      </c>
      <c r="J6" s="69">
        <v>32</v>
      </c>
      <c r="K6" s="69">
        <v>40</v>
      </c>
      <c r="L6" s="69">
        <v>41</v>
      </c>
      <c r="M6" s="69">
        <v>38</v>
      </c>
      <c r="N6" s="69">
        <v>39</v>
      </c>
      <c r="O6" s="69">
        <v>40</v>
      </c>
      <c r="P6" s="70">
        <f>SUM(Inkomsten[[#This Row],[Jan]:[Dec]])</f>
        <v>481</v>
      </c>
      <c r="Q6" s="71">
        <v>0.18</v>
      </c>
      <c r="R6" s="72">
        <f>IFERROR(Inkomsten[[#This Row],[Jan]]/Inkomsten[[#Totals],[Jan]],"-")</f>
        <v>2.5018953752843062E-2</v>
      </c>
      <c r="S6" s="72">
        <f>IFERROR(Inkomsten[[#This Row],[Feb]]/Inkomsten[[#Totals],[Feb]],"-")</f>
        <v>2.7982326951399118E-2</v>
      </c>
      <c r="T6" s="72">
        <f>IFERROR(Inkomsten[[#This Row],[Mrt]]/Inkomsten[[#Totals],[Mrt]],"-")</f>
        <v>3.3033033033033031E-2</v>
      </c>
      <c r="U6" s="72">
        <f>IFERROR(Inkomsten[[#This Row],[Apr]]/Inkomsten[[#Totals],[Apr]],"-")</f>
        <v>3.1942633637548894E-2</v>
      </c>
      <c r="V6" s="72">
        <f>IFERROR(Inkomsten[[#This Row],[Mei]]/Inkomsten[[#Totals],[Mei]],"-")</f>
        <v>3.2818532818532815E-2</v>
      </c>
      <c r="W6" s="72">
        <f>IFERROR(Inkomsten[[#This Row],[Jun]]/Inkomsten[[#Totals],[Jun]],"-")</f>
        <v>2.1582733812949641E-2</v>
      </c>
      <c r="X6" s="72">
        <f>IFERROR(Inkomsten[[#This Row],[Jul]]/Inkomsten[[#Totals],[Jul]],"-")</f>
        <v>1.8561484918793503E-2</v>
      </c>
      <c r="Y6" s="72">
        <f>IFERROR(Inkomsten[[#This Row],[Aug]]/Inkomsten[[#Totals],[Aug]],"-")</f>
        <v>3.0418250950570342E-2</v>
      </c>
      <c r="Z6" s="72">
        <f>IFERROR(Inkomsten[[#This Row],[Sep]]/Inkomsten[[#Totals],[Sep]],"-")</f>
        <v>3.2826261008807048E-2</v>
      </c>
      <c r="AA6" s="72">
        <f>IFERROR(Inkomsten[[#This Row],[Okt]]/Inkomsten[[#Totals],[Okt]],"-")</f>
        <v>2.6279391424619641E-2</v>
      </c>
      <c r="AB6" s="72">
        <f>IFERROR(Inkomsten[[#This Row],[Nov]]/Inkomsten[[#Totals],[Nov]],"-")</f>
        <v>2.3508137432188065E-2</v>
      </c>
      <c r="AC6" s="72">
        <f>IFERROR(Inkomsten[[#This Row],[Dec]]/Inkomsten[[#Totals],[Dec]],"-")</f>
        <v>2.8388928317955996E-2</v>
      </c>
      <c r="AD6" s="72">
        <f>IFERROR(Inkomsten[[#This Row],[Jaarlijks]]/Inkomsten[[#Totals],[Jaarlijks]],"-")</f>
        <v>2.7380884613195197E-2</v>
      </c>
    </row>
    <row r="7" spans="1:30" ht="35" customHeight="1" x14ac:dyDescent="0.2">
      <c r="B7" s="73" t="s">
        <v>151</v>
      </c>
      <c r="C7" s="74"/>
      <c r="D7" s="75">
        <f>SUBTOTAL(109,Inkomsten[Jan])</f>
        <v>1319</v>
      </c>
      <c r="E7" s="75">
        <f>SUBTOTAL(109,Inkomsten[Feb])</f>
        <v>1358</v>
      </c>
      <c r="F7" s="75">
        <f>SUBTOTAL(109,Inkomsten[Mrt])</f>
        <v>1332</v>
      </c>
      <c r="G7" s="75">
        <f>SUBTOTAL(109,Inkomsten[Apr])</f>
        <v>1534</v>
      </c>
      <c r="H7" s="75">
        <f>SUBTOTAL(109,Inkomsten[Mei])</f>
        <v>1554</v>
      </c>
      <c r="I7" s="75">
        <f>SUBTOTAL(109,Inkomsten[Jun])</f>
        <v>1668</v>
      </c>
      <c r="J7" s="75">
        <f>SUBTOTAL(109,Inkomsten[Jul])</f>
        <v>1724</v>
      </c>
      <c r="K7" s="75">
        <f>SUBTOTAL(109,Inkomsten[Aug])</f>
        <v>1315</v>
      </c>
      <c r="L7" s="75">
        <f>SUBTOTAL(109,Inkomsten[Sep])</f>
        <v>1249</v>
      </c>
      <c r="M7" s="75">
        <f>SUBTOTAL(109,Inkomsten[Okt])</f>
        <v>1446</v>
      </c>
      <c r="N7" s="75">
        <f>SUBTOTAL(109,Inkomsten[Nov])</f>
        <v>1659</v>
      </c>
      <c r="O7" s="75">
        <f>SUBTOTAL(109,Inkomsten[Dec])</f>
        <v>1409</v>
      </c>
      <c r="P7" s="75">
        <f>SUBTOTAL(109,Inkomsten[Jaarlijks])</f>
        <v>17567</v>
      </c>
      <c r="Q7" s="76">
        <f>SUBTOTAL(109,Inkomsten[Index %])</f>
        <v>0.3</v>
      </c>
      <c r="R7" s="76">
        <f>SUBTOTAL(109,Inkomsten[Jan %])</f>
        <v>1</v>
      </c>
      <c r="S7" s="76">
        <f>SUBTOTAL(109,Inkomsten[Feb %])</f>
        <v>1</v>
      </c>
      <c r="T7" s="76">
        <f>SUBTOTAL(109,Inkomsten[Mrt %])</f>
        <v>1</v>
      </c>
      <c r="U7" s="76">
        <f>SUBTOTAL(109,Inkomsten[Apr %])</f>
        <v>1</v>
      </c>
      <c r="V7" s="76">
        <f>SUBTOTAL(109,Inkomsten[Mei %])</f>
        <v>1</v>
      </c>
      <c r="W7" s="76">
        <f>SUBTOTAL(109,Inkomsten[Jun %])</f>
        <v>1</v>
      </c>
      <c r="X7" s="76">
        <f>SUBTOTAL(109,Inkomsten[Jul %])</f>
        <v>1</v>
      </c>
      <c r="Y7" s="76">
        <f>SUBTOTAL(109,Inkomsten[Aug %])</f>
        <v>1</v>
      </c>
      <c r="Z7" s="76">
        <f>SUBTOTAL(109,Inkomsten[Sep %])</f>
        <v>1</v>
      </c>
      <c r="AA7" s="76">
        <f>SUBTOTAL(109,Inkomsten[Okt %])</f>
        <v>1</v>
      </c>
      <c r="AB7" s="76">
        <f>SUBTOTAL(109,Inkomsten[Nov %])</f>
        <v>1</v>
      </c>
      <c r="AC7" s="76">
        <f>SUBTOTAL(109,Inkomsten[Dec %])</f>
        <v>1</v>
      </c>
      <c r="AD7" s="77">
        <f>SUBTOTAL(109,Inkomsten[Jaar %])</f>
        <v>1</v>
      </c>
    </row>
  </sheetData>
  <phoneticPr fontId="2" type="noConversion"/>
  <dataValidations count="18">
    <dataValidation allowBlank="1" showInputMessage="1" showErrorMessage="1" prompt="Het indexpercentage staat in deze kolom" sqref="Q3"/>
    <dataValidation allowBlank="1" showInputMessage="1" showErrorMessage="1" prompt="Voer in deze kolom inkomsten in van de bronnen die worden vermeld in kolom B" sqref="D4:O4"/>
    <dataValidation allowBlank="1" showInputMessage="1" showErrorMessage="1" prompt="Een trendgrafiek voor inkomsten in de loop van de tijd staat in deze kolom" sqref="C4"/>
    <dataValidation allowBlank="1" showInputMessage="1" showErrorMessage="1" prompt="Voer in deze kolom inkomsten in die zijn gegenereerd door verkopen" sqref="B4"/>
    <dataValidation allowBlank="1" showInputMessage="1" showErrorMessage="1" prompt="Verhouding van verkopen uit verschillende bronnen tot totale verkopen wordt automatisch berekend voor het jaar in deze kolom" sqref="AD3"/>
    <dataValidation allowBlank="1" showInputMessage="1" showErrorMessage="1" prompt="Verhouding van verkoop uit verschillende bronnen tot totale verkopen in deze kolom wordt automatisch berekend voor de maand in deze cel" sqref="R3:AC3"/>
    <dataValidation allowBlank="1" showInputMessage="1" showErrorMessage="1" prompt="Maand automatisch bijgewerkt" sqref="E3:O3"/>
    <dataValidation allowBlank="1" showInputMessage="1" showErrorMessage="1" prompt="Dit werkblad berekent totale verkopen voor elke maand en het jaar, plus totale jaarlijkse verkopen uit verschillende bronnen. Voer de eerste maand van het fiscale jaar in cel AC2 en het jaar in cel AD2 in" sqref="A1"/>
    <dataValidation allowBlank="1" showInputMessage="1" showErrorMessage="1" prompt="Dit werkblad berekent totale verkopen voor elke maand en het jaar, plus totale jaarlijkse verkopen uit verschillende bronnen. Selecteer de eerste maand van het fiscale jaar in cel AC2 en het jaar in cel AD2" sqref="A2 A4:A7"/>
    <dataValidation allowBlank="1" showInputMessage="1" showErrorMessage="1" prompt="Voer in deze kolom het indexpercentage in" sqref="Q4"/>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Voer in deze cel de naam van het bedrijf in" sqref="AD1"/>
    <dataValidation allowBlank="1" showInputMessage="1" showErrorMessage="1" prompt="De titel van de prognose staat in deze cel. Voer waarden in de tabel Inkomsten in om de totale verkoopcijfers te berekenen" sqref="B2"/>
    <dataValidation allowBlank="1" showInputMessage="1" showErrorMessage="1" prompt="Typ een naam voor de prognoseperiode waarvoor de totale verkoopcijfers worden berekend" sqref="B1"/>
    <dataValidation allowBlank="1" showInputMessage="1" showErrorMessage="1" prompt="In deze kolom worden automatisch de jaarinkomsten berekend" sqref="P3"/>
    <dataValidation allowBlank="1" showInputMessage="1" showErrorMessage="1" prompt="Selecteer de beginmaand van het fiscale jaar in cel AC2 en voer een jaar in cel AD2 in, rechts van dit label" sqref="AB2"/>
    <dataValidation errorStyle="information" allowBlank="1" showInputMessage="1" errorTitle="Onbekend jaar" error="Selecteer een jaar in de vervolgkeuzelijst. Klik op Gegevensvalidatie om een jaar toe te voegen aan of te verwijderen uit de lijst op het tabblad Gegevens in de groep Hulpmiddelen voor gegevens." prompt="Voer het jaar in deze cel in" sqref="AD2"/>
    <dataValidation type="list" errorStyle="warning" allowBlank="1" showInputMessage="1" showErrorMessage="1" error="Selecteer een maand in de vervolgkeuzelijst. Selecteer ANNULEREN en druk vervolgens op ALT+PIJL-OMLAAG. Druk op ENTER om een maand te selecteren" prompt="Selecteer de maand in deze cel. Druk op ALT+PIJL-OMLAAG om de vervolgkeuzelijst te openen en vervolgens op ENTER om een maand te selecteren" sqref="AC2">
      <formula1>"JAN, FEB, MRT, APR, MEI, JUN, JUL, AUG, SEP, OKT, NOV, DEC"</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Income!$D$5:$O$5</xm:f>
              <xm:sqref>C5</xm:sqref>
            </x14:sparkline>
            <x14:sparkline>
              <xm:f>Income!$D$6:$O$6</xm:f>
              <xm:sqref>C6</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Income!D7:O7</xm:f>
              <xm:sqref>C7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pageSetUpPr fitToPage="1"/>
  </sheetPr>
  <dimension ref="A1:AD26"/>
  <sheetViews>
    <sheetView showGridLines="0" workbookViewId="0">
      <pane ySplit="3" topLeftCell="A4" activePane="bottomLeft" state="frozen"/>
      <selection activeCell="B4" sqref="B4"/>
      <selection pane="bottomLeft" activeCell="D2" sqref="D2"/>
    </sheetView>
  </sheetViews>
  <sheetFormatPr baseColWidth="10" defaultColWidth="8.83203125" defaultRowHeight="35" customHeight="1" x14ac:dyDescent="0.2"/>
  <cols>
    <col min="1" max="1" width="2.6640625" style="80" customWidth="1"/>
    <col min="2" max="2" width="25.6640625" style="85" customWidth="1"/>
    <col min="3" max="3" width="12.6640625" style="80" customWidth="1"/>
    <col min="4" max="15" width="9" style="80" customWidth="1"/>
    <col min="16" max="16" width="12.33203125" style="80" customWidth="1"/>
    <col min="17" max="29" width="7.6640625" style="80" customWidth="1"/>
    <col min="30" max="30" width="9.83203125" style="80" customWidth="1"/>
    <col min="31" max="31" width="2.6640625" style="80" customWidth="1"/>
    <col min="32" max="16384" width="8.83203125" style="80"/>
  </cols>
  <sheetData>
    <row r="1" spans="1:30" ht="35" customHeight="1" x14ac:dyDescent="0.2">
      <c r="A1" s="78"/>
      <c r="B1" s="79" t="str">
        <f>Projection_Period_Title</f>
        <v>TWELVE MONTHS</v>
      </c>
      <c r="J1" s="81"/>
      <c r="Q1" s="54"/>
      <c r="R1" s="54"/>
      <c r="S1" s="54"/>
      <c r="T1" s="54"/>
      <c r="U1" s="54"/>
      <c r="V1" s="54"/>
      <c r="W1" s="54"/>
      <c r="X1" s="54"/>
      <c r="Y1" s="54"/>
      <c r="Z1" s="54"/>
      <c r="AA1" s="54"/>
      <c r="AB1" s="54"/>
      <c r="AC1" s="54"/>
      <c r="AD1" s="82" t="str">
        <f>Bedrijfsnaam</f>
        <v>&lt; Your Company &gt;</v>
      </c>
    </row>
    <row r="2" spans="1:30" ht="60" customHeight="1" x14ac:dyDescent="0.2">
      <c r="B2" s="83" t="str">
        <f>[1]Income!$B$2</f>
        <v>INCOME-STATEMENT</v>
      </c>
      <c r="D2" s="101"/>
      <c r="E2" s="57"/>
      <c r="G2" s="57"/>
      <c r="K2" s="57"/>
      <c r="L2" s="57"/>
      <c r="M2" s="57"/>
      <c r="N2" s="57"/>
      <c r="O2" s="57"/>
      <c r="P2" s="101"/>
      <c r="X2" s="58"/>
      <c r="Y2" s="58"/>
      <c r="Z2" s="58"/>
      <c r="AA2" s="58"/>
      <c r="AB2" s="84" t="s">
        <v>152</v>
      </c>
      <c r="AC2" s="84" t="str">
        <f>FYMonthStart</f>
        <v>JAN</v>
      </c>
      <c r="AD2" s="84">
        <f>FYStartYear</f>
        <v>2017</v>
      </c>
    </row>
    <row r="3" spans="1:30" ht="20" customHeight="1" x14ac:dyDescent="0.2">
      <c r="D3" s="86" t="str">
        <f>UPPER(TEXT(DATE(FYStartYear,FYMonthNo,1),"mmm-jj"))</f>
        <v>JAN-JJ</v>
      </c>
      <c r="E3" s="86" t="str">
        <f>UPPER(TEXT(DATE(FYStartYear,FYMonthNo+1,1),"mmm-jj"))</f>
        <v>FEB-JJ</v>
      </c>
      <c r="F3" s="86" t="str">
        <f>UPPER(TEXT(DATE(FYStartYear,FYMonthNo+2,1),"mmm-jj"))</f>
        <v>MAR-JJ</v>
      </c>
      <c r="G3" s="86" t="str">
        <f>UPPER(TEXT(DATE(FYStartYear,FYMonthNo+3,1),"mmm-jj"))</f>
        <v>APR-JJ</v>
      </c>
      <c r="H3" s="86" t="str">
        <f>UPPER(TEXT(DATE(FYStartYear,FYMonthNo+4,1),"mmm-jj"))</f>
        <v>MAY-JJ</v>
      </c>
      <c r="I3" s="86" t="str">
        <f>UPPER(TEXT(DATE(FYStartYear,FYMonthNo+5,1),"mmm-jj"))</f>
        <v>JUN-JJ</v>
      </c>
      <c r="J3" s="86" t="str">
        <f>UPPER(TEXT(DATE(FYStartYear,FYMonthNo+6,1),"mmm-jj"))</f>
        <v>JUL-JJ</v>
      </c>
      <c r="K3" s="86" t="str">
        <f>UPPER(TEXT(DATE(FYStartYear,FYMonthNo+7,1),"mmm-jj"))</f>
        <v>AUG-JJ</v>
      </c>
      <c r="L3" s="86" t="str">
        <f>UPPER(TEXT(DATE(FYStartYear,FYMonthNo+8,1),"mmm-jj"))</f>
        <v>SEP-JJ</v>
      </c>
      <c r="M3" s="86" t="str">
        <f>UPPER(TEXT(DATE(FYStartYear,FYMonthNo+9,1),"mmm-jj"))</f>
        <v>OCT-JJ</v>
      </c>
      <c r="N3" s="86" t="str">
        <f>UPPER(TEXT(DATE(FYStartYear,FYMonthNo+10,1),"mmm-jj"))</f>
        <v>NOV-JJ</v>
      </c>
      <c r="O3" s="86" t="str">
        <f>UPPER(TEXT(DATE(FYStartYear,FYMonthNo+11,1),"mmm-jj"))</f>
        <v>DEC-JJ</v>
      </c>
      <c r="P3" s="86" t="s">
        <v>117</v>
      </c>
      <c r="Q3" s="86" t="s">
        <v>118</v>
      </c>
      <c r="R3" s="86" t="str">
        <f>LEFT(D3,3)&amp;" %"</f>
        <v>JAN %</v>
      </c>
      <c r="S3" s="86" t="str">
        <f t="shared" ref="S3:AC3" si="0">LEFT(E3,3)&amp;" %"</f>
        <v>FEB %</v>
      </c>
      <c r="T3" s="86" t="str">
        <f t="shared" si="0"/>
        <v>MAR %</v>
      </c>
      <c r="U3" s="86" t="str">
        <f t="shared" si="0"/>
        <v>APR %</v>
      </c>
      <c r="V3" s="86" t="str">
        <f t="shared" si="0"/>
        <v>MAY %</v>
      </c>
      <c r="W3" s="86" t="str">
        <f t="shared" si="0"/>
        <v>JUN %</v>
      </c>
      <c r="X3" s="86" t="str">
        <f t="shared" si="0"/>
        <v>JUL %</v>
      </c>
      <c r="Y3" s="86" t="str">
        <f t="shared" si="0"/>
        <v>AUG %</v>
      </c>
      <c r="Z3" s="86" t="str">
        <f t="shared" si="0"/>
        <v>SEP %</v>
      </c>
      <c r="AA3" s="86" t="str">
        <f t="shared" si="0"/>
        <v>OCT %</v>
      </c>
      <c r="AB3" s="86" t="str">
        <f t="shared" si="0"/>
        <v>NOV %</v>
      </c>
      <c r="AC3" s="86" t="str">
        <f t="shared" si="0"/>
        <v>DEC %</v>
      </c>
      <c r="AD3" s="86" t="s">
        <v>119</v>
      </c>
    </row>
    <row r="4" spans="1:30" ht="35" customHeight="1" x14ac:dyDescent="0.2">
      <c r="B4" s="87" t="s">
        <v>153</v>
      </c>
      <c r="C4" s="88" t="s">
        <v>121</v>
      </c>
      <c r="D4" s="65" t="s">
        <v>154</v>
      </c>
      <c r="E4" s="65" t="s">
        <v>123</v>
      </c>
      <c r="F4" s="65" t="s">
        <v>124</v>
      </c>
      <c r="G4" s="65" t="s">
        <v>125</v>
      </c>
      <c r="H4" s="65" t="s">
        <v>126</v>
      </c>
      <c r="I4" s="65" t="s">
        <v>127</v>
      </c>
      <c r="J4" s="65" t="s">
        <v>128</v>
      </c>
      <c r="K4" s="65" t="s">
        <v>129</v>
      </c>
      <c r="L4" s="65" t="s">
        <v>130</v>
      </c>
      <c r="M4" s="65" t="s">
        <v>131</v>
      </c>
      <c r="N4" s="65" t="s">
        <v>132</v>
      </c>
      <c r="O4" s="65" t="s">
        <v>133</v>
      </c>
      <c r="P4" s="65" t="s">
        <v>134</v>
      </c>
      <c r="Q4" s="66" t="s">
        <v>135</v>
      </c>
      <c r="R4" s="66" t="s">
        <v>136</v>
      </c>
      <c r="S4" s="66" t="s">
        <v>137</v>
      </c>
      <c r="T4" s="66" t="s">
        <v>138</v>
      </c>
      <c r="U4" s="66" t="s">
        <v>139</v>
      </c>
      <c r="V4" s="66" t="s">
        <v>140</v>
      </c>
      <c r="W4" s="66" t="s">
        <v>141</v>
      </c>
      <c r="X4" s="66" t="s">
        <v>142</v>
      </c>
      <c r="Y4" s="66" t="s">
        <v>143</v>
      </c>
      <c r="Z4" s="66" t="s">
        <v>144</v>
      </c>
      <c r="AA4" s="66" t="s">
        <v>145</v>
      </c>
      <c r="AB4" s="66" t="s">
        <v>146</v>
      </c>
      <c r="AC4" s="66" t="s">
        <v>147</v>
      </c>
      <c r="AD4" s="65" t="s">
        <v>148</v>
      </c>
    </row>
    <row r="5" spans="1:30" ht="35" customHeight="1" x14ac:dyDescent="0.2">
      <c r="B5" s="67" t="s">
        <v>155</v>
      </c>
      <c r="C5" s="89" t="s">
        <v>156</v>
      </c>
      <c r="D5" s="90">
        <v>180</v>
      </c>
      <c r="E5" s="90">
        <v>181</v>
      </c>
      <c r="F5" s="90">
        <v>183</v>
      </c>
      <c r="G5" s="90">
        <v>179</v>
      </c>
      <c r="H5" s="90">
        <v>195</v>
      </c>
      <c r="I5" s="90">
        <v>180</v>
      </c>
      <c r="J5" s="90">
        <v>181</v>
      </c>
      <c r="K5" s="90">
        <v>179</v>
      </c>
      <c r="L5" s="90">
        <v>180</v>
      </c>
      <c r="M5" s="90">
        <v>181</v>
      </c>
      <c r="N5" s="90">
        <v>180</v>
      </c>
      <c r="O5" s="90">
        <v>179</v>
      </c>
      <c r="P5" s="91">
        <f>SUM(tblExpenses[[#This Row],[Kolom1]:[Dec]])</f>
        <v>2178</v>
      </c>
      <c r="Q5" s="92">
        <v>0.12</v>
      </c>
      <c r="R5" s="93">
        <f>tblExpenses[[#This Row],[Kolom1]]/tblExpenses[[#Totals],[Kolom1]]</f>
        <v>0.12640449438202248</v>
      </c>
      <c r="S5" s="93">
        <f>tblExpenses[[#This Row],[Feb]]/tblExpenses[[#Totals],[Feb]]</f>
        <v>0.12845990063875087</v>
      </c>
      <c r="T5" s="93">
        <f>tblExpenses[[#This Row],[Mrt]]/tblExpenses[[#Totals],[Mrt]]</f>
        <v>0.12896405919661733</v>
      </c>
      <c r="U5" s="93">
        <f>tblExpenses[[#This Row],[Apr]]/tblExpenses[[#Totals],[Apr]]</f>
        <v>0.12526242127361792</v>
      </c>
      <c r="V5" s="93">
        <f>tblExpenses[[#This Row],[Mei]]/tblExpenses[[#Totals],[Mei]]</f>
        <v>0.13849431818181818</v>
      </c>
      <c r="W5" s="93">
        <f>tblExpenses[[#This Row],[Jun]]/tblExpenses[[#Totals],[Jun]]</f>
        <v>0.13284132841328414</v>
      </c>
      <c r="X5" s="93">
        <f>tblExpenses[[#This Row],[Jul]]/tblExpenses[[#Totals],[Jul]]</f>
        <v>0.13348082595870206</v>
      </c>
      <c r="Y5" s="93">
        <f>tblExpenses[[#This Row],[Aug]]/tblExpenses[[#Totals],[Aug]]</f>
        <v>0.1346877351392024</v>
      </c>
      <c r="Z5" s="93">
        <f>tblExpenses[[#This Row],[Sep]]/tblExpenses[[#Totals],[Sep]]</f>
        <v>0.12693935119887165</v>
      </c>
      <c r="AA5" s="93">
        <f>tblExpenses[[#This Row],[Okt]]/tblExpenses[[#Totals],[Okt]]</f>
        <v>0.13407407407407407</v>
      </c>
      <c r="AB5" s="93">
        <f>tblExpenses[[#This Row],[Nov]]/tblExpenses[[#Totals],[Nov]]</f>
        <v>0.12465373961218837</v>
      </c>
      <c r="AC5" s="93">
        <f>tblExpenses[[#This Row],[Dec]]/tblExpenses[[#Totals],[Dec]]</f>
        <v>0.12722103766879886</v>
      </c>
      <c r="AD5" s="93">
        <f>tblExpenses[[#This Row],[Jaarlijks]]/tblExpenses[[#Totals],[Jaarlijks]]</f>
        <v>0.13004537855266302</v>
      </c>
    </row>
    <row r="6" spans="1:30" ht="35" customHeight="1" x14ac:dyDescent="0.2">
      <c r="B6" s="67" t="s">
        <v>157</v>
      </c>
      <c r="C6" s="89" t="s">
        <v>156</v>
      </c>
      <c r="D6" s="90">
        <v>11</v>
      </c>
      <c r="E6" s="90">
        <v>11</v>
      </c>
      <c r="F6" s="90">
        <v>11</v>
      </c>
      <c r="G6" s="90">
        <v>11</v>
      </c>
      <c r="H6" s="90">
        <v>11</v>
      </c>
      <c r="I6" s="90">
        <v>11</v>
      </c>
      <c r="J6" s="90">
        <v>11</v>
      </c>
      <c r="K6" s="90">
        <v>11</v>
      </c>
      <c r="L6" s="90">
        <v>11</v>
      </c>
      <c r="M6" s="90">
        <v>11</v>
      </c>
      <c r="N6" s="90">
        <v>11</v>
      </c>
      <c r="O6" s="90">
        <v>11</v>
      </c>
      <c r="P6" s="91">
        <f>SUM(tblExpenses[[#This Row],[Kolom1]:[Dec]])</f>
        <v>132</v>
      </c>
      <c r="Q6" s="92">
        <v>0.09</v>
      </c>
      <c r="R6" s="93">
        <f>tblExpenses[[#This Row],[Kolom1]]/tblExpenses[[#Totals],[Kolom1]]</f>
        <v>7.7247191011235953E-3</v>
      </c>
      <c r="S6" s="93">
        <f>tblExpenses[[#This Row],[Feb]]/tblExpenses[[#Totals],[Feb]]</f>
        <v>7.806955287437899E-3</v>
      </c>
      <c r="T6" s="93">
        <f>tblExpenses[[#This Row],[Mrt]]/tblExpenses[[#Totals],[Mrt]]</f>
        <v>7.7519379844961239E-3</v>
      </c>
      <c r="U6" s="93">
        <f>tblExpenses[[#This Row],[Apr]]/tblExpenses[[#Totals],[Apr]]</f>
        <v>7.6976906927921623E-3</v>
      </c>
      <c r="V6" s="93">
        <f>tblExpenses[[#This Row],[Mei]]/tblExpenses[[#Totals],[Mei]]</f>
        <v>7.8125E-3</v>
      </c>
      <c r="W6" s="93">
        <f>tblExpenses[[#This Row],[Jun]]/tblExpenses[[#Totals],[Jun]]</f>
        <v>8.1180811808118074E-3</v>
      </c>
      <c r="X6" s="93">
        <f>tblExpenses[[#This Row],[Jul]]/tblExpenses[[#Totals],[Jul]]</f>
        <v>8.1120943952802359E-3</v>
      </c>
      <c r="Y6" s="93">
        <f>tblExpenses[[#This Row],[Aug]]/tblExpenses[[#Totals],[Aug]]</f>
        <v>8.2768999247554553E-3</v>
      </c>
      <c r="Z6" s="93">
        <f>tblExpenses[[#This Row],[Sep]]/tblExpenses[[#Totals],[Sep]]</f>
        <v>7.7574047954866009E-3</v>
      </c>
      <c r="AA6" s="93">
        <f>tblExpenses[[#This Row],[Okt]]/tblExpenses[[#Totals],[Okt]]</f>
        <v>8.1481481481481474E-3</v>
      </c>
      <c r="AB6" s="93">
        <f>tblExpenses[[#This Row],[Nov]]/tblExpenses[[#Totals],[Nov]]</f>
        <v>7.6177285318559558E-3</v>
      </c>
      <c r="AC6" s="93">
        <f>tblExpenses[[#This Row],[Dec]]/tblExpenses[[#Totals],[Dec]]</f>
        <v>7.818052594171997E-3</v>
      </c>
      <c r="AD6" s="93">
        <f>tblExpenses[[#This Row],[Jaarlijks]]/tblExpenses[[#Totals],[Jaarlijks]]</f>
        <v>7.8815380941007884E-3</v>
      </c>
    </row>
    <row r="7" spans="1:30" ht="35" customHeight="1" x14ac:dyDescent="0.2">
      <c r="B7" s="67" t="s">
        <v>158</v>
      </c>
      <c r="C7" s="89" t="s">
        <v>156</v>
      </c>
      <c r="D7" s="90">
        <v>30</v>
      </c>
      <c r="E7" s="90">
        <v>32</v>
      </c>
      <c r="F7" s="90">
        <v>33</v>
      </c>
      <c r="G7" s="90">
        <v>38</v>
      </c>
      <c r="H7" s="90">
        <v>33</v>
      </c>
      <c r="I7" s="90">
        <v>30</v>
      </c>
      <c r="J7" s="90">
        <v>29</v>
      </c>
      <c r="K7" s="90">
        <v>26</v>
      </c>
      <c r="L7" s="90">
        <v>35</v>
      </c>
      <c r="M7" s="90">
        <v>36</v>
      </c>
      <c r="N7" s="90">
        <v>26</v>
      </c>
      <c r="O7" s="90">
        <v>23</v>
      </c>
      <c r="P7" s="91">
        <f>SUM(tblExpenses[[#This Row],[Kolom1]:[Dec]])</f>
        <v>371</v>
      </c>
      <c r="Q7" s="92">
        <v>0.02</v>
      </c>
      <c r="R7" s="93">
        <f>tblExpenses[[#This Row],[Kolom1]]/tblExpenses[[#Totals],[Kolom1]]</f>
        <v>2.1067415730337078E-2</v>
      </c>
      <c r="S7" s="93">
        <f>tblExpenses[[#This Row],[Feb]]/tblExpenses[[#Totals],[Feb]]</f>
        <v>2.2711142654364799E-2</v>
      </c>
      <c r="T7" s="93">
        <f>tblExpenses[[#This Row],[Mrt]]/tblExpenses[[#Totals],[Mrt]]</f>
        <v>2.3255813953488372E-2</v>
      </c>
      <c r="U7" s="93">
        <f>tblExpenses[[#This Row],[Apr]]/tblExpenses[[#Totals],[Apr]]</f>
        <v>2.6592022393282014E-2</v>
      </c>
      <c r="V7" s="93">
        <f>tblExpenses[[#This Row],[Mei]]/tblExpenses[[#Totals],[Mei]]</f>
        <v>2.34375E-2</v>
      </c>
      <c r="W7" s="93">
        <f>tblExpenses[[#This Row],[Jun]]/tblExpenses[[#Totals],[Jun]]</f>
        <v>2.2140221402214021E-2</v>
      </c>
      <c r="X7" s="93">
        <f>tblExpenses[[#This Row],[Jul]]/tblExpenses[[#Totals],[Jul]]</f>
        <v>2.1386430678466076E-2</v>
      </c>
      <c r="Y7" s="93">
        <f>tblExpenses[[#This Row],[Aug]]/tblExpenses[[#Totals],[Aug]]</f>
        <v>1.9563581640331076E-2</v>
      </c>
      <c r="Z7" s="93">
        <f>tblExpenses[[#This Row],[Sep]]/tblExpenses[[#Totals],[Sep]]</f>
        <v>2.4682651622002821E-2</v>
      </c>
      <c r="AA7" s="93">
        <f>tblExpenses[[#This Row],[Okt]]/tblExpenses[[#Totals],[Okt]]</f>
        <v>2.6666666666666668E-2</v>
      </c>
      <c r="AB7" s="93">
        <f>tblExpenses[[#This Row],[Nov]]/tblExpenses[[#Totals],[Nov]]</f>
        <v>1.8005540166204988E-2</v>
      </c>
      <c r="AC7" s="93">
        <f>tblExpenses[[#This Row],[Dec]]/tblExpenses[[#Totals],[Dec]]</f>
        <v>1.6346837242359632E-2</v>
      </c>
      <c r="AD7" s="93">
        <f>tblExpenses[[#This Row],[Jaarlijks]]/tblExpenses[[#Totals],[Jaarlijks]]</f>
        <v>2.2151898734177215E-2</v>
      </c>
    </row>
    <row r="8" spans="1:30" ht="35" customHeight="1" x14ac:dyDescent="0.2">
      <c r="B8" s="67" t="s">
        <v>159</v>
      </c>
      <c r="C8" s="89" t="s">
        <v>156</v>
      </c>
      <c r="D8" s="90">
        <v>10</v>
      </c>
      <c r="E8" s="90">
        <v>10</v>
      </c>
      <c r="F8" s="90">
        <v>10</v>
      </c>
      <c r="G8" s="90">
        <v>10</v>
      </c>
      <c r="H8" s="90">
        <v>10</v>
      </c>
      <c r="I8" s="90">
        <v>10</v>
      </c>
      <c r="J8" s="90">
        <v>10</v>
      </c>
      <c r="K8" s="90">
        <v>10</v>
      </c>
      <c r="L8" s="90">
        <v>10</v>
      </c>
      <c r="M8" s="90">
        <v>10</v>
      </c>
      <c r="N8" s="90">
        <v>10</v>
      </c>
      <c r="O8" s="90">
        <v>10</v>
      </c>
      <c r="P8" s="91">
        <f>SUM(tblExpenses[[#This Row],[Kolom1]:[Dec]])</f>
        <v>120</v>
      </c>
      <c r="Q8" s="92">
        <v>0.08</v>
      </c>
      <c r="R8" s="93">
        <f>tblExpenses[[#This Row],[Kolom1]]/tblExpenses[[#Totals],[Kolom1]]</f>
        <v>7.0224719101123594E-3</v>
      </c>
      <c r="S8" s="93">
        <f>tblExpenses[[#This Row],[Feb]]/tblExpenses[[#Totals],[Feb]]</f>
        <v>7.0972320794889989E-3</v>
      </c>
      <c r="T8" s="93">
        <f>tblExpenses[[#This Row],[Mrt]]/tblExpenses[[#Totals],[Mrt]]</f>
        <v>7.0472163495419312E-3</v>
      </c>
      <c r="U8" s="93">
        <f>tblExpenses[[#This Row],[Apr]]/tblExpenses[[#Totals],[Apr]]</f>
        <v>6.9979006298110571E-3</v>
      </c>
      <c r="V8" s="93">
        <f>tblExpenses[[#This Row],[Mei]]/tblExpenses[[#Totals],[Mei]]</f>
        <v>7.102272727272727E-3</v>
      </c>
      <c r="W8" s="93">
        <f>tblExpenses[[#This Row],[Jun]]/tblExpenses[[#Totals],[Jun]]</f>
        <v>7.3800738007380072E-3</v>
      </c>
      <c r="X8" s="93">
        <f>tblExpenses[[#This Row],[Jul]]/tblExpenses[[#Totals],[Jul]]</f>
        <v>7.3746312684365781E-3</v>
      </c>
      <c r="Y8" s="93">
        <f>tblExpenses[[#This Row],[Aug]]/tblExpenses[[#Totals],[Aug]]</f>
        <v>7.5244544770504138E-3</v>
      </c>
      <c r="Z8" s="93">
        <f>tblExpenses[[#This Row],[Sep]]/tblExpenses[[#Totals],[Sep]]</f>
        <v>7.052186177715092E-3</v>
      </c>
      <c r="AA8" s="93">
        <f>tblExpenses[[#This Row],[Okt]]/tblExpenses[[#Totals],[Okt]]</f>
        <v>7.4074074074074077E-3</v>
      </c>
      <c r="AB8" s="93">
        <f>tblExpenses[[#This Row],[Nov]]/tblExpenses[[#Totals],[Nov]]</f>
        <v>6.9252077562326868E-3</v>
      </c>
      <c r="AC8" s="93">
        <f>tblExpenses[[#This Row],[Dec]]/tblExpenses[[#Totals],[Dec]]</f>
        <v>7.1073205401563609E-3</v>
      </c>
      <c r="AD8" s="93">
        <f>tblExpenses[[#This Row],[Jaarlijks]]/tblExpenses[[#Totals],[Jaarlijks]]</f>
        <v>7.1650346310007168E-3</v>
      </c>
    </row>
    <row r="9" spans="1:30" ht="35" customHeight="1" x14ac:dyDescent="0.2">
      <c r="B9" s="67" t="s">
        <v>160</v>
      </c>
      <c r="C9" s="89" t="s">
        <v>156</v>
      </c>
      <c r="D9" s="90">
        <v>43</v>
      </c>
      <c r="E9" s="90">
        <v>40</v>
      </c>
      <c r="F9" s="90">
        <v>45</v>
      </c>
      <c r="G9" s="90">
        <v>43</v>
      </c>
      <c r="H9" s="90">
        <v>42</v>
      </c>
      <c r="I9" s="90">
        <v>38</v>
      </c>
      <c r="J9" s="90">
        <v>36</v>
      </c>
      <c r="K9" s="90">
        <v>34</v>
      </c>
      <c r="L9" s="90">
        <v>30</v>
      </c>
      <c r="M9" s="90">
        <v>28</v>
      </c>
      <c r="N9" s="90">
        <v>32</v>
      </c>
      <c r="O9" s="90">
        <v>36</v>
      </c>
      <c r="P9" s="91">
        <f>SUM(tblExpenses[[#This Row],[Kolom1]:[Dec]])</f>
        <v>447</v>
      </c>
      <c r="Q9" s="92">
        <v>0.03</v>
      </c>
      <c r="R9" s="93">
        <f>tblExpenses[[#This Row],[Kolom1]]/tblExpenses[[#Totals],[Kolom1]]</f>
        <v>3.0196629213483147E-2</v>
      </c>
      <c r="S9" s="93">
        <f>tblExpenses[[#This Row],[Feb]]/tblExpenses[[#Totals],[Feb]]</f>
        <v>2.8388928317955996E-2</v>
      </c>
      <c r="T9" s="93">
        <f>tblExpenses[[#This Row],[Mrt]]/tblExpenses[[#Totals],[Mrt]]</f>
        <v>3.1712473572938688E-2</v>
      </c>
      <c r="U9" s="93">
        <f>tblExpenses[[#This Row],[Apr]]/tblExpenses[[#Totals],[Apr]]</f>
        <v>3.0090972708187544E-2</v>
      </c>
      <c r="V9" s="93">
        <f>tblExpenses[[#This Row],[Mei]]/tblExpenses[[#Totals],[Mei]]</f>
        <v>2.9829545454545456E-2</v>
      </c>
      <c r="W9" s="93">
        <f>tblExpenses[[#This Row],[Jun]]/tblExpenses[[#Totals],[Jun]]</f>
        <v>2.8044280442804426E-2</v>
      </c>
      <c r="X9" s="93">
        <f>tblExpenses[[#This Row],[Jul]]/tblExpenses[[#Totals],[Jul]]</f>
        <v>2.6548672566371681E-2</v>
      </c>
      <c r="Y9" s="93">
        <f>tblExpenses[[#This Row],[Aug]]/tblExpenses[[#Totals],[Aug]]</f>
        <v>2.5583145221971408E-2</v>
      </c>
      <c r="Z9" s="93">
        <f>tblExpenses[[#This Row],[Sep]]/tblExpenses[[#Totals],[Sep]]</f>
        <v>2.1156558533145273E-2</v>
      </c>
      <c r="AA9" s="93">
        <f>tblExpenses[[#This Row],[Okt]]/tblExpenses[[#Totals],[Okt]]</f>
        <v>2.074074074074074E-2</v>
      </c>
      <c r="AB9" s="93">
        <f>tblExpenses[[#This Row],[Nov]]/tblExpenses[[#Totals],[Nov]]</f>
        <v>2.2160664819944598E-2</v>
      </c>
      <c r="AC9" s="93">
        <f>tblExpenses[[#This Row],[Dec]]/tblExpenses[[#Totals],[Dec]]</f>
        <v>2.5586353944562899E-2</v>
      </c>
      <c r="AD9" s="93">
        <f>tblExpenses[[#This Row],[Jaarlijks]]/tblExpenses[[#Totals],[Jaarlijks]]</f>
        <v>2.668975400047767E-2</v>
      </c>
    </row>
    <row r="10" spans="1:30" ht="35" customHeight="1" x14ac:dyDescent="0.2">
      <c r="B10" s="67" t="s">
        <v>161</v>
      </c>
      <c r="C10" s="89" t="s">
        <v>156</v>
      </c>
      <c r="D10" s="90">
        <v>21</v>
      </c>
      <c r="E10" s="90">
        <v>22</v>
      </c>
      <c r="F10" s="90">
        <v>40</v>
      </c>
      <c r="G10" s="90">
        <v>35</v>
      </c>
      <c r="H10" s="90">
        <v>20</v>
      </c>
      <c r="I10" s="90">
        <v>21</v>
      </c>
      <c r="J10" s="90">
        <v>18</v>
      </c>
      <c r="K10" s="90">
        <v>19</v>
      </c>
      <c r="L10" s="90">
        <v>17</v>
      </c>
      <c r="M10" s="90">
        <v>20</v>
      </c>
      <c r="N10" s="90">
        <v>21</v>
      </c>
      <c r="O10" s="90">
        <v>22</v>
      </c>
      <c r="P10" s="91">
        <f>SUM(tblExpenses[[#This Row],[Kolom1]:[Dec]])</f>
        <v>276</v>
      </c>
      <c r="Q10" s="92">
        <v>0.15</v>
      </c>
      <c r="R10" s="93">
        <f>tblExpenses[[#This Row],[Kolom1]]/tblExpenses[[#Totals],[Kolom1]]</f>
        <v>1.4747191011235955E-2</v>
      </c>
      <c r="S10" s="93">
        <f>tblExpenses[[#This Row],[Feb]]/tblExpenses[[#Totals],[Feb]]</f>
        <v>1.5613910574875798E-2</v>
      </c>
      <c r="T10" s="93">
        <f>tblExpenses[[#This Row],[Mrt]]/tblExpenses[[#Totals],[Mrt]]</f>
        <v>2.8188865398167725E-2</v>
      </c>
      <c r="U10" s="93">
        <f>tblExpenses[[#This Row],[Apr]]/tblExpenses[[#Totals],[Apr]]</f>
        <v>2.4492652204338699E-2</v>
      </c>
      <c r="V10" s="93">
        <f>tblExpenses[[#This Row],[Mei]]/tblExpenses[[#Totals],[Mei]]</f>
        <v>1.4204545454545454E-2</v>
      </c>
      <c r="W10" s="93">
        <f>tblExpenses[[#This Row],[Jun]]/tblExpenses[[#Totals],[Jun]]</f>
        <v>1.5498154981549815E-2</v>
      </c>
      <c r="X10" s="93">
        <f>tblExpenses[[#This Row],[Jul]]/tblExpenses[[#Totals],[Jul]]</f>
        <v>1.3274336283185841E-2</v>
      </c>
      <c r="Y10" s="93">
        <f>tblExpenses[[#This Row],[Aug]]/tblExpenses[[#Totals],[Aug]]</f>
        <v>1.4296463506395787E-2</v>
      </c>
      <c r="Z10" s="93">
        <f>tblExpenses[[#This Row],[Sep]]/tblExpenses[[#Totals],[Sep]]</f>
        <v>1.1988716502115656E-2</v>
      </c>
      <c r="AA10" s="93">
        <f>tblExpenses[[#This Row],[Okt]]/tblExpenses[[#Totals],[Okt]]</f>
        <v>1.4814814814814815E-2</v>
      </c>
      <c r="AB10" s="93">
        <f>tblExpenses[[#This Row],[Nov]]/tblExpenses[[#Totals],[Nov]]</f>
        <v>1.4542936288088643E-2</v>
      </c>
      <c r="AC10" s="93">
        <f>tblExpenses[[#This Row],[Dec]]/tblExpenses[[#Totals],[Dec]]</f>
        <v>1.5636105188343994E-2</v>
      </c>
      <c r="AD10" s="93">
        <f>tblExpenses[[#This Row],[Jaarlijks]]/tblExpenses[[#Totals],[Jaarlijks]]</f>
        <v>1.6479579651301649E-2</v>
      </c>
    </row>
    <row r="11" spans="1:30" ht="35" customHeight="1" x14ac:dyDescent="0.2">
      <c r="B11" s="67" t="s">
        <v>162</v>
      </c>
      <c r="C11" s="89" t="s">
        <v>156</v>
      </c>
      <c r="D11" s="90">
        <v>6</v>
      </c>
      <c r="E11" s="90">
        <v>5</v>
      </c>
      <c r="F11" s="90">
        <v>4</v>
      </c>
      <c r="G11" s="90">
        <v>5</v>
      </c>
      <c r="H11" s="90">
        <v>6</v>
      </c>
      <c r="I11" s="90">
        <v>8</v>
      </c>
      <c r="J11" s="90">
        <v>4</v>
      </c>
      <c r="K11" s="90">
        <v>3</v>
      </c>
      <c r="L11" s="90">
        <v>5</v>
      </c>
      <c r="M11" s="90">
        <v>7</v>
      </c>
      <c r="N11" s="90">
        <v>3</v>
      </c>
      <c r="O11" s="90">
        <v>5</v>
      </c>
      <c r="P11" s="91">
        <f>SUM(tblExpenses[[#This Row],[Kolom1]:[Dec]])</f>
        <v>61</v>
      </c>
      <c r="Q11" s="92">
        <v>0.12</v>
      </c>
      <c r="R11" s="93">
        <f>tblExpenses[[#This Row],[Kolom1]]/tblExpenses[[#Totals],[Kolom1]]</f>
        <v>4.2134831460674156E-3</v>
      </c>
      <c r="S11" s="93">
        <f>tblExpenses[[#This Row],[Feb]]/tblExpenses[[#Totals],[Feb]]</f>
        <v>3.5486160397444995E-3</v>
      </c>
      <c r="T11" s="93">
        <f>tblExpenses[[#This Row],[Mrt]]/tblExpenses[[#Totals],[Mrt]]</f>
        <v>2.8188865398167725E-3</v>
      </c>
      <c r="U11" s="93">
        <f>tblExpenses[[#This Row],[Apr]]/tblExpenses[[#Totals],[Apr]]</f>
        <v>3.4989503149055285E-3</v>
      </c>
      <c r="V11" s="93">
        <f>tblExpenses[[#This Row],[Mei]]/tblExpenses[[#Totals],[Mei]]</f>
        <v>4.261363636363636E-3</v>
      </c>
      <c r="W11" s="93">
        <f>tblExpenses[[#This Row],[Jun]]/tblExpenses[[#Totals],[Jun]]</f>
        <v>5.9040590405904057E-3</v>
      </c>
      <c r="X11" s="93">
        <f>tblExpenses[[#This Row],[Jul]]/tblExpenses[[#Totals],[Jul]]</f>
        <v>2.9498525073746312E-3</v>
      </c>
      <c r="Y11" s="93">
        <f>tblExpenses[[#This Row],[Aug]]/tblExpenses[[#Totals],[Aug]]</f>
        <v>2.257336343115124E-3</v>
      </c>
      <c r="Z11" s="93">
        <f>tblExpenses[[#This Row],[Sep]]/tblExpenses[[#Totals],[Sep]]</f>
        <v>3.526093088857546E-3</v>
      </c>
      <c r="AA11" s="93">
        <f>tblExpenses[[#This Row],[Okt]]/tblExpenses[[#Totals],[Okt]]</f>
        <v>5.185185185185185E-3</v>
      </c>
      <c r="AB11" s="93">
        <f>tblExpenses[[#This Row],[Nov]]/tblExpenses[[#Totals],[Nov]]</f>
        <v>2.0775623268698062E-3</v>
      </c>
      <c r="AC11" s="93">
        <f>tblExpenses[[#This Row],[Dec]]/tblExpenses[[#Totals],[Dec]]</f>
        <v>3.5536602700781805E-3</v>
      </c>
      <c r="AD11" s="93">
        <f>tblExpenses[[#This Row],[Jaarlijks]]/tblExpenses[[#Totals],[Jaarlijks]]</f>
        <v>3.6422259374253641E-3</v>
      </c>
    </row>
    <row r="12" spans="1:30" ht="35" customHeight="1" x14ac:dyDescent="0.2">
      <c r="B12" s="67" t="s">
        <v>163</v>
      </c>
      <c r="C12" s="89" t="s">
        <v>156</v>
      </c>
      <c r="D12" s="90">
        <v>6</v>
      </c>
      <c r="E12" s="90">
        <v>6</v>
      </c>
      <c r="F12" s="90">
        <v>6</v>
      </c>
      <c r="G12" s="90">
        <v>6</v>
      </c>
      <c r="H12" s="90">
        <v>6</v>
      </c>
      <c r="I12" s="90">
        <v>6</v>
      </c>
      <c r="J12" s="90">
        <v>6</v>
      </c>
      <c r="K12" s="90">
        <v>6</v>
      </c>
      <c r="L12" s="90">
        <v>6</v>
      </c>
      <c r="M12" s="90">
        <v>6</v>
      </c>
      <c r="N12" s="90">
        <v>6</v>
      </c>
      <c r="O12" s="90">
        <v>6</v>
      </c>
      <c r="P12" s="91">
        <f>SUM(tblExpenses[[#This Row],[Kolom1]:[Dec]])</f>
        <v>72</v>
      </c>
      <c r="Q12" s="92">
        <v>0.09</v>
      </c>
      <c r="R12" s="93">
        <f>tblExpenses[[#This Row],[Kolom1]]/tblExpenses[[#Totals],[Kolom1]]</f>
        <v>4.2134831460674156E-3</v>
      </c>
      <c r="S12" s="93">
        <f>tblExpenses[[#This Row],[Feb]]/tblExpenses[[#Totals],[Feb]]</f>
        <v>4.2583392476933995E-3</v>
      </c>
      <c r="T12" s="93">
        <f>tblExpenses[[#This Row],[Mrt]]/tblExpenses[[#Totals],[Mrt]]</f>
        <v>4.2283298097251587E-3</v>
      </c>
      <c r="U12" s="93">
        <f>tblExpenses[[#This Row],[Apr]]/tblExpenses[[#Totals],[Apr]]</f>
        <v>4.1987403778866337E-3</v>
      </c>
      <c r="V12" s="93">
        <f>tblExpenses[[#This Row],[Mei]]/tblExpenses[[#Totals],[Mei]]</f>
        <v>4.261363636363636E-3</v>
      </c>
      <c r="W12" s="93">
        <f>tblExpenses[[#This Row],[Jun]]/tblExpenses[[#Totals],[Jun]]</f>
        <v>4.4280442804428043E-3</v>
      </c>
      <c r="X12" s="93">
        <f>tblExpenses[[#This Row],[Jul]]/tblExpenses[[#Totals],[Jul]]</f>
        <v>4.4247787610619468E-3</v>
      </c>
      <c r="Y12" s="93">
        <f>tblExpenses[[#This Row],[Aug]]/tblExpenses[[#Totals],[Aug]]</f>
        <v>4.5146726862302479E-3</v>
      </c>
      <c r="Z12" s="93">
        <f>tblExpenses[[#This Row],[Sep]]/tblExpenses[[#Totals],[Sep]]</f>
        <v>4.2313117066290554E-3</v>
      </c>
      <c r="AA12" s="93">
        <f>tblExpenses[[#This Row],[Okt]]/tblExpenses[[#Totals],[Okt]]</f>
        <v>4.4444444444444444E-3</v>
      </c>
      <c r="AB12" s="93">
        <f>tblExpenses[[#This Row],[Nov]]/tblExpenses[[#Totals],[Nov]]</f>
        <v>4.1551246537396124E-3</v>
      </c>
      <c r="AC12" s="93">
        <f>tblExpenses[[#This Row],[Dec]]/tblExpenses[[#Totals],[Dec]]</f>
        <v>4.2643923240938165E-3</v>
      </c>
      <c r="AD12" s="93">
        <f>tblExpenses[[#This Row],[Jaarlijks]]/tblExpenses[[#Totals],[Jaarlijks]]</f>
        <v>4.2990207786004295E-3</v>
      </c>
    </row>
    <row r="13" spans="1:30" ht="35" customHeight="1" x14ac:dyDescent="0.2">
      <c r="B13" s="67" t="s">
        <v>164</v>
      </c>
      <c r="C13" s="89" t="s">
        <v>156</v>
      </c>
      <c r="D13" s="90">
        <v>48</v>
      </c>
      <c r="E13" s="90">
        <v>48</v>
      </c>
      <c r="F13" s="90">
        <v>48</v>
      </c>
      <c r="G13" s="90">
        <v>48</v>
      </c>
      <c r="H13" s="90">
        <v>48</v>
      </c>
      <c r="I13" s="90">
        <v>48</v>
      </c>
      <c r="J13" s="90">
        <v>48</v>
      </c>
      <c r="K13" s="90">
        <v>48</v>
      </c>
      <c r="L13" s="90">
        <v>48</v>
      </c>
      <c r="M13" s="90">
        <v>48</v>
      </c>
      <c r="N13" s="90">
        <v>48</v>
      </c>
      <c r="O13" s="90">
        <v>48</v>
      </c>
      <c r="P13" s="91">
        <f>SUM(tblExpenses[[#This Row],[Kolom1]:[Dec]])</f>
        <v>576</v>
      </c>
      <c r="Q13" s="92">
        <v>0.01</v>
      </c>
      <c r="R13" s="93">
        <f>tblExpenses[[#This Row],[Kolom1]]/tblExpenses[[#Totals],[Kolom1]]</f>
        <v>3.3707865168539325E-2</v>
      </c>
      <c r="S13" s="93">
        <f>tblExpenses[[#This Row],[Feb]]/tblExpenses[[#Totals],[Feb]]</f>
        <v>3.4066713981547196E-2</v>
      </c>
      <c r="T13" s="93">
        <f>tblExpenses[[#This Row],[Mrt]]/tblExpenses[[#Totals],[Mrt]]</f>
        <v>3.382663847780127E-2</v>
      </c>
      <c r="U13" s="93">
        <f>tblExpenses[[#This Row],[Apr]]/tblExpenses[[#Totals],[Apr]]</f>
        <v>3.358992302309307E-2</v>
      </c>
      <c r="V13" s="93">
        <f>tblExpenses[[#This Row],[Mei]]/tblExpenses[[#Totals],[Mei]]</f>
        <v>3.4090909090909088E-2</v>
      </c>
      <c r="W13" s="93">
        <f>tblExpenses[[#This Row],[Jun]]/tblExpenses[[#Totals],[Jun]]</f>
        <v>3.5424354243542434E-2</v>
      </c>
      <c r="X13" s="93">
        <f>tblExpenses[[#This Row],[Jul]]/tblExpenses[[#Totals],[Jul]]</f>
        <v>3.5398230088495575E-2</v>
      </c>
      <c r="Y13" s="93">
        <f>tblExpenses[[#This Row],[Aug]]/tblExpenses[[#Totals],[Aug]]</f>
        <v>3.6117381489841983E-2</v>
      </c>
      <c r="Z13" s="93">
        <f>tblExpenses[[#This Row],[Sep]]/tblExpenses[[#Totals],[Sep]]</f>
        <v>3.3850493653032443E-2</v>
      </c>
      <c r="AA13" s="93">
        <f>tblExpenses[[#This Row],[Okt]]/tblExpenses[[#Totals],[Okt]]</f>
        <v>3.5555555555555556E-2</v>
      </c>
      <c r="AB13" s="93">
        <f>tblExpenses[[#This Row],[Nov]]/tblExpenses[[#Totals],[Nov]]</f>
        <v>3.3240997229916899E-2</v>
      </c>
      <c r="AC13" s="93">
        <f>tblExpenses[[#This Row],[Dec]]/tblExpenses[[#Totals],[Dec]]</f>
        <v>3.4115138592750532E-2</v>
      </c>
      <c r="AD13" s="93">
        <f>tblExpenses[[#This Row],[Jaarlijks]]/tblExpenses[[#Totals],[Jaarlijks]]</f>
        <v>3.4392166228803436E-2</v>
      </c>
    </row>
    <row r="14" spans="1:30" ht="35" customHeight="1" x14ac:dyDescent="0.2">
      <c r="B14" s="67" t="s">
        <v>165</v>
      </c>
      <c r="C14" s="89" t="s">
        <v>156</v>
      </c>
      <c r="D14" s="90">
        <v>1</v>
      </c>
      <c r="E14" s="90">
        <v>1</v>
      </c>
      <c r="F14" s="90">
        <v>1</v>
      </c>
      <c r="G14" s="90">
        <v>1</v>
      </c>
      <c r="H14" s="90">
        <v>1</v>
      </c>
      <c r="I14" s="90">
        <v>1</v>
      </c>
      <c r="J14" s="90">
        <v>1</v>
      </c>
      <c r="K14" s="90">
        <v>1</v>
      </c>
      <c r="L14" s="90">
        <v>1</v>
      </c>
      <c r="M14" s="90">
        <v>1</v>
      </c>
      <c r="N14" s="90">
        <v>1</v>
      </c>
      <c r="O14" s="90">
        <v>1</v>
      </c>
      <c r="P14" s="91">
        <f>SUM(tblExpenses[[#This Row],[Kolom1]:[Dec]])</f>
        <v>12</v>
      </c>
      <c r="Q14" s="92">
        <v>0.01</v>
      </c>
      <c r="R14" s="93">
        <f>tblExpenses[[#This Row],[Kolom1]]/tblExpenses[[#Totals],[Kolom1]]</f>
        <v>7.0224719101123594E-4</v>
      </c>
      <c r="S14" s="93">
        <f>tblExpenses[[#This Row],[Feb]]/tblExpenses[[#Totals],[Feb]]</f>
        <v>7.0972320794889996E-4</v>
      </c>
      <c r="T14" s="93">
        <f>tblExpenses[[#This Row],[Mrt]]/tblExpenses[[#Totals],[Mrt]]</f>
        <v>7.0472163495419312E-4</v>
      </c>
      <c r="U14" s="93">
        <f>tblExpenses[[#This Row],[Apr]]/tblExpenses[[#Totals],[Apr]]</f>
        <v>6.9979006298110562E-4</v>
      </c>
      <c r="V14" s="93">
        <f>tblExpenses[[#This Row],[Mei]]/tblExpenses[[#Totals],[Mei]]</f>
        <v>7.1022727272727275E-4</v>
      </c>
      <c r="W14" s="93">
        <f>tblExpenses[[#This Row],[Jun]]/tblExpenses[[#Totals],[Jun]]</f>
        <v>7.3800738007380072E-4</v>
      </c>
      <c r="X14" s="93">
        <f>tblExpenses[[#This Row],[Jul]]/tblExpenses[[#Totals],[Jul]]</f>
        <v>7.3746312684365781E-4</v>
      </c>
      <c r="Y14" s="93">
        <f>tblExpenses[[#This Row],[Aug]]/tblExpenses[[#Totals],[Aug]]</f>
        <v>7.5244544770504136E-4</v>
      </c>
      <c r="Z14" s="93">
        <f>tblExpenses[[#This Row],[Sep]]/tblExpenses[[#Totals],[Sep]]</f>
        <v>7.0521861777150916E-4</v>
      </c>
      <c r="AA14" s="93">
        <f>tblExpenses[[#This Row],[Okt]]/tblExpenses[[#Totals],[Okt]]</f>
        <v>7.407407407407407E-4</v>
      </c>
      <c r="AB14" s="93">
        <f>tblExpenses[[#This Row],[Nov]]/tblExpenses[[#Totals],[Nov]]</f>
        <v>6.925207756232687E-4</v>
      </c>
      <c r="AC14" s="93">
        <f>tblExpenses[[#This Row],[Dec]]/tblExpenses[[#Totals],[Dec]]</f>
        <v>7.1073205401563609E-4</v>
      </c>
      <c r="AD14" s="93">
        <f>tblExpenses[[#This Row],[Jaarlijks]]/tblExpenses[[#Totals],[Jaarlijks]]</f>
        <v>7.165034631000717E-4</v>
      </c>
    </row>
    <row r="15" spans="1:30" ht="35" customHeight="1" x14ac:dyDescent="0.2">
      <c r="B15" s="67" t="s">
        <v>166</v>
      </c>
      <c r="C15" s="89" t="s">
        <v>156</v>
      </c>
      <c r="D15" s="90">
        <v>11</v>
      </c>
      <c r="E15" s="90">
        <v>11</v>
      </c>
      <c r="F15" s="90">
        <v>11</v>
      </c>
      <c r="G15" s="90">
        <v>11</v>
      </c>
      <c r="H15" s="90">
        <v>11</v>
      </c>
      <c r="I15" s="90">
        <v>11</v>
      </c>
      <c r="J15" s="90">
        <v>11</v>
      </c>
      <c r="K15" s="90">
        <v>11</v>
      </c>
      <c r="L15" s="90">
        <v>11</v>
      </c>
      <c r="M15" s="90">
        <v>11</v>
      </c>
      <c r="N15" s="90">
        <v>11</v>
      </c>
      <c r="O15" s="90">
        <v>11</v>
      </c>
      <c r="P15" s="91">
        <f>SUM(tblExpenses[[#This Row],[Kolom1]:[Dec]])</f>
        <v>132</v>
      </c>
      <c r="Q15" s="92">
        <v>0.01</v>
      </c>
      <c r="R15" s="93">
        <f>tblExpenses[[#This Row],[Kolom1]]/tblExpenses[[#Totals],[Kolom1]]</f>
        <v>7.7247191011235953E-3</v>
      </c>
      <c r="S15" s="93">
        <f>tblExpenses[[#This Row],[Feb]]/tblExpenses[[#Totals],[Feb]]</f>
        <v>7.806955287437899E-3</v>
      </c>
      <c r="T15" s="93">
        <f>tblExpenses[[#This Row],[Mrt]]/tblExpenses[[#Totals],[Mrt]]</f>
        <v>7.7519379844961239E-3</v>
      </c>
      <c r="U15" s="93">
        <f>tblExpenses[[#This Row],[Apr]]/tblExpenses[[#Totals],[Apr]]</f>
        <v>7.6976906927921623E-3</v>
      </c>
      <c r="V15" s="93">
        <f>tblExpenses[[#This Row],[Mei]]/tblExpenses[[#Totals],[Mei]]</f>
        <v>7.8125E-3</v>
      </c>
      <c r="W15" s="93">
        <f>tblExpenses[[#This Row],[Jun]]/tblExpenses[[#Totals],[Jun]]</f>
        <v>8.1180811808118074E-3</v>
      </c>
      <c r="X15" s="93">
        <f>tblExpenses[[#This Row],[Jul]]/tblExpenses[[#Totals],[Jul]]</f>
        <v>8.1120943952802359E-3</v>
      </c>
      <c r="Y15" s="93">
        <f>tblExpenses[[#This Row],[Aug]]/tblExpenses[[#Totals],[Aug]]</f>
        <v>8.2768999247554553E-3</v>
      </c>
      <c r="Z15" s="93">
        <f>tblExpenses[[#This Row],[Sep]]/tblExpenses[[#Totals],[Sep]]</f>
        <v>7.7574047954866009E-3</v>
      </c>
      <c r="AA15" s="93">
        <f>tblExpenses[[#This Row],[Okt]]/tblExpenses[[#Totals],[Okt]]</f>
        <v>8.1481481481481474E-3</v>
      </c>
      <c r="AB15" s="93">
        <f>tblExpenses[[#This Row],[Nov]]/tblExpenses[[#Totals],[Nov]]</f>
        <v>7.6177285318559558E-3</v>
      </c>
      <c r="AC15" s="93">
        <f>tblExpenses[[#This Row],[Dec]]/tblExpenses[[#Totals],[Dec]]</f>
        <v>7.818052594171997E-3</v>
      </c>
      <c r="AD15" s="93">
        <f>tblExpenses[[#This Row],[Jaarlijks]]/tblExpenses[[#Totals],[Jaarlijks]]</f>
        <v>7.8815380941007884E-3</v>
      </c>
    </row>
    <row r="16" spans="1:30" ht="35" customHeight="1" x14ac:dyDescent="0.2">
      <c r="B16" s="67" t="s">
        <v>167</v>
      </c>
      <c r="C16" s="89" t="s">
        <v>156</v>
      </c>
      <c r="D16" s="90">
        <v>11</v>
      </c>
      <c r="E16" s="90">
        <v>11</v>
      </c>
      <c r="F16" s="90">
        <v>11</v>
      </c>
      <c r="G16" s="90">
        <v>11</v>
      </c>
      <c r="H16" s="90">
        <v>11</v>
      </c>
      <c r="I16" s="90">
        <v>11</v>
      </c>
      <c r="J16" s="90">
        <v>11</v>
      </c>
      <c r="K16" s="90">
        <v>11</v>
      </c>
      <c r="L16" s="90">
        <v>11</v>
      </c>
      <c r="M16" s="90">
        <v>11</v>
      </c>
      <c r="N16" s="90">
        <v>11</v>
      </c>
      <c r="O16" s="90">
        <v>11</v>
      </c>
      <c r="P16" s="91">
        <f>SUM(tblExpenses[[#This Row],[Kolom1]:[Dec]])</f>
        <v>132</v>
      </c>
      <c r="Q16" s="92">
        <v>0.01</v>
      </c>
      <c r="R16" s="93">
        <f>tblExpenses[[#This Row],[Kolom1]]/tblExpenses[[#Totals],[Kolom1]]</f>
        <v>7.7247191011235953E-3</v>
      </c>
      <c r="S16" s="93">
        <f>tblExpenses[[#This Row],[Feb]]/tblExpenses[[#Totals],[Feb]]</f>
        <v>7.806955287437899E-3</v>
      </c>
      <c r="T16" s="93">
        <f>tblExpenses[[#This Row],[Mrt]]/tblExpenses[[#Totals],[Mrt]]</f>
        <v>7.7519379844961239E-3</v>
      </c>
      <c r="U16" s="93">
        <f>tblExpenses[[#This Row],[Apr]]/tblExpenses[[#Totals],[Apr]]</f>
        <v>7.6976906927921623E-3</v>
      </c>
      <c r="V16" s="93">
        <f>tblExpenses[[#This Row],[Mei]]/tblExpenses[[#Totals],[Mei]]</f>
        <v>7.8125E-3</v>
      </c>
      <c r="W16" s="93">
        <f>tblExpenses[[#This Row],[Jun]]/tblExpenses[[#Totals],[Jun]]</f>
        <v>8.1180811808118074E-3</v>
      </c>
      <c r="X16" s="93">
        <f>tblExpenses[[#This Row],[Jul]]/tblExpenses[[#Totals],[Jul]]</f>
        <v>8.1120943952802359E-3</v>
      </c>
      <c r="Y16" s="93">
        <f>tblExpenses[[#This Row],[Aug]]/tblExpenses[[#Totals],[Aug]]</f>
        <v>8.2768999247554553E-3</v>
      </c>
      <c r="Z16" s="93">
        <f>tblExpenses[[#This Row],[Sep]]/tblExpenses[[#Totals],[Sep]]</f>
        <v>7.7574047954866009E-3</v>
      </c>
      <c r="AA16" s="93">
        <f>tblExpenses[[#This Row],[Okt]]/tblExpenses[[#Totals],[Okt]]</f>
        <v>8.1481481481481474E-3</v>
      </c>
      <c r="AB16" s="93">
        <f>tblExpenses[[#This Row],[Nov]]/tblExpenses[[#Totals],[Nov]]</f>
        <v>7.6177285318559558E-3</v>
      </c>
      <c r="AC16" s="93">
        <f>tblExpenses[[#This Row],[Dec]]/tblExpenses[[#Totals],[Dec]]</f>
        <v>7.818052594171997E-3</v>
      </c>
      <c r="AD16" s="93">
        <f>tblExpenses[[#This Row],[Jaarlijks]]/tblExpenses[[#Totals],[Jaarlijks]]</f>
        <v>7.8815380941007884E-3</v>
      </c>
    </row>
    <row r="17" spans="1:30" ht="35" customHeight="1" x14ac:dyDescent="0.2">
      <c r="B17" s="94" t="s">
        <v>168</v>
      </c>
      <c r="C17" s="89" t="s">
        <v>156</v>
      </c>
      <c r="D17" s="90">
        <v>19</v>
      </c>
      <c r="E17" s="90">
        <v>19</v>
      </c>
      <c r="F17" s="90">
        <v>19</v>
      </c>
      <c r="G17" s="90">
        <v>19</v>
      </c>
      <c r="H17" s="90">
        <v>19</v>
      </c>
      <c r="I17" s="90">
        <v>19</v>
      </c>
      <c r="J17" s="90">
        <v>19</v>
      </c>
      <c r="K17" s="90">
        <v>19</v>
      </c>
      <c r="L17" s="90">
        <v>19</v>
      </c>
      <c r="M17" s="90">
        <v>19</v>
      </c>
      <c r="N17" s="90">
        <v>19</v>
      </c>
      <c r="O17" s="90">
        <v>19</v>
      </c>
      <c r="P17" s="91">
        <f>SUM(tblExpenses[[#This Row],[Kolom1]:[Dec]])</f>
        <v>228</v>
      </c>
      <c r="Q17" s="92">
        <v>0.14000000000000001</v>
      </c>
      <c r="R17" s="93">
        <f>tblExpenses[[#This Row],[Kolom1]]/tblExpenses[[#Totals],[Kolom1]]</f>
        <v>1.3342696629213483E-2</v>
      </c>
      <c r="S17" s="93">
        <f>tblExpenses[[#This Row],[Feb]]/tblExpenses[[#Totals],[Feb]]</f>
        <v>1.3484740951029099E-2</v>
      </c>
      <c r="T17" s="93">
        <f>tblExpenses[[#This Row],[Mrt]]/tblExpenses[[#Totals],[Mrt]]</f>
        <v>1.3389711064129669E-2</v>
      </c>
      <c r="U17" s="93">
        <f>tblExpenses[[#This Row],[Apr]]/tblExpenses[[#Totals],[Apr]]</f>
        <v>1.3296011196641007E-2</v>
      </c>
      <c r="V17" s="93">
        <f>tblExpenses[[#This Row],[Mei]]/tblExpenses[[#Totals],[Mei]]</f>
        <v>1.3494318181818182E-2</v>
      </c>
      <c r="W17" s="93">
        <f>tblExpenses[[#This Row],[Jun]]/tblExpenses[[#Totals],[Jun]]</f>
        <v>1.4022140221402213E-2</v>
      </c>
      <c r="X17" s="93">
        <f>tblExpenses[[#This Row],[Jul]]/tblExpenses[[#Totals],[Jul]]</f>
        <v>1.4011799410029498E-2</v>
      </c>
      <c r="Y17" s="93">
        <f>tblExpenses[[#This Row],[Aug]]/tblExpenses[[#Totals],[Aug]]</f>
        <v>1.4296463506395787E-2</v>
      </c>
      <c r="Z17" s="93">
        <f>tblExpenses[[#This Row],[Sep]]/tblExpenses[[#Totals],[Sep]]</f>
        <v>1.3399153737658674E-2</v>
      </c>
      <c r="AA17" s="93">
        <f>tblExpenses[[#This Row],[Okt]]/tblExpenses[[#Totals],[Okt]]</f>
        <v>1.4074074074074074E-2</v>
      </c>
      <c r="AB17" s="93">
        <f>tblExpenses[[#This Row],[Nov]]/tblExpenses[[#Totals],[Nov]]</f>
        <v>1.3157894736842105E-2</v>
      </c>
      <c r="AC17" s="93">
        <f>tblExpenses[[#This Row],[Dec]]/tblExpenses[[#Totals],[Dec]]</f>
        <v>1.3503909026297086E-2</v>
      </c>
      <c r="AD17" s="93">
        <f>tblExpenses[[#This Row],[Jaarlijks]]/tblExpenses[[#Totals],[Jaarlijks]]</f>
        <v>1.3613565798901361E-2</v>
      </c>
    </row>
    <row r="18" spans="1:30" ht="35" customHeight="1" x14ac:dyDescent="0.2">
      <c r="B18" s="67" t="s">
        <v>169</v>
      </c>
      <c r="C18" s="89" t="s">
        <v>156</v>
      </c>
      <c r="D18" s="90">
        <v>20</v>
      </c>
      <c r="E18" s="90">
        <v>20</v>
      </c>
      <c r="F18" s="90">
        <v>20</v>
      </c>
      <c r="G18" s="90">
        <v>20</v>
      </c>
      <c r="H18" s="90">
        <v>20</v>
      </c>
      <c r="I18" s="90">
        <v>20</v>
      </c>
      <c r="J18" s="90">
        <v>20</v>
      </c>
      <c r="K18" s="90">
        <v>20</v>
      </c>
      <c r="L18" s="90">
        <v>20</v>
      </c>
      <c r="M18" s="90">
        <v>20</v>
      </c>
      <c r="N18" s="90">
        <v>20</v>
      </c>
      <c r="O18" s="90">
        <v>20</v>
      </c>
      <c r="P18" s="91">
        <f>SUM(tblExpenses[[#This Row],[Kolom1]:[Dec]])</f>
        <v>240</v>
      </c>
      <c r="Q18" s="92">
        <v>0.06</v>
      </c>
      <c r="R18" s="93">
        <f>tblExpenses[[#This Row],[Kolom1]]/tblExpenses[[#Totals],[Kolom1]]</f>
        <v>1.4044943820224719E-2</v>
      </c>
      <c r="S18" s="93">
        <f>tblExpenses[[#This Row],[Feb]]/tblExpenses[[#Totals],[Feb]]</f>
        <v>1.4194464158977998E-2</v>
      </c>
      <c r="T18" s="93">
        <f>tblExpenses[[#This Row],[Mrt]]/tblExpenses[[#Totals],[Mrt]]</f>
        <v>1.4094432699083862E-2</v>
      </c>
      <c r="U18" s="93">
        <f>tblExpenses[[#This Row],[Apr]]/tblExpenses[[#Totals],[Apr]]</f>
        <v>1.3995801259622114E-2</v>
      </c>
      <c r="V18" s="93">
        <f>tblExpenses[[#This Row],[Mei]]/tblExpenses[[#Totals],[Mei]]</f>
        <v>1.4204545454545454E-2</v>
      </c>
      <c r="W18" s="93">
        <f>tblExpenses[[#This Row],[Jun]]/tblExpenses[[#Totals],[Jun]]</f>
        <v>1.4760147601476014E-2</v>
      </c>
      <c r="X18" s="93">
        <f>tblExpenses[[#This Row],[Jul]]/tblExpenses[[#Totals],[Jul]]</f>
        <v>1.4749262536873156E-2</v>
      </c>
      <c r="Y18" s="93">
        <f>tblExpenses[[#This Row],[Aug]]/tblExpenses[[#Totals],[Aug]]</f>
        <v>1.5048908954100828E-2</v>
      </c>
      <c r="Z18" s="93">
        <f>tblExpenses[[#This Row],[Sep]]/tblExpenses[[#Totals],[Sep]]</f>
        <v>1.4104372355430184E-2</v>
      </c>
      <c r="AA18" s="93">
        <f>tblExpenses[[#This Row],[Okt]]/tblExpenses[[#Totals],[Okt]]</f>
        <v>1.4814814814814815E-2</v>
      </c>
      <c r="AB18" s="93">
        <f>tblExpenses[[#This Row],[Nov]]/tblExpenses[[#Totals],[Nov]]</f>
        <v>1.3850415512465374E-2</v>
      </c>
      <c r="AC18" s="93">
        <f>tblExpenses[[#This Row],[Dec]]/tblExpenses[[#Totals],[Dec]]</f>
        <v>1.4214641080312722E-2</v>
      </c>
      <c r="AD18" s="93">
        <f>tblExpenses[[#This Row],[Jaarlijks]]/tblExpenses[[#Totals],[Jaarlijks]]</f>
        <v>1.4330069262001434E-2</v>
      </c>
    </row>
    <row r="19" spans="1:30" ht="35" customHeight="1" x14ac:dyDescent="0.2">
      <c r="B19" s="67" t="s">
        <v>170</v>
      </c>
      <c r="C19" s="89" t="s">
        <v>156</v>
      </c>
      <c r="D19" s="90">
        <v>357</v>
      </c>
      <c r="E19" s="90">
        <v>357</v>
      </c>
      <c r="F19" s="90">
        <v>357</v>
      </c>
      <c r="G19" s="90">
        <v>357</v>
      </c>
      <c r="H19" s="90">
        <v>357</v>
      </c>
      <c r="I19" s="90">
        <v>357</v>
      </c>
      <c r="J19" s="90">
        <v>357</v>
      </c>
      <c r="K19" s="90">
        <v>357</v>
      </c>
      <c r="L19" s="90">
        <v>357</v>
      </c>
      <c r="M19" s="90">
        <v>357</v>
      </c>
      <c r="N19" s="90">
        <v>357</v>
      </c>
      <c r="O19" s="90">
        <v>357</v>
      </c>
      <c r="P19" s="91">
        <f>SUM(tblExpenses[[#This Row],[Kolom1]:[Dec]])</f>
        <v>4284</v>
      </c>
      <c r="Q19" s="92">
        <v>0.01</v>
      </c>
      <c r="R19" s="93">
        <f>tblExpenses[[#This Row],[Kolom1]]/tblExpenses[[#Totals],[Kolom1]]</f>
        <v>0.25070224719101125</v>
      </c>
      <c r="S19" s="93">
        <f>tblExpenses[[#This Row],[Feb]]/tblExpenses[[#Totals],[Feb]]</f>
        <v>0.25337118523775726</v>
      </c>
      <c r="T19" s="93">
        <f>tblExpenses[[#This Row],[Mrt]]/tblExpenses[[#Totals],[Mrt]]</f>
        <v>0.25158562367864695</v>
      </c>
      <c r="U19" s="93">
        <f>tblExpenses[[#This Row],[Apr]]/tblExpenses[[#Totals],[Apr]]</f>
        <v>0.24982505248425471</v>
      </c>
      <c r="V19" s="93">
        <f>tblExpenses[[#This Row],[Mei]]/tblExpenses[[#Totals],[Mei]]</f>
        <v>0.25355113636363635</v>
      </c>
      <c r="W19" s="93">
        <f>tblExpenses[[#This Row],[Jun]]/tblExpenses[[#Totals],[Jun]]</f>
        <v>0.26346863468634685</v>
      </c>
      <c r="X19" s="93">
        <f>tblExpenses[[#This Row],[Jul]]/tblExpenses[[#Totals],[Jul]]</f>
        <v>0.26327433628318586</v>
      </c>
      <c r="Y19" s="93">
        <f>tblExpenses[[#This Row],[Aug]]/tblExpenses[[#Totals],[Aug]]</f>
        <v>0.26862302483069977</v>
      </c>
      <c r="Z19" s="93">
        <f>tblExpenses[[#This Row],[Sep]]/tblExpenses[[#Totals],[Sep]]</f>
        <v>0.25176304654442877</v>
      </c>
      <c r="AA19" s="93">
        <f>tblExpenses[[#This Row],[Okt]]/tblExpenses[[#Totals],[Okt]]</f>
        <v>0.26444444444444443</v>
      </c>
      <c r="AB19" s="93">
        <f>tblExpenses[[#This Row],[Nov]]/tblExpenses[[#Totals],[Nov]]</f>
        <v>0.24722991689750692</v>
      </c>
      <c r="AC19" s="93">
        <f>tblExpenses[[#This Row],[Dec]]/tblExpenses[[#Totals],[Dec]]</f>
        <v>0.2537313432835821</v>
      </c>
      <c r="AD19" s="93">
        <f>tblExpenses[[#This Row],[Jaarlijks]]/tblExpenses[[#Totals],[Jaarlijks]]</f>
        <v>0.25579173632672558</v>
      </c>
    </row>
    <row r="20" spans="1:30" ht="35" customHeight="1" x14ac:dyDescent="0.2">
      <c r="B20" s="67" t="s">
        <v>171</v>
      </c>
      <c r="C20" s="89" t="s">
        <v>156</v>
      </c>
      <c r="D20" s="90">
        <v>650</v>
      </c>
      <c r="E20" s="90">
        <v>635</v>
      </c>
      <c r="F20" s="90">
        <v>620</v>
      </c>
      <c r="G20" s="90">
        <v>635</v>
      </c>
      <c r="H20" s="90">
        <v>618</v>
      </c>
      <c r="I20" s="90">
        <v>584</v>
      </c>
      <c r="J20" s="90">
        <v>594</v>
      </c>
      <c r="K20" s="90">
        <v>574</v>
      </c>
      <c r="L20" s="90">
        <v>657</v>
      </c>
      <c r="M20" s="90">
        <v>584</v>
      </c>
      <c r="N20" s="90">
        <v>688</v>
      </c>
      <c r="O20" s="90">
        <v>648</v>
      </c>
      <c r="P20" s="91">
        <f>SUM(tblExpenses[[#This Row],[Kolom1]:[Dec]])</f>
        <v>7487</v>
      </c>
      <c r="Q20" s="92">
        <v>0.01</v>
      </c>
      <c r="R20" s="93">
        <f>tblExpenses[[#This Row],[Kolom1]]/tblExpenses[[#Totals],[Kolom1]]</f>
        <v>0.45646067415730335</v>
      </c>
      <c r="S20" s="93">
        <f>tblExpenses[[#This Row],[Feb]]/tblExpenses[[#Totals],[Feb]]</f>
        <v>0.45067423704755144</v>
      </c>
      <c r="T20" s="93">
        <f>tblExpenses[[#This Row],[Mrt]]/tblExpenses[[#Totals],[Mrt]]</f>
        <v>0.43692741367159971</v>
      </c>
      <c r="U20" s="93">
        <f>tblExpenses[[#This Row],[Apr]]/tblExpenses[[#Totals],[Apr]]</f>
        <v>0.44436668999300211</v>
      </c>
      <c r="V20" s="93">
        <f>tblExpenses[[#This Row],[Mei]]/tblExpenses[[#Totals],[Mei]]</f>
        <v>0.43892045454545453</v>
      </c>
      <c r="W20" s="93">
        <f>tblExpenses[[#This Row],[Jun]]/tblExpenses[[#Totals],[Jun]]</f>
        <v>0.43099630996309962</v>
      </c>
      <c r="X20" s="93">
        <f>tblExpenses[[#This Row],[Jul]]/tblExpenses[[#Totals],[Jul]]</f>
        <v>0.43805309734513276</v>
      </c>
      <c r="Y20" s="93">
        <f>tblExpenses[[#This Row],[Aug]]/tblExpenses[[#Totals],[Aug]]</f>
        <v>0.43190368698269377</v>
      </c>
      <c r="Z20" s="93">
        <f>tblExpenses[[#This Row],[Sep]]/tblExpenses[[#Totals],[Sep]]</f>
        <v>0.46332863187588152</v>
      </c>
      <c r="AA20" s="93">
        <f>tblExpenses[[#This Row],[Okt]]/tblExpenses[[#Totals],[Okt]]</f>
        <v>0.43259259259259258</v>
      </c>
      <c r="AB20" s="93">
        <f>tblExpenses[[#This Row],[Nov]]/tblExpenses[[#Totals],[Nov]]</f>
        <v>0.47645429362880887</v>
      </c>
      <c r="AC20" s="93">
        <f>tblExpenses[[#This Row],[Dec]]/tblExpenses[[#Totals],[Dec]]</f>
        <v>0.4605543710021322</v>
      </c>
      <c r="AD20" s="93">
        <f>tblExpenses[[#This Row],[Jaarlijks]]/tblExpenses[[#Totals],[Jaarlijks]]</f>
        <v>0.44703845235251971</v>
      </c>
    </row>
    <row r="21" spans="1:30" ht="35" customHeight="1" x14ac:dyDescent="0.2">
      <c r="B21" s="94"/>
      <c r="C21" s="89" t="s">
        <v>156</v>
      </c>
      <c r="D21" s="90"/>
      <c r="E21" s="90"/>
      <c r="F21" s="90"/>
      <c r="G21" s="90"/>
      <c r="H21" s="90"/>
      <c r="I21" s="90"/>
      <c r="J21" s="90"/>
      <c r="K21" s="90"/>
      <c r="L21" s="90"/>
      <c r="M21" s="90"/>
      <c r="N21" s="90"/>
      <c r="O21" s="90"/>
      <c r="P21" s="91">
        <f>SUM(tblExpenses[[#This Row],[Kolom1]:[Dec]])</f>
        <v>0</v>
      </c>
      <c r="Q21" s="92">
        <v>0.01</v>
      </c>
      <c r="R21" s="93">
        <f>tblExpenses[[#This Row],[Kolom1]]/tblExpenses[[#Totals],[Kolom1]]</f>
        <v>0</v>
      </c>
      <c r="S21" s="93">
        <f>tblExpenses[[#This Row],[Feb]]/tblExpenses[[#Totals],[Feb]]</f>
        <v>0</v>
      </c>
      <c r="T21" s="93">
        <f>tblExpenses[[#This Row],[Mrt]]/tblExpenses[[#Totals],[Mrt]]</f>
        <v>0</v>
      </c>
      <c r="U21" s="93">
        <f>tblExpenses[[#This Row],[Apr]]/tblExpenses[[#Totals],[Apr]]</f>
        <v>0</v>
      </c>
      <c r="V21" s="93">
        <f>tblExpenses[[#This Row],[Mei]]/tblExpenses[[#Totals],[Mei]]</f>
        <v>0</v>
      </c>
      <c r="W21" s="93">
        <f>tblExpenses[[#This Row],[Jun]]/tblExpenses[[#Totals],[Jun]]</f>
        <v>0</v>
      </c>
      <c r="X21" s="93">
        <f>tblExpenses[[#This Row],[Jul]]/tblExpenses[[#Totals],[Jul]]</f>
        <v>0</v>
      </c>
      <c r="Y21" s="93">
        <f>tblExpenses[[#This Row],[Aug]]/tblExpenses[[#Totals],[Aug]]</f>
        <v>0</v>
      </c>
      <c r="Z21" s="93">
        <f>tblExpenses[[#This Row],[Sep]]/tblExpenses[[#Totals],[Sep]]</f>
        <v>0</v>
      </c>
      <c r="AA21" s="93">
        <f>tblExpenses[[#This Row],[Okt]]/tblExpenses[[#Totals],[Okt]]</f>
        <v>0</v>
      </c>
      <c r="AB21" s="93">
        <f>tblExpenses[[#This Row],[Nov]]/tblExpenses[[#Totals],[Nov]]</f>
        <v>0</v>
      </c>
      <c r="AC21" s="93">
        <f>tblExpenses[[#This Row],[Dec]]/tblExpenses[[#Totals],[Dec]]</f>
        <v>0</v>
      </c>
      <c r="AD21" s="93">
        <f>tblExpenses[[#This Row],[Jaarlijks]]/tblExpenses[[#Totals],[Jaarlijks]]</f>
        <v>0</v>
      </c>
    </row>
    <row r="22" spans="1:30" ht="35" customHeight="1" x14ac:dyDescent="0.2">
      <c r="A22" s="95"/>
      <c r="B22" s="94"/>
      <c r="C22" s="89" t="s">
        <v>156</v>
      </c>
      <c r="D22" s="90"/>
      <c r="E22" s="90"/>
      <c r="F22" s="90"/>
      <c r="G22" s="90"/>
      <c r="H22" s="90"/>
      <c r="I22" s="90"/>
      <c r="J22" s="90"/>
      <c r="K22" s="90"/>
      <c r="L22" s="90"/>
      <c r="M22" s="90"/>
      <c r="N22" s="90"/>
      <c r="O22" s="90"/>
      <c r="P22" s="91">
        <f>SUM(tblExpenses[[#This Row],[Kolom1]:[Dec]])</f>
        <v>0</v>
      </c>
      <c r="Q22" s="92">
        <v>0.01</v>
      </c>
      <c r="R22" s="93">
        <f>tblExpenses[[#This Row],[Kolom1]]/tblExpenses[[#Totals],[Kolom1]]</f>
        <v>0</v>
      </c>
      <c r="S22" s="93">
        <f>tblExpenses[[#This Row],[Feb]]/tblExpenses[[#Totals],[Feb]]</f>
        <v>0</v>
      </c>
      <c r="T22" s="93">
        <f>tblExpenses[[#This Row],[Mrt]]/tblExpenses[[#Totals],[Mrt]]</f>
        <v>0</v>
      </c>
      <c r="U22" s="93">
        <f>tblExpenses[[#This Row],[Apr]]/tblExpenses[[#Totals],[Apr]]</f>
        <v>0</v>
      </c>
      <c r="V22" s="93">
        <f>tblExpenses[[#This Row],[Mei]]/tblExpenses[[#Totals],[Mei]]</f>
        <v>0</v>
      </c>
      <c r="W22" s="93">
        <f>tblExpenses[[#This Row],[Jun]]/tblExpenses[[#Totals],[Jun]]</f>
        <v>0</v>
      </c>
      <c r="X22" s="93">
        <f>tblExpenses[[#This Row],[Jul]]/tblExpenses[[#Totals],[Jul]]</f>
        <v>0</v>
      </c>
      <c r="Y22" s="93">
        <f>tblExpenses[[#This Row],[Aug]]/tblExpenses[[#Totals],[Aug]]</f>
        <v>0</v>
      </c>
      <c r="Z22" s="93">
        <f>tblExpenses[[#This Row],[Sep]]/tblExpenses[[#Totals],[Sep]]</f>
        <v>0</v>
      </c>
      <c r="AA22" s="93">
        <f>tblExpenses[[#This Row],[Okt]]/tblExpenses[[#Totals],[Okt]]</f>
        <v>0</v>
      </c>
      <c r="AB22" s="93">
        <f>tblExpenses[[#This Row],[Nov]]/tblExpenses[[#Totals],[Nov]]</f>
        <v>0</v>
      </c>
      <c r="AC22" s="93">
        <f>tblExpenses[[#This Row],[Dec]]/tblExpenses[[#Totals],[Dec]]</f>
        <v>0</v>
      </c>
      <c r="AD22" s="93">
        <f>tblExpenses[[#This Row],[Jaarlijks]]/tblExpenses[[#Totals],[Jaarlijks]]</f>
        <v>0</v>
      </c>
    </row>
    <row r="23" spans="1:30" ht="35" customHeight="1" x14ac:dyDescent="0.2">
      <c r="A23" s="85"/>
      <c r="B23" s="94"/>
      <c r="C23" s="89" t="s">
        <v>156</v>
      </c>
      <c r="D23" s="90"/>
      <c r="E23" s="90"/>
      <c r="F23" s="90"/>
      <c r="G23" s="90"/>
      <c r="H23" s="90"/>
      <c r="I23" s="90"/>
      <c r="J23" s="90"/>
      <c r="K23" s="90"/>
      <c r="L23" s="90"/>
      <c r="M23" s="90"/>
      <c r="N23" s="90"/>
      <c r="O23" s="90"/>
      <c r="P23" s="91">
        <f>SUM(tblExpenses[[#This Row],[Kolom1]:[Dec]])</f>
        <v>0</v>
      </c>
      <c r="Q23" s="92">
        <v>0.02</v>
      </c>
      <c r="R23" s="93">
        <f>tblExpenses[[#This Row],[Kolom1]]/tblExpenses[[#Totals],[Kolom1]]</f>
        <v>0</v>
      </c>
      <c r="S23" s="93">
        <f>tblExpenses[[#This Row],[Feb]]/tblExpenses[[#Totals],[Feb]]</f>
        <v>0</v>
      </c>
      <c r="T23" s="93">
        <f>tblExpenses[[#This Row],[Mrt]]/tblExpenses[[#Totals],[Mrt]]</f>
        <v>0</v>
      </c>
      <c r="U23" s="93">
        <f>tblExpenses[[#This Row],[Apr]]/tblExpenses[[#Totals],[Apr]]</f>
        <v>0</v>
      </c>
      <c r="V23" s="93">
        <f>tblExpenses[[#This Row],[Mei]]/tblExpenses[[#Totals],[Mei]]</f>
        <v>0</v>
      </c>
      <c r="W23" s="93">
        <f>tblExpenses[[#This Row],[Jun]]/tblExpenses[[#Totals],[Jun]]</f>
        <v>0</v>
      </c>
      <c r="X23" s="93">
        <f>tblExpenses[[#This Row],[Jul]]/tblExpenses[[#Totals],[Jul]]</f>
        <v>0</v>
      </c>
      <c r="Y23" s="93">
        <f>tblExpenses[[#This Row],[Aug]]/tblExpenses[[#Totals],[Aug]]</f>
        <v>0</v>
      </c>
      <c r="Z23" s="93">
        <f>tblExpenses[[#This Row],[Sep]]/tblExpenses[[#Totals],[Sep]]</f>
        <v>0</v>
      </c>
      <c r="AA23" s="93">
        <f>tblExpenses[[#This Row],[Okt]]/tblExpenses[[#Totals],[Okt]]</f>
        <v>0</v>
      </c>
      <c r="AB23" s="93">
        <f>tblExpenses[[#This Row],[Nov]]/tblExpenses[[#Totals],[Nov]]</f>
        <v>0</v>
      </c>
      <c r="AC23" s="93">
        <f>tblExpenses[[#This Row],[Dec]]/tblExpenses[[#Totals],[Dec]]</f>
        <v>0</v>
      </c>
      <c r="AD23" s="93">
        <f>tblExpenses[[#This Row],[Jaarlijks]]/tblExpenses[[#Totals],[Jaarlijks]]</f>
        <v>0</v>
      </c>
    </row>
    <row r="24" spans="1:30" s="52" customFormat="1" ht="35" customHeight="1" x14ac:dyDescent="0.2">
      <c r="B24" s="73" t="s">
        <v>172</v>
      </c>
      <c r="C24" s="96"/>
      <c r="D24" s="75">
        <f>SUBTOTAL(109,tblExpenses[Kolom1])</f>
        <v>1424</v>
      </c>
      <c r="E24" s="75">
        <f>SUBTOTAL(109,tblExpenses[Feb])</f>
        <v>1409</v>
      </c>
      <c r="F24" s="75">
        <f>SUBTOTAL(109,tblExpenses[Mrt])</f>
        <v>1419</v>
      </c>
      <c r="G24" s="75">
        <f>SUBTOTAL(109,tblExpenses[Apr])</f>
        <v>1429</v>
      </c>
      <c r="H24" s="75">
        <f>SUBTOTAL(109,tblExpenses[Mei])</f>
        <v>1408</v>
      </c>
      <c r="I24" s="75">
        <f>SUBTOTAL(109,tblExpenses[Jun])</f>
        <v>1355</v>
      </c>
      <c r="J24" s="75">
        <f>SUBTOTAL(109,tblExpenses[Jul])</f>
        <v>1356</v>
      </c>
      <c r="K24" s="75">
        <f>SUBTOTAL(109,tblExpenses[Aug])</f>
        <v>1329</v>
      </c>
      <c r="L24" s="75">
        <f>SUBTOTAL(109,tblExpenses[Sep])</f>
        <v>1418</v>
      </c>
      <c r="M24" s="75">
        <f>SUBTOTAL(109,tblExpenses[Okt])</f>
        <v>1350</v>
      </c>
      <c r="N24" s="75">
        <f>SUBTOTAL(109,tblExpenses[Nov])</f>
        <v>1444</v>
      </c>
      <c r="O24" s="75">
        <f>SUBTOTAL(109,tblExpenses[Dec])</f>
        <v>1407</v>
      </c>
      <c r="P24" s="75">
        <f>SUBTOTAL(109,tblExpenses[Jaarlijks])</f>
        <v>16748</v>
      </c>
      <c r="Q24" s="76">
        <f>SUBTOTAL(109,tblExpenses[Index %])</f>
        <v>1</v>
      </c>
      <c r="R24" s="76">
        <f>SUBTOTAL(109,tblExpenses[Jan %])</f>
        <v>1</v>
      </c>
      <c r="S24" s="76">
        <f>SUBTOTAL(109,tblExpenses[Feb %])</f>
        <v>1</v>
      </c>
      <c r="T24" s="76">
        <f>SUBTOTAL(109,tblExpenses[Mrt %])</f>
        <v>1</v>
      </c>
      <c r="U24" s="76">
        <f>SUBTOTAL(109,tblExpenses[Apr %])</f>
        <v>1</v>
      </c>
      <c r="V24" s="76">
        <f>SUBTOTAL(109,tblExpenses[Mei %])</f>
        <v>1</v>
      </c>
      <c r="W24" s="76">
        <f>SUBTOTAL(109,tblExpenses[Jun %])</f>
        <v>1</v>
      </c>
      <c r="X24" s="76">
        <f>SUBTOTAL(109,tblExpenses[Jul %])</f>
        <v>0.99999999999999989</v>
      </c>
      <c r="Y24" s="76">
        <f>SUBTOTAL(109,tblExpenses[Aug %])</f>
        <v>1</v>
      </c>
      <c r="Z24" s="76">
        <f>SUBTOTAL(109,tblExpenses[Sep %])</f>
        <v>1</v>
      </c>
      <c r="AA24" s="76">
        <f>SUBTOTAL(109,tblExpenses[Okt %])</f>
        <v>1</v>
      </c>
      <c r="AB24" s="76">
        <f>SUBTOTAL(109,tblExpenses[Nov %])</f>
        <v>1</v>
      </c>
      <c r="AC24" s="76">
        <f>SUBTOTAL(109,tblExpenses[Dec %])</f>
        <v>1</v>
      </c>
      <c r="AD24" s="76">
        <f>SUBTOTAL(109,tblExpenses[Jaar %])</f>
        <v>1</v>
      </c>
    </row>
    <row r="25" spans="1:30" ht="35" customHeight="1" x14ac:dyDescent="0.2">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row>
    <row r="26" spans="1:30" ht="35" customHeight="1" x14ac:dyDescent="0.2">
      <c r="B26" s="97" t="s">
        <v>173</v>
      </c>
      <c r="C26" s="98"/>
      <c r="D26" s="99">
        <f>[1]Verkoopkosten!$D$14-tblExpenses[[#Totals],[Kolom1]]</f>
        <v>-105</v>
      </c>
      <c r="E26" s="99">
        <f>[1]Verkoopkosten!E14-tblExpenses[[#Totals],[Feb]]</f>
        <v>-51</v>
      </c>
      <c r="F26" s="99">
        <f>[1]Verkoopkosten!F14-tblExpenses[[#Totals],[Mrt]]</f>
        <v>-87</v>
      </c>
      <c r="G26" s="99">
        <f>[1]Verkoopkosten!G14-tblExpenses[[#Totals],[Apr]]</f>
        <v>105</v>
      </c>
      <c r="H26" s="99">
        <f>[1]Verkoopkosten!H14-tblExpenses[[#Totals],[Mei]]</f>
        <v>146</v>
      </c>
      <c r="I26" s="99">
        <f>[1]Verkoopkosten!I14-tblExpenses[[#Totals],[Jun]]</f>
        <v>313</v>
      </c>
      <c r="J26" s="99">
        <f>[1]Verkoopkosten!J14-tblExpenses[[#Totals],[Jul]]</f>
        <v>368</v>
      </c>
      <c r="K26" s="99">
        <f>[1]Verkoopkosten!K14-tblExpenses[[#Totals],[Aug]]</f>
        <v>-14</v>
      </c>
      <c r="L26" s="99">
        <f>[1]Verkoopkosten!L14-tblExpenses[[#Totals],[Sep]]</f>
        <v>-169</v>
      </c>
      <c r="M26" s="99">
        <f>[1]Verkoopkosten!M14-tblExpenses[[#Totals],[Okt]]</f>
        <v>96</v>
      </c>
      <c r="N26" s="99">
        <f>[1]Verkoopkosten!N14-tblExpenses[[#Totals],[Nov]]</f>
        <v>215</v>
      </c>
      <c r="O26" s="99">
        <f>[1]Verkoopkosten!O14-tblExpenses[[#Totals],[Dec]]</f>
        <v>2</v>
      </c>
      <c r="P26" s="99">
        <f>SUM(D26:O26)</f>
        <v>819</v>
      </c>
      <c r="Q26" s="98"/>
      <c r="R26" s="100">
        <f>D26/$P$26</f>
        <v>-0.12820512820512819</v>
      </c>
      <c r="S26" s="100">
        <f t="shared" ref="S26:AD26" si="1">E26/$P$26</f>
        <v>-6.2271062271062272E-2</v>
      </c>
      <c r="T26" s="100">
        <f t="shared" si="1"/>
        <v>-0.10622710622710622</v>
      </c>
      <c r="U26" s="100">
        <f t="shared" si="1"/>
        <v>0.12820512820512819</v>
      </c>
      <c r="V26" s="100">
        <f t="shared" si="1"/>
        <v>0.17826617826617827</v>
      </c>
      <c r="W26" s="100">
        <f t="shared" si="1"/>
        <v>0.38217338217338215</v>
      </c>
      <c r="X26" s="100">
        <f t="shared" si="1"/>
        <v>0.44932844932844934</v>
      </c>
      <c r="Y26" s="100">
        <f t="shared" si="1"/>
        <v>-1.7094017094017096E-2</v>
      </c>
      <c r="Z26" s="100">
        <f t="shared" si="1"/>
        <v>-0.20634920634920634</v>
      </c>
      <c r="AA26" s="100">
        <f t="shared" si="1"/>
        <v>0.11721611721611722</v>
      </c>
      <c r="AB26" s="100">
        <f t="shared" si="1"/>
        <v>0.26251526251526253</v>
      </c>
      <c r="AC26" s="100">
        <f t="shared" si="1"/>
        <v>2.442002442002442E-3</v>
      </c>
      <c r="AD26" s="100">
        <f t="shared" si="1"/>
        <v>1</v>
      </c>
    </row>
  </sheetData>
  <phoneticPr fontId="2" type="noConversion"/>
  <dataValidations count="18">
    <dataValidation allowBlank="1" showInputMessage="1" showErrorMessage="1" prompt="Dit werkblad berekent totale onkosten voor elke maand en het jaar en de totale jaarlijkse onkosten voor elke post. Nettowinst wordt automatisch berekend op basis van brutowinst en totale onkosten " sqref="A1:A1048576"/>
    <dataValidation allowBlank="1" showInputMessage="1" showErrorMessage="1" prompt="Jaar automatisch bijgewerkt. Voor een wijziging past u cel AD2 in het werkblad Inkomsten (Verkoop) aan" sqref="AD2"/>
    <dataValidation allowBlank="1" showInputMessage="1" showErrorMessage="1" prompt="Maand automatisch bijgewerkt. Voor een wijziging past u cel AC2 in het werkblad Inkomsten (Verkoop) aan" sqref="AC2"/>
    <dataValidation allowBlank="1" showInputMessage="1" showErrorMessage="1" prompt="Maand en jaar worden automatisch bijgewerkt in de cellen rechts. Als u maand of jaar wilt wijzigen, wijzigt u cel AC2 en AD2 in het werkblad Inkomsten (Verkoop)" sqref="AB2"/>
    <dataValidation allowBlank="1" showInputMessage="1" showErrorMessage="1" prompt="Deze cel wordt automatisch bijgewerkt op basis van de titel van de prognoseperiode in het werkblad Inkomsten (Verkoop)" sqref="B1"/>
    <dataValidation allowBlank="1" showInputMessage="1" showErrorMessage="1" prompt="Het indexpercentage staat in deze kolom" sqref="Q3"/>
    <dataValidation allowBlank="1" showInputMessage="1" showErrorMessage="1" prompt="In deze kolom worden automatisch de jaarlijkse onkosten berekend" sqref="P3"/>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Maand automatisch bijgewerkt" sqref="E3:O3"/>
    <dataValidation allowBlank="1" showInputMessage="1" showErrorMessage="1" prompt="Verhouding van onkosten uit verschillende bronnen tot totale onkosten in deze kolom wordt automatisch berekend voor de maand in deze cel" sqref="R3:AC3"/>
    <dataValidation allowBlank="1" showInputMessage="1" showErrorMessage="1" prompt="Verhouding van onkosten uit verschillende bronnen tot totale onkosten in deze kolom wordt automatisch berekend voor het jaar" sqref="AD3"/>
    <dataValidation allowBlank="1" showInputMessage="1" showErrorMessage="1" prompt="Voer in deze kolom onkosten in" sqref="B4"/>
    <dataValidation allowBlank="1" showInputMessage="1" showErrorMessage="1" prompt="Een trendgrafiek voor onkosten in de loop van de tijd staat in deze kolom" sqref="C4"/>
    <dataValidation allowBlank="1" showInputMessage="1" showErrorMessage="1" prompt="Voer in deze kolom onkosten van bronnen in die worden vermeld in kolom B" sqref="D4:O4"/>
    <dataValidation allowBlank="1" showInputMessage="1" showErrorMessage="1" prompt="Nettowinst wordt voor elke maand en het jaar automatisch berekend op basis van brutowinst en totale onkosten" sqref="B26"/>
    <dataValidation allowBlank="1" showInputMessage="1" showErrorMessage="1" prompt="Voer in deze kolom het indexpercentage in" sqref="Q4"/>
    <dataValidation allowBlank="1" showInputMessage="1" showErrorMessage="1" prompt="Titel wordt automatisch bijgewerkt op basis van werkblad Inkomsten (Verkoop). Voer waarden in de onderstaande tabel Onkosten in om de totale onkosten te berekenen" sqref="B2"/>
    <dataValidation allowBlank="1" showInputMessage="1" showErrorMessage="1" prompt="Bedrijfsnaam wordt automatisch bijgewerkt met behulp van de vermelding uit het werkblad Inkomsten (Verkoop)" sqref="AD1"/>
  </dataValidations>
  <printOptions horizontalCentered="1"/>
  <pageMargins left="0.25" right="0.25" top="0.75" bottom="0.75" header="0.3" footer="0.3"/>
  <pageSetup paperSize="9" scale="48"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Expenses!D24:O24</xm:f>
              <xm:sqref>C24</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Expenses!D5:O5</xm:f>
              <xm:sqref>C5</xm:sqref>
            </x14:sparkline>
            <x14:sparkline>
              <xm:f>Expenses!D6:O6</xm:f>
              <xm:sqref>C6</xm:sqref>
            </x14:sparkline>
            <x14:sparkline>
              <xm:f>Expenses!D7:O7</xm:f>
              <xm:sqref>C7</xm:sqref>
            </x14:sparkline>
            <x14:sparkline>
              <xm:f>Expenses!D8:O8</xm:f>
              <xm:sqref>C8</xm:sqref>
            </x14:sparkline>
            <x14:sparkline>
              <xm:f>Expenses!D9:O9</xm:f>
              <xm:sqref>C9</xm:sqref>
            </x14:sparkline>
            <x14:sparkline>
              <xm:f>Expenses!D10:O10</xm:f>
              <xm:sqref>C10</xm:sqref>
            </x14:sparkline>
            <x14:sparkline>
              <xm:f>Expenses!D11:O11</xm:f>
              <xm:sqref>C11</xm:sqref>
            </x14:sparkline>
            <x14:sparkline>
              <xm:f>Expenses!D12:O12</xm:f>
              <xm:sqref>C12</xm:sqref>
            </x14:sparkline>
            <x14:sparkline>
              <xm:f>Expenses!D13:O13</xm:f>
              <xm:sqref>C13</xm:sqref>
            </x14:sparkline>
            <x14:sparkline>
              <xm:f>Expenses!D14:O14</xm:f>
              <xm:sqref>C14</xm:sqref>
            </x14:sparkline>
            <x14:sparkline>
              <xm:f>Expenses!D15:O15</xm:f>
              <xm:sqref>C15</xm:sqref>
            </x14:sparkline>
            <x14:sparkline>
              <xm:f>Expenses!D16:O16</xm:f>
              <xm:sqref>C16</xm:sqref>
            </x14:sparkline>
            <x14:sparkline>
              <xm:f>Expenses!D17:O17</xm:f>
              <xm:sqref>C17</xm:sqref>
            </x14:sparkline>
            <x14:sparkline>
              <xm:f>Expenses!D18:O18</xm:f>
              <xm:sqref>C18</xm:sqref>
            </x14:sparkline>
            <x14:sparkline>
              <xm:f>Expenses!D19:O19</xm:f>
              <xm:sqref>C19</xm:sqref>
            </x14:sparkline>
            <x14:sparkline>
              <xm:f>Expenses!D20:O20</xm:f>
              <xm:sqref>C20</xm:sqref>
            </x14:sparkline>
            <x14:sparkline>
              <xm:f>Expenses!D21:O21</xm:f>
              <xm:sqref>C21</xm:sqref>
            </x14:sparkline>
            <x14:sparkline>
              <xm:f>Expenses!D22:O22</xm:f>
              <xm:sqref>C22</xm:sqref>
            </x14:sparkline>
            <x14:sparkline>
              <xm:f>Expenses!D23:O23</xm:f>
              <xm:sqref>C23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9-11</vt:lpstr>
      <vt:lpstr>Depreciation&amp;Cost</vt:lpstr>
      <vt:lpstr>Income</vt:lpstr>
      <vt:lpstr>Expenses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 文华</dc:creator>
  <cp:lastModifiedBy>李 文华</cp:lastModifiedBy>
  <dcterms:created xsi:type="dcterms:W3CDTF">2018-09-11T14:13:07Z</dcterms:created>
  <dcterms:modified xsi:type="dcterms:W3CDTF">2018-09-19T12:02:43Z</dcterms:modified>
</cp:coreProperties>
</file>