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hidePivotFieldList="1"/>
  <mc:AlternateContent xmlns:mc="http://schemas.openxmlformats.org/markup-compatibility/2006">
    <mc:Choice Requires="x15">
      <x15ac:absPath xmlns:x15ac="http://schemas.microsoft.com/office/spreadsheetml/2010/11/ac" url="/Users/Zoeli/Desktop/"/>
    </mc:Choice>
  </mc:AlternateContent>
  <bookViews>
    <workbookView xWindow="0" yWindow="0" windowWidth="28800" windowHeight="18000" activeTab="6"/>
  </bookViews>
  <sheets>
    <sheet name="PLANNING sheet" sheetId="1" r:id="rId1"/>
    <sheet name="Current base situation" sheetId="2" r:id="rId2"/>
    <sheet name="TRUCK COST help sheet" sheetId="6" r:id="rId3"/>
    <sheet name="RAIL COST help sheet" sheetId="3" r:id="rId4"/>
    <sheet name="BARGE cost help sheet " sheetId="5" r:id="rId5"/>
    <sheet name="Short sea  help sheet" sheetId="7" r:id="rId6"/>
    <sheet name="final product division" sheetId="9" r:id="rId7"/>
    <sheet name="Raw material info" sheetId="8" r:id="rId8"/>
  </sheets>
  <definedNames>
    <definedName name="_xlnm._FilterDatabase" localSheetId="6" hidden="1">'final product division'!$A$10:$M$138</definedName>
  </definedNames>
  <calcPr calcId="150001" concurrentCalc="0"/>
  <pivotCaches>
    <pivotCache cacheId="143" r:id="rId9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0" i="6" l="1"/>
  <c r="Y31" i="6"/>
  <c r="Y32" i="6"/>
  <c r="Y29" i="6"/>
  <c r="A29" i="6"/>
  <c r="Y12" i="6"/>
  <c r="Y13" i="6"/>
  <c r="Y11" i="6"/>
  <c r="Y10" i="6"/>
  <c r="G12" i="9"/>
  <c r="K12" i="9"/>
  <c r="G13" i="9"/>
  <c r="K13" i="9"/>
  <c r="G14" i="9"/>
  <c r="K14" i="9"/>
  <c r="G15" i="9"/>
  <c r="K15" i="9"/>
  <c r="G16" i="9"/>
  <c r="K16" i="9"/>
  <c r="G17" i="9"/>
  <c r="K17" i="9"/>
  <c r="G18" i="9"/>
  <c r="K18" i="9"/>
  <c r="G19" i="9"/>
  <c r="K19" i="9"/>
  <c r="G20" i="9"/>
  <c r="K20" i="9"/>
  <c r="G21" i="9"/>
  <c r="K21" i="9"/>
  <c r="G22" i="9"/>
  <c r="K22" i="9"/>
  <c r="G23" i="9"/>
  <c r="K23" i="9"/>
  <c r="G24" i="9"/>
  <c r="K24" i="9"/>
  <c r="G25" i="9"/>
  <c r="K25" i="9"/>
  <c r="G26" i="9"/>
  <c r="K26" i="9"/>
  <c r="G27" i="9"/>
  <c r="K27" i="9"/>
  <c r="G28" i="9"/>
  <c r="K28" i="9"/>
  <c r="G29" i="9"/>
  <c r="K29" i="9"/>
  <c r="G30" i="9"/>
  <c r="K30" i="9"/>
  <c r="G31" i="9"/>
  <c r="K31" i="9"/>
  <c r="G32" i="9"/>
  <c r="K32" i="9"/>
  <c r="G33" i="9"/>
  <c r="K33" i="9"/>
  <c r="G34" i="9"/>
  <c r="K34" i="9"/>
  <c r="G35" i="9"/>
  <c r="K35" i="9"/>
  <c r="G36" i="9"/>
  <c r="K36" i="9"/>
  <c r="G37" i="9"/>
  <c r="K37" i="9"/>
  <c r="G38" i="9"/>
  <c r="K38" i="9"/>
  <c r="G39" i="9"/>
  <c r="K39" i="9"/>
  <c r="G40" i="9"/>
  <c r="K40" i="9"/>
  <c r="G41" i="9"/>
  <c r="K41" i="9"/>
  <c r="G42" i="9"/>
  <c r="K42" i="9"/>
  <c r="G43" i="9"/>
  <c r="K43" i="9"/>
  <c r="G44" i="9"/>
  <c r="K44" i="9"/>
  <c r="G45" i="9"/>
  <c r="K45" i="9"/>
  <c r="G46" i="9"/>
  <c r="K46" i="9"/>
  <c r="G47" i="9"/>
  <c r="K47" i="9"/>
  <c r="G48" i="9"/>
  <c r="K48" i="9"/>
  <c r="G49" i="9"/>
  <c r="K49" i="9"/>
  <c r="G50" i="9"/>
  <c r="K50" i="9"/>
  <c r="G11" i="9"/>
  <c r="K11" i="9"/>
  <c r="A12" i="9"/>
  <c r="E12" i="9"/>
  <c r="F12" i="9"/>
  <c r="H12" i="9"/>
  <c r="I12" i="9"/>
  <c r="L12" i="9"/>
  <c r="A13" i="9"/>
  <c r="E13" i="9"/>
  <c r="F13" i="9"/>
  <c r="H13" i="9"/>
  <c r="I13" i="9"/>
  <c r="L13" i="9"/>
  <c r="A14" i="9"/>
  <c r="E14" i="9"/>
  <c r="F14" i="9"/>
  <c r="H14" i="9"/>
  <c r="I14" i="9"/>
  <c r="L14" i="9"/>
  <c r="D15" i="9"/>
  <c r="A15" i="9"/>
  <c r="E15" i="9"/>
  <c r="F15" i="9"/>
  <c r="H15" i="9"/>
  <c r="I15" i="9"/>
  <c r="L15" i="9"/>
  <c r="A16" i="9"/>
  <c r="E16" i="9"/>
  <c r="F16" i="9"/>
  <c r="H16" i="9"/>
  <c r="I16" i="9"/>
  <c r="L16" i="9"/>
  <c r="A17" i="9"/>
  <c r="E17" i="9"/>
  <c r="F17" i="9"/>
  <c r="H17" i="9"/>
  <c r="I17" i="9"/>
  <c r="L17" i="9"/>
  <c r="A18" i="9"/>
  <c r="E18" i="9"/>
  <c r="F18" i="9"/>
  <c r="H18" i="9"/>
  <c r="I18" i="9"/>
  <c r="L18" i="9"/>
  <c r="D19" i="9"/>
  <c r="A19" i="9"/>
  <c r="E19" i="9"/>
  <c r="F19" i="9"/>
  <c r="H19" i="9"/>
  <c r="I19" i="9"/>
  <c r="L19" i="9"/>
  <c r="A20" i="9"/>
  <c r="E20" i="9"/>
  <c r="F20" i="9"/>
  <c r="H20" i="9"/>
  <c r="I20" i="9"/>
  <c r="L20" i="9"/>
  <c r="A21" i="9"/>
  <c r="E21" i="9"/>
  <c r="F21" i="9"/>
  <c r="H21" i="9"/>
  <c r="I21" i="9"/>
  <c r="L21" i="9"/>
  <c r="A22" i="9"/>
  <c r="E22" i="9"/>
  <c r="F22" i="9"/>
  <c r="H22" i="9"/>
  <c r="I22" i="9"/>
  <c r="L22" i="9"/>
  <c r="D23" i="9"/>
  <c r="A23" i="9"/>
  <c r="E23" i="9"/>
  <c r="F23" i="9"/>
  <c r="H23" i="9"/>
  <c r="I23" i="9"/>
  <c r="L23" i="9"/>
  <c r="A24" i="9"/>
  <c r="E24" i="9"/>
  <c r="F24" i="9"/>
  <c r="H24" i="9"/>
  <c r="I24" i="9"/>
  <c r="L24" i="9"/>
  <c r="A25" i="9"/>
  <c r="E25" i="9"/>
  <c r="F25" i="9"/>
  <c r="H25" i="9"/>
  <c r="I25" i="9"/>
  <c r="L25" i="9"/>
  <c r="A26" i="9"/>
  <c r="E26" i="9"/>
  <c r="F26" i="9"/>
  <c r="H26" i="9"/>
  <c r="I26" i="9"/>
  <c r="L26" i="9"/>
  <c r="D27" i="9"/>
  <c r="A27" i="9"/>
  <c r="E27" i="9"/>
  <c r="F27" i="9"/>
  <c r="H27" i="9"/>
  <c r="I27" i="9"/>
  <c r="L27" i="9"/>
  <c r="A28" i="9"/>
  <c r="E28" i="9"/>
  <c r="F28" i="9"/>
  <c r="H28" i="9"/>
  <c r="I28" i="9"/>
  <c r="L28" i="9"/>
  <c r="A29" i="9"/>
  <c r="E29" i="9"/>
  <c r="F29" i="9"/>
  <c r="H29" i="9"/>
  <c r="I29" i="9"/>
  <c r="L29" i="9"/>
  <c r="A30" i="9"/>
  <c r="E30" i="9"/>
  <c r="F30" i="9"/>
  <c r="H30" i="9"/>
  <c r="I30" i="9"/>
  <c r="L30" i="9"/>
  <c r="D31" i="9"/>
  <c r="A31" i="9"/>
  <c r="E31" i="9"/>
  <c r="F31" i="9"/>
  <c r="H31" i="9"/>
  <c r="I31" i="9"/>
  <c r="L31" i="9"/>
  <c r="A32" i="9"/>
  <c r="E32" i="9"/>
  <c r="F32" i="9"/>
  <c r="H32" i="9"/>
  <c r="I32" i="9"/>
  <c r="L32" i="9"/>
  <c r="A33" i="9"/>
  <c r="E33" i="9"/>
  <c r="F33" i="9"/>
  <c r="H33" i="9"/>
  <c r="I33" i="9"/>
  <c r="L33" i="9"/>
  <c r="A34" i="9"/>
  <c r="E34" i="9"/>
  <c r="F34" i="9"/>
  <c r="H34" i="9"/>
  <c r="I34" i="9"/>
  <c r="L34" i="9"/>
  <c r="D35" i="9"/>
  <c r="A35" i="9"/>
  <c r="E35" i="9"/>
  <c r="F35" i="9"/>
  <c r="H35" i="9"/>
  <c r="I35" i="9"/>
  <c r="L35" i="9"/>
  <c r="A36" i="9"/>
  <c r="E36" i="9"/>
  <c r="F36" i="9"/>
  <c r="H36" i="9"/>
  <c r="I36" i="9"/>
  <c r="L36" i="9"/>
  <c r="A37" i="9"/>
  <c r="E37" i="9"/>
  <c r="F37" i="9"/>
  <c r="H37" i="9"/>
  <c r="I37" i="9"/>
  <c r="L37" i="9"/>
  <c r="A38" i="9"/>
  <c r="E38" i="9"/>
  <c r="F38" i="9"/>
  <c r="H38" i="9"/>
  <c r="I38" i="9"/>
  <c r="L38" i="9"/>
  <c r="D39" i="9"/>
  <c r="A39" i="9"/>
  <c r="E39" i="9"/>
  <c r="F39" i="9"/>
  <c r="H39" i="9"/>
  <c r="I39" i="9"/>
  <c r="L39" i="9"/>
  <c r="A40" i="9"/>
  <c r="E40" i="9"/>
  <c r="F40" i="9"/>
  <c r="H40" i="9"/>
  <c r="I40" i="9"/>
  <c r="L40" i="9"/>
  <c r="A41" i="9"/>
  <c r="E41" i="9"/>
  <c r="F41" i="9"/>
  <c r="H41" i="9"/>
  <c r="I41" i="9"/>
  <c r="L41" i="9"/>
  <c r="A42" i="9"/>
  <c r="E42" i="9"/>
  <c r="F42" i="9"/>
  <c r="H42" i="9"/>
  <c r="I42" i="9"/>
  <c r="L42" i="9"/>
  <c r="D43" i="9"/>
  <c r="A43" i="9"/>
  <c r="E43" i="9"/>
  <c r="F43" i="9"/>
  <c r="H43" i="9"/>
  <c r="I43" i="9"/>
  <c r="L43" i="9"/>
  <c r="A44" i="9"/>
  <c r="E44" i="9"/>
  <c r="F44" i="9"/>
  <c r="H44" i="9"/>
  <c r="I44" i="9"/>
  <c r="L44" i="9"/>
  <c r="A45" i="9"/>
  <c r="E45" i="9"/>
  <c r="F45" i="9"/>
  <c r="H45" i="9"/>
  <c r="I45" i="9"/>
  <c r="L45" i="9"/>
  <c r="A46" i="9"/>
  <c r="E46" i="9"/>
  <c r="F46" i="9"/>
  <c r="H46" i="9"/>
  <c r="I46" i="9"/>
  <c r="L46" i="9"/>
  <c r="D47" i="9"/>
  <c r="A47" i="9"/>
  <c r="E47" i="9"/>
  <c r="F47" i="9"/>
  <c r="H47" i="9"/>
  <c r="I47" i="9"/>
  <c r="L47" i="9"/>
  <c r="A48" i="9"/>
  <c r="E48" i="9"/>
  <c r="F48" i="9"/>
  <c r="H48" i="9"/>
  <c r="I48" i="9"/>
  <c r="L48" i="9"/>
  <c r="A49" i="9"/>
  <c r="E49" i="9"/>
  <c r="F49" i="9"/>
  <c r="H49" i="9"/>
  <c r="I49" i="9"/>
  <c r="L49" i="9"/>
  <c r="A50" i="9"/>
  <c r="E50" i="9"/>
  <c r="F50" i="9"/>
  <c r="H50" i="9"/>
  <c r="I50" i="9"/>
  <c r="L50" i="9"/>
  <c r="D11" i="9"/>
  <c r="A11" i="9"/>
  <c r="E11" i="9"/>
  <c r="F11" i="9"/>
  <c r="H11" i="9"/>
  <c r="I11" i="9"/>
  <c r="L11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D51" i="9"/>
  <c r="A51" i="9"/>
  <c r="E51" i="9"/>
  <c r="F51" i="9"/>
  <c r="G51" i="9"/>
  <c r="H51" i="9"/>
  <c r="I51" i="9"/>
  <c r="A52" i="9"/>
  <c r="E52" i="9"/>
  <c r="F52" i="9"/>
  <c r="G52" i="9"/>
  <c r="H52" i="9"/>
  <c r="I52" i="9"/>
  <c r="A53" i="9"/>
  <c r="E53" i="9"/>
  <c r="F53" i="9"/>
  <c r="G53" i="9"/>
  <c r="H53" i="9"/>
  <c r="I53" i="9"/>
  <c r="A54" i="9"/>
  <c r="E54" i="9"/>
  <c r="F54" i="9"/>
  <c r="G54" i="9"/>
  <c r="H54" i="9"/>
  <c r="I54" i="9"/>
  <c r="D55" i="9"/>
  <c r="A55" i="9"/>
  <c r="E55" i="9"/>
  <c r="F55" i="9"/>
  <c r="G55" i="9"/>
  <c r="H55" i="9"/>
  <c r="I55" i="9"/>
  <c r="A56" i="9"/>
  <c r="E56" i="9"/>
  <c r="F56" i="9"/>
  <c r="G56" i="9"/>
  <c r="H56" i="9"/>
  <c r="I56" i="9"/>
  <c r="A57" i="9"/>
  <c r="E57" i="9"/>
  <c r="F57" i="9"/>
  <c r="G57" i="9"/>
  <c r="H57" i="9"/>
  <c r="I57" i="9"/>
  <c r="A58" i="9"/>
  <c r="E58" i="9"/>
  <c r="F58" i="9"/>
  <c r="G58" i="9"/>
  <c r="H58" i="9"/>
  <c r="I58" i="9"/>
  <c r="D59" i="9"/>
  <c r="A59" i="9"/>
  <c r="E59" i="9"/>
  <c r="F59" i="9"/>
  <c r="G59" i="9"/>
  <c r="H59" i="9"/>
  <c r="I59" i="9"/>
  <c r="A60" i="9"/>
  <c r="E60" i="9"/>
  <c r="F60" i="9"/>
  <c r="G60" i="9"/>
  <c r="H60" i="9"/>
  <c r="I60" i="9"/>
  <c r="A61" i="9"/>
  <c r="E61" i="9"/>
  <c r="F61" i="9"/>
  <c r="G61" i="9"/>
  <c r="H61" i="9"/>
  <c r="I61" i="9"/>
  <c r="A62" i="9"/>
  <c r="E62" i="9"/>
  <c r="F62" i="9"/>
  <c r="G62" i="9"/>
  <c r="H62" i="9"/>
  <c r="I62" i="9"/>
  <c r="D63" i="9"/>
  <c r="A63" i="9"/>
  <c r="E63" i="9"/>
  <c r="F63" i="9"/>
  <c r="G63" i="9"/>
  <c r="H63" i="9"/>
  <c r="I63" i="9"/>
  <c r="A64" i="9"/>
  <c r="E64" i="9"/>
  <c r="F64" i="9"/>
  <c r="G64" i="9"/>
  <c r="H64" i="9"/>
  <c r="I64" i="9"/>
  <c r="A65" i="9"/>
  <c r="E65" i="9"/>
  <c r="F65" i="9"/>
  <c r="G65" i="9"/>
  <c r="H65" i="9"/>
  <c r="I65" i="9"/>
  <c r="A66" i="9"/>
  <c r="E66" i="9"/>
  <c r="F66" i="9"/>
  <c r="G66" i="9"/>
  <c r="H66" i="9"/>
  <c r="I66" i="9"/>
  <c r="D67" i="9"/>
  <c r="A67" i="9"/>
  <c r="E67" i="9"/>
  <c r="F67" i="9"/>
  <c r="G67" i="9"/>
  <c r="H67" i="9"/>
  <c r="I67" i="9"/>
  <c r="A68" i="9"/>
  <c r="E68" i="9"/>
  <c r="F68" i="9"/>
  <c r="G68" i="9"/>
  <c r="H68" i="9"/>
  <c r="I68" i="9"/>
  <c r="A69" i="9"/>
  <c r="E69" i="9"/>
  <c r="F69" i="9"/>
  <c r="G69" i="9"/>
  <c r="H69" i="9"/>
  <c r="I69" i="9"/>
  <c r="A70" i="9"/>
  <c r="E70" i="9"/>
  <c r="F70" i="9"/>
  <c r="G70" i="9"/>
  <c r="H70" i="9"/>
  <c r="I70" i="9"/>
  <c r="D71" i="9"/>
  <c r="A71" i="9"/>
  <c r="E71" i="9"/>
  <c r="F71" i="9"/>
  <c r="G71" i="9"/>
  <c r="H71" i="9"/>
  <c r="I71" i="9"/>
  <c r="A72" i="9"/>
  <c r="E72" i="9"/>
  <c r="F72" i="9"/>
  <c r="G72" i="9"/>
  <c r="H72" i="9"/>
  <c r="I72" i="9"/>
  <c r="A73" i="9"/>
  <c r="E73" i="9"/>
  <c r="F73" i="9"/>
  <c r="G73" i="9"/>
  <c r="H73" i="9"/>
  <c r="I73" i="9"/>
  <c r="A74" i="9"/>
  <c r="E74" i="9"/>
  <c r="F74" i="9"/>
  <c r="G74" i="9"/>
  <c r="H74" i="9"/>
  <c r="I74" i="9"/>
  <c r="D75" i="9"/>
  <c r="A75" i="9"/>
  <c r="E75" i="9"/>
  <c r="F75" i="9"/>
  <c r="G75" i="9"/>
  <c r="H75" i="9"/>
  <c r="I75" i="9"/>
  <c r="A76" i="9"/>
  <c r="E76" i="9"/>
  <c r="F76" i="9"/>
  <c r="G76" i="9"/>
  <c r="H76" i="9"/>
  <c r="I76" i="9"/>
  <c r="A77" i="9"/>
  <c r="E77" i="9"/>
  <c r="F77" i="9"/>
  <c r="G77" i="9"/>
  <c r="H77" i="9"/>
  <c r="I77" i="9"/>
  <c r="A78" i="9"/>
  <c r="E78" i="9"/>
  <c r="F78" i="9"/>
  <c r="G78" i="9"/>
  <c r="H78" i="9"/>
  <c r="I78" i="9"/>
  <c r="D79" i="9"/>
  <c r="A79" i="9"/>
  <c r="E79" i="9"/>
  <c r="F79" i="9"/>
  <c r="G79" i="9"/>
  <c r="H79" i="9"/>
  <c r="I79" i="9"/>
  <c r="A80" i="9"/>
  <c r="E80" i="9"/>
  <c r="F80" i="9"/>
  <c r="G80" i="9"/>
  <c r="H80" i="9"/>
  <c r="I80" i="9"/>
  <c r="A81" i="9"/>
  <c r="E81" i="9"/>
  <c r="F81" i="9"/>
  <c r="G81" i="9"/>
  <c r="H81" i="9"/>
  <c r="I81" i="9"/>
  <c r="A82" i="9"/>
  <c r="E82" i="9"/>
  <c r="F82" i="9"/>
  <c r="G82" i="9"/>
  <c r="H82" i="9"/>
  <c r="I82" i="9"/>
  <c r="D83" i="9"/>
  <c r="A83" i="9"/>
  <c r="E83" i="9"/>
  <c r="F83" i="9"/>
  <c r="G83" i="9"/>
  <c r="H83" i="9"/>
  <c r="I83" i="9"/>
  <c r="A84" i="9"/>
  <c r="E84" i="9"/>
  <c r="F84" i="9"/>
  <c r="G84" i="9"/>
  <c r="H84" i="9"/>
  <c r="I84" i="9"/>
  <c r="A85" i="9"/>
  <c r="E85" i="9"/>
  <c r="F85" i="9"/>
  <c r="G85" i="9"/>
  <c r="H85" i="9"/>
  <c r="I85" i="9"/>
  <c r="A86" i="9"/>
  <c r="E86" i="9"/>
  <c r="F86" i="9"/>
  <c r="G86" i="9"/>
  <c r="H86" i="9"/>
  <c r="I86" i="9"/>
  <c r="D87" i="9"/>
  <c r="A87" i="9"/>
  <c r="E87" i="9"/>
  <c r="F87" i="9"/>
  <c r="G87" i="9"/>
  <c r="H87" i="9"/>
  <c r="I87" i="9"/>
  <c r="A88" i="9"/>
  <c r="E88" i="9"/>
  <c r="F88" i="9"/>
  <c r="G88" i="9"/>
  <c r="H88" i="9"/>
  <c r="I88" i="9"/>
  <c r="A89" i="9"/>
  <c r="E89" i="9"/>
  <c r="F89" i="9"/>
  <c r="G89" i="9"/>
  <c r="H89" i="9"/>
  <c r="I89" i="9"/>
  <c r="A90" i="9"/>
  <c r="E90" i="9"/>
  <c r="F90" i="9"/>
  <c r="G90" i="9"/>
  <c r="H90" i="9"/>
  <c r="I90" i="9"/>
  <c r="D91" i="9"/>
  <c r="A91" i="9"/>
  <c r="E91" i="9"/>
  <c r="F91" i="9"/>
  <c r="G91" i="9"/>
  <c r="H91" i="9"/>
  <c r="I91" i="9"/>
  <c r="A92" i="9"/>
  <c r="E92" i="9"/>
  <c r="F92" i="9"/>
  <c r="G92" i="9"/>
  <c r="H92" i="9"/>
  <c r="I92" i="9"/>
  <c r="A93" i="9"/>
  <c r="E93" i="9"/>
  <c r="F93" i="9"/>
  <c r="G93" i="9"/>
  <c r="H93" i="9"/>
  <c r="I93" i="9"/>
  <c r="A94" i="9"/>
  <c r="E94" i="9"/>
  <c r="F94" i="9"/>
  <c r="G94" i="9"/>
  <c r="H94" i="9"/>
  <c r="I94" i="9"/>
  <c r="D95" i="9"/>
  <c r="A95" i="9"/>
  <c r="E95" i="9"/>
  <c r="F95" i="9"/>
  <c r="G95" i="9"/>
  <c r="H95" i="9"/>
  <c r="I95" i="9"/>
  <c r="A96" i="9"/>
  <c r="E96" i="9"/>
  <c r="F96" i="9"/>
  <c r="G96" i="9"/>
  <c r="H96" i="9"/>
  <c r="I96" i="9"/>
  <c r="A97" i="9"/>
  <c r="E97" i="9"/>
  <c r="F97" i="9"/>
  <c r="G97" i="9"/>
  <c r="H97" i="9"/>
  <c r="I97" i="9"/>
  <c r="A98" i="9"/>
  <c r="E98" i="9"/>
  <c r="F98" i="9"/>
  <c r="G98" i="9"/>
  <c r="H98" i="9"/>
  <c r="I98" i="9"/>
  <c r="D99" i="9"/>
  <c r="A99" i="9"/>
  <c r="E99" i="9"/>
  <c r="F99" i="9"/>
  <c r="G99" i="9"/>
  <c r="H99" i="9"/>
  <c r="I99" i="9"/>
  <c r="A100" i="9"/>
  <c r="E100" i="9"/>
  <c r="F100" i="9"/>
  <c r="G100" i="9"/>
  <c r="H100" i="9"/>
  <c r="I100" i="9"/>
  <c r="A101" i="9"/>
  <c r="E101" i="9"/>
  <c r="F101" i="9"/>
  <c r="G101" i="9"/>
  <c r="H101" i="9"/>
  <c r="I101" i="9"/>
  <c r="A102" i="9"/>
  <c r="E102" i="9"/>
  <c r="F102" i="9"/>
  <c r="G102" i="9"/>
  <c r="H102" i="9"/>
  <c r="I102" i="9"/>
  <c r="D103" i="9"/>
  <c r="A103" i="9"/>
  <c r="E103" i="9"/>
  <c r="F103" i="9"/>
  <c r="G103" i="9"/>
  <c r="H103" i="9"/>
  <c r="I103" i="9"/>
  <c r="A104" i="9"/>
  <c r="E104" i="9"/>
  <c r="F104" i="9"/>
  <c r="G104" i="9"/>
  <c r="H104" i="9"/>
  <c r="I104" i="9"/>
  <c r="A105" i="9"/>
  <c r="E105" i="9"/>
  <c r="F105" i="9"/>
  <c r="G105" i="9"/>
  <c r="H105" i="9"/>
  <c r="I105" i="9"/>
  <c r="A106" i="9"/>
  <c r="E106" i="9"/>
  <c r="F106" i="9"/>
  <c r="G106" i="9"/>
  <c r="H106" i="9"/>
  <c r="I106" i="9"/>
  <c r="D107" i="9"/>
  <c r="A107" i="9"/>
  <c r="E107" i="9"/>
  <c r="F107" i="9"/>
  <c r="G107" i="9"/>
  <c r="H107" i="9"/>
  <c r="I107" i="9"/>
  <c r="A108" i="9"/>
  <c r="E108" i="9"/>
  <c r="F108" i="9"/>
  <c r="G108" i="9"/>
  <c r="H108" i="9"/>
  <c r="I108" i="9"/>
  <c r="A109" i="9"/>
  <c r="E109" i="9"/>
  <c r="F109" i="9"/>
  <c r="G109" i="9"/>
  <c r="H109" i="9"/>
  <c r="I109" i="9"/>
  <c r="A110" i="9"/>
  <c r="E110" i="9"/>
  <c r="F110" i="9"/>
  <c r="G110" i="9"/>
  <c r="H110" i="9"/>
  <c r="I110" i="9"/>
  <c r="D111" i="9"/>
  <c r="A111" i="9"/>
  <c r="E111" i="9"/>
  <c r="F111" i="9"/>
  <c r="G111" i="9"/>
  <c r="H111" i="9"/>
  <c r="I111" i="9"/>
  <c r="A112" i="9"/>
  <c r="E112" i="9"/>
  <c r="F112" i="9"/>
  <c r="G112" i="9"/>
  <c r="H112" i="9"/>
  <c r="I112" i="9"/>
  <c r="A113" i="9"/>
  <c r="E113" i="9"/>
  <c r="F113" i="9"/>
  <c r="G113" i="9"/>
  <c r="H113" i="9"/>
  <c r="I113" i="9"/>
  <c r="A114" i="9"/>
  <c r="E114" i="9"/>
  <c r="F114" i="9"/>
  <c r="G114" i="9"/>
  <c r="H114" i="9"/>
  <c r="I114" i="9"/>
  <c r="D115" i="9"/>
  <c r="A115" i="9"/>
  <c r="E115" i="9"/>
  <c r="F115" i="9"/>
  <c r="G115" i="9"/>
  <c r="H115" i="9"/>
  <c r="I115" i="9"/>
  <c r="A116" i="9"/>
  <c r="E116" i="9"/>
  <c r="F116" i="9"/>
  <c r="G116" i="9"/>
  <c r="H116" i="9"/>
  <c r="I116" i="9"/>
  <c r="A117" i="9"/>
  <c r="E117" i="9"/>
  <c r="F117" i="9"/>
  <c r="G117" i="9"/>
  <c r="H117" i="9"/>
  <c r="I117" i="9"/>
  <c r="A118" i="9"/>
  <c r="E118" i="9"/>
  <c r="F118" i="9"/>
  <c r="G118" i="9"/>
  <c r="H118" i="9"/>
  <c r="I118" i="9"/>
  <c r="D119" i="9"/>
  <c r="A119" i="9"/>
  <c r="E119" i="9"/>
  <c r="F119" i="9"/>
  <c r="G119" i="9"/>
  <c r="H119" i="9"/>
  <c r="I119" i="9"/>
  <c r="A120" i="9"/>
  <c r="E120" i="9"/>
  <c r="F120" i="9"/>
  <c r="G120" i="9"/>
  <c r="H120" i="9"/>
  <c r="I120" i="9"/>
  <c r="A121" i="9"/>
  <c r="E121" i="9"/>
  <c r="F121" i="9"/>
  <c r="G121" i="9"/>
  <c r="H121" i="9"/>
  <c r="I121" i="9"/>
  <c r="A122" i="9"/>
  <c r="E122" i="9"/>
  <c r="F122" i="9"/>
  <c r="G122" i="9"/>
  <c r="H122" i="9"/>
  <c r="I122" i="9"/>
  <c r="D123" i="9"/>
  <c r="A123" i="9"/>
  <c r="E123" i="9"/>
  <c r="F123" i="9"/>
  <c r="G123" i="9"/>
  <c r="H123" i="9"/>
  <c r="I123" i="9"/>
  <c r="A124" i="9"/>
  <c r="E124" i="9"/>
  <c r="F124" i="9"/>
  <c r="G124" i="9"/>
  <c r="H124" i="9"/>
  <c r="I124" i="9"/>
  <c r="A125" i="9"/>
  <c r="E125" i="9"/>
  <c r="F125" i="9"/>
  <c r="G125" i="9"/>
  <c r="H125" i="9"/>
  <c r="I125" i="9"/>
  <c r="A126" i="9"/>
  <c r="E126" i="9"/>
  <c r="F126" i="9"/>
  <c r="G126" i="9"/>
  <c r="H126" i="9"/>
  <c r="I126" i="9"/>
  <c r="D127" i="9"/>
  <c r="A127" i="9"/>
  <c r="E127" i="9"/>
  <c r="F127" i="9"/>
  <c r="G127" i="9"/>
  <c r="H127" i="9"/>
  <c r="I127" i="9"/>
  <c r="A128" i="9"/>
  <c r="E128" i="9"/>
  <c r="F128" i="9"/>
  <c r="G128" i="9"/>
  <c r="H128" i="9"/>
  <c r="I128" i="9"/>
  <c r="A129" i="9"/>
  <c r="E129" i="9"/>
  <c r="F129" i="9"/>
  <c r="G129" i="9"/>
  <c r="H129" i="9"/>
  <c r="I129" i="9"/>
  <c r="A130" i="9"/>
  <c r="E130" i="9"/>
  <c r="F130" i="9"/>
  <c r="G130" i="9"/>
  <c r="H130" i="9"/>
  <c r="I130" i="9"/>
  <c r="D131" i="9"/>
  <c r="A131" i="9"/>
  <c r="E131" i="9"/>
  <c r="F131" i="9"/>
  <c r="G131" i="9"/>
  <c r="H131" i="9"/>
  <c r="I131" i="9"/>
  <c r="A132" i="9"/>
  <c r="E132" i="9"/>
  <c r="F132" i="9"/>
  <c r="G132" i="9"/>
  <c r="H132" i="9"/>
  <c r="I132" i="9"/>
  <c r="A133" i="9"/>
  <c r="E133" i="9"/>
  <c r="F133" i="9"/>
  <c r="G133" i="9"/>
  <c r="H133" i="9"/>
  <c r="I133" i="9"/>
  <c r="A134" i="9"/>
  <c r="E134" i="9"/>
  <c r="F134" i="9"/>
  <c r="G134" i="9"/>
  <c r="H134" i="9"/>
  <c r="I134" i="9"/>
  <c r="D135" i="9"/>
  <c r="A135" i="9"/>
  <c r="E135" i="9"/>
  <c r="F135" i="9"/>
  <c r="G135" i="9"/>
  <c r="H135" i="9"/>
  <c r="I135" i="9"/>
  <c r="A136" i="9"/>
  <c r="E136" i="9"/>
  <c r="F136" i="9"/>
  <c r="G136" i="9"/>
  <c r="H136" i="9"/>
  <c r="I136" i="9"/>
  <c r="A137" i="9"/>
  <c r="E137" i="9"/>
  <c r="F137" i="9"/>
  <c r="G137" i="9"/>
  <c r="H137" i="9"/>
  <c r="I137" i="9"/>
  <c r="A138" i="9"/>
  <c r="E138" i="9"/>
  <c r="F138" i="9"/>
  <c r="G138" i="9"/>
  <c r="H138" i="9"/>
  <c r="I138" i="9"/>
  <c r="D4" i="6"/>
  <c r="D5" i="6"/>
  <c r="D6" i="6"/>
  <c r="D7" i="6"/>
  <c r="AL127" i="2"/>
  <c r="E4" i="6"/>
  <c r="E5" i="6"/>
  <c r="E6" i="6"/>
  <c r="E7" i="6"/>
  <c r="AM127" i="2"/>
  <c r="F4" i="6"/>
  <c r="F5" i="6"/>
  <c r="F6" i="6"/>
  <c r="F7" i="6"/>
  <c r="AN127" i="2"/>
  <c r="G4" i="6"/>
  <c r="G5" i="6"/>
  <c r="G7" i="6"/>
  <c r="AO127" i="2"/>
  <c r="H4" i="6"/>
  <c r="H5" i="6"/>
  <c r="H6" i="6"/>
  <c r="H7" i="6"/>
  <c r="AP127" i="2"/>
  <c r="I4" i="6"/>
  <c r="I5" i="6"/>
  <c r="I6" i="6"/>
  <c r="I7" i="6"/>
  <c r="AQ127" i="2"/>
  <c r="J4" i="6"/>
  <c r="J5" i="6"/>
  <c r="J6" i="6"/>
  <c r="J7" i="6"/>
  <c r="AR127" i="2"/>
  <c r="K4" i="6"/>
  <c r="K5" i="6"/>
  <c r="K7" i="6"/>
  <c r="AS127" i="2"/>
  <c r="L4" i="6"/>
  <c r="L5" i="6"/>
  <c r="L6" i="6"/>
  <c r="L7" i="6"/>
  <c r="AT127" i="2"/>
  <c r="C4" i="6"/>
  <c r="C5" i="6"/>
  <c r="C7" i="6"/>
  <c r="AK127" i="2"/>
  <c r="AQ62" i="2"/>
  <c r="AP62" i="2"/>
  <c r="AO62" i="2"/>
  <c r="AN62" i="2"/>
  <c r="AM62" i="2"/>
  <c r="AL62" i="2"/>
  <c r="AK62" i="2"/>
  <c r="AT56" i="2"/>
  <c r="AS56" i="2"/>
  <c r="AR56" i="2"/>
  <c r="AQ56" i="2"/>
  <c r="AP56" i="2"/>
  <c r="AO56" i="2"/>
  <c r="AN56" i="2"/>
  <c r="AM56" i="2"/>
  <c r="AL56" i="2"/>
  <c r="AK56" i="2"/>
  <c r="AL87" i="2"/>
  <c r="AM87" i="2"/>
  <c r="AN87" i="2"/>
  <c r="AO87" i="2"/>
  <c r="AP87" i="2"/>
  <c r="AQ87" i="2"/>
  <c r="AR87" i="2"/>
  <c r="AS87" i="2"/>
  <c r="AT87" i="2"/>
  <c r="AL88" i="2"/>
  <c r="AM88" i="2"/>
  <c r="AN88" i="2"/>
  <c r="AO88" i="2"/>
  <c r="AP88" i="2"/>
  <c r="AQ88" i="2"/>
  <c r="AR88" i="2"/>
  <c r="AS88" i="2"/>
  <c r="AT88" i="2"/>
  <c r="AK88" i="2"/>
  <c r="AK87" i="2"/>
  <c r="AT91" i="2"/>
  <c r="AT97" i="2"/>
  <c r="AT103" i="2"/>
  <c r="AS91" i="2"/>
  <c r="AS97" i="2"/>
  <c r="AS103" i="2"/>
  <c r="AR91" i="2"/>
  <c r="AR97" i="2"/>
  <c r="AR103" i="2"/>
  <c r="AQ91" i="2"/>
  <c r="AQ97" i="2"/>
  <c r="AQ103" i="2"/>
  <c r="AP91" i="2"/>
  <c r="AP97" i="2"/>
  <c r="AP103" i="2"/>
  <c r="AO91" i="2"/>
  <c r="AO97" i="2"/>
  <c r="AO103" i="2"/>
  <c r="AN91" i="2"/>
  <c r="AN97" i="2"/>
  <c r="AN103" i="2"/>
  <c r="AM91" i="2"/>
  <c r="AM97" i="2"/>
  <c r="AM103" i="2"/>
  <c r="AL91" i="2"/>
  <c r="AL97" i="2"/>
  <c r="AL103" i="2"/>
  <c r="AK91" i="2"/>
  <c r="AK97" i="2"/>
  <c r="AK103" i="2"/>
  <c r="AT96" i="2"/>
  <c r="AT102" i="2"/>
  <c r="AS96" i="2"/>
  <c r="AS102" i="2"/>
  <c r="AR96" i="2"/>
  <c r="AR102" i="2"/>
  <c r="AQ96" i="2"/>
  <c r="AQ102" i="2"/>
  <c r="AP96" i="2"/>
  <c r="AP102" i="2"/>
  <c r="AO96" i="2"/>
  <c r="AO102" i="2"/>
  <c r="AN96" i="2"/>
  <c r="AN102" i="2"/>
  <c r="AM96" i="2"/>
  <c r="AM102" i="2"/>
  <c r="AL96" i="2"/>
  <c r="AL102" i="2"/>
  <c r="AK96" i="2"/>
  <c r="AK102" i="2"/>
  <c r="AT101" i="2"/>
  <c r="AS101" i="2"/>
  <c r="AR101" i="2"/>
  <c r="AQ101" i="2"/>
  <c r="AP101" i="2"/>
  <c r="AO101" i="2"/>
  <c r="AN101" i="2"/>
  <c r="AM101" i="2"/>
  <c r="AL101" i="2"/>
  <c r="AK101" i="2"/>
  <c r="AT86" i="2"/>
  <c r="AT92" i="2"/>
  <c r="AT98" i="2"/>
  <c r="AS86" i="2"/>
  <c r="AS92" i="2"/>
  <c r="AS98" i="2"/>
  <c r="AR86" i="2"/>
  <c r="AR92" i="2"/>
  <c r="AR98" i="2"/>
  <c r="AQ86" i="2"/>
  <c r="AQ92" i="2"/>
  <c r="AQ98" i="2"/>
  <c r="AP86" i="2"/>
  <c r="AP92" i="2"/>
  <c r="AP98" i="2"/>
  <c r="AO86" i="2"/>
  <c r="AO92" i="2"/>
  <c r="AO98" i="2"/>
  <c r="AN86" i="2"/>
  <c r="AN92" i="2"/>
  <c r="AN98" i="2"/>
  <c r="AM86" i="2"/>
  <c r="AM92" i="2"/>
  <c r="AM98" i="2"/>
  <c r="AL86" i="2"/>
  <c r="AL92" i="2"/>
  <c r="AL98" i="2"/>
  <c r="AK86" i="2"/>
  <c r="AK92" i="2"/>
  <c r="AK98" i="2"/>
  <c r="AT81" i="2"/>
  <c r="AT93" i="2"/>
  <c r="AS81" i="2"/>
  <c r="AS93" i="2"/>
  <c r="AR81" i="2"/>
  <c r="AR93" i="2"/>
  <c r="AQ81" i="2"/>
  <c r="AQ93" i="2"/>
  <c r="AP81" i="2"/>
  <c r="AP93" i="2"/>
  <c r="AO81" i="2"/>
  <c r="AO93" i="2"/>
  <c r="AN81" i="2"/>
  <c r="AN93" i="2"/>
  <c r="AM81" i="2"/>
  <c r="AM93" i="2"/>
  <c r="AL81" i="2"/>
  <c r="AL93" i="2"/>
  <c r="AK81" i="2"/>
  <c r="AK93" i="2"/>
  <c r="AT76" i="2"/>
  <c r="AT82" i="2"/>
  <c r="AS76" i="2"/>
  <c r="AS82" i="2"/>
  <c r="AR76" i="2"/>
  <c r="AR82" i="2"/>
  <c r="AQ76" i="2"/>
  <c r="AQ82" i="2"/>
  <c r="AP76" i="2"/>
  <c r="AP82" i="2"/>
  <c r="AO76" i="2"/>
  <c r="AO82" i="2"/>
  <c r="AN76" i="2"/>
  <c r="AN82" i="2"/>
  <c r="AM76" i="2"/>
  <c r="AM82" i="2"/>
  <c r="AL76" i="2"/>
  <c r="AL82" i="2"/>
  <c r="AK76" i="2"/>
  <c r="AK82" i="2"/>
  <c r="AT70" i="2"/>
  <c r="AS70" i="2"/>
  <c r="AR70" i="2"/>
  <c r="AQ70" i="2"/>
  <c r="AP70" i="2"/>
  <c r="AO70" i="2"/>
  <c r="AN70" i="2"/>
  <c r="AM70" i="2"/>
  <c r="AL70" i="2"/>
  <c r="AK70" i="2"/>
  <c r="BD21" i="2"/>
  <c r="BD22" i="2"/>
  <c r="AT134" i="2"/>
  <c r="BB21" i="2"/>
  <c r="BB23" i="2"/>
  <c r="AS134" i="2"/>
  <c r="AZ21" i="2"/>
  <c r="AZ22" i="2"/>
  <c r="AR134" i="2"/>
  <c r="AX21" i="2"/>
  <c r="AX23" i="2"/>
  <c r="AQ134" i="2"/>
  <c r="AV21" i="2"/>
  <c r="AV22" i="2"/>
  <c r="AP134" i="2"/>
  <c r="AT21" i="2"/>
  <c r="AT22" i="2"/>
  <c r="AO134" i="2"/>
  <c r="AR21" i="2"/>
  <c r="AR23" i="2"/>
  <c r="AN134" i="2"/>
  <c r="AN21" i="2"/>
  <c r="AN22" i="2"/>
  <c r="AL134" i="2"/>
  <c r="AP21" i="2"/>
  <c r="AP22" i="2"/>
  <c r="AM134" i="2"/>
  <c r="AL21" i="2"/>
  <c r="AL22" i="2"/>
  <c r="AK134" i="2"/>
  <c r="AL141" i="2"/>
  <c r="AM141" i="2"/>
  <c r="AN141" i="2"/>
  <c r="AO141" i="2"/>
  <c r="AP141" i="2"/>
  <c r="AQ141" i="2"/>
  <c r="AR141" i="2"/>
  <c r="AS141" i="2"/>
  <c r="AT141" i="2"/>
  <c r="AK141" i="2"/>
  <c r="AL29" i="2"/>
  <c r="D2" i="6"/>
  <c r="AM29" i="2"/>
  <c r="E2" i="6"/>
  <c r="AN29" i="2"/>
  <c r="F2" i="6"/>
  <c r="AO29" i="2"/>
  <c r="G2" i="6"/>
  <c r="AP29" i="2"/>
  <c r="H2" i="6"/>
  <c r="AQ29" i="2"/>
  <c r="I2" i="6"/>
  <c r="AR29" i="2"/>
  <c r="J2" i="6"/>
  <c r="AS29" i="2"/>
  <c r="K2" i="6"/>
  <c r="AT29" i="2"/>
  <c r="L2" i="6"/>
  <c r="AK29" i="2"/>
  <c r="C2" i="6"/>
  <c r="U143" i="9"/>
  <c r="U142" i="9"/>
  <c r="AX22" i="2"/>
  <c r="AR22" i="2"/>
  <c r="BB22" i="2"/>
  <c r="AZ25" i="2"/>
  <c r="BB25" i="2"/>
  <c r="BD24" i="2"/>
  <c r="AZ24" i="2"/>
  <c r="AT24" i="2"/>
  <c r="AN24" i="2"/>
  <c r="BB24" i="2"/>
  <c r="AX24" i="2"/>
  <c r="AP24" i="2"/>
  <c r="AL24" i="2"/>
  <c r="AZ23" i="2"/>
  <c r="AT23" i="2"/>
  <c r="AV23" i="2"/>
  <c r="AN23" i="2"/>
  <c r="AP23" i="2"/>
  <c r="AL23" i="2"/>
  <c r="BD23" i="2"/>
  <c r="AR24" i="2"/>
  <c r="AV24" i="2"/>
  <c r="C3" i="8"/>
  <c r="C4" i="8"/>
  <c r="C5" i="8"/>
  <c r="C6" i="8"/>
  <c r="C7" i="8"/>
  <c r="C8" i="8"/>
  <c r="C9" i="8"/>
  <c r="C10" i="8"/>
  <c r="C11" i="8"/>
  <c r="C2" i="8"/>
  <c r="E27" i="2"/>
  <c r="G16" i="2"/>
  <c r="H16" i="2"/>
  <c r="J16" i="2"/>
  <c r="K16" i="2"/>
  <c r="L16" i="2"/>
  <c r="M51" i="2"/>
  <c r="M52" i="2"/>
  <c r="M53" i="2"/>
  <c r="M50" i="2"/>
  <c r="M43" i="2"/>
  <c r="M44" i="2"/>
  <c r="M45" i="2"/>
  <c r="M42" i="2"/>
  <c r="M35" i="2"/>
  <c r="M36" i="2"/>
  <c r="M37" i="2"/>
  <c r="M34" i="2"/>
  <c r="M25" i="2"/>
  <c r="M26" i="2"/>
  <c r="M27" i="2"/>
  <c r="M28" i="2"/>
  <c r="M29" i="2"/>
  <c r="M24" i="2"/>
  <c r="M15" i="2"/>
  <c r="M16" i="2"/>
  <c r="M17" i="2"/>
  <c r="M14" i="2"/>
  <c r="K9" i="2"/>
  <c r="L9" i="2"/>
  <c r="M18" i="2"/>
  <c r="M58" i="2"/>
  <c r="M59" i="2"/>
  <c r="M60" i="2"/>
  <c r="M61" i="2"/>
  <c r="M66" i="2"/>
  <c r="M67" i="2"/>
  <c r="M68" i="2"/>
  <c r="M69" i="2"/>
  <c r="M74" i="2"/>
  <c r="M75" i="2"/>
  <c r="M76" i="2"/>
  <c r="M77" i="2"/>
  <c r="M82" i="2"/>
  <c r="M83" i="2"/>
  <c r="M84" i="2"/>
  <c r="M85" i="2"/>
  <c r="M9" i="2"/>
  <c r="N9" i="2"/>
  <c r="M112" i="2"/>
  <c r="M111" i="2"/>
  <c r="M110" i="2"/>
  <c r="M109" i="2"/>
  <c r="M108" i="2"/>
  <c r="M107" i="2"/>
  <c r="J9" i="2"/>
  <c r="I9" i="2"/>
  <c r="H9" i="2"/>
  <c r="G9" i="2"/>
  <c r="N8" i="2"/>
  <c r="BE21" i="2"/>
  <c r="AF18" i="2"/>
  <c r="AF17" i="2"/>
  <c r="AF16" i="2"/>
  <c r="AF15" i="2"/>
  <c r="AF14" i="2"/>
  <c r="AE161" i="2"/>
  <c r="AT36" i="2"/>
  <c r="AS36" i="2"/>
  <c r="AR36" i="2"/>
  <c r="AQ36" i="2"/>
  <c r="AP36" i="2"/>
  <c r="AO36" i="2"/>
  <c r="AN36" i="2"/>
  <c r="AM36" i="2"/>
  <c r="AL36" i="2"/>
  <c r="AK36" i="2"/>
  <c r="AD160" i="2"/>
  <c r="AD161" i="2"/>
  <c r="Z161" i="2"/>
  <c r="U14" i="3"/>
  <c r="T14" i="3"/>
  <c r="S14" i="3"/>
  <c r="R14" i="3"/>
  <c r="Q14" i="3"/>
  <c r="P14" i="3"/>
  <c r="O14" i="3"/>
  <c r="N14" i="3"/>
  <c r="M14" i="3"/>
  <c r="L14" i="3"/>
  <c r="U13" i="3"/>
  <c r="N3" i="3"/>
  <c r="T13" i="3"/>
  <c r="M3" i="3"/>
  <c r="S13" i="3"/>
  <c r="L3" i="3"/>
  <c r="R13" i="3"/>
  <c r="K3" i="3"/>
  <c r="Q13" i="3"/>
  <c r="J3" i="3"/>
  <c r="P13" i="3"/>
  <c r="I3" i="3"/>
  <c r="O13" i="3"/>
  <c r="N13" i="3"/>
  <c r="G3" i="3"/>
  <c r="M13" i="3"/>
  <c r="F3" i="3"/>
  <c r="L13" i="3"/>
  <c r="E3" i="3"/>
  <c r="H3" i="3"/>
  <c r="O3" i="3"/>
  <c r="U23" i="2"/>
  <c r="U24" i="2"/>
  <c r="U25" i="2"/>
  <c r="U27" i="2"/>
  <c r="AT154" i="2"/>
  <c r="AS154" i="2"/>
  <c r="AR154" i="2"/>
  <c r="AQ154" i="2"/>
  <c r="AP154" i="2"/>
  <c r="AO154" i="2"/>
  <c r="AN154" i="2"/>
  <c r="AM154" i="2"/>
  <c r="AL154" i="2"/>
  <c r="AK154" i="2"/>
  <c r="AT147" i="2"/>
  <c r="AS147" i="2"/>
  <c r="AR147" i="2"/>
  <c r="AQ147" i="2"/>
  <c r="AP147" i="2"/>
  <c r="AO147" i="2"/>
  <c r="AN147" i="2"/>
  <c r="AM147" i="2"/>
  <c r="AL147" i="2"/>
  <c r="AK147" i="2"/>
  <c r="AT140" i="2"/>
  <c r="AS140" i="2"/>
  <c r="AR140" i="2"/>
  <c r="AQ140" i="2"/>
  <c r="AP140" i="2"/>
  <c r="AO140" i="2"/>
  <c r="AN140" i="2"/>
  <c r="AM140" i="2"/>
  <c r="AL140" i="2"/>
  <c r="AK140" i="2"/>
  <c r="AT133" i="2"/>
  <c r="AS133" i="2"/>
  <c r="AR133" i="2"/>
  <c r="AQ133" i="2"/>
  <c r="AP133" i="2"/>
  <c r="AO133" i="2"/>
  <c r="AN133" i="2"/>
  <c r="AM133" i="2"/>
  <c r="AL133" i="2"/>
  <c r="AK133" i="2"/>
  <c r="AT126" i="2"/>
  <c r="AS126" i="2"/>
  <c r="AR126" i="2"/>
  <c r="AQ126" i="2"/>
  <c r="AP126" i="2"/>
  <c r="AO126" i="2"/>
  <c r="AN126" i="2"/>
  <c r="AM126" i="2"/>
  <c r="AL126" i="2"/>
  <c r="AK126" i="2"/>
  <c r="AT119" i="2"/>
  <c r="AS119" i="2"/>
  <c r="AR119" i="2"/>
  <c r="AQ119" i="2"/>
  <c r="AP119" i="2"/>
  <c r="AO119" i="2"/>
  <c r="AN119" i="2"/>
  <c r="AM119" i="2"/>
  <c r="AL119" i="2"/>
  <c r="AK119" i="2"/>
  <c r="AT107" i="2"/>
  <c r="AS107" i="2"/>
  <c r="AR107" i="2"/>
  <c r="AQ107" i="2"/>
  <c r="AP107" i="2"/>
  <c r="AO107" i="2"/>
  <c r="AN107" i="2"/>
  <c r="AM107" i="2"/>
  <c r="AL107" i="2"/>
  <c r="AK107" i="2"/>
  <c r="AT80" i="2"/>
  <c r="AS80" i="2"/>
  <c r="AR80" i="2"/>
  <c r="AQ80" i="2"/>
  <c r="AP80" i="2"/>
  <c r="AO80" i="2"/>
  <c r="AN80" i="2"/>
  <c r="AM80" i="2"/>
  <c r="AL80" i="2"/>
  <c r="AK80" i="2"/>
  <c r="AT74" i="2"/>
  <c r="AS74" i="2"/>
  <c r="AR74" i="2"/>
  <c r="AQ74" i="2"/>
  <c r="AP74" i="2"/>
  <c r="AO74" i="2"/>
  <c r="AN74" i="2"/>
  <c r="AM74" i="2"/>
  <c r="AL74" i="2"/>
  <c r="AK74" i="2"/>
  <c r="AT68" i="2"/>
  <c r="AS68" i="2"/>
  <c r="AR68" i="2"/>
  <c r="AQ68" i="2"/>
  <c r="AP68" i="2"/>
  <c r="AO68" i="2"/>
  <c r="AN68" i="2"/>
  <c r="AM68" i="2"/>
  <c r="AL68" i="2"/>
  <c r="AK68" i="2"/>
  <c r="AT61" i="2"/>
  <c r="AS61" i="2"/>
  <c r="AR61" i="2"/>
  <c r="AQ61" i="2"/>
  <c r="AP61" i="2"/>
  <c r="AO61" i="2"/>
  <c r="AN61" i="2"/>
  <c r="AM61" i="2"/>
  <c r="AL61" i="2"/>
  <c r="AK61" i="2"/>
  <c r="AT55" i="2"/>
  <c r="AS55" i="2"/>
  <c r="AR55" i="2"/>
  <c r="AQ55" i="2"/>
  <c r="AP55" i="2"/>
  <c r="AO55" i="2"/>
  <c r="AN55" i="2"/>
  <c r="AM55" i="2"/>
  <c r="AL55" i="2"/>
  <c r="AK55" i="2"/>
  <c r="AT49" i="2"/>
  <c r="AS49" i="2"/>
  <c r="AR49" i="2"/>
  <c r="AQ49" i="2"/>
  <c r="AP49" i="2"/>
  <c r="AO49" i="2"/>
  <c r="AN49" i="2"/>
  <c r="AM49" i="2"/>
  <c r="AL49" i="2"/>
  <c r="AK49" i="2"/>
  <c r="AT43" i="2"/>
  <c r="AS43" i="2"/>
  <c r="AR43" i="2"/>
  <c r="AQ43" i="2"/>
  <c r="AP43" i="2"/>
  <c r="AO43" i="2"/>
  <c r="AN43" i="2"/>
  <c r="AM43" i="2"/>
  <c r="AL43" i="2"/>
  <c r="AK43" i="2"/>
  <c r="U35" i="2"/>
  <c r="AF27" i="2"/>
  <c r="BC21" i="2"/>
  <c r="BA21" i="2"/>
  <c r="AY21" i="2"/>
  <c r="AW21" i="2"/>
  <c r="AU21" i="2"/>
  <c r="AS21" i="2"/>
  <c r="AQ21" i="2"/>
  <c r="AO21" i="2"/>
  <c r="AM21" i="2"/>
  <c r="U42" i="2"/>
  <c r="AF35" i="2"/>
  <c r="AT25" i="2"/>
  <c r="AV25" i="2"/>
  <c r="BD25" i="2"/>
  <c r="AR25" i="2"/>
  <c r="AL25" i="2"/>
  <c r="AP25" i="2"/>
  <c r="AX25" i="2"/>
  <c r="AN25" i="2"/>
  <c r="U48" i="2"/>
  <c r="AF42" i="2"/>
  <c r="AK25" i="2"/>
  <c r="AJ25" i="2"/>
  <c r="AK24" i="2"/>
  <c r="AJ24" i="2"/>
  <c r="AN26" i="2"/>
  <c r="AK20" i="2"/>
  <c r="U54" i="2"/>
  <c r="AF48" i="2"/>
  <c r="AF54" i="2"/>
  <c r="U60" i="2"/>
  <c r="U58" i="2"/>
  <c r="U56" i="2"/>
  <c r="U57" i="2"/>
  <c r="AF60" i="2"/>
  <c r="U65" i="2"/>
  <c r="U63" i="2"/>
  <c r="U64" i="2"/>
  <c r="U67" i="2"/>
  <c r="AF67" i="2"/>
  <c r="U69" i="2"/>
  <c r="U70" i="2"/>
  <c r="U71" i="2"/>
  <c r="U73" i="2"/>
  <c r="AF73" i="2"/>
  <c r="U75" i="2"/>
  <c r="U76" i="2"/>
  <c r="U77" i="2"/>
  <c r="U79" i="2"/>
  <c r="AF79" i="2"/>
  <c r="U81" i="2"/>
  <c r="U82" i="2"/>
  <c r="U83" i="2"/>
  <c r="U85" i="2"/>
  <c r="AF85" i="2"/>
  <c r="U87" i="2"/>
  <c r="U88" i="2"/>
  <c r="U89" i="2"/>
  <c r="U106" i="2"/>
  <c r="AF106" i="2"/>
  <c r="U113" i="2"/>
  <c r="U108" i="2"/>
  <c r="AF113" i="2"/>
  <c r="U119" i="2"/>
  <c r="U114" i="2"/>
  <c r="U109" i="2"/>
  <c r="AF108" i="2"/>
  <c r="U110" i="2"/>
  <c r="AF110" i="2"/>
  <c r="AF109" i="2"/>
  <c r="U115" i="2"/>
  <c r="AF114" i="2"/>
  <c r="AF119" i="2"/>
  <c r="U125" i="2"/>
  <c r="U120" i="2"/>
  <c r="AP26" i="2"/>
  <c r="AV26" i="2"/>
  <c r="AL26" i="2"/>
  <c r="AX26" i="2"/>
  <c r="AT26" i="2"/>
  <c r="AR26" i="2"/>
  <c r="AZ26" i="2"/>
  <c r="BD26" i="2"/>
  <c r="AK22" i="2"/>
  <c r="AJ22" i="2"/>
  <c r="AK23" i="2"/>
  <c r="AJ23" i="2"/>
  <c r="BB26" i="2"/>
  <c r="U121" i="2"/>
  <c r="AF120" i="2"/>
  <c r="U116" i="2"/>
  <c r="AF116" i="2"/>
  <c r="AF115" i="2"/>
  <c r="AF125" i="2"/>
  <c r="U132" i="2"/>
  <c r="U127" i="2"/>
  <c r="U128" i="2"/>
  <c r="U129" i="2"/>
  <c r="AJ21" i="2"/>
  <c r="BE26" i="2"/>
  <c r="U122" i="2"/>
  <c r="AF122" i="2"/>
  <c r="AF121" i="2"/>
  <c r="AF132" i="2"/>
  <c r="U139" i="2"/>
  <c r="U134" i="2"/>
  <c r="U135" i="2"/>
  <c r="U136" i="2"/>
  <c r="AF139" i="2"/>
  <c r="U141" i="2"/>
  <c r="U142" i="2"/>
  <c r="U143" i="2"/>
  <c r="U146" i="2"/>
  <c r="AF146" i="2"/>
  <c r="U153" i="2"/>
  <c r="U148" i="2"/>
  <c r="U149" i="2"/>
  <c r="U150" i="2"/>
  <c r="U155" i="2"/>
  <c r="U156" i="2"/>
  <c r="U157" i="2"/>
  <c r="AF153" i="2"/>
</calcChain>
</file>

<file path=xl/comments1.xml><?xml version="1.0" encoding="utf-8"?>
<comments xmlns="http://schemas.openxmlformats.org/spreadsheetml/2006/main">
  <authors>
    <author>R. Boot</author>
    <author>李 文华</author>
    <author>Ruben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Availbale hours for project
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`hours performed per group member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fill out name
</t>
        </r>
      </text>
    </comment>
    <comment ref="I11" authorId="1">
      <text>
        <r>
          <rPr>
            <b/>
            <sz val="10"/>
            <color indexed="81"/>
            <rFont val="Calibri"/>
            <family val="2"/>
          </rPr>
          <t>李 文华:</t>
        </r>
        <r>
          <rPr>
            <sz val="10"/>
            <color indexed="81"/>
            <rFont val="Calibri"/>
            <family val="2"/>
          </rPr>
          <t xml:space="preserve">
8，14-16</t>
        </r>
      </text>
    </comment>
    <comment ref="J11" authorId="1">
      <text>
        <r>
          <rPr>
            <b/>
            <sz val="10"/>
            <color indexed="81"/>
            <rFont val="Calibri"/>
            <family val="2"/>
          </rPr>
          <t>李 文华:</t>
        </r>
        <r>
          <rPr>
            <sz val="10"/>
            <color indexed="81"/>
            <rFont val="Calibri"/>
            <family val="2"/>
          </rPr>
          <t xml:space="preserve">
9-13
</t>
        </r>
      </text>
    </comment>
    <comment ref="K11" authorId="1">
      <text>
        <r>
          <rPr>
            <b/>
            <sz val="10"/>
            <color indexed="81"/>
            <rFont val="Calibri"/>
            <family val="2"/>
          </rPr>
          <t>李 文华:</t>
        </r>
        <r>
          <rPr>
            <sz val="10"/>
            <color indexed="81"/>
            <rFont val="Calibri"/>
            <family val="2"/>
          </rPr>
          <t xml:space="preserve">
17，19-21，23</t>
        </r>
      </text>
    </comment>
    <comment ref="L11" authorId="1">
      <text>
        <r>
          <rPr>
            <b/>
            <sz val="10"/>
            <color indexed="81"/>
            <rFont val="Calibri"/>
            <family val="2"/>
          </rPr>
          <t>李 文华:</t>
        </r>
        <r>
          <rPr>
            <sz val="10"/>
            <color indexed="81"/>
            <rFont val="Calibri"/>
            <family val="2"/>
          </rPr>
          <t xml:space="preserve">
7，22
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3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3" authorId="0">
      <text>
        <r>
          <rPr>
            <b/>
            <sz val="9"/>
            <color indexed="81"/>
            <rFont val="Tahoma"/>
            <family val="2"/>
          </rPr>
          <t xml:space="preserve">R. Boot:  is assignment OK = Pass
NOT OK = FAIL &gt;&gt;&gt; REWORK 
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11"/>
            <color indexed="81"/>
            <rFont val="ＭＳ Ｐゴシック"/>
            <family val="2"/>
            <charset val="128"/>
          </rPr>
          <t xml:space="preserve">Zoe:
done for version1
need to check if anything missing
</t>
        </r>
      </text>
    </comment>
    <comment ref="E16" authorId="1">
      <text>
        <r>
          <rPr>
            <b/>
            <sz val="11"/>
            <color indexed="81"/>
            <rFont val="ＭＳ Ｐゴシック"/>
            <family val="2"/>
            <charset val="128"/>
          </rPr>
          <t>Zoe: finished products
3 coils：hot/cold/galvinized
1 ingot</t>
        </r>
      </text>
    </comment>
    <comment ref="AG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fill out 110% to simulate 10% growth of volume
</t>
        </r>
      </text>
    </comment>
    <comment ref="AJ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Adjustable cel fill out an other amount and spreadsheet will change
to be given by lecturer
</t>
        </r>
      </text>
    </comment>
    <comment ref="AK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Check this cell is 100 % by adjusting the yellow percentages 
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make sure percentages are in  cell 
AH16  100 %
</t>
        </r>
      </text>
    </comment>
    <comment ref="AJ21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make sure this is 100%
</t>
        </r>
      </text>
    </comment>
    <comment ref="AM21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by adding up the vertical  fields below this cell should be 100%
</t>
        </r>
      </text>
    </comment>
    <comment ref="AJ22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adjustable cell
</t>
        </r>
      </text>
    </comment>
    <comment ref="H24" authorId="1">
      <text>
        <r>
          <rPr>
            <b/>
            <sz val="11"/>
            <color indexed="81"/>
            <rFont val="ＭＳ Ｐゴシック"/>
            <family val="2"/>
            <charset val="128"/>
          </rPr>
          <t xml:space="preserve">Zoe:
exact address of destination needed
</t>
        </r>
      </text>
    </comment>
    <comment ref="AK30" authorId="1">
      <text>
        <r>
          <rPr>
            <b/>
            <sz val="11"/>
            <color indexed="81"/>
            <rFont val="ＭＳ Ｐゴシック"/>
            <family val="2"/>
            <charset val="128"/>
          </rPr>
          <t>Vlad:
https://www.viamichelin.com
Origin: address of AM
Destination: Noorderpoort 49, 5916 PJ Venlo</t>
        </r>
      </text>
    </comment>
    <comment ref="AL30" authorId="1">
      <text>
        <r>
          <rPr>
            <b/>
            <sz val="11"/>
            <color indexed="81"/>
            <rFont val="ＭＳ Ｐゴシック"/>
            <family val="2"/>
            <charset val="128"/>
          </rPr>
          <t>Hilal:
https://www.anwb.nl/verkeer/routeplanner
Origin: address of AM
Destination:</t>
        </r>
      </text>
    </comment>
    <comment ref="AM30" authorId="1">
      <text>
        <r>
          <rPr>
            <b/>
            <sz val="11"/>
            <color indexed="81"/>
            <rFont val="ＭＳ Ｐゴシック"/>
            <family val="2"/>
            <charset val="128"/>
          </rPr>
          <t>Vlad:
https://www.viamichelin.com
Origin: address of AM
Destination: VW Nordstraße, 38440 Wolfsburg, Germany</t>
        </r>
      </text>
    </comment>
    <comment ref="AN30" authorId="1">
      <text>
        <r>
          <rPr>
            <sz val="10"/>
            <color indexed="81"/>
            <rFont val="Calibri"/>
            <family val="2"/>
          </rPr>
          <t>Vlad:
https://www.viamichelin.com
Origin: address of AM
Destination: Str. des 13. Januar 19, 66121 Saarbrücken, Germany</t>
        </r>
      </text>
    </comment>
    <comment ref="AO30" authorId="1">
      <text>
        <r>
          <rPr>
            <b/>
            <sz val="11"/>
            <color indexed="81"/>
            <rFont val="ＭＳ Ｐゴシック"/>
            <family val="2"/>
            <charset val="128"/>
          </rPr>
          <t>Vlad:
https://www.viamichelin.com
Origin: address of AM
Destination: 19 Boulevard Courcerin, 77185 Lognes, France</t>
        </r>
      </text>
    </comment>
    <comment ref="AP30" authorId="1">
      <text>
        <r>
          <rPr>
            <b/>
            <sz val="11"/>
            <color indexed="81"/>
            <rFont val="ＭＳ Ｐゴシック"/>
            <family val="2"/>
            <charset val="128"/>
          </rPr>
          <t>Hilal:
https://www.anwb.nl/verkeer/routeplanner
Origin: address of AM
Destination:</t>
        </r>
      </text>
    </comment>
    <comment ref="AQ30" authorId="1">
      <text>
        <r>
          <rPr>
            <b/>
            <sz val="11"/>
            <color indexed="81"/>
            <rFont val="ＭＳ Ｐゴシック"/>
            <family val="2"/>
            <charset val="128"/>
          </rPr>
          <t>Hilal:
https://www.anwb.nl/verkeer/routeplanner
Origin: address of AM
Destination:</t>
        </r>
      </text>
    </comment>
    <comment ref="AR30" authorId="1">
      <text>
        <r>
          <rPr>
            <b/>
            <sz val="10"/>
            <color indexed="81"/>
            <rFont val="Calibri"/>
            <family val="2"/>
          </rPr>
          <t>Vlad:
https://www.viamichelin.com
Origin: address of AM
Destination: Via Fieschi, 8, 16128 Genova GE, Italy</t>
        </r>
      </text>
    </comment>
    <comment ref="AS30" authorId="1">
      <text>
        <r>
          <rPr>
            <b/>
            <sz val="11"/>
            <color indexed="81"/>
            <rFont val="ＭＳ Ｐゴシック"/>
            <family val="2"/>
            <charset val="128"/>
          </rPr>
          <t>Vlad:
https://www.viamichelin.com
Origin:address of AM
Destination: Terminal de Carga, Edificio de Oficinas, Aeropuerto de Bilbao, 48150 Sondica, Vizcaya, Spain</t>
        </r>
      </text>
    </comment>
    <comment ref="AT30" authorId="1">
      <text>
        <r>
          <rPr>
            <b/>
            <sz val="10"/>
            <color indexed="81"/>
            <rFont val="Calibri"/>
            <family val="2"/>
          </rPr>
          <t xml:space="preserve">Vlad:
https://www.viamichelin.com
Origin: address of AM
Destination: Riem - Tor 21, 81829 München, Germany
</t>
        </r>
      </text>
    </comment>
    <comment ref="AG35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keep in mind the infra possibilities</t>
        </r>
      </text>
    </comment>
    <comment ref="AK70" authorId="2">
      <text>
        <r>
          <rPr>
            <b/>
            <sz val="9"/>
            <color indexed="81"/>
            <rFont val="Tahoma"/>
            <family val="2"/>
          </rPr>
          <t>Ruben:</t>
        </r>
        <r>
          <rPr>
            <sz val="9"/>
            <color indexed="81"/>
            <rFont val="Tahoma"/>
            <family val="2"/>
          </rPr>
          <t xml:space="preserve">
1,1=10% extra because of use of intermodal</t>
        </r>
      </text>
    </comment>
    <comment ref="AK76" authorId="2">
      <text>
        <r>
          <rPr>
            <b/>
            <sz val="9"/>
            <color indexed="81"/>
            <rFont val="Tahoma"/>
            <family val="2"/>
          </rPr>
          <t>Ruben:</t>
        </r>
        <r>
          <rPr>
            <sz val="9"/>
            <color indexed="81"/>
            <rFont val="Tahoma"/>
            <family val="2"/>
          </rPr>
          <t xml:space="preserve">
1,1=10% extra because of use of intermodal</t>
        </r>
      </text>
    </comment>
  </commentList>
</comments>
</file>

<file path=xl/comments2.xml><?xml version="1.0" encoding="utf-8"?>
<comments xmlns="http://schemas.openxmlformats.org/spreadsheetml/2006/main">
  <authors>
    <author>李 文华</author>
  </authors>
  <commentList>
    <comment ref="D7" authorId="0">
      <text>
        <r>
          <rPr>
            <b/>
            <sz val="11"/>
            <color indexed="81"/>
            <rFont val="ＭＳ Ｐゴシック"/>
            <family val="2"/>
            <charset val="128"/>
          </rPr>
          <t>Zoe:
https://www.reade.com/component/zoo/olivine-powder-and-olivine-sand-mgfe-2sio4</t>
        </r>
      </text>
    </comment>
    <comment ref="A9" authorId="0">
      <text>
        <r>
          <rPr>
            <b/>
            <sz val="11"/>
            <color indexed="81"/>
            <rFont val="ＭＳ Ｐゴシック"/>
            <family val="2"/>
            <charset val="128"/>
          </rPr>
          <t>Zoe:
what pellets?</t>
        </r>
      </text>
    </comment>
    <comment ref="D10" authorId="0">
      <text>
        <r>
          <rPr>
            <b/>
            <sz val="11"/>
            <color indexed="81"/>
            <rFont val="ＭＳ Ｐゴシック"/>
            <family val="2"/>
            <charset val="128"/>
          </rPr>
          <t>Zoe:
AM-Canada</t>
        </r>
      </text>
    </comment>
  </commentList>
</comments>
</file>

<file path=xl/sharedStrings.xml><?xml version="1.0" encoding="utf-8"?>
<sst xmlns="http://schemas.openxmlformats.org/spreadsheetml/2006/main" count="842" uniqueCount="307">
  <si>
    <t>month</t>
  </si>
  <si>
    <t>week</t>
  </si>
  <si>
    <t>individual knowledge and handling of the model</t>
  </si>
  <si>
    <t>truck</t>
  </si>
  <si>
    <t>barge</t>
  </si>
  <si>
    <t xml:space="preserve"> </t>
  </si>
  <si>
    <t xml:space="preserve">truck </t>
  </si>
  <si>
    <t xml:space="preserve">rail </t>
  </si>
  <si>
    <t xml:space="preserve">Torino  It. </t>
  </si>
  <si>
    <t xml:space="preserve">Distances </t>
  </si>
  <si>
    <t>traveltime</t>
  </si>
  <si>
    <t>short sea</t>
  </si>
  <si>
    <t xml:space="preserve">short sea </t>
  </si>
  <si>
    <t>Praha CZ</t>
  </si>
  <si>
    <t>Wolfsburg</t>
  </si>
  <si>
    <r>
      <t xml:space="preserve">Calculate / define the </t>
    </r>
    <r>
      <rPr>
        <b/>
        <sz val="10"/>
        <color theme="1"/>
        <rFont val="Calibri"/>
        <family val="2"/>
      </rPr>
      <t xml:space="preserve">cost per rotation </t>
    </r>
    <r>
      <rPr>
        <sz val="10"/>
        <color theme="1"/>
        <rFont val="Calibri"/>
        <family val="2"/>
      </rPr>
      <t xml:space="preserve">and transport mode </t>
    </r>
  </si>
  <si>
    <t>rail</t>
  </si>
  <si>
    <t xml:space="preserve">type and carriage capacity in Volume or Weight of  the selected type </t>
  </si>
  <si>
    <t>tons</t>
  </si>
  <si>
    <t>M3</t>
  </si>
  <si>
    <t xml:space="preserve">Engine Locomotive type </t>
  </si>
  <si>
    <t>Volume</t>
  </si>
  <si>
    <t>Weight</t>
  </si>
  <si>
    <t>Finished product ditribution by destination</t>
  </si>
  <si>
    <t xml:space="preserve">Germersheim  </t>
  </si>
  <si>
    <t xml:space="preserve">Genua  </t>
  </si>
  <si>
    <t>Bilbao It.</t>
  </si>
  <si>
    <t>Munich</t>
  </si>
  <si>
    <t>Venlo</t>
  </si>
  <si>
    <t>AVG speed</t>
  </si>
  <si>
    <t>Break</t>
  </si>
  <si>
    <t>Down</t>
  </si>
  <si>
    <t xml:space="preserve">Distribution </t>
  </si>
  <si>
    <t>in hours</t>
  </si>
  <si>
    <t>weight or volume</t>
  </si>
  <si>
    <r>
      <t xml:space="preserve">Calculate / define the </t>
    </r>
    <r>
      <rPr>
        <b/>
        <sz val="10"/>
        <color theme="1"/>
        <rFont val="Calibri"/>
        <family val="2"/>
      </rPr>
      <t>cost of the trip per hour</t>
    </r>
    <r>
      <rPr>
        <sz val="10"/>
        <color theme="1"/>
        <rFont val="Calibri"/>
        <family val="2"/>
      </rPr>
      <t xml:space="preserve"> ,   </t>
    </r>
  </si>
  <si>
    <t>year</t>
  </si>
  <si>
    <t>day</t>
  </si>
  <si>
    <t>hour</t>
  </si>
  <si>
    <t>by</t>
  </si>
  <si>
    <t>trip movements  per</t>
  </si>
  <si>
    <r>
      <t xml:space="preserve">Calculate / define the overall total </t>
    </r>
    <r>
      <rPr>
        <b/>
        <sz val="10"/>
        <color theme="1"/>
        <rFont val="Calibri"/>
        <family val="2"/>
      </rPr>
      <t>cost per destination and mode of transport</t>
    </r>
  </si>
  <si>
    <t>units/site</t>
  </si>
  <si>
    <r>
      <t xml:space="preserve">Calculate / define the number of transported </t>
    </r>
    <r>
      <rPr>
        <b/>
        <sz val="10"/>
        <color theme="1"/>
        <rFont val="Calibri"/>
        <family val="2"/>
      </rPr>
      <t xml:space="preserve">units per destination </t>
    </r>
    <r>
      <rPr>
        <sz val="10"/>
        <color theme="1"/>
        <rFont val="Calibri"/>
        <family val="2"/>
      </rPr>
      <t xml:space="preserve">  </t>
    </r>
  </si>
  <si>
    <t>Outbound  Gent</t>
  </si>
  <si>
    <t xml:space="preserve">Inbound  /  TO </t>
  </si>
  <si>
    <t>No. trips'</t>
  </si>
  <si>
    <t>FROM GENT</t>
  </si>
  <si>
    <t xml:space="preserve">waggon type set configuration and number of waggons in your blocktrain </t>
  </si>
  <si>
    <t xml:space="preserve">Find  allocate and map the origin GENT and  destinations of the finished  materials  </t>
  </si>
  <si>
    <t>Weighted AVG</t>
  </si>
  <si>
    <t xml:space="preserve"> AVAILABLE  weeks </t>
  </si>
  <si>
    <r>
      <t xml:space="preserve">Calculate  the </t>
    </r>
    <r>
      <rPr>
        <b/>
        <sz val="10"/>
        <color theme="1"/>
        <rFont val="Calibri"/>
        <family val="2"/>
      </rPr>
      <t xml:space="preserve">cost per km </t>
    </r>
    <r>
      <rPr>
        <sz val="10"/>
        <color theme="1"/>
        <rFont val="Calibri"/>
        <family val="2"/>
      </rPr>
      <t xml:space="preserve"> per mode: truck train rail </t>
    </r>
  </si>
  <si>
    <r>
      <t xml:space="preserve">Calculate  the  </t>
    </r>
    <r>
      <rPr>
        <b/>
        <sz val="10"/>
        <color theme="1"/>
        <rFont val="Calibri"/>
        <family val="2"/>
      </rPr>
      <t>cost per transported unit  p</t>
    </r>
    <r>
      <rPr>
        <sz val="10"/>
        <color theme="1"/>
        <rFont val="Calibri"/>
        <family val="2"/>
      </rPr>
      <t xml:space="preserve">er mode: truck train rail, short sea </t>
    </r>
  </si>
  <si>
    <t>Realized</t>
  </si>
  <si>
    <t>planned</t>
  </si>
  <si>
    <t>hours</t>
  </si>
  <si>
    <t>Delivery not entirely on desired level additional activities required or not greenlighted yet  geheel af of nog niet door iedereen gelezen/ gechecked</t>
  </si>
  <si>
    <t>cumulative</t>
  </si>
  <si>
    <t>Hours performed</t>
  </si>
  <si>
    <t>date</t>
  </si>
  <si>
    <t>OTD</t>
  </si>
  <si>
    <t xml:space="preserve"> Activity / actions / TO DO</t>
  </si>
  <si>
    <t xml:space="preserve">Member </t>
  </si>
  <si>
    <t>START</t>
  </si>
  <si>
    <t>END</t>
  </si>
  <si>
    <t>SMART  = specific measurable Achieveable and time framed</t>
  </si>
  <si>
    <t xml:space="preserve">sheet with clear problem and goal description </t>
  </si>
  <si>
    <t xml:space="preserve"> blue print of Excel</t>
  </si>
  <si>
    <t>etc</t>
  </si>
  <si>
    <t>Delivery of PROJEKT PLANNING in Excel</t>
  </si>
  <si>
    <t>et</t>
  </si>
  <si>
    <t>everybody check deliverables and indiviidual results</t>
  </si>
  <si>
    <t>c</t>
  </si>
  <si>
    <t>Incorporate delivery dates</t>
  </si>
  <si>
    <t xml:space="preserve">writing minutte Minutes </t>
  </si>
  <si>
    <t xml:space="preserve">model testing </t>
  </si>
  <si>
    <t>Fill out the goals and requirements of the assignment</t>
  </si>
  <si>
    <t xml:space="preserve">Project Planning  sheet </t>
  </si>
  <si>
    <t>Available hours per person</t>
  </si>
  <si>
    <t>Belgium</t>
  </si>
  <si>
    <t>Netherlands</t>
  </si>
  <si>
    <t>France</t>
  </si>
  <si>
    <t>Germany</t>
  </si>
  <si>
    <t>Swiss</t>
  </si>
  <si>
    <t>Austria</t>
  </si>
  <si>
    <t xml:space="preserve">Italy </t>
  </si>
  <si>
    <t>Spain</t>
  </si>
  <si>
    <t>Chjeck  Republic</t>
  </si>
  <si>
    <t>1 prepare mind map  ???</t>
  </si>
  <si>
    <t xml:space="preserve">2.define raw materials </t>
  </si>
  <si>
    <t xml:space="preserve">3. Make planning and Define  distribute activities / tasks </t>
  </si>
  <si>
    <t>Labour</t>
  </si>
  <si>
    <t>Energy</t>
  </si>
  <si>
    <t>INFRA</t>
  </si>
  <si>
    <t>Engine / Locomotice</t>
  </si>
  <si>
    <t>Waggon/ Railcar</t>
  </si>
  <si>
    <t>Per KM</t>
  </si>
  <si>
    <t>RAIL route  distances per country</t>
  </si>
  <si>
    <t>TOTAL</t>
  </si>
  <si>
    <t>6A</t>
  </si>
  <si>
    <t>"Insert comment"  by right klick all comments s</t>
  </si>
  <si>
    <t xml:space="preserve">Cost distribution per country  for 75 TEU blocktrain from R.Dam to Milano </t>
  </si>
  <si>
    <t>Find the rail distances per country in KM Border to border.</t>
  </si>
  <si>
    <t>Assume the travel speed per country  in Km/ hour</t>
  </si>
  <si>
    <t>Calculate the traveled time in hours per country</t>
  </si>
  <si>
    <t>Km/ hrs</t>
  </si>
  <si>
    <t>XXX</t>
  </si>
  <si>
    <t>hrs/ country</t>
  </si>
  <si>
    <t>Engine / Locomotive</t>
  </si>
  <si>
    <t xml:space="preserve">WEEK 4 </t>
  </si>
  <si>
    <t>Calculate cost  per km</t>
  </si>
  <si>
    <t>Calculate cost  per hour</t>
  </si>
  <si>
    <t xml:space="preserve">Cost / hour for </t>
  </si>
  <si>
    <t>4D</t>
  </si>
  <si>
    <t>4E</t>
  </si>
  <si>
    <t>Calculate railcar cost  per  day ?</t>
  </si>
  <si>
    <t>Define the railcar type used</t>
  </si>
  <si>
    <t xml:space="preserve">Number of TEU per railcar  </t>
  </si>
  <si>
    <t>Calculate Cost per TEU one way</t>
  </si>
  <si>
    <t>Number of TEU per TRIP</t>
  </si>
  <si>
    <t>ASSIGNMENT+G40A15:G43A1A15:G54</t>
  </si>
  <si>
    <t>WEEK</t>
  </si>
  <si>
    <t>Define  and research the waiting rest and other time  used during the  defined trips :</t>
  </si>
  <si>
    <t>Define  and research the loading  and unloading time  used during the  defined trips :</t>
  </si>
  <si>
    <t>Calculate the traveltime / or rotation time per destination per mode: truck, train, rail   including loading time  discharging time and other delays</t>
  </si>
  <si>
    <t>Calculate / define maximum allowed  weight per destination and transport mode configuration per rotation</t>
  </si>
  <si>
    <t xml:space="preserve">Calculate / define the maximum transported tonnage per trip  </t>
  </si>
  <si>
    <t xml:space="preserve">Calculate / define the number of transported units per trip  </t>
  </si>
  <si>
    <t>DELIVARABLES/ PRODUCTS</t>
  </si>
  <si>
    <t>TOTAL QUANTITY  in mt</t>
  </si>
  <si>
    <t>by mode</t>
  </si>
  <si>
    <t xml:space="preserve">quantitiets </t>
  </si>
  <si>
    <t xml:space="preserve">in tons </t>
  </si>
  <si>
    <t>total tons per destination</t>
  </si>
  <si>
    <t>Define / select the optimal allowed configuration and  or size of your transportation mode  allowed for that destination  and ffill out in the table below</t>
  </si>
  <si>
    <t>type  loading capacity  in tons and  CBM</t>
  </si>
  <si>
    <t xml:space="preserve">rail distance Km </t>
  </si>
  <si>
    <t xml:space="preserve">Switserland </t>
  </si>
  <si>
    <t>Italy</t>
  </si>
  <si>
    <t xml:space="preserve">Cost elements per cocuntry   </t>
  </si>
  <si>
    <t>Quality is  below level of Group expectation or lecturer judgement</t>
  </si>
  <si>
    <t>Meaning of the colours to be given by the group : desired  improvements to be  written down in Cell comments</t>
  </si>
  <si>
    <t>ASSIGNMENT number</t>
  </si>
  <si>
    <t>ETC</t>
  </si>
  <si>
    <t>Payload in</t>
  </si>
  <si>
    <t>Deadline assignemnt in COURSE WEEK</t>
  </si>
  <si>
    <t>fill out and describe deliverables</t>
  </si>
  <si>
    <t>Find and report which Raw materials and finished products volumes and quantities , metrics and market prices for Arcelor's steel mill in Gent are applicable?</t>
  </si>
  <si>
    <t>Find origins and 5 alternative origins of raw material for Gent and their tranportation methods?</t>
  </si>
  <si>
    <t xml:space="preserve">WEEK 3 </t>
  </si>
  <si>
    <t>TRUCKING ASSIGNMENT</t>
  </si>
  <si>
    <t>RAIL ASSIGNMENT</t>
  </si>
  <si>
    <t>WEEK 5</t>
  </si>
  <si>
    <t>BARGE ASSIGNMENT</t>
  </si>
  <si>
    <t xml:space="preserve">FILL OUT IN " CELL COMMENT" THE DEFECT OR PROBLEM AND WHAT SHOULD BE DONE TO IMPROVE </t>
  </si>
  <si>
    <t>organized mind map with 30 organized topics</t>
  </si>
  <si>
    <t>TRUCk  ASSIGNMENT</t>
  </si>
  <si>
    <t>0. Prepare and fill out and maintain actions and deliverables in planning sheet</t>
  </si>
  <si>
    <t>Completely filled out planning sheet</t>
  </si>
  <si>
    <t>punten =</t>
  </si>
  <si>
    <t>maximum points</t>
  </si>
  <si>
    <t>Final Judgement Model</t>
  </si>
  <si>
    <t>Assigned nr. Points</t>
  </si>
  <si>
    <t>Assignments</t>
  </si>
  <si>
    <t>Read by group members and agreed upon. In the end all cells should be green,</t>
  </si>
  <si>
    <t xml:space="preserve">to be researched and filled out </t>
  </si>
  <si>
    <t>In percentages</t>
  </si>
  <si>
    <t xml:space="preserve"> cxvfvb</t>
  </si>
  <si>
    <t>totals</t>
  </si>
  <si>
    <t>Rail net Distances in Km  through the countries to reach the destination  Fill out 0 if not used</t>
  </si>
  <si>
    <t xml:space="preserve">Exercise </t>
  </si>
  <si>
    <t>TO BE RESEARCHED AND COMPUTED</t>
  </si>
  <si>
    <t>clients in</t>
  </si>
  <si>
    <t>modal split</t>
  </si>
  <si>
    <t>cost per rotation</t>
  </si>
  <si>
    <t>cost/ Km</t>
  </si>
  <si>
    <t>cost/ unit</t>
  </si>
  <si>
    <t>cost/ hour</t>
  </si>
  <si>
    <t>Find and describe  per raw material type the net  volumes and tonnages  of the transport type/method  used  to Gent .</t>
  </si>
  <si>
    <t>transport specialist</t>
  </si>
  <si>
    <t>Saarbrucke</t>
  </si>
  <si>
    <t>toatal cost</t>
  </si>
  <si>
    <t xml:space="preserve">PLEASE NOTE ANSWERS NEED TO BE MOTIVATED AND SOURCE OF INFORMATION SHOULD BE MADE CLEAR Please note The absolute answers need to be representede also in PERCENTAGES </t>
  </si>
  <si>
    <t xml:space="preserve"> Find literature how to make a mind map. Make a mind map of the assigment  ( 2 sources or references) </t>
  </si>
  <si>
    <t>Prepare and fill out and maintain actions and deliverables in planning sheet Copy the sheet after filling out the questions to the planning sheet.</t>
  </si>
  <si>
    <t xml:space="preserve">Project actions to be carried out  </t>
  </si>
  <si>
    <t xml:space="preserve">Assignment number / </t>
  </si>
  <si>
    <t>BUDGETTED / PLANNED HOURS PER MEMBER</t>
  </si>
  <si>
    <t>DELIVERABLES DESCRIPTION</t>
  </si>
  <si>
    <t>ASSESSMENT POINTS</t>
  </si>
  <si>
    <t>FINAL  SCORE</t>
  </si>
  <si>
    <t xml:space="preserve">Find the distances per mode: by  truck train and barge . </t>
  </si>
  <si>
    <t>fill out the table and present results in bar graphs</t>
  </si>
  <si>
    <t>Find the travelleRAIL Route Distances  in km through each transit country  to the final destination. GO to the RAIL COST help sheet</t>
  </si>
  <si>
    <t>6B</t>
  </si>
  <si>
    <t>6C</t>
  </si>
  <si>
    <t>Cost / km  for</t>
  </si>
  <si>
    <t>Define  and research the average expected cruising speed in km per hour during operation of the transport mode:</t>
  </si>
  <si>
    <t xml:space="preserve">time spent per rotation </t>
  </si>
  <si>
    <t>Calculate / define maximum allowed  Weight  or tonnnage per destination and transport mode configuration per rotation (transport capacity per rotation)</t>
  </si>
  <si>
    <t>total/task</t>
  </si>
  <si>
    <t>hrs. cumulative</t>
  </si>
  <si>
    <t xml:space="preserve">hours </t>
  </si>
  <si>
    <t xml:space="preserve">Student Name </t>
  </si>
  <si>
    <t>Activity registration part  (add activity assignment descriptions  below per assignment )</t>
  </si>
  <si>
    <t>Switserland   Italy</t>
  </si>
  <si>
    <t>Rotterdam - Milano for 75 TEU railcar set  round trip</t>
  </si>
  <si>
    <t>total</t>
  </si>
  <si>
    <t>Ruben</t>
    <phoneticPr fontId="12" type="noConversion"/>
  </si>
  <si>
    <t>Hilal</t>
    <phoneticPr fontId="12" type="noConversion"/>
  </si>
  <si>
    <t>Lubo</t>
    <phoneticPr fontId="12" type="noConversion"/>
  </si>
  <si>
    <t>Vlad</t>
    <phoneticPr fontId="12" type="noConversion"/>
  </si>
  <si>
    <t>Jordan</t>
    <phoneticPr fontId="12" type="noConversion"/>
  </si>
  <si>
    <t>Zoe</t>
    <phoneticPr fontId="12" type="noConversion"/>
  </si>
  <si>
    <t>define structurem content of presentation in PPT</t>
    <phoneticPr fontId="12" type="noConversion"/>
  </si>
  <si>
    <t>raw material</t>
    <phoneticPr fontId="12" type="noConversion"/>
  </si>
  <si>
    <t>coal</t>
    <phoneticPr fontId="12" type="noConversion"/>
  </si>
  <si>
    <t>iron ore</t>
    <phoneticPr fontId="12" type="noConversion"/>
  </si>
  <si>
    <t>anthracite</t>
    <phoneticPr fontId="12" type="noConversion"/>
  </si>
  <si>
    <t>limestone</t>
    <phoneticPr fontId="12" type="noConversion"/>
  </si>
  <si>
    <t>dolomite</t>
    <phoneticPr fontId="12" type="noConversion"/>
  </si>
  <si>
    <t>olivine</t>
    <phoneticPr fontId="12" type="noConversion"/>
  </si>
  <si>
    <t>pulverized coal</t>
    <phoneticPr fontId="12" type="noConversion"/>
  </si>
  <si>
    <t>pellets</t>
    <phoneticPr fontId="12" type="noConversion"/>
  </si>
  <si>
    <t>external scrap</t>
    <phoneticPr fontId="12" type="noConversion"/>
  </si>
  <si>
    <t>lime</t>
    <phoneticPr fontId="12" type="noConversion"/>
  </si>
  <si>
    <t>consumption of year(m ton)</t>
    <phoneticPr fontId="12" type="noConversion"/>
  </si>
  <si>
    <t>distance by truck</t>
    <phoneticPr fontId="12" type="noConversion"/>
  </si>
  <si>
    <t>calculate the models of containers</t>
    <phoneticPr fontId="12" type="noConversion"/>
  </si>
  <si>
    <t>excel model for final product information</t>
    <phoneticPr fontId="12" type="noConversion"/>
  </si>
  <si>
    <t>Units/Pallet</t>
  </si>
  <si>
    <t>Product A</t>
  </si>
  <si>
    <t>Product B</t>
  </si>
  <si>
    <t>Product C</t>
  </si>
  <si>
    <t>Product D</t>
  </si>
  <si>
    <t>Pallet Capacity (tonnes)</t>
  </si>
  <si>
    <t>Hot rolled coils</t>
  </si>
  <si>
    <t>Cold rolled coils</t>
  </si>
  <si>
    <t>Galvanized Coils</t>
  </si>
  <si>
    <t>Ingot</t>
  </si>
  <si>
    <t>Destination</t>
  </si>
  <si>
    <t>Destination</t>
    <phoneticPr fontId="12" type="noConversion"/>
  </si>
  <si>
    <t>Item</t>
  </si>
  <si>
    <t>Item</t>
    <phoneticPr fontId="12" type="noConversion"/>
  </si>
  <si>
    <t xml:space="preserve">Paris </t>
    <phoneticPr fontId="12" type="noConversion"/>
  </si>
  <si>
    <t>editable</t>
  </si>
  <si>
    <t xml:space="preserve">Product A </t>
    <phoneticPr fontId="12" type="noConversion"/>
  </si>
  <si>
    <t xml:space="preserve">Product B </t>
    <phoneticPr fontId="12" type="noConversion"/>
  </si>
  <si>
    <t xml:space="preserve">Product C </t>
    <phoneticPr fontId="12" type="noConversion"/>
  </si>
  <si>
    <t xml:space="preserve">Prdouct D </t>
    <phoneticPr fontId="12" type="noConversion"/>
  </si>
  <si>
    <t>excel work</t>
    <phoneticPr fontId="12" type="noConversion"/>
  </si>
  <si>
    <t>metric( bulk density t/m3)</t>
    <phoneticPr fontId="12" type="noConversion"/>
  </si>
  <si>
    <t>market price</t>
    <phoneticPr fontId="12" type="noConversion"/>
  </si>
  <si>
    <t>consumption of year(m m3)</t>
    <phoneticPr fontId="12" type="noConversion"/>
  </si>
  <si>
    <t>Types of Containers</t>
  </si>
  <si>
    <t>Price  New</t>
  </si>
  <si>
    <t>Max Weight</t>
  </si>
  <si>
    <t>rent per month</t>
  </si>
  <si>
    <t>30480 kg</t>
  </si>
  <si>
    <t>Truck-container</t>
  </si>
  <si>
    <t>Grand Total</t>
  </si>
  <si>
    <t>mode</t>
  </si>
  <si>
    <t>train-truck</t>
  </si>
  <si>
    <t>barge-truck</t>
  </si>
  <si>
    <t>shortsea-truck</t>
  </si>
  <si>
    <t>working days per year</t>
  </si>
  <si>
    <t>Qty-Unit</t>
  </si>
  <si>
    <t>Qty-Pallet</t>
  </si>
  <si>
    <t>ttl weight</t>
  </si>
  <si>
    <t>% weight</t>
  </si>
  <si>
    <t>product weight(each)</t>
  </si>
  <si>
    <t>Qty- truck transported per working day</t>
  </si>
  <si>
    <t>Qty-container per truck</t>
  </si>
  <si>
    <t>Sum of ttl weight</t>
  </si>
  <si>
    <t>Sum of Qty-Pallet</t>
  </si>
  <si>
    <t>days</t>
  </si>
  <si>
    <t>Wage cost per destination</t>
  </si>
  <si>
    <t>Fuel Consumption</t>
  </si>
  <si>
    <t>Fuel cost</t>
  </si>
  <si>
    <t>Tolls</t>
  </si>
  <si>
    <t>Total</t>
  </si>
  <si>
    <t>Rest time(h)</t>
  </si>
  <si>
    <t>(un)Load time(h)</t>
  </si>
  <si>
    <t>weight of truck (in t)</t>
  </si>
  <si>
    <t>product A/trip</t>
  </si>
  <si>
    <t>product B/trip</t>
  </si>
  <si>
    <t>product C/trip</t>
  </si>
  <si>
    <t>product D/trip</t>
  </si>
  <si>
    <t>Qty-20ft pallet wide container</t>
  </si>
  <si>
    <t>20' pallet wide Container</t>
  </si>
  <si>
    <t>Values</t>
  </si>
  <si>
    <t>Sum of Qty-20ft pallet wide container</t>
  </si>
  <si>
    <t>Tonnage per container</t>
  </si>
  <si>
    <t>Schedule</t>
  </si>
  <si>
    <t>Monday</t>
  </si>
  <si>
    <t>Tuesday</t>
  </si>
  <si>
    <t>Wednesday</t>
  </si>
  <si>
    <t>Thursday</t>
  </si>
  <si>
    <t>Friday</t>
  </si>
  <si>
    <t>Week</t>
  </si>
  <si>
    <t>Month</t>
  </si>
  <si>
    <t>A</t>
  </si>
  <si>
    <t>B</t>
  </si>
  <si>
    <t>C</t>
  </si>
  <si>
    <t>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</si>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</sst>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¥&quot;* #,##0.00_);_(&quot;¥&quot;* \(#,##0.00\);_(&quot;¥&quot;* &quot;-&quot;??_);_(@_)"/>
    <numFmt numFmtId="164" formatCode="_ * #,##0.00_ ;_ * \-#,##0.00_ ;_ * &quot;-&quot;??_ ;_ @_ "/>
    <numFmt numFmtId="165" formatCode="_ [$€-413]\ * #,##0_ ;_ [$€-413]\ * \-#,##0_ ;_ [$€-413]\ * &quot;-&quot;??_ ;_ @_ "/>
    <numFmt numFmtId="166" formatCode="_ * #,##0_ ;_ * \-#,##0_ ;_ * &quot;-&quot;??_ ;_ @_ "/>
    <numFmt numFmtId="167" formatCode="_([$€-2]\ * #,##0.00_);_([$€-2]\ * \(#,##0.00\);_([$€-2]\ * &quot;-&quot;??_);_(@_)"/>
  </numFmts>
  <fonts count="22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</font>
    <font>
      <u/>
      <sz val="10"/>
      <color theme="10"/>
      <name val="Calibri"/>
      <family val="2"/>
    </font>
    <font>
      <u/>
      <sz val="10"/>
      <color theme="11"/>
      <name val="Calibri"/>
      <family val="2"/>
    </font>
    <font>
      <b/>
      <sz val="11"/>
      <color indexed="81"/>
      <name val="ＭＳ Ｐゴシック"/>
      <family val="2"/>
      <charset val="128"/>
    </font>
    <font>
      <sz val="11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4"/>
      <color rgb="FF33333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 (Body)_x0000_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1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2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Fill="1" applyBorder="1"/>
    <xf numFmtId="0" fontId="0" fillId="0" borderId="22" xfId="0" applyBorder="1"/>
    <xf numFmtId="0" fontId="0" fillId="2" borderId="1" xfId="0" applyFill="1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1" fillId="0" borderId="25" xfId="0" applyFont="1" applyBorder="1"/>
    <xf numFmtId="0" fontId="3" fillId="0" borderId="0" xfId="0" applyFont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3" fillId="0" borderId="24" xfId="0" applyFont="1" applyBorder="1"/>
    <xf numFmtId="0" fontId="3" fillId="0" borderId="2" xfId="0" applyFont="1" applyBorder="1"/>
    <xf numFmtId="0" fontId="4" fillId="0" borderId="28" xfId="0" applyFont="1" applyBorder="1"/>
    <xf numFmtId="0" fontId="3" fillId="0" borderId="21" xfId="0" applyFont="1" applyBorder="1" applyAlignment="1">
      <alignment horizontal="right"/>
    </xf>
    <xf numFmtId="0" fontId="4" fillId="0" borderId="30" xfId="0" applyFont="1" applyBorder="1" applyAlignment="1">
      <alignment horizontal="center" textRotation="44"/>
    </xf>
    <xf numFmtId="0" fontId="4" fillId="0" borderId="15" xfId="0" applyFont="1" applyBorder="1"/>
    <xf numFmtId="0" fontId="3" fillId="0" borderId="21" xfId="0" applyFont="1" applyBorder="1" applyAlignment="1">
      <alignment textRotation="45"/>
    </xf>
    <xf numFmtId="0" fontId="3" fillId="0" borderId="31" xfId="0" applyFont="1" applyBorder="1" applyAlignment="1">
      <alignment textRotation="45"/>
    </xf>
    <xf numFmtId="0" fontId="3" fillId="0" borderId="31" xfId="0" applyFont="1" applyBorder="1"/>
    <xf numFmtId="0" fontId="3" fillId="0" borderId="1" xfId="0" applyFont="1" applyBorder="1"/>
    <xf numFmtId="0" fontId="3" fillId="0" borderId="31" xfId="0" applyFont="1" applyBorder="1" applyAlignment="1">
      <alignment horizontal="right"/>
    </xf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0" fontId="4" fillId="0" borderId="13" xfId="0" applyFont="1" applyBorder="1"/>
    <xf numFmtId="0" fontId="4" fillId="0" borderId="0" xfId="0" applyFont="1" applyAlignment="1">
      <alignment textRotation="45"/>
    </xf>
    <xf numFmtId="0" fontId="0" fillId="0" borderId="36" xfId="0" applyBorder="1"/>
    <xf numFmtId="0" fontId="6" fillId="0" borderId="36" xfId="0" applyFont="1" applyBorder="1"/>
    <xf numFmtId="0" fontId="4" fillId="0" borderId="6" xfId="0" applyFont="1" applyBorder="1"/>
    <xf numFmtId="16" fontId="4" fillId="0" borderId="27" xfId="0" applyNumberFormat="1" applyFont="1" applyBorder="1"/>
    <xf numFmtId="0" fontId="4" fillId="0" borderId="19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19" xfId="0" applyFont="1" applyBorder="1"/>
    <xf numFmtId="0" fontId="4" fillId="0" borderId="12" xfId="0" applyFont="1" applyBorder="1"/>
    <xf numFmtId="0" fontId="4" fillId="0" borderId="27" xfId="0" applyFont="1" applyBorder="1"/>
    <xf numFmtId="0" fontId="4" fillId="0" borderId="7" xfId="0" applyFont="1" applyBorder="1"/>
    <xf numFmtId="16" fontId="4" fillId="0" borderId="28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0" xfId="0" applyFont="1" applyBorder="1"/>
    <xf numFmtId="0" fontId="6" fillId="4" borderId="0" xfId="0" applyFont="1" applyFill="1" applyBorder="1"/>
    <xf numFmtId="0" fontId="6" fillId="4" borderId="15" xfId="0" applyFont="1" applyFill="1" applyBorder="1"/>
    <xf numFmtId="0" fontId="4" fillId="0" borderId="8" xfId="0" applyFont="1" applyBorder="1"/>
    <xf numFmtId="16" fontId="4" fillId="0" borderId="29" xfId="0" applyNumberFormat="1" applyFont="1" applyBorder="1"/>
    <xf numFmtId="0" fontId="4" fillId="0" borderId="20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0" xfId="0" applyFont="1" applyBorder="1"/>
    <xf numFmtId="0" fontId="4" fillId="4" borderId="8" xfId="0" applyFont="1" applyFill="1" applyBorder="1"/>
    <xf numFmtId="0" fontId="4" fillId="4" borderId="20" xfId="0" applyFont="1" applyFill="1" applyBorder="1"/>
    <xf numFmtId="0" fontId="6" fillId="4" borderId="16" xfId="0" applyFont="1" applyFill="1" applyBorder="1"/>
    <xf numFmtId="0" fontId="4" fillId="0" borderId="16" xfId="0" applyFont="1" applyBorder="1"/>
    <xf numFmtId="0" fontId="4" fillId="4" borderId="7" xfId="0" applyFont="1" applyFill="1" applyBorder="1"/>
    <xf numFmtId="0" fontId="4" fillId="4" borderId="0" xfId="0" applyFont="1" applyFill="1" applyBorder="1"/>
    <xf numFmtId="0" fontId="4" fillId="4" borderId="15" xfId="0" applyFont="1" applyFill="1" applyBorder="1"/>
    <xf numFmtId="4" fontId="4" fillId="0" borderId="0" xfId="0" applyNumberFormat="1" applyFont="1" applyBorder="1"/>
    <xf numFmtId="0" fontId="4" fillId="4" borderId="6" xfId="0" applyFont="1" applyFill="1" applyBorder="1"/>
    <xf numFmtId="0" fontId="4" fillId="4" borderId="19" xfId="0" applyFont="1" applyFill="1" applyBorder="1"/>
    <xf numFmtId="0" fontId="4" fillId="4" borderId="12" xfId="0" applyFont="1" applyFill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4" borderId="20" xfId="0" applyFont="1" applyFill="1" applyBorder="1"/>
    <xf numFmtId="0" fontId="4" fillId="4" borderId="16" xfId="0" applyFont="1" applyFill="1" applyBorder="1"/>
    <xf numFmtId="0" fontId="4" fillId="0" borderId="37" xfId="0" applyFont="1" applyBorder="1"/>
    <xf numFmtId="0" fontId="6" fillId="4" borderId="12" xfId="0" applyFont="1" applyFill="1" applyBorder="1"/>
    <xf numFmtId="0" fontId="4" fillId="0" borderId="36" xfId="0" applyFont="1" applyBorder="1"/>
    <xf numFmtId="0" fontId="0" fillId="0" borderId="29" xfId="0" applyBorder="1"/>
    <xf numFmtId="0" fontId="0" fillId="0" borderId="38" xfId="0" applyBorder="1"/>
    <xf numFmtId="0" fontId="6" fillId="4" borderId="8" xfId="0" applyFont="1" applyFill="1" applyBorder="1"/>
    <xf numFmtId="0" fontId="6" fillId="0" borderId="7" xfId="0" applyFont="1" applyBorder="1"/>
    <xf numFmtId="0" fontId="6" fillId="0" borderId="0" xfId="0" applyFont="1" applyBorder="1"/>
    <xf numFmtId="0" fontId="6" fillId="0" borderId="15" xfId="0" applyFont="1" applyBorder="1"/>
    <xf numFmtId="0" fontId="0" fillId="0" borderId="37" xfId="0" applyBorder="1"/>
    <xf numFmtId="0" fontId="6" fillId="0" borderId="8" xfId="0" applyFont="1" applyBorder="1"/>
    <xf numFmtId="0" fontId="6" fillId="0" borderId="20" xfId="0" applyFont="1" applyBorder="1"/>
    <xf numFmtId="0" fontId="6" fillId="0" borderId="16" xfId="0" applyFont="1" applyBorder="1"/>
    <xf numFmtId="0" fontId="0" fillId="0" borderId="39" xfId="0" applyBorder="1"/>
    <xf numFmtId="0" fontId="0" fillId="0" borderId="31" xfId="0" applyBorder="1"/>
    <xf numFmtId="0" fontId="1" fillId="0" borderId="0" xfId="0" applyFont="1" applyBorder="1"/>
    <xf numFmtId="0" fontId="1" fillId="0" borderId="36" xfId="0" applyFont="1" applyBorder="1"/>
    <xf numFmtId="0" fontId="1" fillId="0" borderId="39" xfId="0" applyFont="1" applyBorder="1"/>
    <xf numFmtId="0" fontId="8" fillId="0" borderId="0" xfId="0" applyFont="1"/>
    <xf numFmtId="0" fontId="6" fillId="0" borderId="0" xfId="0" applyFont="1" applyAlignment="1">
      <alignment textRotation="90"/>
    </xf>
    <xf numFmtId="16" fontId="7" fillId="0" borderId="28" xfId="0" applyNumberFormat="1" applyFont="1" applyBorder="1" applyAlignment="1">
      <alignment textRotation="90"/>
    </xf>
    <xf numFmtId="0" fontId="0" fillId="0" borderId="30" xfId="0" applyBorder="1"/>
    <xf numFmtId="0" fontId="0" fillId="0" borderId="2" xfId="0" applyFill="1" applyBorder="1"/>
    <xf numFmtId="0" fontId="0" fillId="0" borderId="18" xfId="0" applyBorder="1" applyAlignment="1"/>
    <xf numFmtId="0" fontId="0" fillId="0" borderId="41" xfId="0" applyBorder="1"/>
    <xf numFmtId="0" fontId="1" fillId="0" borderId="0" xfId="0" quotePrefix="1" applyFont="1" applyBorder="1"/>
    <xf numFmtId="0" fontId="4" fillId="0" borderId="0" xfId="0" applyFont="1" applyFill="1" applyBorder="1"/>
    <xf numFmtId="0" fontId="4" fillId="0" borderId="10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0" xfId="0" applyFont="1" applyBorder="1"/>
    <xf numFmtId="0" fontId="4" fillId="0" borderId="17" xfId="0" applyFont="1" applyBorder="1"/>
    <xf numFmtId="0" fontId="4" fillId="0" borderId="23" xfId="0" applyFont="1" applyBorder="1"/>
    <xf numFmtId="0" fontId="4" fillId="0" borderId="3" xfId="0" applyFont="1" applyBorder="1"/>
    <xf numFmtId="16" fontId="4" fillId="0" borderId="42" xfId="0" applyNumberFormat="1" applyFont="1" applyBorder="1"/>
    <xf numFmtId="0" fontId="4" fillId="0" borderId="4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" xfId="0" applyFont="1" applyBorder="1"/>
    <xf numFmtId="0" fontId="6" fillId="4" borderId="2" xfId="0" applyFont="1" applyFill="1" applyBorder="1"/>
    <xf numFmtId="0" fontId="4" fillId="4" borderId="2" xfId="0" applyFont="1" applyFill="1" applyBorder="1"/>
    <xf numFmtId="0" fontId="1" fillId="0" borderId="21" xfId="0" applyFont="1" applyBorder="1"/>
    <xf numFmtId="0" fontId="0" fillId="0" borderId="21" xfId="0" applyBorder="1"/>
    <xf numFmtId="9" fontId="0" fillId="2" borderId="43" xfId="1" applyFont="1" applyFill="1" applyBorder="1"/>
    <xf numFmtId="0" fontId="0" fillId="0" borderId="27" xfId="0" applyBorder="1"/>
    <xf numFmtId="0" fontId="0" fillId="0" borderId="24" xfId="0" applyBorder="1"/>
    <xf numFmtId="0" fontId="1" fillId="0" borderId="23" xfId="0" applyFont="1" applyBorder="1"/>
    <xf numFmtId="0" fontId="0" fillId="0" borderId="46" xfId="0" applyBorder="1"/>
    <xf numFmtId="0" fontId="0" fillId="0" borderId="30" xfId="0" applyBorder="1" applyAlignment="1">
      <alignment horizontal="center"/>
    </xf>
    <xf numFmtId="9" fontId="0" fillId="2" borderId="5" xfId="1" applyFont="1" applyFill="1" applyBorder="1"/>
    <xf numFmtId="9" fontId="0" fillId="0" borderId="22" xfId="0" applyNumberFormat="1" applyBorder="1"/>
    <xf numFmtId="9" fontId="0" fillId="2" borderId="39" xfId="1" applyFont="1" applyFill="1" applyBorder="1"/>
    <xf numFmtId="0" fontId="0" fillId="0" borderId="47" xfId="0" applyBorder="1"/>
    <xf numFmtId="9" fontId="0" fillId="0" borderId="18" xfId="1" applyFont="1" applyBorder="1"/>
    <xf numFmtId="0" fontId="0" fillId="0" borderId="48" xfId="0" applyBorder="1"/>
    <xf numFmtId="9" fontId="0" fillId="2" borderId="46" xfId="1" applyFont="1" applyFill="1" applyBorder="1"/>
    <xf numFmtId="9" fontId="0" fillId="2" borderId="18" xfId="1" applyFont="1" applyFill="1" applyBorder="1"/>
    <xf numFmtId="0" fontId="0" fillId="0" borderId="35" xfId="0" applyBorder="1"/>
    <xf numFmtId="9" fontId="0" fillId="0" borderId="45" xfId="1" applyFont="1" applyBorder="1"/>
    <xf numFmtId="0" fontId="0" fillId="0" borderId="49" xfId="0" applyBorder="1"/>
    <xf numFmtId="9" fontId="0" fillId="2" borderId="44" xfId="1" applyFont="1" applyFill="1" applyBorder="1"/>
    <xf numFmtId="9" fontId="0" fillId="2" borderId="45" xfId="1" applyFont="1" applyFill="1" applyBorder="1"/>
    <xf numFmtId="0" fontId="0" fillId="0" borderId="50" xfId="0" applyBorder="1"/>
    <xf numFmtId="9" fontId="0" fillId="0" borderId="36" xfId="1" applyFont="1" applyBorder="1"/>
    <xf numFmtId="9" fontId="0" fillId="2" borderId="37" xfId="1" applyFont="1" applyFill="1" applyBorder="1"/>
    <xf numFmtId="9" fontId="0" fillId="2" borderId="36" xfId="1" applyFont="1" applyFill="1" applyBorder="1"/>
    <xf numFmtId="0" fontId="1" fillId="0" borderId="9" xfId="0" applyFont="1" applyFill="1" applyBorder="1"/>
    <xf numFmtId="9" fontId="0" fillId="0" borderId="1" xfId="1" applyFont="1" applyBorder="1"/>
    <xf numFmtId="0" fontId="1" fillId="0" borderId="21" xfId="0" applyFont="1" applyFill="1" applyBorder="1"/>
    <xf numFmtId="0" fontId="1" fillId="0" borderId="9" xfId="0" applyFont="1" applyBorder="1"/>
    <xf numFmtId="0" fontId="1" fillId="0" borderId="3" xfId="0" applyFont="1" applyBorder="1"/>
    <xf numFmtId="165" fontId="0" fillId="0" borderId="16" xfId="0" applyNumberFormat="1" applyBorder="1"/>
    <xf numFmtId="165" fontId="0" fillId="0" borderId="29" xfId="0" applyNumberFormat="1" applyBorder="1"/>
    <xf numFmtId="165" fontId="0" fillId="0" borderId="26" xfId="0" applyNumberFormat="1" applyBorder="1"/>
    <xf numFmtId="165" fontId="0" fillId="0" borderId="2" xfId="0" applyNumberFormat="1" applyBorder="1"/>
    <xf numFmtId="0" fontId="0" fillId="6" borderId="4" xfId="0" applyFill="1" applyBorder="1"/>
    <xf numFmtId="0" fontId="0" fillId="7" borderId="4" xfId="0" applyFill="1" applyBorder="1"/>
    <xf numFmtId="0" fontId="4" fillId="0" borderId="0" xfId="0" applyFont="1" applyFill="1"/>
    <xf numFmtId="0" fontId="3" fillId="0" borderId="2" xfId="0" applyFont="1" applyFill="1" applyBorder="1"/>
    <xf numFmtId="0" fontId="0" fillId="4" borderId="0" xfId="0" applyFill="1"/>
    <xf numFmtId="0" fontId="3" fillId="0" borderId="12" xfId="0" applyFont="1" applyFill="1" applyBorder="1"/>
    <xf numFmtId="0" fontId="4" fillId="9" borderId="6" xfId="0" applyFont="1" applyFill="1" applyBorder="1"/>
    <xf numFmtId="0" fontId="4" fillId="9" borderId="0" xfId="0" applyFont="1" applyFill="1" applyBorder="1" applyAlignment="1">
      <alignment textRotation="90"/>
    </xf>
    <xf numFmtId="0" fontId="4" fillId="9" borderId="9" xfId="0" applyFont="1" applyFill="1" applyBorder="1"/>
    <xf numFmtId="0" fontId="4" fillId="9" borderId="0" xfId="0" applyFont="1" applyFill="1"/>
    <xf numFmtId="0" fontId="0" fillId="9" borderId="0" xfId="0" applyFill="1"/>
    <xf numFmtId="0" fontId="0" fillId="9" borderId="4" xfId="0" applyFill="1" applyBorder="1"/>
    <xf numFmtId="0" fontId="1" fillId="9" borderId="1" xfId="0" applyFont="1" applyFill="1" applyBorder="1" applyAlignment="1">
      <alignment textRotation="45"/>
    </xf>
    <xf numFmtId="0" fontId="0" fillId="9" borderId="0" xfId="0" applyFill="1" applyBorder="1"/>
    <xf numFmtId="0" fontId="0" fillId="5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5" borderId="2" xfId="0" applyFont="1" applyFill="1" applyBorder="1"/>
    <xf numFmtId="0" fontId="4" fillId="3" borderId="2" xfId="0" applyFont="1" applyFill="1" applyBorder="1"/>
    <xf numFmtId="0" fontId="5" fillId="4" borderId="29" xfId="0" applyFont="1" applyFill="1" applyBorder="1"/>
    <xf numFmtId="0" fontId="3" fillId="8" borderId="0" xfId="0" applyFont="1" applyFill="1"/>
    <xf numFmtId="0" fontId="1" fillId="8" borderId="0" xfId="0" applyFont="1" applyFill="1"/>
    <xf numFmtId="0" fontId="1" fillId="8" borderId="0" xfId="0" applyFont="1" applyFill="1" applyBorder="1"/>
    <xf numFmtId="0" fontId="0" fillId="0" borderId="36" xfId="0" applyBorder="1" applyAlignment="1">
      <alignment textRotation="90"/>
    </xf>
    <xf numFmtId="0" fontId="0" fillId="0" borderId="30" xfId="0" applyBorder="1" applyAlignment="1">
      <alignment textRotation="90"/>
    </xf>
    <xf numFmtId="0" fontId="0" fillId="8" borderId="0" xfId="0" applyFill="1"/>
    <xf numFmtId="0" fontId="4" fillId="9" borderId="7" xfId="0" applyFont="1" applyFill="1" applyBorder="1"/>
    <xf numFmtId="0" fontId="3" fillId="0" borderId="14" xfId="0" applyFont="1" applyBorder="1"/>
    <xf numFmtId="0" fontId="4" fillId="0" borderId="1" xfId="0" applyFont="1" applyBorder="1" applyAlignment="1">
      <alignment horizontal="center" textRotation="44"/>
    </xf>
    <xf numFmtId="0" fontId="4" fillId="0" borderId="49" xfId="0" applyFont="1" applyBorder="1" applyAlignment="1">
      <alignment horizontal="center"/>
    </xf>
    <xf numFmtId="0" fontId="9" fillId="8" borderId="9" xfId="0" applyFont="1" applyFill="1" applyBorder="1"/>
    <xf numFmtId="0" fontId="4" fillId="0" borderId="23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1" fillId="0" borderId="31" xfId="0" applyFont="1" applyBorder="1"/>
    <xf numFmtId="0" fontId="0" fillId="0" borderId="0" xfId="0" applyBorder="1" applyAlignment="1">
      <alignment textRotation="90"/>
    </xf>
    <xf numFmtId="0" fontId="0" fillId="6" borderId="1" xfId="0" applyFill="1" applyBorder="1"/>
    <xf numFmtId="9" fontId="0" fillId="0" borderId="31" xfId="1" applyFont="1" applyBorder="1"/>
    <xf numFmtId="0" fontId="1" fillId="2" borderId="40" xfId="0" applyFont="1" applyFill="1" applyBorder="1"/>
    <xf numFmtId="0" fontId="0" fillId="2" borderId="25" xfId="0" applyFill="1" applyBorder="1"/>
    <xf numFmtId="0" fontId="0" fillId="2" borderId="2" xfId="0" applyFill="1" applyBorder="1"/>
    <xf numFmtId="0" fontId="1" fillId="2" borderId="21" xfId="0" applyFont="1" applyFill="1" applyBorder="1"/>
    <xf numFmtId="0" fontId="0" fillId="2" borderId="31" xfId="0" applyFill="1" applyBorder="1"/>
    <xf numFmtId="0" fontId="0" fillId="2" borderId="22" xfId="0" applyFill="1" applyBorder="1"/>
    <xf numFmtId="0" fontId="0" fillId="5" borderId="31" xfId="0" applyFill="1" applyBorder="1"/>
    <xf numFmtId="0" fontId="0" fillId="5" borderId="22" xfId="0" applyFill="1" applyBorder="1"/>
    <xf numFmtId="0" fontId="1" fillId="2" borderId="0" xfId="0" applyFont="1" applyFill="1" applyBorder="1"/>
    <xf numFmtId="0" fontId="1" fillId="2" borderId="0" xfId="0" applyFont="1" applyFill="1"/>
    <xf numFmtId="0" fontId="0" fillId="2" borderId="0" xfId="0" applyFill="1" applyBorder="1"/>
    <xf numFmtId="0" fontId="1" fillId="2" borderId="30" xfId="0" applyFont="1" applyFill="1" applyBorder="1"/>
    <xf numFmtId="0" fontId="1" fillId="2" borderId="36" xfId="0" applyFont="1" applyFill="1" applyBorder="1"/>
    <xf numFmtId="0" fontId="1" fillId="2" borderId="25" xfId="0" applyFont="1" applyFill="1" applyBorder="1"/>
    <xf numFmtId="0" fontId="0" fillId="2" borderId="26" xfId="0" applyFill="1" applyBorder="1"/>
    <xf numFmtId="0" fontId="1" fillId="2" borderId="41" xfId="0" applyFont="1" applyFill="1" applyBorder="1"/>
    <xf numFmtId="0" fontId="1" fillId="2" borderId="24" xfId="0" applyFont="1" applyFill="1" applyBorder="1"/>
    <xf numFmtId="0" fontId="1" fillId="2" borderId="26" xfId="0" applyFont="1" applyFill="1" applyBorder="1"/>
    <xf numFmtId="0" fontId="0" fillId="2" borderId="24" xfId="0" applyFill="1" applyBorder="1"/>
    <xf numFmtId="0" fontId="8" fillId="2" borderId="9" xfId="0" applyFont="1" applyFill="1" applyBorder="1"/>
    <xf numFmtId="0" fontId="4" fillId="2" borderId="23" xfId="0" applyFont="1" applyFill="1" applyBorder="1"/>
    <xf numFmtId="0" fontId="4" fillId="2" borderId="3" xfId="0" applyFont="1" applyFill="1" applyBorder="1"/>
    <xf numFmtId="164" fontId="0" fillId="0" borderId="0" xfId="2" applyFont="1"/>
    <xf numFmtId="0" fontId="1" fillId="0" borderId="22" xfId="0" applyFont="1" applyBorder="1"/>
    <xf numFmtId="0" fontId="0" fillId="0" borderId="28" xfId="0" applyBorder="1"/>
    <xf numFmtId="0" fontId="0" fillId="0" borderId="57" xfId="0" applyBorder="1"/>
    <xf numFmtId="0" fontId="0" fillId="0" borderId="53" xfId="0" applyBorder="1"/>
    <xf numFmtId="0" fontId="0" fillId="0" borderId="54" xfId="0" applyBorder="1"/>
    <xf numFmtId="0" fontId="0" fillId="0" borderId="58" xfId="0" applyBorder="1"/>
    <xf numFmtId="0" fontId="0" fillId="0" borderId="59" xfId="0" applyBorder="1"/>
    <xf numFmtId="0" fontId="0" fillId="0" borderId="55" xfId="0" applyBorder="1"/>
    <xf numFmtId="0" fontId="0" fillId="0" borderId="56" xfId="0" applyBorder="1"/>
    <xf numFmtId="165" fontId="0" fillId="0" borderId="12" xfId="0" applyNumberFormat="1" applyBorder="1"/>
    <xf numFmtId="165" fontId="0" fillId="0" borderId="27" xfId="0" applyNumberFormat="1" applyBorder="1"/>
    <xf numFmtId="165" fontId="0" fillId="0" borderId="8" xfId="0" applyNumberFormat="1" applyBorder="1"/>
    <xf numFmtId="165" fontId="0" fillId="0" borderId="24" xfId="0" applyNumberFormat="1" applyBorder="1"/>
    <xf numFmtId="165" fontId="0" fillId="0" borderId="6" xfId="0" applyNumberFormat="1" applyBorder="1"/>
    <xf numFmtId="0" fontId="0" fillId="0" borderId="30" xfId="0" applyFill="1" applyBorder="1"/>
    <xf numFmtId="9" fontId="0" fillId="2" borderId="0" xfId="1" applyFont="1" applyFill="1"/>
    <xf numFmtId="0" fontId="0" fillId="0" borderId="49" xfId="1" applyNumberFormat="1" applyFont="1" applyBorder="1"/>
    <xf numFmtId="0" fontId="0" fillId="0" borderId="23" xfId="0" applyNumberFormat="1" applyBorder="1"/>
    <xf numFmtId="0" fontId="0" fillId="0" borderId="3" xfId="0" applyNumberFormat="1" applyBorder="1"/>
    <xf numFmtId="9" fontId="0" fillId="0" borderId="15" xfId="1" applyFont="1" applyBorder="1"/>
    <xf numFmtId="0" fontId="1" fillId="0" borderId="35" xfId="0" applyFont="1" applyBorder="1"/>
    <xf numFmtId="0" fontId="1" fillId="0" borderId="42" xfId="0" applyFont="1" applyBorder="1"/>
    <xf numFmtId="0" fontId="1" fillId="0" borderId="43" xfId="0" applyFont="1" applyBorder="1"/>
    <xf numFmtId="0" fontId="0" fillId="2" borderId="51" xfId="0" applyFill="1" applyBorder="1"/>
    <xf numFmtId="9" fontId="0" fillId="5" borderId="5" xfId="1" applyFont="1" applyFill="1" applyBorder="1"/>
    <xf numFmtId="9" fontId="0" fillId="5" borderId="3" xfId="1" applyFont="1" applyFill="1" applyBorder="1"/>
    <xf numFmtId="9" fontId="0" fillId="5" borderId="35" xfId="1" applyFont="1" applyFill="1" applyBorder="1"/>
    <xf numFmtId="9" fontId="0" fillId="11" borderId="0" xfId="1" applyFont="1" applyFill="1" applyBorder="1"/>
    <xf numFmtId="9" fontId="0" fillId="11" borderId="4" xfId="1" applyFont="1" applyFill="1" applyBorder="1"/>
    <xf numFmtId="9" fontId="0" fillId="10" borderId="21" xfId="1" applyFont="1" applyFill="1" applyBorder="1"/>
    <xf numFmtId="0" fontId="1" fillId="2" borderId="1" xfId="0" applyFont="1" applyFill="1" applyBorder="1"/>
    <xf numFmtId="0" fontId="0" fillId="5" borderId="1" xfId="0" applyFill="1" applyBorder="1"/>
    <xf numFmtId="0" fontId="1" fillId="5" borderId="31" xfId="0" applyFont="1" applyFill="1" applyBorder="1"/>
    <xf numFmtId="0" fontId="1" fillId="0" borderId="7" xfId="0" applyFont="1" applyBorder="1"/>
    <xf numFmtId="0" fontId="1" fillId="0" borderId="1" xfId="0" applyFont="1" applyBorder="1"/>
    <xf numFmtId="0" fontId="0" fillId="5" borderId="30" xfId="0" applyFill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0" fillId="2" borderId="10" xfId="0" applyFill="1" applyBorder="1"/>
    <xf numFmtId="0" fontId="4" fillId="2" borderId="4" xfId="0" applyFont="1" applyFill="1" applyBorder="1"/>
    <xf numFmtId="165" fontId="0" fillId="0" borderId="1" xfId="0" applyNumberFormat="1" applyBorder="1"/>
    <xf numFmtId="165" fontId="0" fillId="0" borderId="31" xfId="0" applyNumberFormat="1" applyBorder="1"/>
    <xf numFmtId="165" fontId="0" fillId="0" borderId="36" xfId="0" applyNumberFormat="1" applyBorder="1"/>
    <xf numFmtId="0" fontId="0" fillId="0" borderId="0" xfId="0" applyFill="1" applyBorder="1" applyAlignment="1"/>
    <xf numFmtId="0" fontId="1" fillId="2" borderId="31" xfId="0" applyFont="1" applyFill="1" applyBorder="1"/>
    <xf numFmtId="0" fontId="3" fillId="0" borderId="0" xfId="0" applyFont="1" applyFill="1" applyBorder="1"/>
    <xf numFmtId="0" fontId="4" fillId="0" borderId="2" xfId="0" applyFont="1" applyBorder="1"/>
    <xf numFmtId="0" fontId="8" fillId="0" borderId="2" xfId="0" applyFont="1" applyBorder="1"/>
    <xf numFmtId="0" fontId="6" fillId="5" borderId="2" xfId="0" applyFont="1" applyFill="1" applyBorder="1"/>
    <xf numFmtId="0" fontId="6" fillId="6" borderId="2" xfId="0" applyFont="1" applyFill="1" applyBorder="1"/>
    <xf numFmtId="166" fontId="0" fillId="0" borderId="0" xfId="2" applyNumberFormat="1" applyFont="1"/>
    <xf numFmtId="0" fontId="4" fillId="5" borderId="15" xfId="0" applyFont="1" applyFill="1" applyBorder="1"/>
    <xf numFmtId="0" fontId="16" fillId="0" borderId="0" xfId="11"/>
    <xf numFmtId="0" fontId="16" fillId="0" borderId="60" xfId="11" applyBorder="1"/>
    <xf numFmtId="0" fontId="0" fillId="6" borderId="2" xfId="0" applyFill="1" applyBorder="1"/>
    <xf numFmtId="10" fontId="16" fillId="12" borderId="0" xfId="1" applyNumberFormat="1" applyFont="1" applyFill="1"/>
    <xf numFmtId="0" fontId="16" fillId="12" borderId="0" xfId="11" applyFill="1"/>
    <xf numFmtId="0" fontId="0" fillId="0" borderId="0" xfId="0" pivotButton="1"/>
    <xf numFmtId="0" fontId="0" fillId="0" borderId="0" xfId="0" applyNumberFormat="1"/>
    <xf numFmtId="0" fontId="16" fillId="0" borderId="0" xfId="11" applyBorder="1"/>
    <xf numFmtId="10" fontId="16" fillId="0" borderId="0" xfId="1" applyNumberFormat="1" applyFont="1" applyFill="1"/>
    <xf numFmtId="0" fontId="4" fillId="6" borderId="2" xfId="0" applyFont="1" applyFill="1" applyBorder="1"/>
    <xf numFmtId="0" fontId="4" fillId="6" borderId="15" xfId="0" applyFont="1" applyFill="1" applyBorder="1"/>
    <xf numFmtId="0" fontId="8" fillId="6" borderId="2" xfId="0" applyFont="1" applyFill="1" applyBorder="1"/>
    <xf numFmtId="167" fontId="0" fillId="0" borderId="2" xfId="0" applyNumberFormat="1" applyBorder="1"/>
    <xf numFmtId="0" fontId="0" fillId="13" borderId="29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24" xfId="0" applyFill="1" applyBorder="1" applyAlignment="1"/>
    <xf numFmtId="0" fontId="16" fillId="0" borderId="0" xfId="11" applyAlignment="1">
      <alignment horizontal="left" vertical="center"/>
    </xf>
    <xf numFmtId="0" fontId="0" fillId="0" borderId="0" xfId="0" applyAlignment="1">
      <alignment wrapText="1"/>
    </xf>
    <xf numFmtId="0" fontId="0" fillId="12" borderId="24" xfId="0" applyFill="1" applyBorder="1" applyAlignment="1"/>
    <xf numFmtId="0" fontId="0" fillId="12" borderId="25" xfId="0" applyFill="1" applyBorder="1" applyAlignment="1"/>
    <xf numFmtId="0" fontId="0" fillId="12" borderId="26" xfId="0" applyFill="1" applyBorder="1" applyAlignment="1"/>
    <xf numFmtId="0" fontId="0" fillId="5" borderId="2" xfId="0" applyFill="1" applyBorder="1"/>
    <xf numFmtId="2" fontId="0" fillId="0" borderId="2" xfId="0" applyNumberFormat="1" applyBorder="1"/>
    <xf numFmtId="167" fontId="0" fillId="0" borderId="2" xfId="36" applyNumberFormat="1" applyFont="1" applyBorder="1"/>
    <xf numFmtId="0" fontId="0" fillId="0" borderId="2" xfId="0" applyNumberFormat="1" applyBorder="1"/>
    <xf numFmtId="167" fontId="0" fillId="0" borderId="0" xfId="0" applyNumberFormat="1" applyBorder="1"/>
    <xf numFmtId="167" fontId="0" fillId="0" borderId="0" xfId="0" applyNumberFormat="1" applyFill="1" applyBorder="1"/>
    <xf numFmtId="0" fontId="0" fillId="0" borderId="6" xfId="0" applyBorder="1" applyAlignment="1"/>
    <xf numFmtId="167" fontId="0" fillId="0" borderId="27" xfId="0" applyNumberFormat="1" applyBorder="1" applyAlignment="1">
      <alignment horizontal="center"/>
    </xf>
    <xf numFmtId="0" fontId="19" fillId="0" borderId="27" xfId="0" applyFont="1" applyBorder="1" applyAlignment="1">
      <alignment horizontal="center"/>
    </xf>
    <xf numFmtId="167" fontId="0" fillId="0" borderId="27" xfId="0" applyNumberFormat="1" applyBorder="1"/>
    <xf numFmtId="167" fontId="0" fillId="0" borderId="0" xfId="0" applyNumberForma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6" fillId="0" borderId="0" xfId="11" applyFill="1" applyBorder="1"/>
    <xf numFmtId="0" fontId="21" fillId="0" borderId="0" xfId="0" applyFont="1" applyFill="1" applyBorder="1" applyAlignment="1">
      <alignment horizontal="center"/>
    </xf>
    <xf numFmtId="0" fontId="0" fillId="0" borderId="6" xfId="0" applyBorder="1"/>
    <xf numFmtId="0" fontId="0" fillId="0" borderId="12" xfId="0" applyBorder="1"/>
    <xf numFmtId="0" fontId="0" fillId="0" borderId="0" xfId="0" applyBorder="1" applyAlignment="1">
      <alignment horizontal="center" vertical="center"/>
    </xf>
    <xf numFmtId="0" fontId="0" fillId="0" borderId="16" xfId="0" applyBorder="1"/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/>
    <xf numFmtId="0" fontId="0" fillId="0" borderId="6" xfId="0" applyFill="1" applyBorder="1"/>
    <xf numFmtId="0" fontId="0" fillId="0" borderId="19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15" xfId="0" applyFill="1" applyBorder="1"/>
    <xf numFmtId="0" fontId="0" fillId="0" borderId="61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0" fillId="0" borderId="14" xfId="0" applyFill="1" applyBorder="1"/>
    <xf numFmtId="0" fontId="0" fillId="0" borderId="0" xfId="0" applyBorder="1" applyAlignment="1">
      <alignment horizontal="center" vertical="center"/>
    </xf>
  </cellXfs>
  <cellStyles count="41">
    <cellStyle name="Comma" xfId="2" builtinId="3"/>
    <cellStyle name="Currency" xfId="36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7" builtinId="8" hidden="1"/>
    <cellStyle name="Hyperlink" xfId="39" builtinId="8" hidden="1"/>
    <cellStyle name="Normal" xfId="0" builtinId="0"/>
    <cellStyle name="Percent" xfId="1" builtinId="5"/>
    <cellStyle name="常规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李 文华" refreshedDate="43378.602622222221" createdVersion="4" refreshedVersion="4" minRefreshableVersion="3" recordCount="128">
  <cacheSource type="worksheet">
    <worksheetSource ref="A10:M138" sheet="final product division"/>
  </cacheSource>
  <cacheFields count="13">
    <cacheField name="Destination" numFmtId="0">
      <sharedItems count="10">
        <s v="Venlo"/>
        <s v="Wolfsburg"/>
        <s v="Saarbrucke"/>
        <s v="Praha CZ"/>
        <s v="Bilbao It."/>
        <s v="Germersheim  "/>
        <s v="Torino  It. "/>
        <s v="Paris "/>
        <s v="Genua  "/>
        <s v="Munich"/>
      </sharedItems>
    </cacheField>
    <cacheField name="Item" numFmtId="0">
      <sharedItems count="4">
        <s v="Product A"/>
        <s v="Product B"/>
        <s v="Product C"/>
        <s v="Product D"/>
      </sharedItems>
    </cacheField>
    <cacheField name="product weight(each)" numFmtId="0">
      <sharedItems containsSemiMixedTypes="0" containsString="0" containsNumber="1" minValue="0.5" maxValue="1.5"/>
    </cacheField>
    <cacheField name="% weight" numFmtId="10">
      <sharedItems containsSemiMixedTypes="0" containsString="0" containsNumber="1" minValue="0.05" maxValue="0.8"/>
    </cacheField>
    <cacheField name="ttl weight" numFmtId="0">
      <sharedItems containsSemiMixedTypes="0" containsString="0" containsNumber="1" minValue="150" maxValue="12000"/>
    </cacheField>
    <cacheField name="Qty-Unit" numFmtId="0">
      <sharedItems containsSemiMixedTypes="0" containsString="0" containsNumber="1" minValue="100" maxValue="9600"/>
    </cacheField>
    <cacheField name="Units/Pallet" numFmtId="0">
      <sharedItems containsSemiMixedTypes="0" containsString="0" containsNumber="1" containsInteger="1" minValue="1" maxValue="3"/>
    </cacheField>
    <cacheField name="Qty-Pallet" numFmtId="0">
      <sharedItems containsSemiMixedTypes="0" containsString="0" containsNumber="1" minValue="100" maxValue="9600"/>
    </cacheField>
    <cacheField name="Qty-20ft pallet wide container" numFmtId="0">
      <sharedItems containsSemiMixedTypes="0" containsString="0" containsNumber="1" containsInteger="1" minValue="8" maxValue="686"/>
    </cacheField>
    <cacheField name="Qty- truck transported per working day" numFmtId="0">
      <sharedItems containsString="0" containsBlank="1" containsNumber="1" containsInteger="1" minValue="1" maxValue="1" count="2">
        <n v="1"/>
        <m/>
      </sharedItems>
    </cacheField>
    <cacheField name="Tonnage per container" numFmtId="0">
      <sharedItems containsString="0" containsBlank="1" containsNumber="1" minValue="17.5" maxValue="21" count="3">
        <n v="17.5"/>
        <n v="21"/>
        <m/>
      </sharedItems>
    </cacheField>
    <cacheField name="days" numFmtId="0">
      <sharedItems containsString="0" containsBlank="1" containsNumber="1" containsInteger="1" minValue="4" maxValue="138" count="21">
        <n v="35"/>
        <n v="103"/>
        <n v="15"/>
        <n v="138"/>
        <n v="58"/>
        <n v="29"/>
        <n v="52"/>
        <n v="50"/>
        <n v="22"/>
        <n v="69"/>
        <n v="18"/>
        <n v="86"/>
        <n v="43"/>
        <n v="78"/>
        <n v="26"/>
        <n v="8"/>
        <n v="120"/>
        <n v="60"/>
        <n v="5"/>
        <n v="4"/>
        <m/>
      </sharedItems>
    </cacheField>
    <cacheField name="mode" numFmtId="0">
      <sharedItems count="4">
        <s v="truck"/>
        <s v="train-truck"/>
        <s v="barge-truck"/>
        <s v="shortsea-truc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n v="1.25"/>
    <n v="0.20000000000000007"/>
    <n v="1200.0000000000005"/>
    <n v="960.00000000000034"/>
    <n v="1"/>
    <n v="960.00000000000034"/>
    <n v="69"/>
    <x v="0"/>
    <x v="0"/>
    <x v="0"/>
    <x v="0"/>
  </r>
  <r>
    <x v="0"/>
    <x v="1"/>
    <n v="1.25"/>
    <n v="0.6"/>
    <n v="3600"/>
    <n v="2880"/>
    <n v="1"/>
    <n v="2880"/>
    <n v="206"/>
    <x v="0"/>
    <x v="0"/>
    <x v="1"/>
    <x v="0"/>
  </r>
  <r>
    <x v="0"/>
    <x v="2"/>
    <n v="1.5"/>
    <n v="0.1"/>
    <n v="600"/>
    <n v="400"/>
    <n v="1"/>
    <n v="400"/>
    <n v="29"/>
    <x v="0"/>
    <x v="1"/>
    <x v="2"/>
    <x v="0"/>
  </r>
  <r>
    <x v="0"/>
    <x v="3"/>
    <n v="0.5"/>
    <n v="0.1"/>
    <n v="600"/>
    <n v="1200"/>
    <n v="3"/>
    <n v="400"/>
    <n v="29"/>
    <x v="0"/>
    <x v="1"/>
    <x v="2"/>
    <x v="0"/>
  </r>
  <r>
    <x v="1"/>
    <x v="0"/>
    <n v="1.25"/>
    <n v="0.29999999999999993"/>
    <n v="3599.9999999999991"/>
    <n v="2879.9999999999991"/>
    <n v="1"/>
    <n v="2879.9999999999991"/>
    <n v="206"/>
    <x v="0"/>
    <x v="0"/>
    <x v="1"/>
    <x v="0"/>
  </r>
  <r>
    <x v="1"/>
    <x v="1"/>
    <n v="1.25"/>
    <n v="0.4"/>
    <n v="4800"/>
    <n v="3840"/>
    <n v="1"/>
    <n v="3840"/>
    <n v="275"/>
    <x v="0"/>
    <x v="0"/>
    <x v="3"/>
    <x v="0"/>
  </r>
  <r>
    <x v="1"/>
    <x v="2"/>
    <n v="1.5"/>
    <n v="0.2"/>
    <n v="2400"/>
    <n v="1600"/>
    <n v="1"/>
    <n v="1600"/>
    <n v="115"/>
    <x v="0"/>
    <x v="1"/>
    <x v="4"/>
    <x v="0"/>
  </r>
  <r>
    <x v="1"/>
    <x v="3"/>
    <n v="0.5"/>
    <n v="0.1"/>
    <n v="1200"/>
    <n v="2400"/>
    <n v="3"/>
    <n v="800"/>
    <n v="58"/>
    <x v="0"/>
    <x v="1"/>
    <x v="5"/>
    <x v="0"/>
  </r>
  <r>
    <x v="2"/>
    <x v="0"/>
    <n v="1.25"/>
    <n v="0.20000000000000007"/>
    <n v="1200.0000000000005"/>
    <n v="960.00000000000034"/>
    <n v="1"/>
    <n v="960.00000000000034"/>
    <n v="69"/>
    <x v="0"/>
    <x v="0"/>
    <x v="0"/>
    <x v="0"/>
  </r>
  <r>
    <x v="2"/>
    <x v="1"/>
    <n v="1.25"/>
    <n v="0.3"/>
    <n v="1800"/>
    <n v="1440"/>
    <n v="1"/>
    <n v="1440"/>
    <n v="103"/>
    <x v="0"/>
    <x v="0"/>
    <x v="6"/>
    <x v="0"/>
  </r>
  <r>
    <x v="2"/>
    <x v="2"/>
    <n v="1.5"/>
    <n v="0.35"/>
    <n v="2100"/>
    <n v="1400"/>
    <n v="1"/>
    <n v="1400"/>
    <n v="100"/>
    <x v="0"/>
    <x v="1"/>
    <x v="7"/>
    <x v="0"/>
  </r>
  <r>
    <x v="2"/>
    <x v="3"/>
    <n v="0.5"/>
    <n v="0.15"/>
    <n v="900"/>
    <n v="1800"/>
    <n v="3"/>
    <n v="600"/>
    <n v="43"/>
    <x v="0"/>
    <x v="1"/>
    <x v="8"/>
    <x v="0"/>
  </r>
  <r>
    <x v="3"/>
    <x v="0"/>
    <n v="1.25"/>
    <n v="0.4"/>
    <n v="2400"/>
    <n v="1920"/>
    <n v="1"/>
    <n v="1920"/>
    <n v="138"/>
    <x v="0"/>
    <x v="0"/>
    <x v="9"/>
    <x v="0"/>
  </r>
  <r>
    <x v="3"/>
    <x v="1"/>
    <n v="1.25"/>
    <n v="0.1"/>
    <n v="600"/>
    <n v="480"/>
    <n v="1"/>
    <n v="480"/>
    <n v="35"/>
    <x v="0"/>
    <x v="0"/>
    <x v="10"/>
    <x v="0"/>
  </r>
  <r>
    <x v="3"/>
    <x v="2"/>
    <n v="1.5"/>
    <n v="0.4"/>
    <n v="2400"/>
    <n v="1600"/>
    <n v="1"/>
    <n v="1600"/>
    <n v="115"/>
    <x v="0"/>
    <x v="1"/>
    <x v="4"/>
    <x v="0"/>
  </r>
  <r>
    <x v="3"/>
    <x v="3"/>
    <n v="0.5"/>
    <n v="0.1"/>
    <n v="600"/>
    <n v="1200"/>
    <n v="3"/>
    <n v="400"/>
    <n v="29"/>
    <x v="0"/>
    <x v="1"/>
    <x v="2"/>
    <x v="0"/>
  </r>
  <r>
    <x v="4"/>
    <x v="0"/>
    <n v="1.25"/>
    <n v="0.5"/>
    <n v="3000"/>
    <n v="2400"/>
    <n v="1"/>
    <n v="2400"/>
    <n v="172"/>
    <x v="0"/>
    <x v="0"/>
    <x v="11"/>
    <x v="0"/>
  </r>
  <r>
    <x v="4"/>
    <x v="1"/>
    <n v="1.25"/>
    <n v="0.2"/>
    <n v="1200"/>
    <n v="960"/>
    <n v="1"/>
    <n v="960"/>
    <n v="69"/>
    <x v="0"/>
    <x v="0"/>
    <x v="0"/>
    <x v="0"/>
  </r>
  <r>
    <x v="4"/>
    <x v="2"/>
    <n v="1.5"/>
    <n v="0.1"/>
    <n v="600"/>
    <n v="400"/>
    <n v="1"/>
    <n v="400"/>
    <n v="29"/>
    <x v="0"/>
    <x v="1"/>
    <x v="2"/>
    <x v="0"/>
  </r>
  <r>
    <x v="4"/>
    <x v="3"/>
    <n v="0.5"/>
    <n v="0.2"/>
    <n v="1200"/>
    <n v="2400"/>
    <n v="3"/>
    <n v="800"/>
    <n v="58"/>
    <x v="0"/>
    <x v="1"/>
    <x v="5"/>
    <x v="0"/>
  </r>
  <r>
    <x v="5"/>
    <x v="0"/>
    <n v="1.25"/>
    <n v="0.25"/>
    <n v="1500"/>
    <n v="1200"/>
    <n v="1"/>
    <n v="1200"/>
    <n v="86"/>
    <x v="0"/>
    <x v="0"/>
    <x v="12"/>
    <x v="0"/>
  </r>
  <r>
    <x v="5"/>
    <x v="1"/>
    <n v="1.25"/>
    <n v="0.45"/>
    <n v="2700"/>
    <n v="2160"/>
    <n v="1"/>
    <n v="2160"/>
    <n v="155"/>
    <x v="0"/>
    <x v="0"/>
    <x v="13"/>
    <x v="0"/>
  </r>
  <r>
    <x v="5"/>
    <x v="2"/>
    <n v="1.5"/>
    <n v="0.2"/>
    <n v="1200"/>
    <n v="800"/>
    <n v="1"/>
    <n v="800"/>
    <n v="58"/>
    <x v="0"/>
    <x v="1"/>
    <x v="5"/>
    <x v="0"/>
  </r>
  <r>
    <x v="5"/>
    <x v="3"/>
    <n v="0.5"/>
    <n v="0.1"/>
    <n v="600"/>
    <n v="1200"/>
    <n v="3"/>
    <n v="400"/>
    <n v="29"/>
    <x v="0"/>
    <x v="1"/>
    <x v="2"/>
    <x v="0"/>
  </r>
  <r>
    <x v="6"/>
    <x v="0"/>
    <n v="1.25"/>
    <n v="0.30000000000000004"/>
    <n v="900.00000000000011"/>
    <n v="720.00000000000011"/>
    <n v="1"/>
    <n v="720.00000000000011"/>
    <n v="52"/>
    <x v="0"/>
    <x v="0"/>
    <x v="14"/>
    <x v="0"/>
  </r>
  <r>
    <x v="6"/>
    <x v="1"/>
    <n v="1.25"/>
    <n v="0.3"/>
    <n v="900"/>
    <n v="720"/>
    <n v="1"/>
    <n v="720"/>
    <n v="52"/>
    <x v="0"/>
    <x v="0"/>
    <x v="14"/>
    <x v="0"/>
  </r>
  <r>
    <x v="6"/>
    <x v="2"/>
    <n v="1.5"/>
    <n v="0.3"/>
    <n v="900"/>
    <n v="600"/>
    <n v="1"/>
    <n v="600"/>
    <n v="43"/>
    <x v="0"/>
    <x v="1"/>
    <x v="8"/>
    <x v="0"/>
  </r>
  <r>
    <x v="6"/>
    <x v="3"/>
    <n v="0.5"/>
    <n v="0.1"/>
    <n v="300"/>
    <n v="600"/>
    <n v="3"/>
    <n v="200"/>
    <n v="15"/>
    <x v="0"/>
    <x v="1"/>
    <x v="15"/>
    <x v="0"/>
  </r>
  <r>
    <x v="7"/>
    <x v="0"/>
    <n v="1.25"/>
    <n v="0.7"/>
    <n v="4200"/>
    <n v="3360"/>
    <n v="1"/>
    <n v="3360"/>
    <n v="240"/>
    <x v="0"/>
    <x v="0"/>
    <x v="16"/>
    <x v="0"/>
  </r>
  <r>
    <x v="7"/>
    <x v="1"/>
    <n v="1.25"/>
    <n v="0.1"/>
    <n v="600"/>
    <n v="480"/>
    <n v="1"/>
    <n v="480"/>
    <n v="35"/>
    <x v="0"/>
    <x v="0"/>
    <x v="10"/>
    <x v="0"/>
  </r>
  <r>
    <x v="7"/>
    <x v="2"/>
    <n v="1.5"/>
    <n v="0.05"/>
    <n v="300"/>
    <n v="200"/>
    <n v="1"/>
    <n v="200"/>
    <n v="15"/>
    <x v="0"/>
    <x v="1"/>
    <x v="15"/>
    <x v="0"/>
  </r>
  <r>
    <x v="7"/>
    <x v="3"/>
    <n v="0.5"/>
    <n v="0.15"/>
    <n v="900"/>
    <n v="1800"/>
    <n v="3"/>
    <n v="600"/>
    <n v="43"/>
    <x v="0"/>
    <x v="1"/>
    <x v="8"/>
    <x v="0"/>
  </r>
  <r>
    <x v="8"/>
    <x v="0"/>
    <n v="1.25"/>
    <n v="0.19999999999999996"/>
    <n v="1199.9999999999998"/>
    <n v="959.99999999999977"/>
    <n v="1"/>
    <n v="959.99999999999977"/>
    <n v="69"/>
    <x v="0"/>
    <x v="0"/>
    <x v="0"/>
    <x v="0"/>
  </r>
  <r>
    <x v="8"/>
    <x v="1"/>
    <n v="1.25"/>
    <n v="0.35"/>
    <n v="2100"/>
    <n v="1680"/>
    <n v="1"/>
    <n v="1680"/>
    <n v="120"/>
    <x v="0"/>
    <x v="0"/>
    <x v="17"/>
    <x v="0"/>
  </r>
  <r>
    <x v="8"/>
    <x v="2"/>
    <n v="1.5"/>
    <n v="0.15"/>
    <n v="900"/>
    <n v="600"/>
    <n v="1"/>
    <n v="600"/>
    <n v="43"/>
    <x v="0"/>
    <x v="1"/>
    <x v="8"/>
    <x v="0"/>
  </r>
  <r>
    <x v="8"/>
    <x v="3"/>
    <n v="0.5"/>
    <n v="0.3"/>
    <n v="1800"/>
    <n v="3600"/>
    <n v="3"/>
    <n v="1200"/>
    <n v="86"/>
    <x v="0"/>
    <x v="1"/>
    <x v="12"/>
    <x v="0"/>
  </r>
  <r>
    <x v="9"/>
    <x v="0"/>
    <n v="1.25"/>
    <n v="0.8"/>
    <n v="2400"/>
    <n v="1920"/>
    <n v="1"/>
    <n v="1920"/>
    <n v="138"/>
    <x v="0"/>
    <x v="0"/>
    <x v="9"/>
    <x v="0"/>
  </r>
  <r>
    <x v="9"/>
    <x v="1"/>
    <n v="1.25"/>
    <n v="0.05"/>
    <n v="150"/>
    <n v="120"/>
    <n v="1"/>
    <n v="120"/>
    <n v="9"/>
    <x v="0"/>
    <x v="0"/>
    <x v="18"/>
    <x v="0"/>
  </r>
  <r>
    <x v="9"/>
    <x v="2"/>
    <n v="1.5"/>
    <n v="0.05"/>
    <n v="150"/>
    <n v="100"/>
    <n v="1"/>
    <n v="100"/>
    <n v="8"/>
    <x v="0"/>
    <x v="1"/>
    <x v="19"/>
    <x v="0"/>
  </r>
  <r>
    <x v="9"/>
    <x v="3"/>
    <n v="0.5"/>
    <n v="0.1"/>
    <n v="300"/>
    <n v="600"/>
    <n v="3"/>
    <n v="200"/>
    <n v="15"/>
    <x v="0"/>
    <x v="1"/>
    <x v="15"/>
    <x v="0"/>
  </r>
  <r>
    <x v="0"/>
    <x v="0"/>
    <n v="1.25"/>
    <n v="0.20000000000000007"/>
    <n v="3000.0000000000009"/>
    <n v="2400.0000000000009"/>
    <n v="1"/>
    <n v="2400.0000000000009"/>
    <n v="172"/>
    <x v="1"/>
    <x v="2"/>
    <x v="20"/>
    <x v="1"/>
  </r>
  <r>
    <x v="0"/>
    <x v="1"/>
    <n v="1"/>
    <n v="0.6"/>
    <n v="9000"/>
    <n v="9000"/>
    <n v="1"/>
    <n v="9000"/>
    <n v="643"/>
    <x v="1"/>
    <x v="2"/>
    <x v="20"/>
    <x v="1"/>
  </r>
  <r>
    <x v="0"/>
    <x v="2"/>
    <n v="1.5"/>
    <n v="0.1"/>
    <n v="1500"/>
    <n v="1000"/>
    <n v="1"/>
    <n v="1000"/>
    <n v="72"/>
    <x v="1"/>
    <x v="2"/>
    <x v="20"/>
    <x v="1"/>
  </r>
  <r>
    <x v="0"/>
    <x v="3"/>
    <n v="0.5"/>
    <n v="0.1"/>
    <n v="1500"/>
    <n v="3000"/>
    <n v="3"/>
    <n v="1000"/>
    <n v="72"/>
    <x v="1"/>
    <x v="2"/>
    <x v="20"/>
    <x v="1"/>
  </r>
  <r>
    <x v="1"/>
    <x v="0"/>
    <n v="1.25"/>
    <n v="0.29999999999999993"/>
    <n v="8999.9999999999982"/>
    <n v="7199.9999999999982"/>
    <n v="1"/>
    <n v="7199.9999999999982"/>
    <n v="515"/>
    <x v="1"/>
    <x v="2"/>
    <x v="20"/>
    <x v="1"/>
  </r>
  <r>
    <x v="1"/>
    <x v="1"/>
    <n v="1.25"/>
    <n v="0.4"/>
    <n v="12000"/>
    <n v="9600"/>
    <n v="1"/>
    <n v="9600"/>
    <n v="686"/>
    <x v="1"/>
    <x v="2"/>
    <x v="20"/>
    <x v="1"/>
  </r>
  <r>
    <x v="1"/>
    <x v="2"/>
    <n v="1.5"/>
    <n v="0.2"/>
    <n v="6000"/>
    <n v="4000"/>
    <n v="1"/>
    <n v="4000"/>
    <n v="286"/>
    <x v="1"/>
    <x v="2"/>
    <x v="20"/>
    <x v="1"/>
  </r>
  <r>
    <x v="1"/>
    <x v="3"/>
    <n v="0.5"/>
    <n v="0.1"/>
    <n v="3000"/>
    <n v="6000"/>
    <n v="3"/>
    <n v="2000"/>
    <n v="143"/>
    <x v="1"/>
    <x v="2"/>
    <x v="20"/>
    <x v="1"/>
  </r>
  <r>
    <x v="2"/>
    <x v="0"/>
    <n v="1.25"/>
    <n v="0.20000000000000007"/>
    <n v="3000.0000000000009"/>
    <n v="2400.0000000000009"/>
    <n v="1"/>
    <n v="2400.0000000000009"/>
    <n v="172"/>
    <x v="1"/>
    <x v="2"/>
    <x v="20"/>
    <x v="1"/>
  </r>
  <r>
    <x v="2"/>
    <x v="1"/>
    <n v="1.25"/>
    <n v="0.3"/>
    <n v="4500"/>
    <n v="3600"/>
    <n v="1"/>
    <n v="3600"/>
    <n v="258"/>
    <x v="1"/>
    <x v="2"/>
    <x v="20"/>
    <x v="1"/>
  </r>
  <r>
    <x v="2"/>
    <x v="2"/>
    <n v="1.5"/>
    <n v="0.35"/>
    <n v="5250"/>
    <n v="3500"/>
    <n v="1"/>
    <n v="3500"/>
    <n v="250"/>
    <x v="1"/>
    <x v="2"/>
    <x v="20"/>
    <x v="1"/>
  </r>
  <r>
    <x v="2"/>
    <x v="3"/>
    <n v="0.5"/>
    <n v="0.15"/>
    <n v="2250"/>
    <n v="4500"/>
    <n v="3"/>
    <n v="1500"/>
    <n v="108"/>
    <x v="1"/>
    <x v="2"/>
    <x v="20"/>
    <x v="1"/>
  </r>
  <r>
    <x v="3"/>
    <x v="0"/>
    <n v="1.25"/>
    <n v="0.4"/>
    <n v="6000"/>
    <n v="4800"/>
    <n v="1"/>
    <n v="4800"/>
    <n v="343"/>
    <x v="1"/>
    <x v="2"/>
    <x v="20"/>
    <x v="1"/>
  </r>
  <r>
    <x v="3"/>
    <x v="1"/>
    <n v="1.25"/>
    <n v="0.1"/>
    <n v="1500"/>
    <n v="1200"/>
    <n v="1"/>
    <n v="1200"/>
    <n v="86"/>
    <x v="1"/>
    <x v="2"/>
    <x v="20"/>
    <x v="1"/>
  </r>
  <r>
    <x v="3"/>
    <x v="2"/>
    <n v="1.5"/>
    <n v="0.4"/>
    <n v="6000"/>
    <n v="4000"/>
    <n v="1"/>
    <n v="4000"/>
    <n v="286"/>
    <x v="1"/>
    <x v="2"/>
    <x v="20"/>
    <x v="1"/>
  </r>
  <r>
    <x v="3"/>
    <x v="3"/>
    <n v="0.5"/>
    <n v="0.1"/>
    <n v="1500"/>
    <n v="3000"/>
    <n v="3"/>
    <n v="1000"/>
    <n v="72"/>
    <x v="1"/>
    <x v="2"/>
    <x v="20"/>
    <x v="1"/>
  </r>
  <r>
    <x v="4"/>
    <x v="0"/>
    <n v="1.25"/>
    <n v="0.5"/>
    <n v="6000"/>
    <n v="4800"/>
    <n v="1"/>
    <n v="4800"/>
    <n v="343"/>
    <x v="1"/>
    <x v="2"/>
    <x v="20"/>
    <x v="1"/>
  </r>
  <r>
    <x v="4"/>
    <x v="1"/>
    <n v="1.25"/>
    <n v="0.2"/>
    <n v="2400"/>
    <n v="1920"/>
    <n v="1"/>
    <n v="1920"/>
    <n v="138"/>
    <x v="1"/>
    <x v="2"/>
    <x v="20"/>
    <x v="1"/>
  </r>
  <r>
    <x v="4"/>
    <x v="2"/>
    <n v="1.5"/>
    <n v="0.1"/>
    <n v="1200"/>
    <n v="800"/>
    <n v="1"/>
    <n v="800"/>
    <n v="58"/>
    <x v="1"/>
    <x v="2"/>
    <x v="20"/>
    <x v="1"/>
  </r>
  <r>
    <x v="4"/>
    <x v="3"/>
    <n v="0.5"/>
    <n v="0.2"/>
    <n v="2400"/>
    <n v="4800"/>
    <n v="3"/>
    <n v="1600"/>
    <n v="115"/>
    <x v="1"/>
    <x v="2"/>
    <x v="20"/>
    <x v="1"/>
  </r>
  <r>
    <x v="5"/>
    <x v="0"/>
    <n v="1.25"/>
    <n v="0.25"/>
    <n v="3750"/>
    <n v="3000"/>
    <n v="1"/>
    <n v="3000"/>
    <n v="215"/>
    <x v="1"/>
    <x v="2"/>
    <x v="20"/>
    <x v="1"/>
  </r>
  <r>
    <x v="5"/>
    <x v="1"/>
    <n v="1.25"/>
    <n v="0.45"/>
    <n v="6750"/>
    <n v="5400"/>
    <n v="1"/>
    <n v="5400"/>
    <n v="386"/>
    <x v="1"/>
    <x v="2"/>
    <x v="20"/>
    <x v="1"/>
  </r>
  <r>
    <x v="5"/>
    <x v="2"/>
    <n v="1.5"/>
    <n v="0.2"/>
    <n v="3000"/>
    <n v="2000"/>
    <n v="1"/>
    <n v="2000"/>
    <n v="143"/>
    <x v="1"/>
    <x v="2"/>
    <x v="20"/>
    <x v="1"/>
  </r>
  <r>
    <x v="5"/>
    <x v="3"/>
    <n v="0.5"/>
    <n v="0.1"/>
    <n v="1500"/>
    <n v="3000"/>
    <n v="3"/>
    <n v="1000"/>
    <n v="72"/>
    <x v="1"/>
    <x v="2"/>
    <x v="20"/>
    <x v="1"/>
  </r>
  <r>
    <x v="6"/>
    <x v="0"/>
    <n v="1.25"/>
    <n v="0.30000000000000004"/>
    <n v="2250.0000000000005"/>
    <n v="1800.0000000000005"/>
    <n v="1"/>
    <n v="1800.0000000000005"/>
    <n v="129"/>
    <x v="1"/>
    <x v="2"/>
    <x v="20"/>
    <x v="1"/>
  </r>
  <r>
    <x v="6"/>
    <x v="1"/>
    <n v="1.25"/>
    <n v="0.3"/>
    <n v="2250"/>
    <n v="1800"/>
    <n v="1"/>
    <n v="1800"/>
    <n v="129"/>
    <x v="1"/>
    <x v="2"/>
    <x v="20"/>
    <x v="1"/>
  </r>
  <r>
    <x v="6"/>
    <x v="2"/>
    <n v="1.5"/>
    <n v="0.3"/>
    <n v="2250"/>
    <n v="1500"/>
    <n v="1"/>
    <n v="1500"/>
    <n v="108"/>
    <x v="1"/>
    <x v="2"/>
    <x v="20"/>
    <x v="1"/>
  </r>
  <r>
    <x v="6"/>
    <x v="3"/>
    <n v="0.5"/>
    <n v="0.1"/>
    <n v="750"/>
    <n v="1500"/>
    <n v="3"/>
    <n v="500"/>
    <n v="36"/>
    <x v="1"/>
    <x v="2"/>
    <x v="20"/>
    <x v="1"/>
  </r>
  <r>
    <x v="7"/>
    <x v="0"/>
    <n v="1.25"/>
    <n v="0.7"/>
    <n v="10500"/>
    <n v="8400"/>
    <n v="1"/>
    <n v="8400"/>
    <n v="600"/>
    <x v="1"/>
    <x v="2"/>
    <x v="20"/>
    <x v="1"/>
  </r>
  <r>
    <x v="7"/>
    <x v="1"/>
    <n v="1.25"/>
    <n v="0.1"/>
    <n v="1500"/>
    <n v="1200"/>
    <n v="1"/>
    <n v="1200"/>
    <n v="86"/>
    <x v="1"/>
    <x v="2"/>
    <x v="20"/>
    <x v="1"/>
  </r>
  <r>
    <x v="7"/>
    <x v="2"/>
    <n v="1.5"/>
    <n v="0.05"/>
    <n v="750"/>
    <n v="500"/>
    <n v="1"/>
    <n v="500"/>
    <n v="36"/>
    <x v="1"/>
    <x v="2"/>
    <x v="20"/>
    <x v="1"/>
  </r>
  <r>
    <x v="7"/>
    <x v="3"/>
    <n v="0.5"/>
    <n v="0.15"/>
    <n v="2250"/>
    <n v="4500"/>
    <n v="3"/>
    <n v="1500"/>
    <n v="108"/>
    <x v="1"/>
    <x v="2"/>
    <x v="20"/>
    <x v="1"/>
  </r>
  <r>
    <x v="8"/>
    <x v="0"/>
    <n v="1.25"/>
    <n v="0.19999999999999996"/>
    <n v="2399.9999999999995"/>
    <n v="1919.9999999999995"/>
    <n v="1"/>
    <n v="1919.9999999999995"/>
    <n v="138"/>
    <x v="1"/>
    <x v="2"/>
    <x v="20"/>
    <x v="1"/>
  </r>
  <r>
    <x v="8"/>
    <x v="1"/>
    <n v="1.25"/>
    <n v="0.35"/>
    <n v="4200"/>
    <n v="3360"/>
    <n v="1"/>
    <n v="3360"/>
    <n v="240"/>
    <x v="1"/>
    <x v="2"/>
    <x v="20"/>
    <x v="1"/>
  </r>
  <r>
    <x v="8"/>
    <x v="2"/>
    <n v="1.5"/>
    <n v="0.15"/>
    <n v="1800"/>
    <n v="1200"/>
    <n v="1"/>
    <n v="1200"/>
    <n v="86"/>
    <x v="1"/>
    <x v="2"/>
    <x v="20"/>
    <x v="1"/>
  </r>
  <r>
    <x v="8"/>
    <x v="3"/>
    <n v="0.5"/>
    <n v="0.3"/>
    <n v="3600"/>
    <n v="7200"/>
    <n v="3"/>
    <n v="2400"/>
    <n v="172"/>
    <x v="1"/>
    <x v="2"/>
    <x v="20"/>
    <x v="1"/>
  </r>
  <r>
    <x v="9"/>
    <x v="0"/>
    <n v="1.25"/>
    <n v="0.8"/>
    <n v="6000"/>
    <n v="4800"/>
    <n v="1"/>
    <n v="4800"/>
    <n v="343"/>
    <x v="1"/>
    <x v="2"/>
    <x v="20"/>
    <x v="1"/>
  </r>
  <r>
    <x v="9"/>
    <x v="1"/>
    <n v="1.25"/>
    <n v="0.05"/>
    <n v="375"/>
    <n v="300"/>
    <n v="1"/>
    <n v="300"/>
    <n v="22"/>
    <x v="1"/>
    <x v="2"/>
    <x v="20"/>
    <x v="1"/>
  </r>
  <r>
    <x v="9"/>
    <x v="2"/>
    <n v="1.5"/>
    <n v="0.05"/>
    <n v="375"/>
    <n v="250"/>
    <n v="1"/>
    <n v="250"/>
    <n v="18"/>
    <x v="1"/>
    <x v="2"/>
    <x v="20"/>
    <x v="1"/>
  </r>
  <r>
    <x v="9"/>
    <x v="3"/>
    <n v="0.5"/>
    <n v="0.1"/>
    <n v="750"/>
    <n v="1500"/>
    <n v="3"/>
    <n v="500"/>
    <n v="36"/>
    <x v="1"/>
    <x v="2"/>
    <x v="20"/>
    <x v="1"/>
  </r>
  <r>
    <x v="0"/>
    <x v="0"/>
    <n v="1.25"/>
    <n v="0.20000000000000007"/>
    <n v="1800.0000000000007"/>
    <n v="1440.0000000000005"/>
    <n v="1"/>
    <n v="1440.0000000000005"/>
    <n v="103"/>
    <x v="1"/>
    <x v="2"/>
    <x v="20"/>
    <x v="2"/>
  </r>
  <r>
    <x v="0"/>
    <x v="1"/>
    <n v="1"/>
    <n v="0.6"/>
    <n v="5400"/>
    <n v="5400"/>
    <n v="1"/>
    <n v="5400"/>
    <n v="386"/>
    <x v="1"/>
    <x v="2"/>
    <x v="20"/>
    <x v="2"/>
  </r>
  <r>
    <x v="0"/>
    <x v="2"/>
    <n v="1.5"/>
    <n v="0.1"/>
    <n v="900"/>
    <n v="600"/>
    <n v="1"/>
    <n v="600"/>
    <n v="43"/>
    <x v="1"/>
    <x v="2"/>
    <x v="20"/>
    <x v="2"/>
  </r>
  <r>
    <x v="0"/>
    <x v="3"/>
    <n v="0.5"/>
    <n v="0.1"/>
    <n v="900"/>
    <n v="1800"/>
    <n v="3"/>
    <n v="600"/>
    <n v="43"/>
    <x v="1"/>
    <x v="2"/>
    <x v="20"/>
    <x v="2"/>
  </r>
  <r>
    <x v="1"/>
    <x v="0"/>
    <n v="1.25"/>
    <n v="0.29999999999999993"/>
    <n v="5399.9999999999991"/>
    <n v="4319.9999999999991"/>
    <n v="1"/>
    <n v="4319.9999999999991"/>
    <n v="309"/>
    <x v="1"/>
    <x v="2"/>
    <x v="20"/>
    <x v="2"/>
  </r>
  <r>
    <x v="1"/>
    <x v="1"/>
    <n v="1.25"/>
    <n v="0.4"/>
    <n v="7200"/>
    <n v="5760"/>
    <n v="1"/>
    <n v="5760"/>
    <n v="412"/>
    <x v="1"/>
    <x v="2"/>
    <x v="20"/>
    <x v="2"/>
  </r>
  <r>
    <x v="1"/>
    <x v="2"/>
    <n v="1.5"/>
    <n v="0.2"/>
    <n v="3600"/>
    <n v="2400"/>
    <n v="1"/>
    <n v="2400"/>
    <n v="172"/>
    <x v="1"/>
    <x v="2"/>
    <x v="20"/>
    <x v="2"/>
  </r>
  <r>
    <x v="1"/>
    <x v="3"/>
    <n v="0.5"/>
    <n v="0.1"/>
    <n v="1800"/>
    <n v="3600"/>
    <n v="3"/>
    <n v="1200"/>
    <n v="86"/>
    <x v="1"/>
    <x v="2"/>
    <x v="20"/>
    <x v="2"/>
  </r>
  <r>
    <x v="2"/>
    <x v="0"/>
    <n v="1.25"/>
    <n v="0.20000000000000007"/>
    <n v="1800.0000000000007"/>
    <n v="1440.0000000000005"/>
    <n v="1"/>
    <n v="1440.0000000000005"/>
    <n v="103"/>
    <x v="1"/>
    <x v="2"/>
    <x v="20"/>
    <x v="2"/>
  </r>
  <r>
    <x v="2"/>
    <x v="1"/>
    <n v="1.25"/>
    <n v="0.3"/>
    <n v="2700"/>
    <n v="2160"/>
    <n v="1"/>
    <n v="2160"/>
    <n v="155"/>
    <x v="1"/>
    <x v="2"/>
    <x v="20"/>
    <x v="2"/>
  </r>
  <r>
    <x v="2"/>
    <x v="2"/>
    <n v="1.5"/>
    <n v="0.35"/>
    <n v="3150"/>
    <n v="2100"/>
    <n v="1"/>
    <n v="2100"/>
    <n v="150"/>
    <x v="1"/>
    <x v="2"/>
    <x v="20"/>
    <x v="2"/>
  </r>
  <r>
    <x v="2"/>
    <x v="3"/>
    <n v="0.5"/>
    <n v="0.15"/>
    <n v="1350"/>
    <n v="2700"/>
    <n v="3"/>
    <n v="900"/>
    <n v="65"/>
    <x v="1"/>
    <x v="2"/>
    <x v="20"/>
    <x v="2"/>
  </r>
  <r>
    <x v="3"/>
    <x v="0"/>
    <n v="1.25"/>
    <n v="0.4"/>
    <n v="3600"/>
    <n v="2880"/>
    <n v="1"/>
    <n v="2880"/>
    <n v="206"/>
    <x v="1"/>
    <x v="2"/>
    <x v="20"/>
    <x v="2"/>
  </r>
  <r>
    <x v="3"/>
    <x v="1"/>
    <n v="1.25"/>
    <n v="0.1"/>
    <n v="900"/>
    <n v="720"/>
    <n v="1"/>
    <n v="720"/>
    <n v="52"/>
    <x v="1"/>
    <x v="2"/>
    <x v="20"/>
    <x v="2"/>
  </r>
  <r>
    <x v="3"/>
    <x v="2"/>
    <n v="1.5"/>
    <n v="0.4"/>
    <n v="3600"/>
    <n v="2400"/>
    <n v="1"/>
    <n v="2400"/>
    <n v="172"/>
    <x v="1"/>
    <x v="2"/>
    <x v="20"/>
    <x v="2"/>
  </r>
  <r>
    <x v="3"/>
    <x v="3"/>
    <n v="0.5"/>
    <n v="0.1"/>
    <n v="900"/>
    <n v="1800"/>
    <n v="3"/>
    <n v="600"/>
    <n v="43"/>
    <x v="1"/>
    <x v="2"/>
    <x v="20"/>
    <x v="2"/>
  </r>
  <r>
    <x v="4"/>
    <x v="0"/>
    <n v="1.25"/>
    <n v="0.5"/>
    <n v="4500"/>
    <n v="3600"/>
    <n v="1"/>
    <n v="3600"/>
    <n v="258"/>
    <x v="1"/>
    <x v="2"/>
    <x v="20"/>
    <x v="2"/>
  </r>
  <r>
    <x v="4"/>
    <x v="1"/>
    <n v="1.25"/>
    <n v="0.2"/>
    <n v="1800"/>
    <n v="1440"/>
    <n v="1"/>
    <n v="1440"/>
    <n v="103"/>
    <x v="1"/>
    <x v="2"/>
    <x v="20"/>
    <x v="2"/>
  </r>
  <r>
    <x v="4"/>
    <x v="2"/>
    <n v="1.5"/>
    <n v="0.1"/>
    <n v="900"/>
    <n v="600"/>
    <n v="1"/>
    <n v="600"/>
    <n v="43"/>
    <x v="1"/>
    <x v="2"/>
    <x v="20"/>
    <x v="2"/>
  </r>
  <r>
    <x v="4"/>
    <x v="3"/>
    <n v="0.5"/>
    <n v="0.2"/>
    <n v="1800"/>
    <n v="3600"/>
    <n v="3"/>
    <n v="1200"/>
    <n v="86"/>
    <x v="1"/>
    <x v="2"/>
    <x v="20"/>
    <x v="2"/>
  </r>
  <r>
    <x v="5"/>
    <x v="0"/>
    <n v="1.25"/>
    <n v="0.25"/>
    <n v="2250"/>
    <n v="1800"/>
    <n v="1"/>
    <n v="1800"/>
    <n v="129"/>
    <x v="1"/>
    <x v="2"/>
    <x v="20"/>
    <x v="2"/>
  </r>
  <r>
    <x v="5"/>
    <x v="1"/>
    <n v="1.25"/>
    <n v="0.45"/>
    <n v="4050"/>
    <n v="3240"/>
    <n v="1"/>
    <n v="3240"/>
    <n v="232"/>
    <x v="1"/>
    <x v="2"/>
    <x v="20"/>
    <x v="2"/>
  </r>
  <r>
    <x v="5"/>
    <x v="2"/>
    <n v="1.5"/>
    <n v="0.2"/>
    <n v="1800"/>
    <n v="1200"/>
    <n v="1"/>
    <n v="1200"/>
    <n v="86"/>
    <x v="1"/>
    <x v="2"/>
    <x v="20"/>
    <x v="2"/>
  </r>
  <r>
    <x v="5"/>
    <x v="3"/>
    <n v="0.5"/>
    <n v="0.1"/>
    <n v="900"/>
    <n v="1800"/>
    <n v="3"/>
    <n v="600"/>
    <n v="43"/>
    <x v="1"/>
    <x v="2"/>
    <x v="20"/>
    <x v="2"/>
  </r>
  <r>
    <x v="6"/>
    <x v="0"/>
    <n v="1.25"/>
    <n v="0.30000000000000004"/>
    <n v="1350.0000000000002"/>
    <n v="1080.0000000000002"/>
    <n v="1"/>
    <n v="1080.0000000000002"/>
    <n v="78"/>
    <x v="1"/>
    <x v="2"/>
    <x v="20"/>
    <x v="2"/>
  </r>
  <r>
    <x v="6"/>
    <x v="1"/>
    <n v="1.25"/>
    <n v="0.3"/>
    <n v="1350"/>
    <n v="1080"/>
    <n v="1"/>
    <n v="1080"/>
    <n v="78"/>
    <x v="1"/>
    <x v="2"/>
    <x v="20"/>
    <x v="2"/>
  </r>
  <r>
    <x v="6"/>
    <x v="2"/>
    <n v="1.5"/>
    <n v="0.3"/>
    <n v="1350"/>
    <n v="900"/>
    <n v="1"/>
    <n v="900"/>
    <n v="65"/>
    <x v="1"/>
    <x v="2"/>
    <x v="20"/>
    <x v="2"/>
  </r>
  <r>
    <x v="6"/>
    <x v="3"/>
    <n v="0.5"/>
    <n v="0.1"/>
    <n v="450"/>
    <n v="900"/>
    <n v="3"/>
    <n v="300"/>
    <n v="22"/>
    <x v="1"/>
    <x v="2"/>
    <x v="20"/>
    <x v="2"/>
  </r>
  <r>
    <x v="7"/>
    <x v="0"/>
    <n v="1.25"/>
    <n v="0.7"/>
    <n v="6300"/>
    <n v="5040"/>
    <n v="1"/>
    <n v="5040"/>
    <n v="360"/>
    <x v="1"/>
    <x v="2"/>
    <x v="20"/>
    <x v="2"/>
  </r>
  <r>
    <x v="7"/>
    <x v="1"/>
    <n v="1.25"/>
    <n v="0.1"/>
    <n v="900"/>
    <n v="720"/>
    <n v="1"/>
    <n v="720"/>
    <n v="52"/>
    <x v="1"/>
    <x v="2"/>
    <x v="20"/>
    <x v="2"/>
  </r>
  <r>
    <x v="7"/>
    <x v="2"/>
    <n v="1.5"/>
    <n v="0.05"/>
    <n v="450"/>
    <n v="300"/>
    <n v="1"/>
    <n v="300"/>
    <n v="22"/>
    <x v="1"/>
    <x v="2"/>
    <x v="20"/>
    <x v="2"/>
  </r>
  <r>
    <x v="7"/>
    <x v="3"/>
    <n v="0.5"/>
    <n v="0.15"/>
    <n v="1350"/>
    <n v="2700"/>
    <n v="3"/>
    <n v="900"/>
    <n v="65"/>
    <x v="1"/>
    <x v="2"/>
    <x v="20"/>
    <x v="2"/>
  </r>
  <r>
    <x v="8"/>
    <x v="0"/>
    <n v="1.25"/>
    <n v="0.19999999999999996"/>
    <n v="1799.9999999999995"/>
    <n v="1439.9999999999995"/>
    <n v="1"/>
    <n v="1439.9999999999995"/>
    <n v="103"/>
    <x v="1"/>
    <x v="2"/>
    <x v="20"/>
    <x v="2"/>
  </r>
  <r>
    <x v="8"/>
    <x v="1"/>
    <n v="1.25"/>
    <n v="0.35"/>
    <n v="3150"/>
    <n v="2520"/>
    <n v="1"/>
    <n v="2520"/>
    <n v="180"/>
    <x v="1"/>
    <x v="2"/>
    <x v="20"/>
    <x v="2"/>
  </r>
  <r>
    <x v="8"/>
    <x v="2"/>
    <n v="1.5"/>
    <n v="0.15"/>
    <n v="1350"/>
    <n v="900"/>
    <n v="1"/>
    <n v="900"/>
    <n v="65"/>
    <x v="1"/>
    <x v="2"/>
    <x v="20"/>
    <x v="2"/>
  </r>
  <r>
    <x v="8"/>
    <x v="3"/>
    <n v="0.5"/>
    <n v="0.3"/>
    <n v="2700"/>
    <n v="5400"/>
    <n v="3"/>
    <n v="1800"/>
    <n v="129"/>
    <x v="1"/>
    <x v="2"/>
    <x v="20"/>
    <x v="2"/>
  </r>
  <r>
    <x v="9"/>
    <x v="0"/>
    <n v="1.25"/>
    <n v="0.8"/>
    <n v="3600"/>
    <n v="2880"/>
    <n v="1"/>
    <n v="2880"/>
    <n v="206"/>
    <x v="1"/>
    <x v="2"/>
    <x v="20"/>
    <x v="2"/>
  </r>
  <r>
    <x v="9"/>
    <x v="1"/>
    <n v="1.25"/>
    <n v="0.05"/>
    <n v="225"/>
    <n v="180"/>
    <n v="1"/>
    <n v="180"/>
    <n v="13"/>
    <x v="1"/>
    <x v="2"/>
    <x v="20"/>
    <x v="2"/>
  </r>
  <r>
    <x v="9"/>
    <x v="2"/>
    <n v="1.5"/>
    <n v="0.05"/>
    <n v="225"/>
    <n v="150"/>
    <n v="1"/>
    <n v="150"/>
    <n v="11"/>
    <x v="1"/>
    <x v="2"/>
    <x v="20"/>
    <x v="2"/>
  </r>
  <r>
    <x v="9"/>
    <x v="3"/>
    <n v="0.5"/>
    <n v="0.1"/>
    <n v="450"/>
    <n v="900"/>
    <n v="3"/>
    <n v="300"/>
    <n v="22"/>
    <x v="1"/>
    <x v="2"/>
    <x v="20"/>
    <x v="2"/>
  </r>
  <r>
    <x v="4"/>
    <x v="0"/>
    <n v="1.25"/>
    <n v="0.5"/>
    <n v="1500"/>
    <n v="1200"/>
    <n v="1"/>
    <n v="1200"/>
    <n v="86"/>
    <x v="1"/>
    <x v="2"/>
    <x v="20"/>
    <x v="3"/>
  </r>
  <r>
    <x v="4"/>
    <x v="1"/>
    <n v="1.25"/>
    <n v="0.2"/>
    <n v="600"/>
    <n v="480"/>
    <n v="1"/>
    <n v="480"/>
    <n v="35"/>
    <x v="1"/>
    <x v="2"/>
    <x v="20"/>
    <x v="3"/>
  </r>
  <r>
    <x v="4"/>
    <x v="2"/>
    <n v="1.5"/>
    <n v="0.1"/>
    <n v="300"/>
    <n v="200"/>
    <n v="1"/>
    <n v="200"/>
    <n v="15"/>
    <x v="1"/>
    <x v="2"/>
    <x v="20"/>
    <x v="3"/>
  </r>
  <r>
    <x v="4"/>
    <x v="3"/>
    <n v="0.5"/>
    <n v="0.2"/>
    <n v="600"/>
    <n v="1200"/>
    <n v="3"/>
    <n v="400"/>
    <n v="29"/>
    <x v="1"/>
    <x v="2"/>
    <x v="20"/>
    <x v="3"/>
  </r>
  <r>
    <x v="8"/>
    <x v="0"/>
    <n v="1.25"/>
    <n v="0.19999999999999996"/>
    <n v="599.99999999999989"/>
    <n v="479.99999999999989"/>
    <n v="1"/>
    <n v="479.99999999999989"/>
    <n v="35"/>
    <x v="1"/>
    <x v="2"/>
    <x v="20"/>
    <x v="3"/>
  </r>
  <r>
    <x v="8"/>
    <x v="1"/>
    <n v="1.25"/>
    <n v="0.35"/>
    <n v="1050"/>
    <n v="840"/>
    <n v="1"/>
    <n v="840"/>
    <n v="60"/>
    <x v="1"/>
    <x v="2"/>
    <x v="20"/>
    <x v="3"/>
  </r>
  <r>
    <x v="8"/>
    <x v="2"/>
    <n v="1.5"/>
    <n v="0.15"/>
    <n v="450"/>
    <n v="300"/>
    <n v="1"/>
    <n v="300"/>
    <n v="22"/>
    <x v="1"/>
    <x v="2"/>
    <x v="20"/>
    <x v="3"/>
  </r>
  <r>
    <x v="8"/>
    <x v="3"/>
    <n v="0.5"/>
    <n v="0.3"/>
    <n v="900"/>
    <n v="1800"/>
    <n v="3"/>
    <n v="600"/>
    <n v="43"/>
    <x v="1"/>
    <x v="2"/>
    <x v="2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5" cacheId="14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A20:AG26" firstHeaderRow="1" firstDataRow="2" firstDataCol="4" rowPageCount="2" colPageCount="1"/>
  <pivotFields count="13">
    <pivotField axis="axisPage" compact="0" outline="0" multipleItemSelectionAllowed="1" showAll="0">
      <items count="11">
        <item h="1" x="4"/>
        <item h="1" x="8"/>
        <item x="5"/>
        <item h="1" x="9"/>
        <item h="1" x="7"/>
        <item h="1" x="3"/>
        <item h="1" x="2"/>
        <item h="1" x="6"/>
        <item h="1" x="0"/>
        <item h="1" x="1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/>
    <pivotField compact="0" numFmtId="1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21">
        <item x="19"/>
        <item x="18"/>
        <item x="15"/>
        <item x="2"/>
        <item x="10"/>
        <item x="8"/>
        <item x="14"/>
        <item x="5"/>
        <item x="0"/>
        <item x="12"/>
        <item x="7"/>
        <item x="6"/>
        <item x="4"/>
        <item x="17"/>
        <item x="9"/>
        <item x="13"/>
        <item x="11"/>
        <item x="1"/>
        <item x="16"/>
        <item x="3"/>
        <item x="20"/>
      </items>
    </pivotField>
    <pivotField axis="axisPage" compact="0" outline="0" multipleItemSelectionAllowed="1" showAll="0">
      <items count="5">
        <item x="0"/>
        <item h="1" x="1"/>
        <item h="1" x="2"/>
        <item h="1" x="3"/>
        <item t="default"/>
      </items>
    </pivotField>
  </pivotFields>
  <rowFields count="4">
    <field x="1"/>
    <field x="9"/>
    <field x="11"/>
    <field x="10"/>
  </rowFields>
  <rowItems count="5">
    <i>
      <x/>
      <x/>
      <x v="9"/>
      <x/>
    </i>
    <i>
      <x v="1"/>
      <x/>
      <x v="15"/>
      <x/>
    </i>
    <i>
      <x v="2"/>
      <x/>
      <x v="7"/>
      <x v="1"/>
    </i>
    <i>
      <x v="3"/>
      <x/>
      <x v="3"/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12" hier="-1"/>
  </pageFields>
  <dataFields count="3">
    <dataField name="Sum of ttl weight" fld="4" baseField="0" baseItem="0"/>
    <dataField name="Sum of Qty-Pallet" fld="7" baseField="0" baseItem="0"/>
    <dataField name="Sum of Qty-20ft pallet wide container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4" cacheId="14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A10:AG16" firstHeaderRow="1" firstDataRow="2" firstDataCol="4" rowPageCount="2" colPageCount="1"/>
  <pivotFields count="13">
    <pivotField axis="axisPage" compact="0" outline="0" multipleItemSelectionAllowed="1" showAll="0">
      <items count="11">
        <item h="1" x="4"/>
        <item h="1" x="8"/>
        <item h="1" x="5"/>
        <item h="1" x="9"/>
        <item h="1" x="7"/>
        <item h="1" x="3"/>
        <item h="1" x="2"/>
        <item h="1" x="6"/>
        <item x="0"/>
        <item h="1" x="1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/>
    <pivotField compact="0" numFmtId="1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21">
        <item x="19"/>
        <item x="18"/>
        <item x="15"/>
        <item x="2"/>
        <item x="10"/>
        <item x="8"/>
        <item x="14"/>
        <item x="5"/>
        <item x="0"/>
        <item x="12"/>
        <item x="7"/>
        <item x="6"/>
        <item x="4"/>
        <item x="17"/>
        <item x="9"/>
        <item x="13"/>
        <item x="11"/>
        <item x="1"/>
        <item x="16"/>
        <item x="3"/>
        <item x="20"/>
      </items>
    </pivotField>
    <pivotField axis="axisPage" compact="0" outline="0" multipleItemSelectionAllowed="1" showAll="0">
      <items count="5">
        <item x="0"/>
        <item h="1" x="1"/>
        <item h="1" x="2"/>
        <item h="1" x="3"/>
        <item t="default"/>
      </items>
    </pivotField>
  </pivotFields>
  <rowFields count="4">
    <field x="1"/>
    <field x="9"/>
    <field x="11"/>
    <field x="10"/>
  </rowFields>
  <rowItems count="5">
    <i>
      <x/>
      <x/>
      <x v="8"/>
      <x/>
    </i>
    <i>
      <x v="1"/>
      <x/>
      <x v="17"/>
      <x/>
    </i>
    <i>
      <x v="2"/>
      <x/>
      <x v="3"/>
      <x v="1"/>
    </i>
    <i>
      <x v="3"/>
      <x/>
      <x v="3"/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12" hier="-1"/>
  </pageFields>
  <dataFields count="3">
    <dataField name="Sum of ttl weight" fld="4" baseField="0" baseItem="0"/>
    <dataField name="Sum of Qty-Pallet" fld="7" baseField="0" baseItem="0"/>
    <dataField name="Sum of Qty-20ft pallet wide container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4"/>
  <sheetViews>
    <sheetView workbookViewId="0">
      <selection activeCell="A2" sqref="A2"/>
    </sheetView>
  </sheetViews>
  <sheetFormatPr baseColWidth="10" defaultColWidth="9" defaultRowHeight="14" x14ac:dyDescent="0.2"/>
  <cols>
    <col min="13" max="13" width="6.19921875" customWidth="1"/>
    <col min="14" max="14" width="4.796875" customWidth="1"/>
    <col min="15" max="15" width="4.59765625" customWidth="1"/>
    <col min="16" max="16" width="5" customWidth="1"/>
    <col min="17" max="17" width="4.3984375" customWidth="1"/>
    <col min="18" max="18" width="3.796875" customWidth="1"/>
    <col min="19" max="19" width="4" customWidth="1"/>
    <col min="20" max="20" width="4.3984375" customWidth="1"/>
    <col min="21" max="21" width="3.796875" customWidth="1"/>
    <col min="22" max="22" width="3.3984375" customWidth="1"/>
  </cols>
  <sheetData>
    <row r="94" spans="3:3" x14ac:dyDescent="0.2">
      <c r="C94" t="s">
        <v>2</v>
      </c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61"/>
  <sheetViews>
    <sheetView topLeftCell="AC13" zoomScaleNormal="70" workbookViewId="0">
      <selection activeCell="AK81" sqref="AK81"/>
    </sheetView>
  </sheetViews>
  <sheetFormatPr baseColWidth="10" defaultColWidth="9" defaultRowHeight="14" x14ac:dyDescent="0.2"/>
  <cols>
    <col min="1" max="1" width="5" customWidth="1"/>
    <col min="2" max="2" width="8.3984375" customWidth="1"/>
    <col min="3" max="3" width="6.796875" customWidth="1"/>
    <col min="4" max="4" width="7" customWidth="1"/>
    <col min="5" max="5" width="10.19921875" customWidth="1"/>
    <col min="6" max="6" width="40" customWidth="1"/>
    <col min="13" max="13" width="9.796875" customWidth="1"/>
    <col min="20" max="20" width="10.796875" customWidth="1"/>
    <col min="21" max="21" width="4.59765625" customWidth="1"/>
    <col min="22" max="22" width="3.796875" customWidth="1"/>
    <col min="23" max="23" width="3.19921875" customWidth="1"/>
    <col min="24" max="24" width="3.59765625" customWidth="1"/>
    <col min="25" max="28" width="3.19921875" customWidth="1"/>
    <col min="29" max="29" width="3" customWidth="1"/>
    <col min="30" max="30" width="4.796875" customWidth="1"/>
    <col min="31" max="31" width="4.3984375" customWidth="1"/>
    <col min="32" max="32" width="3" customWidth="1"/>
    <col min="34" max="34" width="10.796875" customWidth="1"/>
    <col min="36" max="36" width="11.19921875" customWidth="1"/>
    <col min="37" max="37" width="10" customWidth="1"/>
    <col min="39" max="39" width="11.19921875" customWidth="1"/>
    <col min="41" max="41" width="8.19921875" customWidth="1"/>
    <col min="42" max="43" width="8.3984375" customWidth="1"/>
    <col min="44" max="44" width="10.3984375" bestFit="1" customWidth="1"/>
    <col min="45" max="45" width="8.19921875" customWidth="1"/>
    <col min="46" max="46" width="8.59765625" bestFit="1" customWidth="1"/>
    <col min="47" max="47" width="8" customWidth="1"/>
  </cols>
  <sheetData>
    <row r="1" spans="1:47" ht="15" thickBot="1" x14ac:dyDescent="0.25">
      <c r="A1" s="122" t="s">
        <v>142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19"/>
    </row>
    <row r="2" spans="1:47" ht="16" x14ac:dyDescent="0.2">
      <c r="A2" s="176"/>
      <c r="B2" s="27" t="s">
        <v>141</v>
      </c>
      <c r="I2" s="160" t="s">
        <v>155</v>
      </c>
      <c r="J2" s="160"/>
      <c r="K2" s="160"/>
      <c r="L2" s="160"/>
    </row>
    <row r="3" spans="1:47" ht="16" x14ac:dyDescent="0.2">
      <c r="A3" s="174"/>
      <c r="B3" s="27" t="s">
        <v>57</v>
      </c>
    </row>
    <row r="4" spans="1:47" ht="16" x14ac:dyDescent="0.2">
      <c r="A4" s="175"/>
      <c r="B4" s="27" t="s">
        <v>165</v>
      </c>
    </row>
    <row r="5" spans="1:47" ht="16" x14ac:dyDescent="0.2">
      <c r="A5" s="25" t="s">
        <v>78</v>
      </c>
      <c r="F5" s="26"/>
      <c r="G5" s="26" t="s">
        <v>101</v>
      </c>
    </row>
    <row r="6" spans="1:47" ht="16" x14ac:dyDescent="0.2">
      <c r="A6" s="25" t="s">
        <v>205</v>
      </c>
      <c r="B6" s="25"/>
      <c r="C6" s="26"/>
      <c r="D6" s="26"/>
      <c r="E6" s="26"/>
      <c r="F6" s="26"/>
      <c r="H6" s="158"/>
      <c r="I6" s="158"/>
      <c r="J6" s="263"/>
      <c r="K6" s="263"/>
      <c r="L6" s="263"/>
      <c r="M6" s="159" t="s">
        <v>203</v>
      </c>
      <c r="N6" s="159" t="s">
        <v>56</v>
      </c>
      <c r="O6" s="158"/>
      <c r="P6" s="26"/>
    </row>
    <row r="7" spans="1:47" ht="16" x14ac:dyDescent="0.2">
      <c r="B7" s="26"/>
      <c r="C7" s="26"/>
      <c r="D7" s="26"/>
      <c r="E7" s="26"/>
      <c r="F7" s="26"/>
      <c r="G7" s="26"/>
      <c r="H7" s="26"/>
      <c r="I7" s="26"/>
      <c r="J7" s="263"/>
      <c r="K7" s="263"/>
      <c r="L7" s="263"/>
      <c r="M7" s="159" t="s">
        <v>54</v>
      </c>
      <c r="N7" s="159" t="s">
        <v>55</v>
      </c>
      <c r="O7" s="161"/>
      <c r="P7" s="26"/>
    </row>
    <row r="8" spans="1:47" ht="16" x14ac:dyDescent="0.2">
      <c r="B8" s="26"/>
      <c r="C8" s="26"/>
      <c r="D8" s="26"/>
      <c r="E8" s="253" t="s">
        <v>79</v>
      </c>
      <c r="F8" s="254"/>
      <c r="G8" s="264">
        <v>70</v>
      </c>
      <c r="H8" s="264">
        <v>70</v>
      </c>
      <c r="I8" s="264">
        <v>70</v>
      </c>
      <c r="J8" s="264">
        <v>70</v>
      </c>
      <c r="K8" s="264">
        <v>70</v>
      </c>
      <c r="L8" s="264">
        <v>70</v>
      </c>
      <c r="M8" s="30"/>
      <c r="N8" s="265">
        <f>SUM(G8:M8)</f>
        <v>420</v>
      </c>
      <c r="O8" s="254" t="s">
        <v>202</v>
      </c>
      <c r="P8" s="255" t="s">
        <v>58</v>
      </c>
      <c r="U8" s="172" t="s">
        <v>150</v>
      </c>
      <c r="V8" s="172"/>
      <c r="W8" s="172"/>
      <c r="X8" s="172" t="s">
        <v>157</v>
      </c>
      <c r="Y8" s="172"/>
      <c r="Z8" s="172"/>
      <c r="AA8" s="172"/>
      <c r="AB8" s="172"/>
      <c r="AC8" s="172"/>
    </row>
    <row r="9" spans="1:47" ht="16" x14ac:dyDescent="0.2">
      <c r="A9" s="26"/>
      <c r="B9" s="26"/>
      <c r="C9" s="28"/>
      <c r="D9" s="28"/>
      <c r="E9" s="29" t="s">
        <v>59</v>
      </c>
      <c r="F9" s="22"/>
      <c r="G9" s="30">
        <f>SUM(G14:G106)</f>
        <v>2.6666666666666665</v>
      </c>
      <c r="H9" s="30">
        <f>SUM(H14:H106)</f>
        <v>5.6666666666666661</v>
      </c>
      <c r="I9" s="30">
        <f>SUM(I14:I106)</f>
        <v>2.5</v>
      </c>
      <c r="J9" s="30">
        <f>SUM(J14:J106)</f>
        <v>5.6666666666666661</v>
      </c>
      <c r="K9" s="30">
        <f>SUM(K14:K106)</f>
        <v>6.1666666666666661</v>
      </c>
      <c r="L9" s="30">
        <f>SUM(L14:L106)</f>
        <v>8.1666666666666679</v>
      </c>
      <c r="M9" s="30">
        <f>SUM(M14:M106)</f>
        <v>30.833333333333332</v>
      </c>
      <c r="N9" s="30">
        <f>SUM(N14:N106)</f>
        <v>0</v>
      </c>
      <c r="O9" s="26"/>
      <c r="P9" s="26"/>
      <c r="U9" s="171" t="s">
        <v>110</v>
      </c>
      <c r="V9" s="171"/>
      <c r="W9" s="171"/>
      <c r="X9" s="171" t="s">
        <v>152</v>
      </c>
      <c r="Y9" s="171"/>
      <c r="Z9" s="171"/>
      <c r="AA9" s="171"/>
      <c r="AB9" s="171"/>
      <c r="AC9" s="171"/>
    </row>
    <row r="10" spans="1:47" ht="17" thickBot="1" x14ac:dyDescent="0.25">
      <c r="B10" s="26"/>
      <c r="E10" s="26"/>
      <c r="F10" s="26"/>
      <c r="G10" s="26"/>
      <c r="H10" s="26"/>
      <c r="I10" s="26"/>
      <c r="M10" s="31" t="s">
        <v>5</v>
      </c>
      <c r="N10" s="31"/>
      <c r="O10" s="26"/>
      <c r="P10" s="26"/>
      <c r="Q10" s="26"/>
      <c r="R10" s="26"/>
      <c r="U10" s="173" t="s">
        <v>153</v>
      </c>
      <c r="V10" s="173"/>
      <c r="W10" s="173"/>
      <c r="X10" s="173" t="s">
        <v>154</v>
      </c>
      <c r="Y10" s="173"/>
      <c r="Z10" s="173"/>
      <c r="AA10" s="173"/>
      <c r="AB10" s="173"/>
      <c r="AC10" s="173"/>
    </row>
    <row r="11" spans="1:47" ht="41.25" customHeight="1" thickBot="1" x14ac:dyDescent="0.25">
      <c r="A11" s="26" t="s">
        <v>186</v>
      </c>
      <c r="B11" s="26"/>
      <c r="C11" s="26"/>
      <c r="D11" s="26"/>
      <c r="F11" s="32" t="s">
        <v>204</v>
      </c>
      <c r="G11" s="33" t="s">
        <v>209</v>
      </c>
      <c r="H11" s="33" t="s">
        <v>210</v>
      </c>
      <c r="I11" s="33" t="s">
        <v>211</v>
      </c>
      <c r="J11" s="33" t="s">
        <v>212</v>
      </c>
      <c r="K11" s="185" t="s">
        <v>213</v>
      </c>
      <c r="L11" s="185" t="s">
        <v>214</v>
      </c>
      <c r="M11" s="34"/>
      <c r="N11" s="55"/>
      <c r="R11" s="26"/>
      <c r="U11" s="1"/>
      <c r="V11" s="169"/>
      <c r="W11" s="169"/>
      <c r="X11" s="166"/>
      <c r="Y11" s="166" t="s">
        <v>146</v>
      </c>
      <c r="Z11" s="166"/>
      <c r="AA11" s="166"/>
      <c r="AB11" s="166"/>
      <c r="AC11" s="166"/>
    </row>
    <row r="12" spans="1:47" ht="32" customHeight="1" thickBot="1" x14ac:dyDescent="0.25">
      <c r="A12" s="35" t="s">
        <v>1</v>
      </c>
      <c r="B12" s="36" t="s">
        <v>60</v>
      </c>
      <c r="C12" s="37"/>
      <c r="D12" s="38" t="s">
        <v>61</v>
      </c>
      <c r="E12" s="37" t="s">
        <v>62</v>
      </c>
      <c r="F12" s="39" t="s">
        <v>63</v>
      </c>
      <c r="G12" s="40">
        <v>1</v>
      </c>
      <c r="H12" s="41">
        <v>2</v>
      </c>
      <c r="I12" s="41">
        <v>3</v>
      </c>
      <c r="J12" s="42">
        <v>4</v>
      </c>
      <c r="K12" s="184">
        <v>5</v>
      </c>
      <c r="L12" s="184">
        <v>6</v>
      </c>
      <c r="M12" s="43">
        <v>6</v>
      </c>
      <c r="N12" s="44"/>
      <c r="O12" s="26" t="s">
        <v>66</v>
      </c>
      <c r="P12" s="45"/>
      <c r="Q12" s="26"/>
      <c r="U12" s="21"/>
      <c r="V12" s="1" t="s">
        <v>51</v>
      </c>
      <c r="W12" s="1"/>
      <c r="X12" s="12"/>
      <c r="Y12" s="12"/>
      <c r="Z12" s="12"/>
      <c r="AA12" s="12"/>
      <c r="AB12" s="12"/>
      <c r="AC12" s="12"/>
      <c r="AD12" s="104"/>
      <c r="AE12" s="1"/>
      <c r="AF12" s="1"/>
    </row>
    <row r="13" spans="1:47" ht="78.75" customHeight="1" thickBot="1" x14ac:dyDescent="0.25">
      <c r="A13" s="163" t="s">
        <v>122</v>
      </c>
      <c r="B13" s="103" t="s">
        <v>64</v>
      </c>
      <c r="C13" s="102" t="s">
        <v>65</v>
      </c>
      <c r="D13" s="47"/>
      <c r="E13" s="187" t="s">
        <v>187</v>
      </c>
      <c r="F13" s="179"/>
      <c r="G13" s="250" t="s">
        <v>188</v>
      </c>
      <c r="H13" s="1"/>
      <c r="I13" s="1"/>
      <c r="J13" s="14"/>
      <c r="K13" s="14"/>
      <c r="L13" s="14"/>
      <c r="M13" s="34" t="s">
        <v>201</v>
      </c>
      <c r="N13" s="31"/>
      <c r="O13" s="177" t="s">
        <v>189</v>
      </c>
      <c r="P13" s="178"/>
      <c r="Q13" s="177"/>
      <c r="R13" s="177"/>
      <c r="U13" s="168" t="s">
        <v>143</v>
      </c>
      <c r="V13" s="167">
        <v>1</v>
      </c>
      <c r="W13" s="167">
        <v>2</v>
      </c>
      <c r="X13" s="156">
        <v>3</v>
      </c>
      <c r="Y13" s="170">
        <v>4</v>
      </c>
      <c r="Z13" s="157">
        <v>5</v>
      </c>
      <c r="AA13" s="167">
        <v>6</v>
      </c>
      <c r="AB13" s="167">
        <v>7</v>
      </c>
      <c r="AC13" s="167">
        <v>8</v>
      </c>
      <c r="AD13" s="180" t="s">
        <v>190</v>
      </c>
      <c r="AE13" s="181" t="s">
        <v>191</v>
      </c>
      <c r="AF13" s="191" t="s">
        <v>164</v>
      </c>
      <c r="AG13" s="178" t="s">
        <v>129</v>
      </c>
      <c r="AH13" s="182"/>
      <c r="AI13" s="182"/>
      <c r="AJ13" s="173" t="s">
        <v>183</v>
      </c>
      <c r="AK13" s="173"/>
      <c r="AL13" s="173"/>
      <c r="AM13" s="173"/>
      <c r="AN13" s="173"/>
      <c r="AO13" s="173"/>
      <c r="AP13" s="173"/>
      <c r="AQ13" s="173"/>
      <c r="AR13" s="173"/>
      <c r="AS13" s="173"/>
    </row>
    <row r="14" spans="1:47" ht="16" x14ac:dyDescent="0.2">
      <c r="A14" s="162">
        <v>1</v>
      </c>
      <c r="B14" s="49">
        <v>43348</v>
      </c>
      <c r="C14" s="50"/>
      <c r="D14" s="186"/>
      <c r="E14" s="213" t="s">
        <v>158</v>
      </c>
      <c r="F14" s="256"/>
      <c r="G14" s="120"/>
      <c r="H14" s="120"/>
      <c r="I14" s="120"/>
      <c r="J14" s="120"/>
      <c r="K14" s="120"/>
      <c r="L14" s="120"/>
      <c r="M14" s="53">
        <f>SUM(G14:L14)</f>
        <v>0</v>
      </c>
      <c r="N14" s="54"/>
      <c r="O14" s="101" t="s">
        <v>159</v>
      </c>
      <c r="P14" s="26"/>
      <c r="Q14" s="26"/>
      <c r="R14" s="26"/>
      <c r="U14" s="205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6">
        <v>2</v>
      </c>
      <c r="AE14" s="6"/>
      <c r="AF14" s="202">
        <f>U14</f>
        <v>0</v>
      </c>
      <c r="AG14" s="203" t="s">
        <v>185</v>
      </c>
      <c r="AH14" s="9"/>
      <c r="AI14" s="9"/>
      <c r="AJ14" s="9"/>
      <c r="AK14" s="9"/>
      <c r="AL14" s="9"/>
      <c r="AM14" s="9"/>
      <c r="AN14" s="9"/>
      <c r="AO14" s="9"/>
      <c r="AP14" s="9"/>
    </row>
    <row r="15" spans="1:47" ht="16" x14ac:dyDescent="0.2">
      <c r="A15" s="183"/>
      <c r="B15" s="56"/>
      <c r="C15" s="57"/>
      <c r="D15" s="188"/>
      <c r="E15" s="214" t="s">
        <v>89</v>
      </c>
      <c r="F15" s="204"/>
      <c r="G15" s="266">
        <v>2.5</v>
      </c>
      <c r="H15" s="266">
        <v>2.5</v>
      </c>
      <c r="I15" s="266">
        <v>2.5</v>
      </c>
      <c r="J15" s="266">
        <v>2.5</v>
      </c>
      <c r="K15" s="266">
        <v>2.5</v>
      </c>
      <c r="L15" s="266">
        <v>4</v>
      </c>
      <c r="M15" s="53">
        <f>SUM(G15:L15)</f>
        <v>16.5</v>
      </c>
      <c r="N15" s="31"/>
      <c r="O15" s="26" t="s">
        <v>156</v>
      </c>
      <c r="P15" s="26"/>
      <c r="Q15" s="26"/>
      <c r="R15" s="26"/>
      <c r="U15" s="206">
        <v>1</v>
      </c>
      <c r="V15" s="1">
        <v>1</v>
      </c>
      <c r="W15" s="1"/>
      <c r="X15" s="1"/>
      <c r="Y15" s="1"/>
      <c r="Z15" s="1"/>
      <c r="AA15" s="1"/>
      <c r="AB15" s="1"/>
      <c r="AC15" s="1"/>
      <c r="AD15" s="6">
        <v>1</v>
      </c>
      <c r="AE15" s="6"/>
      <c r="AF15" s="202">
        <f>U15</f>
        <v>1</v>
      </c>
      <c r="AG15" s="203" t="s">
        <v>184</v>
      </c>
      <c r="AH15" s="9"/>
      <c r="AI15" s="9"/>
      <c r="AJ15" s="9"/>
      <c r="AK15" s="9"/>
      <c r="AL15" s="9"/>
      <c r="AM15" s="9"/>
      <c r="AN15" s="9"/>
      <c r="AO15" s="9"/>
      <c r="AP15" s="9"/>
    </row>
    <row r="16" spans="1:47" ht="16" x14ac:dyDescent="0.2">
      <c r="A16" s="55"/>
      <c r="B16" s="56"/>
      <c r="C16" s="57"/>
      <c r="D16" s="188"/>
      <c r="E16" s="214" t="s">
        <v>90</v>
      </c>
      <c r="F16" s="204"/>
      <c r="G16" s="267">
        <f>1/6</f>
        <v>0.16666666666666666</v>
      </c>
      <c r="H16" s="267">
        <f>G16</f>
        <v>0.16666666666666666</v>
      </c>
      <c r="I16" s="267"/>
      <c r="J16" s="267">
        <f>H16</f>
        <v>0.16666666666666666</v>
      </c>
      <c r="K16" s="267">
        <f>J16</f>
        <v>0.16666666666666666</v>
      </c>
      <c r="L16" s="267">
        <f>K16</f>
        <v>0.16666666666666666</v>
      </c>
      <c r="M16" s="53">
        <f>SUM(G16:L16)</f>
        <v>0.83333333333333326</v>
      </c>
      <c r="N16" s="31"/>
      <c r="O16" s="72" t="s">
        <v>147</v>
      </c>
      <c r="P16" s="26"/>
      <c r="Q16" s="26"/>
      <c r="R16" s="26"/>
      <c r="U16" s="206">
        <v>2</v>
      </c>
      <c r="V16" s="1">
        <v>1</v>
      </c>
      <c r="W16" s="1"/>
      <c r="X16" s="1"/>
      <c r="Y16" s="1"/>
      <c r="Z16" s="1"/>
      <c r="AA16" s="1"/>
      <c r="AB16" s="1"/>
      <c r="AC16" s="1"/>
      <c r="AD16" s="6">
        <v>1</v>
      </c>
      <c r="AE16" s="6"/>
      <c r="AF16" s="202">
        <f>U16</f>
        <v>2</v>
      </c>
      <c r="AG16" s="203" t="s">
        <v>148</v>
      </c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</row>
    <row r="17" spans="1:57" ht="16" x14ac:dyDescent="0.2">
      <c r="A17" s="55"/>
      <c r="B17" s="56"/>
      <c r="C17" s="57"/>
      <c r="D17" s="188"/>
      <c r="E17" s="214" t="s">
        <v>91</v>
      </c>
      <c r="F17" s="204"/>
      <c r="G17" s="120"/>
      <c r="H17" s="120"/>
      <c r="I17" s="120"/>
      <c r="J17" s="120"/>
      <c r="K17" s="120"/>
      <c r="L17" s="120"/>
      <c r="M17" s="53">
        <f>SUM(G17:L17)</f>
        <v>0</v>
      </c>
      <c r="N17" s="31"/>
      <c r="O17" s="26"/>
      <c r="P17" s="26"/>
      <c r="Q17" s="26"/>
      <c r="R17" s="26"/>
      <c r="U17" s="206">
        <v>3</v>
      </c>
      <c r="V17" s="1">
        <v>1</v>
      </c>
      <c r="W17" s="1"/>
      <c r="X17" s="1"/>
      <c r="Y17" s="1"/>
      <c r="Z17" s="1"/>
      <c r="AA17" s="1"/>
      <c r="AB17" s="1"/>
      <c r="AC17" s="1"/>
      <c r="AD17" s="6">
        <v>1</v>
      </c>
      <c r="AE17" s="6"/>
      <c r="AF17" s="202">
        <f>U17</f>
        <v>3</v>
      </c>
      <c r="AG17" s="203" t="s">
        <v>149</v>
      </c>
      <c r="AH17" s="9"/>
      <c r="AI17" s="9"/>
      <c r="AJ17" s="9"/>
      <c r="AK17" s="9"/>
      <c r="AL17" s="9"/>
      <c r="AM17" s="9"/>
      <c r="AN17" s="9"/>
      <c r="AO17" s="9"/>
      <c r="AP17" s="9"/>
    </row>
    <row r="18" spans="1:57" ht="17" thickBot="1" x14ac:dyDescent="0.25">
      <c r="A18" s="62"/>
      <c r="B18" s="63"/>
      <c r="C18" s="64"/>
      <c r="D18" s="189"/>
      <c r="E18" s="215" t="s">
        <v>215</v>
      </c>
      <c r="F18" s="257"/>
      <c r="G18" s="121"/>
      <c r="H18" s="121"/>
      <c r="I18" s="121"/>
      <c r="J18" s="120"/>
      <c r="K18" s="120"/>
      <c r="L18" s="120"/>
      <c r="M18" s="70">
        <f>SUM(G18:K18)</f>
        <v>0</v>
      </c>
      <c r="N18" s="31"/>
      <c r="O18" s="26"/>
      <c r="P18" s="26"/>
      <c r="Q18" s="26"/>
      <c r="R18" s="26"/>
      <c r="U18" s="206">
        <v>4</v>
      </c>
      <c r="V18" s="1">
        <v>1</v>
      </c>
      <c r="W18" s="1"/>
      <c r="X18" s="1"/>
      <c r="Y18" s="1"/>
      <c r="Z18" s="1"/>
      <c r="AA18" s="1"/>
      <c r="AB18" s="1"/>
      <c r="AC18" s="1"/>
      <c r="AD18" s="105">
        <v>1</v>
      </c>
      <c r="AE18" s="105"/>
      <c r="AF18" s="202">
        <f>U18</f>
        <v>4</v>
      </c>
      <c r="AG18" s="203" t="s">
        <v>179</v>
      </c>
      <c r="AH18" s="9"/>
      <c r="AI18" s="9"/>
      <c r="AJ18" s="9"/>
      <c r="AK18" s="9"/>
      <c r="AL18" s="9"/>
      <c r="AM18" s="9"/>
      <c r="AN18" s="9"/>
      <c r="AO18" s="9"/>
      <c r="AP18" s="9"/>
    </row>
    <row r="19" spans="1:57" ht="17" thickBot="1" x14ac:dyDescent="0.25">
      <c r="E19" t="s">
        <v>49</v>
      </c>
      <c r="N19" s="31"/>
      <c r="R19" s="26"/>
      <c r="U19" s="99"/>
      <c r="V19" s="1"/>
      <c r="W19" s="1"/>
      <c r="X19" s="1"/>
      <c r="Y19" s="1"/>
      <c r="Z19" s="1"/>
      <c r="AA19" s="1"/>
      <c r="AB19" s="1"/>
      <c r="AC19" s="1"/>
      <c r="AD19" s="6"/>
      <c r="AE19" s="6"/>
      <c r="AF19" s="1"/>
      <c r="AG19" s="122" t="s">
        <v>23</v>
      </c>
      <c r="AH19" s="97"/>
      <c r="AI19" s="97"/>
      <c r="AJ19" s="13"/>
      <c r="AK19" s="104" t="s">
        <v>173</v>
      </c>
      <c r="AL19" s="104" t="s">
        <v>28</v>
      </c>
      <c r="AM19" s="104" t="s">
        <v>30</v>
      </c>
      <c r="AN19" s="11" t="s">
        <v>24</v>
      </c>
      <c r="AO19" s="104" t="s">
        <v>30</v>
      </c>
      <c r="AP19" s="143" t="s">
        <v>14</v>
      </c>
      <c r="AQ19" s="104" t="s">
        <v>30</v>
      </c>
      <c r="AR19" s="11" t="s">
        <v>181</v>
      </c>
      <c r="AS19" s="104" t="s">
        <v>30</v>
      </c>
      <c r="AT19" s="143" t="s">
        <v>245</v>
      </c>
      <c r="AU19" s="104" t="s">
        <v>30</v>
      </c>
      <c r="AV19" s="11" t="s">
        <v>8</v>
      </c>
      <c r="AW19" s="104" t="s">
        <v>30</v>
      </c>
      <c r="AX19" s="143" t="s">
        <v>13</v>
      </c>
      <c r="AY19" s="104" t="s">
        <v>30</v>
      </c>
      <c r="AZ19" s="11" t="s">
        <v>25</v>
      </c>
      <c r="BA19" s="104" t="s">
        <v>30</v>
      </c>
      <c r="BB19" s="11" t="s">
        <v>26</v>
      </c>
      <c r="BC19" s="104" t="s">
        <v>30</v>
      </c>
      <c r="BD19" s="13" t="s">
        <v>27</v>
      </c>
      <c r="BE19" s="13"/>
    </row>
    <row r="20" spans="1:57" ht="17" thickBot="1" x14ac:dyDescent="0.25">
      <c r="E20" s="109" t="s">
        <v>144</v>
      </c>
      <c r="N20" s="31"/>
      <c r="R20" s="26"/>
      <c r="U20" s="99"/>
      <c r="V20" s="1"/>
      <c r="W20" s="1"/>
      <c r="X20" s="1"/>
      <c r="Y20" s="1"/>
      <c r="Z20" s="1"/>
      <c r="AA20" s="1"/>
      <c r="AB20" s="1"/>
      <c r="AC20" s="1"/>
      <c r="AD20" s="6"/>
      <c r="AE20" s="6"/>
      <c r="AF20" s="1"/>
      <c r="AG20" s="246">
        <v>1</v>
      </c>
      <c r="AH20" s="97" t="s">
        <v>130</v>
      </c>
      <c r="AI20" s="19"/>
      <c r="AJ20" s="20">
        <v>300000</v>
      </c>
      <c r="AK20" s="148">
        <f>SUM(AL20:BD20)</f>
        <v>1</v>
      </c>
      <c r="AL20" s="241">
        <v>0.1</v>
      </c>
      <c r="AM20" s="96" t="s">
        <v>31</v>
      </c>
      <c r="AN20" s="242">
        <v>0.1</v>
      </c>
      <c r="AO20" s="96" t="s">
        <v>31</v>
      </c>
      <c r="AP20" s="243">
        <v>0.2</v>
      </c>
      <c r="AQ20" s="96" t="s">
        <v>31</v>
      </c>
      <c r="AR20" s="242">
        <v>0.1</v>
      </c>
      <c r="AS20" s="96" t="s">
        <v>31</v>
      </c>
      <c r="AT20" s="243">
        <v>0.1</v>
      </c>
      <c r="AU20" s="96" t="s">
        <v>31</v>
      </c>
      <c r="AV20" s="242">
        <v>0.05</v>
      </c>
      <c r="AW20" s="96" t="s">
        <v>31</v>
      </c>
      <c r="AX20" s="243">
        <v>0.1</v>
      </c>
      <c r="AY20" s="96" t="s">
        <v>31</v>
      </c>
      <c r="AZ20" s="242">
        <v>0.1</v>
      </c>
      <c r="BA20" s="96" t="s">
        <v>31</v>
      </c>
      <c r="BB20" s="242">
        <v>0.1</v>
      </c>
      <c r="BC20" s="96" t="s">
        <v>31</v>
      </c>
      <c r="BD20" s="241">
        <v>0.05</v>
      </c>
      <c r="BE20" s="5"/>
    </row>
    <row r="21" spans="1:57" ht="17" thickBot="1" x14ac:dyDescent="0.25">
      <c r="E21" s="247">
        <v>6</v>
      </c>
      <c r="F21" s="197" t="s">
        <v>49</v>
      </c>
      <c r="G21" s="198"/>
      <c r="H21" s="198"/>
      <c r="I21" s="198"/>
      <c r="J21" s="198"/>
      <c r="K21" s="198"/>
      <c r="L21" s="198"/>
      <c r="M21" s="198"/>
      <c r="N21" s="31"/>
      <c r="R21" s="26"/>
      <c r="U21" s="99"/>
      <c r="V21" s="1"/>
      <c r="W21" s="1"/>
      <c r="X21" s="1"/>
      <c r="Y21" s="1"/>
      <c r="Z21" s="1"/>
      <c r="AA21" s="1"/>
      <c r="AB21" s="1"/>
      <c r="AC21" s="1"/>
      <c r="AD21" s="6"/>
      <c r="AE21" s="6"/>
      <c r="AF21" s="1"/>
      <c r="AG21" s="147" t="s">
        <v>32</v>
      </c>
      <c r="AH21" s="13"/>
      <c r="AI21" s="19" t="s">
        <v>174</v>
      </c>
      <c r="AJ21" s="131">
        <f>SUM(AJ22:AJ25)</f>
        <v>1</v>
      </c>
      <c r="AK21" s="129" t="s">
        <v>18</v>
      </c>
      <c r="AL21" s="133">
        <f>AL20*$AJ$20</f>
        <v>30000</v>
      </c>
      <c r="AM21" s="134">
        <f>SUM(AM22:AM25)</f>
        <v>1</v>
      </c>
      <c r="AN21" s="21">
        <f>AN20*$AJ$20</f>
        <v>30000</v>
      </c>
      <c r="AO21" s="139">
        <f>SUM(AO22:AO25)</f>
        <v>1</v>
      </c>
      <c r="AP21" s="133">
        <f>AP20*$AJ$20</f>
        <v>60000</v>
      </c>
      <c r="AQ21" s="134">
        <f>SUM(AQ22:AQ25)</f>
        <v>1</v>
      </c>
      <c r="AR21" s="21">
        <f>AR20*$AJ$20</f>
        <v>30000</v>
      </c>
      <c r="AS21" s="139">
        <f>SUM(AS22:AS25)</f>
        <v>1</v>
      </c>
      <c r="AT21" s="133">
        <f>AT20*$AJ$20</f>
        <v>30000</v>
      </c>
      <c r="AU21" s="134">
        <f>SUM(AU22:AU25)</f>
        <v>1</v>
      </c>
      <c r="AV21" s="21">
        <f>AV20*$AJ$20</f>
        <v>15000</v>
      </c>
      <c r="AW21" s="139">
        <f>SUM(AW22:AW25)</f>
        <v>1</v>
      </c>
      <c r="AX21" s="133">
        <f>AX20*$AJ$20</f>
        <v>30000</v>
      </c>
      <c r="AY21" s="134">
        <f>SUM(AY22:AY25)</f>
        <v>1</v>
      </c>
      <c r="AZ21" s="21">
        <f>AZ20*$AJ$20</f>
        <v>30000</v>
      </c>
      <c r="BA21" s="139">
        <f>SUM(BA22:BA25)</f>
        <v>1.0000000000000002</v>
      </c>
      <c r="BB21" s="21">
        <f>BB20*$AJ$20</f>
        <v>30000</v>
      </c>
      <c r="BC21" s="144">
        <f>SUM(BC22:BC25)</f>
        <v>1.0000000000000002</v>
      </c>
      <c r="BD21" s="15">
        <f>BD20*$AJ$20</f>
        <v>15000</v>
      </c>
      <c r="BE21" s="236">
        <f>SUM(BE22:BE25)</f>
        <v>1</v>
      </c>
    </row>
    <row r="22" spans="1:57" ht="16" x14ac:dyDescent="0.2">
      <c r="N22" s="31"/>
      <c r="R22" s="26"/>
      <c r="U22" s="99">
        <v>5</v>
      </c>
      <c r="V22" s="1"/>
      <c r="W22" s="1"/>
      <c r="X22" s="1">
        <v>3</v>
      </c>
      <c r="Y22" s="1"/>
      <c r="Z22" s="1"/>
      <c r="AA22" s="1"/>
      <c r="AB22" s="1"/>
      <c r="AC22" s="1"/>
      <c r="AD22" s="6"/>
      <c r="AE22" s="6"/>
      <c r="AF22" s="1"/>
      <c r="AG22" s="127" t="s">
        <v>132</v>
      </c>
      <c r="AH22" s="15"/>
      <c r="AI22" s="15" t="s">
        <v>6</v>
      </c>
      <c r="AJ22" s="244">
        <f>AK22/$AJ$20</f>
        <v>0.2</v>
      </c>
      <c r="AK22" s="92">
        <f>BD22+BB22+AZ22+AX22+AV22+AT22+AR22+AP22+AN22+AL22</f>
        <v>60000</v>
      </c>
      <c r="AL22" s="135">
        <f>AM22*$AL$21</f>
        <v>6000</v>
      </c>
      <c r="AM22" s="136">
        <v>0.2</v>
      </c>
      <c r="AN22" s="140">
        <f>AO22*$AN$21</f>
        <v>6000</v>
      </c>
      <c r="AO22" s="141">
        <v>0.2</v>
      </c>
      <c r="AP22" s="135">
        <f>AQ22*$AP$21</f>
        <v>12000</v>
      </c>
      <c r="AQ22" s="136">
        <v>0.2</v>
      </c>
      <c r="AR22" s="140">
        <f>AS22*$AR$21</f>
        <v>6000</v>
      </c>
      <c r="AS22" s="141">
        <v>0.2</v>
      </c>
      <c r="AT22" s="135">
        <f>AU22*$AT$21</f>
        <v>6000</v>
      </c>
      <c r="AU22" s="136">
        <v>0.2</v>
      </c>
      <c r="AV22" s="140">
        <f>AW22*$AV$21</f>
        <v>3000</v>
      </c>
      <c r="AW22" s="141">
        <v>0.2</v>
      </c>
      <c r="AX22" s="135">
        <f>AY22*$AX$21</f>
        <v>6000</v>
      </c>
      <c r="AY22" s="136">
        <v>0.2</v>
      </c>
      <c r="AZ22" s="140">
        <f>BA22*$AZ$21</f>
        <v>6000</v>
      </c>
      <c r="BA22" s="141">
        <v>0.2</v>
      </c>
      <c r="BB22" s="233">
        <f>$BB$21*BC22</f>
        <v>6000</v>
      </c>
      <c r="BC22" s="145">
        <v>0.2</v>
      </c>
      <c r="BD22" s="128">
        <f>$BD$21*BE22</f>
        <v>3000</v>
      </c>
      <c r="BE22" s="232">
        <v>0.2</v>
      </c>
    </row>
    <row r="23" spans="1:57" ht="17" thickBot="1" x14ac:dyDescent="0.25">
      <c r="N23" s="31"/>
      <c r="R23" s="26"/>
      <c r="U23" s="99">
        <f>U22</f>
        <v>5</v>
      </c>
      <c r="V23" s="1"/>
      <c r="W23" s="1"/>
      <c r="X23" s="1"/>
      <c r="Y23" s="1">
        <v>4</v>
      </c>
      <c r="Z23" s="1"/>
      <c r="AA23" s="1"/>
      <c r="AB23" s="1"/>
      <c r="AC23" s="1"/>
      <c r="AD23" s="6"/>
      <c r="AE23" s="6"/>
      <c r="AF23" s="1"/>
      <c r="AG23" s="127" t="s">
        <v>133</v>
      </c>
      <c r="AH23" s="15"/>
      <c r="AI23" s="15" t="s">
        <v>7</v>
      </c>
      <c r="AJ23" s="244">
        <f>AK23/$AJ$20</f>
        <v>0.48</v>
      </c>
      <c r="AK23" s="46">
        <f>BD23+BB23+AZ23+AX23+AV23+AT23+AR23+AP23+AN23+AL23</f>
        <v>144000</v>
      </c>
      <c r="AL23" s="133">
        <f>AM23*$AL$21</f>
        <v>15000</v>
      </c>
      <c r="AM23" s="137">
        <v>0.5</v>
      </c>
      <c r="AN23" s="21">
        <f>AO23*$AN$21</f>
        <v>15000</v>
      </c>
      <c r="AO23" s="142">
        <v>0.5</v>
      </c>
      <c r="AP23" s="133">
        <f>AQ23*$AP$21</f>
        <v>30000</v>
      </c>
      <c r="AQ23" s="137">
        <v>0.5</v>
      </c>
      <c r="AR23" s="21">
        <f>AS23*$AR$21</f>
        <v>15000</v>
      </c>
      <c r="AS23" s="142">
        <v>0.5</v>
      </c>
      <c r="AT23" s="133">
        <f>AU23*$AT$21</f>
        <v>15000</v>
      </c>
      <c r="AU23" s="137">
        <v>0.5</v>
      </c>
      <c r="AV23" s="21">
        <f>AW23*$AV$21</f>
        <v>7500</v>
      </c>
      <c r="AW23" s="142">
        <v>0.5</v>
      </c>
      <c r="AX23" s="133">
        <f>AY23*$AX$21</f>
        <v>15000</v>
      </c>
      <c r="AY23" s="137">
        <v>0.5</v>
      </c>
      <c r="AZ23" s="21">
        <f>BA23*$AZ$21</f>
        <v>12000</v>
      </c>
      <c r="BA23" s="142">
        <v>0.4</v>
      </c>
      <c r="BB23" s="234">
        <f>$BB$21*BC23</f>
        <v>12000</v>
      </c>
      <c r="BC23" s="146">
        <v>0.4</v>
      </c>
      <c r="BD23" s="15">
        <f>$BD$21*BE23</f>
        <v>7500</v>
      </c>
      <c r="BE23" s="232">
        <v>0.5</v>
      </c>
    </row>
    <row r="24" spans="1:57" ht="17" thickBot="1" x14ac:dyDescent="0.25">
      <c r="A24" s="164">
        <v>2</v>
      </c>
      <c r="B24" s="49">
        <v>43357</v>
      </c>
      <c r="C24" s="110"/>
      <c r="D24" s="111"/>
      <c r="E24" s="112" t="s">
        <v>228</v>
      </c>
      <c r="F24" s="112"/>
      <c r="G24" s="279"/>
      <c r="H24" s="281">
        <v>3</v>
      </c>
      <c r="I24" s="267"/>
      <c r="J24" s="279">
        <v>0.5</v>
      </c>
      <c r="K24" s="280"/>
      <c r="L24" s="280"/>
      <c r="M24" s="113">
        <f t="shared" ref="M24:M29" si="0">SUM(G24:L24)</f>
        <v>3.5</v>
      </c>
      <c r="N24" s="31"/>
      <c r="O24" s="112" t="s">
        <v>68</v>
      </c>
      <c r="P24" s="112"/>
      <c r="Q24" s="112"/>
      <c r="R24" s="112"/>
      <c r="S24" s="13"/>
      <c r="U24" s="99">
        <f>U23</f>
        <v>5</v>
      </c>
      <c r="V24" s="1"/>
      <c r="W24" s="1"/>
      <c r="X24" s="1"/>
      <c r="Y24" s="1"/>
      <c r="Z24" s="1">
        <v>5</v>
      </c>
      <c r="AA24" s="1"/>
      <c r="AB24" s="1"/>
      <c r="AC24" s="1"/>
      <c r="AD24" s="6"/>
      <c r="AE24" s="6"/>
      <c r="AF24" s="1"/>
      <c r="AG24" s="127" t="s">
        <v>131</v>
      </c>
      <c r="AH24" s="15"/>
      <c r="AI24" s="15" t="s">
        <v>4</v>
      </c>
      <c r="AJ24" s="244">
        <f>AK24/$AJ$20</f>
        <v>0.3</v>
      </c>
      <c r="AK24" s="46">
        <f>BD24+BB24+AZ24+AX24+AV24+AT24+AR24+AP24+AN24+AL24</f>
        <v>90000</v>
      </c>
      <c r="AL24" s="133">
        <f>AM24*$AL$21</f>
        <v>9000</v>
      </c>
      <c r="AM24" s="137">
        <v>0.3</v>
      </c>
      <c r="AN24" s="21">
        <f>AO24*$AN$21</f>
        <v>9000</v>
      </c>
      <c r="AO24" s="142">
        <v>0.3</v>
      </c>
      <c r="AP24" s="133">
        <f>AQ24*$AP$21</f>
        <v>18000</v>
      </c>
      <c r="AQ24" s="137">
        <v>0.3</v>
      </c>
      <c r="AR24" s="21">
        <f>AS24*$AR$21</f>
        <v>9000</v>
      </c>
      <c r="AS24" s="142">
        <v>0.3</v>
      </c>
      <c r="AT24" s="133">
        <f>AU24*$AT$21</f>
        <v>9000</v>
      </c>
      <c r="AU24" s="137">
        <v>0.3</v>
      </c>
      <c r="AV24" s="21">
        <f>AW24*$AV$21</f>
        <v>4500</v>
      </c>
      <c r="AW24" s="142">
        <v>0.3</v>
      </c>
      <c r="AX24" s="133">
        <f>AY24*$AX$21</f>
        <v>9000</v>
      </c>
      <c r="AY24" s="137">
        <v>0.3</v>
      </c>
      <c r="AZ24" s="21">
        <f>BA24*$AZ$21</f>
        <v>9000</v>
      </c>
      <c r="BA24" s="142">
        <v>0.3</v>
      </c>
      <c r="BB24" s="234">
        <f>$BB$21*BC24</f>
        <v>9000</v>
      </c>
      <c r="BC24" s="146">
        <v>0.3</v>
      </c>
      <c r="BD24" s="15">
        <f>$BD$21*BE24</f>
        <v>4500</v>
      </c>
      <c r="BE24" s="232">
        <v>0.3</v>
      </c>
    </row>
    <row r="25" spans="1:57" ht="17" thickBot="1" x14ac:dyDescent="0.25">
      <c r="A25" s="114"/>
      <c r="B25" s="56"/>
      <c r="C25" s="57"/>
      <c r="D25" s="58"/>
      <c r="E25" s="59" t="s">
        <v>229</v>
      </c>
      <c r="F25" s="59"/>
      <c r="G25" s="174"/>
      <c r="H25" s="174"/>
      <c r="I25" s="266"/>
      <c r="J25" s="174"/>
      <c r="K25" s="269">
        <v>3.5</v>
      </c>
      <c r="L25" s="269"/>
      <c r="M25" s="113">
        <f t="shared" si="0"/>
        <v>3.5</v>
      </c>
      <c r="N25" s="31"/>
      <c r="O25" s="59"/>
      <c r="P25" s="59"/>
      <c r="Q25" s="59"/>
      <c r="R25" s="59"/>
      <c r="S25" s="15"/>
      <c r="U25" s="99">
        <f>U24</f>
        <v>5</v>
      </c>
      <c r="V25" s="1"/>
      <c r="W25" s="1"/>
      <c r="X25" s="1"/>
      <c r="Y25" s="1"/>
      <c r="Z25" s="1"/>
      <c r="AA25" s="1"/>
      <c r="AB25" s="1"/>
      <c r="AC25" s="1"/>
      <c r="AD25" s="6"/>
      <c r="AE25" s="6"/>
      <c r="AF25" s="1"/>
      <c r="AG25" s="3"/>
      <c r="AH25" s="5"/>
      <c r="AI25" s="5" t="s">
        <v>11</v>
      </c>
      <c r="AJ25" s="245">
        <f>AK25/$AJ$20</f>
        <v>0.02</v>
      </c>
      <c r="AK25" s="96">
        <f>BD25+BB25+AZ25+AX25+AV25+AT25+AR25+AP25+AN25+AL25</f>
        <v>6000</v>
      </c>
      <c r="AL25" s="138">
        <f>AM25*$AL$21</f>
        <v>0</v>
      </c>
      <c r="AM25" s="130">
        <v>0</v>
      </c>
      <c r="AN25" s="3">
        <f>AO25*$AN$21</f>
        <v>0</v>
      </c>
      <c r="AO25" s="124">
        <v>0</v>
      </c>
      <c r="AP25" s="138">
        <f>AQ25*$AP$21</f>
        <v>0</v>
      </c>
      <c r="AQ25" s="130">
        <v>0</v>
      </c>
      <c r="AR25" s="3">
        <f>AS25*$AR$21</f>
        <v>0</v>
      </c>
      <c r="AS25" s="124">
        <v>0</v>
      </c>
      <c r="AT25" s="138">
        <f>AU25*$AT$21</f>
        <v>0</v>
      </c>
      <c r="AU25" s="130">
        <v>0</v>
      </c>
      <c r="AV25" s="3">
        <f>AW25*$AV$21</f>
        <v>0</v>
      </c>
      <c r="AW25" s="124">
        <v>0</v>
      </c>
      <c r="AX25" s="138">
        <f>AY25*$AX$21</f>
        <v>0</v>
      </c>
      <c r="AY25" s="130">
        <v>0</v>
      </c>
      <c r="AZ25" s="3">
        <f>BA25*$AZ$21</f>
        <v>3000</v>
      </c>
      <c r="BA25" s="124">
        <v>0.1</v>
      </c>
      <c r="BB25" s="235">
        <f>$BB$21*BC25</f>
        <v>3000</v>
      </c>
      <c r="BC25" s="132">
        <v>0.1</v>
      </c>
      <c r="BD25" s="5">
        <f>$BD$21*BE25</f>
        <v>0</v>
      </c>
      <c r="BE25" s="232">
        <v>0</v>
      </c>
    </row>
    <row r="26" spans="1:57" ht="17" thickBot="1" x14ac:dyDescent="0.25">
      <c r="A26" s="114"/>
      <c r="B26" s="56"/>
      <c r="C26" s="57"/>
      <c r="D26" s="58"/>
      <c r="E26" s="59" t="s">
        <v>230</v>
      </c>
      <c r="F26" s="59"/>
      <c r="G26" s="279"/>
      <c r="H26" s="279"/>
      <c r="I26" s="267"/>
      <c r="J26" s="279">
        <v>2.5</v>
      </c>
      <c r="K26" s="280"/>
      <c r="L26" s="280"/>
      <c r="M26" s="113">
        <f t="shared" si="0"/>
        <v>2.5</v>
      </c>
      <c r="N26" s="31"/>
      <c r="O26" s="26" t="s">
        <v>67</v>
      </c>
      <c r="P26" s="59"/>
      <c r="Q26" s="59"/>
      <c r="R26" s="59"/>
      <c r="S26" s="15"/>
      <c r="U26" s="99"/>
      <c r="V26" s="1"/>
      <c r="W26" s="1"/>
      <c r="X26" s="1"/>
      <c r="Y26" s="1"/>
      <c r="Z26" s="1"/>
      <c r="AA26" s="1"/>
      <c r="AB26" s="1"/>
      <c r="AC26" s="1"/>
      <c r="AD26" s="6"/>
      <c r="AE26" s="6"/>
      <c r="AF26" s="1"/>
      <c r="AG26" s="11"/>
      <c r="AH26" s="12"/>
      <c r="AI26" s="12" t="s">
        <v>134</v>
      </c>
      <c r="AJ26" s="12"/>
      <c r="AK26" s="13"/>
      <c r="AL26" s="1">
        <f>SUM(AL22:AL25)</f>
        <v>30000</v>
      </c>
      <c r="AM26" s="1"/>
      <c r="AN26" s="7">
        <f>SUM(AN22:AN25)</f>
        <v>30000</v>
      </c>
      <c r="AO26" s="17"/>
      <c r="AP26" s="8">
        <f>SUM(AP22:AP25)</f>
        <v>60000</v>
      </c>
      <c r="AQ26" s="17"/>
      <c r="AR26" s="8">
        <f>SUM(AR22:AR25)</f>
        <v>30000</v>
      </c>
      <c r="AS26" s="17"/>
      <c r="AT26" s="8">
        <f>SUM(AT22:AT25)</f>
        <v>30000</v>
      </c>
      <c r="AU26" s="17"/>
      <c r="AV26" s="8">
        <f>SUM(AV22:AV25)</f>
        <v>15000</v>
      </c>
      <c r="AW26" s="17"/>
      <c r="AX26" s="8">
        <f>SUM(AX22:AX25)</f>
        <v>30000</v>
      </c>
      <c r="AY26" s="17"/>
      <c r="AZ26" s="8">
        <f>SUM(AZ22:AZ25)</f>
        <v>30000</v>
      </c>
      <c r="BA26" s="17"/>
      <c r="BB26" s="8">
        <f>SUM(BB22:BB25)</f>
        <v>30000</v>
      </c>
      <c r="BC26" s="17"/>
      <c r="BD26" s="8">
        <f>SUM(BD22:BD25)</f>
        <v>15000</v>
      </c>
      <c r="BE26" s="2">
        <f>SUM(AL26:BD26)</f>
        <v>300000</v>
      </c>
    </row>
    <row r="27" spans="1:57" ht="17" thickBot="1" x14ac:dyDescent="0.25">
      <c r="A27" s="114"/>
      <c r="B27" s="56"/>
      <c r="C27" s="57"/>
      <c r="D27" s="58"/>
      <c r="E27" s="59" t="str">
        <f>AG16</f>
        <v>Find and report which Raw materials and finished products volumes and quantities , metrics and market prices for Arcelor's steel mill in Gent are applicable?</v>
      </c>
      <c r="F27" s="59"/>
      <c r="G27" s="174"/>
      <c r="H27" s="174"/>
      <c r="I27" s="266"/>
      <c r="J27" s="174"/>
      <c r="K27" s="269"/>
      <c r="L27" s="269">
        <v>2.5</v>
      </c>
      <c r="M27" s="113">
        <f t="shared" si="0"/>
        <v>2.5</v>
      </c>
      <c r="N27" s="31"/>
      <c r="O27" s="59"/>
      <c r="P27" s="59"/>
      <c r="Q27" s="59"/>
      <c r="R27" s="59"/>
      <c r="S27" s="15"/>
      <c r="U27" s="194">
        <f>U22+1</f>
        <v>6</v>
      </c>
      <c r="V27" s="195"/>
      <c r="W27" s="195"/>
      <c r="X27" s="195"/>
      <c r="Y27" s="195"/>
      <c r="Z27" s="195"/>
      <c r="AA27" s="195"/>
      <c r="AB27" s="195"/>
      <c r="AC27" s="195"/>
      <c r="AD27" s="196"/>
      <c r="AE27" s="196"/>
      <c r="AF27" s="207">
        <f>U27</f>
        <v>6</v>
      </c>
      <c r="AG27" s="197" t="s">
        <v>49</v>
      </c>
      <c r="AH27" s="198"/>
      <c r="AI27" s="198"/>
      <c r="AJ27" s="198"/>
      <c r="AK27" s="198"/>
      <c r="AL27" s="198"/>
      <c r="AM27" s="198"/>
      <c r="AN27" s="199"/>
      <c r="AP27" t="s">
        <v>193</v>
      </c>
      <c r="BC27" s="216"/>
    </row>
    <row r="28" spans="1:57" ht="17" thickBot="1" x14ac:dyDescent="0.25">
      <c r="A28" s="114"/>
      <c r="B28" s="56"/>
      <c r="C28" s="57"/>
      <c r="D28" s="58"/>
      <c r="E28" s="74" t="s">
        <v>251</v>
      </c>
      <c r="F28" s="59"/>
      <c r="G28" s="174"/>
      <c r="H28" s="174"/>
      <c r="I28" s="266"/>
      <c r="J28" s="174"/>
      <c r="K28" s="269"/>
      <c r="L28" s="269">
        <v>1.5</v>
      </c>
      <c r="M28" s="113">
        <f t="shared" si="0"/>
        <v>1.5</v>
      </c>
      <c r="N28" s="31"/>
      <c r="O28" s="59"/>
      <c r="P28" s="59"/>
      <c r="Q28" s="59"/>
      <c r="R28" s="59"/>
      <c r="S28" s="15"/>
      <c r="U28" s="99"/>
      <c r="V28" s="1"/>
      <c r="W28" s="1"/>
      <c r="X28" s="1"/>
      <c r="Y28" s="1"/>
      <c r="Z28" s="1"/>
      <c r="AA28" s="1"/>
      <c r="AB28" s="1"/>
      <c r="AC28" s="1"/>
      <c r="AD28" s="6"/>
      <c r="AE28" s="6"/>
      <c r="AF28" s="1">
        <v>6</v>
      </c>
      <c r="AG28" s="10" t="s">
        <v>192</v>
      </c>
      <c r="AH28" s="10"/>
      <c r="AI28" s="10"/>
      <c r="AJ28" s="10"/>
      <c r="AW28" s="251" t="s">
        <v>100</v>
      </c>
      <c r="AX28" s="24" t="s">
        <v>98</v>
      </c>
      <c r="AY28" s="22"/>
      <c r="AZ28" s="22"/>
      <c r="BA28" s="23"/>
    </row>
    <row r="29" spans="1:57" ht="17" thickBot="1" x14ac:dyDescent="0.25">
      <c r="A29" s="115"/>
      <c r="B29" s="116"/>
      <c r="C29" s="117"/>
      <c r="D29" s="118"/>
      <c r="E29" s="119"/>
      <c r="F29" s="119"/>
      <c r="G29" s="121"/>
      <c r="H29" s="121"/>
      <c r="I29" s="121"/>
      <c r="J29" s="121"/>
      <c r="K29" s="73"/>
      <c r="L29" s="73"/>
      <c r="M29" s="113">
        <f t="shared" si="0"/>
        <v>0</v>
      </c>
      <c r="N29" s="31"/>
      <c r="O29" s="119"/>
      <c r="P29" s="119" t="s">
        <v>69</v>
      </c>
      <c r="Q29" s="119"/>
      <c r="R29" s="119"/>
      <c r="S29" s="5">
        <v>45</v>
      </c>
      <c r="U29" s="99"/>
      <c r="V29" s="1"/>
      <c r="W29" s="1"/>
      <c r="X29" s="1"/>
      <c r="Y29" s="1"/>
      <c r="Z29" s="1"/>
      <c r="AA29" s="1"/>
      <c r="AB29" s="1"/>
      <c r="AC29" s="1"/>
      <c r="AD29" s="6"/>
      <c r="AE29" s="6"/>
      <c r="AF29" s="1"/>
      <c r="AJ29" s="10" t="s">
        <v>9</v>
      </c>
      <c r="AK29" t="str">
        <f>$AL$19</f>
        <v>Venlo</v>
      </c>
      <c r="AL29" t="str">
        <f>$AN$19</f>
        <v xml:space="preserve">Germersheim  </v>
      </c>
      <c r="AM29" t="str">
        <f>$AP$19</f>
        <v>Wolfsburg</v>
      </c>
      <c r="AN29" t="str">
        <f>$AR$19</f>
        <v>Saarbrucke</v>
      </c>
      <c r="AO29" t="str">
        <f>$AT$19</f>
        <v xml:space="preserve">Paris </v>
      </c>
      <c r="AP29" t="str">
        <f>$AV$19</f>
        <v xml:space="preserve">Torino  It. </v>
      </c>
      <c r="AQ29" t="str">
        <f>$AX$19</f>
        <v>Praha CZ</v>
      </c>
      <c r="AR29" t="str">
        <f>$AZ$19</f>
        <v xml:space="preserve">Genua  </v>
      </c>
      <c r="AS29" t="str">
        <f>$BB$19</f>
        <v>Bilbao It.</v>
      </c>
      <c r="AT29" t="str">
        <f>$BD$19</f>
        <v>Munich</v>
      </c>
      <c r="AU29" t="s">
        <v>50</v>
      </c>
      <c r="AX29" t="s">
        <v>194</v>
      </c>
    </row>
    <row r="30" spans="1:57" ht="16" x14ac:dyDescent="0.2">
      <c r="E30" s="109" t="s">
        <v>144</v>
      </c>
      <c r="N30" s="31"/>
      <c r="R30" s="26"/>
      <c r="U30" s="99">
        <v>6</v>
      </c>
      <c r="V30" s="1"/>
      <c r="W30" s="1"/>
      <c r="X30" s="1">
        <v>3</v>
      </c>
      <c r="Y30" s="1"/>
      <c r="Z30" s="18"/>
      <c r="AA30" s="1"/>
      <c r="AB30" s="1"/>
      <c r="AC30" s="1"/>
      <c r="AD30" s="6">
        <v>1</v>
      </c>
      <c r="AE30" s="6"/>
      <c r="AF30" s="1"/>
      <c r="AJ30" t="s">
        <v>6</v>
      </c>
      <c r="AK30" s="272">
        <v>194</v>
      </c>
      <c r="AL30" s="291">
        <v>505</v>
      </c>
      <c r="AM30" s="272">
        <v>572</v>
      </c>
      <c r="AN30" s="272">
        <v>376</v>
      </c>
      <c r="AO30" s="272">
        <v>328</v>
      </c>
      <c r="AP30" s="291">
        <v>1065</v>
      </c>
      <c r="AQ30" s="291">
        <v>966</v>
      </c>
      <c r="AR30" s="272">
        <v>1082</v>
      </c>
      <c r="AS30" s="272">
        <v>1287</v>
      </c>
      <c r="AT30" s="272">
        <v>793</v>
      </c>
      <c r="AU30" s="6"/>
      <c r="AV30" s="6"/>
    </row>
    <row r="31" spans="1:57" ht="16" x14ac:dyDescent="0.2">
      <c r="N31" s="31"/>
      <c r="R31" s="26"/>
      <c r="U31" s="99">
        <v>6</v>
      </c>
      <c r="V31" s="1"/>
      <c r="W31" s="1"/>
      <c r="X31" s="1"/>
      <c r="Y31" s="1">
        <v>4</v>
      </c>
      <c r="Z31" s="1"/>
      <c r="AA31" s="1"/>
      <c r="AB31" s="1"/>
      <c r="AC31" s="1"/>
      <c r="AD31" s="6">
        <v>1</v>
      </c>
      <c r="AE31" s="6"/>
      <c r="AF31" s="1"/>
      <c r="AJ31" t="s">
        <v>7</v>
      </c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57" ht="16" x14ac:dyDescent="0.2">
      <c r="N32" s="31"/>
      <c r="R32" s="26"/>
      <c r="U32" s="99">
        <v>6</v>
      </c>
      <c r="V32" s="1"/>
      <c r="W32" s="1"/>
      <c r="X32" s="1"/>
      <c r="Y32" s="1"/>
      <c r="Z32" s="1">
        <v>5</v>
      </c>
      <c r="AA32" s="1"/>
      <c r="AB32" s="1"/>
      <c r="AC32" s="1"/>
      <c r="AD32" s="6">
        <v>1</v>
      </c>
      <c r="AE32" s="6"/>
      <c r="AF32" s="1"/>
      <c r="AJ32" t="s">
        <v>4</v>
      </c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:49" ht="17" thickBot="1" x14ac:dyDescent="0.25">
      <c r="A33" s="172" t="s">
        <v>150</v>
      </c>
      <c r="B33" s="172"/>
      <c r="C33" s="172"/>
      <c r="D33" s="172" t="s">
        <v>151</v>
      </c>
      <c r="E33" s="172"/>
      <c r="F33" s="172"/>
      <c r="G33" s="172"/>
      <c r="H33" s="172"/>
      <c r="I33" s="172"/>
      <c r="N33" s="31"/>
      <c r="R33" s="26"/>
      <c r="U33" s="99"/>
      <c r="V33" s="1"/>
      <c r="W33" s="1"/>
      <c r="X33" s="1"/>
      <c r="Y33" s="1"/>
      <c r="Z33" s="1"/>
      <c r="AA33" s="1"/>
      <c r="AB33" s="1"/>
      <c r="AC33" s="1"/>
      <c r="AD33" s="6"/>
      <c r="AE33" s="6"/>
      <c r="AF33" s="1"/>
      <c r="AJ33" t="s">
        <v>11</v>
      </c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9" ht="17" thickBot="1" x14ac:dyDescent="0.25">
      <c r="A34" s="162">
        <v>3</v>
      </c>
      <c r="B34" s="49">
        <v>43362</v>
      </c>
      <c r="C34" s="50"/>
      <c r="D34" s="51"/>
      <c r="E34" s="112" t="s">
        <v>180</v>
      </c>
      <c r="F34" s="52"/>
      <c r="G34" s="75"/>
      <c r="H34" s="76"/>
      <c r="I34" s="76"/>
      <c r="J34" s="77"/>
      <c r="K34" s="77"/>
      <c r="L34" s="77"/>
      <c r="M34" s="113">
        <f>SUM(G34:L34)</f>
        <v>0</v>
      </c>
      <c r="N34" s="31"/>
      <c r="O34" s="26"/>
      <c r="P34" s="26"/>
      <c r="Q34" s="26"/>
      <c r="R34" s="26"/>
      <c r="U34" s="99"/>
      <c r="V34" s="1"/>
      <c r="W34" s="1"/>
      <c r="X34" s="1"/>
      <c r="Y34" s="1"/>
      <c r="Z34" s="1"/>
      <c r="AA34" s="1"/>
      <c r="AB34" s="1"/>
      <c r="AC34" s="1"/>
      <c r="AD34" s="6"/>
      <c r="AE34" s="6"/>
      <c r="AF34" s="1"/>
    </row>
    <row r="35" spans="1:49" ht="17" thickBot="1" x14ac:dyDescent="0.25">
      <c r="A35" s="55"/>
      <c r="B35" s="56"/>
      <c r="C35" s="57"/>
      <c r="D35" s="58"/>
      <c r="E35" s="59"/>
      <c r="F35" s="59"/>
      <c r="G35" s="71"/>
      <c r="H35" s="72"/>
      <c r="I35" s="72"/>
      <c r="J35" s="73"/>
      <c r="K35" s="73"/>
      <c r="L35" s="73"/>
      <c r="M35" s="113">
        <f>SUM(G35:L35)</f>
        <v>0</v>
      </c>
      <c r="N35" s="31"/>
      <c r="O35" s="26"/>
      <c r="P35" s="26"/>
      <c r="Q35" s="26"/>
      <c r="R35" s="26"/>
      <c r="U35" s="194">
        <f>U27+1</f>
        <v>7</v>
      </c>
      <c r="V35" s="195"/>
      <c r="W35" s="195"/>
      <c r="X35" s="195"/>
      <c r="Y35" s="195"/>
      <c r="Z35" s="195"/>
      <c r="AA35" s="195"/>
      <c r="AB35" s="195"/>
      <c r="AC35" s="195"/>
      <c r="AD35" s="196"/>
      <c r="AE35" s="196"/>
      <c r="AF35" s="207">
        <f>U35</f>
        <v>7</v>
      </c>
      <c r="AG35" s="197" t="s">
        <v>135</v>
      </c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240"/>
      <c r="AS35" s="199"/>
      <c r="AT35" s="199"/>
    </row>
    <row r="36" spans="1:49" ht="17" thickBot="1" x14ac:dyDescent="0.25">
      <c r="A36" s="55"/>
      <c r="B36" s="56"/>
      <c r="C36" s="57"/>
      <c r="D36" s="58"/>
      <c r="E36" s="59" t="s">
        <v>70</v>
      </c>
      <c r="F36" s="59"/>
      <c r="G36" s="71"/>
      <c r="H36" s="72"/>
      <c r="I36" s="72"/>
      <c r="J36" s="73"/>
      <c r="K36" s="73"/>
      <c r="L36" s="73"/>
      <c r="M36" s="113">
        <f>SUM(G36:L36)</f>
        <v>0</v>
      </c>
      <c r="N36" s="31"/>
      <c r="O36" s="26"/>
      <c r="P36" s="26" t="s">
        <v>71</v>
      </c>
      <c r="Q36" s="26"/>
      <c r="R36" s="26"/>
      <c r="U36" s="99"/>
      <c r="V36" s="1"/>
      <c r="W36" s="1"/>
      <c r="X36" s="1"/>
      <c r="Y36" s="1"/>
      <c r="Z36" s="1"/>
      <c r="AA36" s="1"/>
      <c r="AB36" s="1"/>
      <c r="AC36" s="1"/>
      <c r="AD36" s="6"/>
      <c r="AE36" s="6"/>
      <c r="AF36" s="1"/>
      <c r="AG36" s="237" t="s">
        <v>145</v>
      </c>
      <c r="AH36" s="238" t="s">
        <v>18</v>
      </c>
      <c r="AI36" s="239" t="s">
        <v>19</v>
      </c>
      <c r="AK36" t="str">
        <f>$AL$19</f>
        <v>Venlo</v>
      </c>
      <c r="AL36" t="str">
        <f>$AN$19</f>
        <v xml:space="preserve">Germersheim  </v>
      </c>
      <c r="AM36" t="str">
        <f>$AP$19</f>
        <v>Wolfsburg</v>
      </c>
      <c r="AN36" t="str">
        <f>$AR$19</f>
        <v>Saarbrucke</v>
      </c>
      <c r="AO36" t="str">
        <f>$AT$19</f>
        <v xml:space="preserve">Paris </v>
      </c>
      <c r="AP36" t="str">
        <f>$AV$19</f>
        <v xml:space="preserve">Torino  It. </v>
      </c>
      <c r="AQ36" t="str">
        <f>$AX$19</f>
        <v>Praha CZ</v>
      </c>
      <c r="AR36" t="str">
        <f>$AZ$19</f>
        <v xml:space="preserve">Genua  </v>
      </c>
      <c r="AS36" t="str">
        <f>$BB$19</f>
        <v>Bilbao It.</v>
      </c>
      <c r="AT36" t="str">
        <f>$BD$19</f>
        <v>Munich</v>
      </c>
      <c r="AU36" t="s">
        <v>50</v>
      </c>
      <c r="AW36" t="s">
        <v>136</v>
      </c>
    </row>
    <row r="37" spans="1:49" ht="16" x14ac:dyDescent="0.2">
      <c r="A37" s="62"/>
      <c r="B37" s="63"/>
      <c r="C37" s="57"/>
      <c r="D37" s="58"/>
      <c r="E37" s="59" t="s">
        <v>72</v>
      </c>
      <c r="F37" s="59"/>
      <c r="G37" s="71"/>
      <c r="H37" s="72"/>
      <c r="I37" s="72"/>
      <c r="J37" s="73"/>
      <c r="K37" s="73"/>
      <c r="L37" s="73"/>
      <c r="M37" s="113">
        <f>SUM(G37:L37)</f>
        <v>0</v>
      </c>
      <c r="N37" s="31"/>
      <c r="O37" s="26"/>
      <c r="P37" s="26" t="s">
        <v>73</v>
      </c>
      <c r="Q37" s="26"/>
      <c r="R37" s="26"/>
      <c r="U37" s="99">
        <v>7</v>
      </c>
      <c r="V37" s="1"/>
      <c r="W37" s="1"/>
      <c r="X37" s="1">
        <v>3</v>
      </c>
      <c r="Y37" s="1"/>
      <c r="Z37" s="1"/>
      <c r="AA37" s="1"/>
      <c r="AB37" s="1"/>
      <c r="AC37" s="1"/>
      <c r="AD37" s="6">
        <v>1</v>
      </c>
      <c r="AE37" s="6"/>
      <c r="AF37" s="1"/>
      <c r="AG37" s="8"/>
      <c r="AH37" s="219"/>
      <c r="AI37" s="221"/>
      <c r="AJ37" s="10" t="s">
        <v>6</v>
      </c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t="s">
        <v>48</v>
      </c>
    </row>
    <row r="38" spans="1:49" ht="16" x14ac:dyDescent="0.2">
      <c r="E38" t="s">
        <v>144</v>
      </c>
      <c r="N38" s="31"/>
      <c r="Q38" s="26"/>
      <c r="R38" s="26"/>
      <c r="U38" s="99">
        <v>7</v>
      </c>
      <c r="V38" s="1"/>
      <c r="W38" s="1"/>
      <c r="X38" s="1"/>
      <c r="Y38" s="1">
        <v>4</v>
      </c>
      <c r="Z38" s="1"/>
      <c r="AA38" s="1"/>
      <c r="AB38" s="1"/>
      <c r="AC38" s="1"/>
      <c r="AD38" s="6">
        <v>1</v>
      </c>
      <c r="AE38" s="6"/>
      <c r="AF38" s="1"/>
      <c r="AG38" s="126"/>
      <c r="AH38" s="222"/>
      <c r="AI38" s="107"/>
      <c r="AJ38" s="10" t="s">
        <v>16</v>
      </c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t="s">
        <v>20</v>
      </c>
    </row>
    <row r="39" spans="1:49" ht="16" x14ac:dyDescent="0.2">
      <c r="N39" s="31"/>
      <c r="Q39" s="26"/>
      <c r="R39" s="26"/>
      <c r="U39" s="99">
        <v>7</v>
      </c>
      <c r="V39" s="1"/>
      <c r="W39" s="1"/>
      <c r="X39" s="1"/>
      <c r="Y39" s="1">
        <v>4</v>
      </c>
      <c r="Z39" s="1"/>
      <c r="AA39" s="1"/>
      <c r="AB39" s="1"/>
      <c r="AC39" s="1"/>
      <c r="AD39" s="6"/>
      <c r="AE39" s="6"/>
      <c r="AF39" s="1"/>
      <c r="AG39" s="126" t="s">
        <v>5</v>
      </c>
      <c r="AH39" s="222"/>
      <c r="AI39" s="107"/>
      <c r="AJ39" s="10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t="s">
        <v>17</v>
      </c>
    </row>
    <row r="40" spans="1:49" ht="17" thickBot="1" x14ac:dyDescent="0.25">
      <c r="N40" s="31"/>
      <c r="Q40" s="26"/>
      <c r="R40" s="26"/>
      <c r="U40" s="99">
        <v>7</v>
      </c>
      <c r="V40" s="1"/>
      <c r="W40" s="1"/>
      <c r="X40" s="1"/>
      <c r="Y40" s="1"/>
      <c r="Z40" s="1">
        <v>5</v>
      </c>
      <c r="AA40" s="1"/>
      <c r="AB40" s="1"/>
      <c r="AC40" s="1"/>
      <c r="AD40" s="6">
        <v>1</v>
      </c>
      <c r="AE40" s="6"/>
      <c r="AF40" s="1"/>
      <c r="AG40" s="126"/>
      <c r="AH40" s="223"/>
      <c r="AI40" s="225"/>
      <c r="AJ40" s="10" t="s">
        <v>4</v>
      </c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pans="1:49" ht="17" thickBot="1" x14ac:dyDescent="0.25">
      <c r="A41" s="171" t="s">
        <v>110</v>
      </c>
      <c r="B41" s="171"/>
      <c r="C41" s="171"/>
      <c r="D41" s="171" t="s">
        <v>152</v>
      </c>
      <c r="E41" s="171"/>
      <c r="F41" s="171"/>
      <c r="G41" s="171"/>
      <c r="H41" s="171"/>
      <c r="I41" s="171"/>
      <c r="N41" s="31"/>
      <c r="Q41" s="26"/>
      <c r="R41" s="26"/>
      <c r="U41" s="99"/>
      <c r="V41" s="1"/>
      <c r="W41" s="1"/>
      <c r="X41" s="1"/>
      <c r="Y41" s="1"/>
      <c r="Z41" s="1"/>
      <c r="AA41" s="1"/>
      <c r="AB41" s="1"/>
      <c r="AC41" s="1"/>
      <c r="AD41" s="6"/>
      <c r="AE41" s="6"/>
      <c r="AF41" s="1"/>
    </row>
    <row r="42" spans="1:49" ht="17" thickBot="1" x14ac:dyDescent="0.25">
      <c r="A42" s="162">
        <v>4</v>
      </c>
      <c r="B42" s="49">
        <v>43369</v>
      </c>
      <c r="C42" s="78"/>
      <c r="D42" s="51"/>
      <c r="E42" s="52" t="s">
        <v>74</v>
      </c>
      <c r="F42" s="52"/>
      <c r="G42" s="75"/>
      <c r="H42" s="76"/>
      <c r="I42" s="76"/>
      <c r="J42" s="77"/>
      <c r="K42" s="77"/>
      <c r="L42" s="77"/>
      <c r="M42" s="113">
        <f>SUM(G42:L42)</f>
        <v>0</v>
      </c>
      <c r="N42" s="31"/>
      <c r="O42" s="26"/>
      <c r="P42" s="26"/>
      <c r="Q42" s="26"/>
      <c r="R42" s="26"/>
      <c r="U42" s="194">
        <f>U35+1</f>
        <v>8</v>
      </c>
      <c r="V42" s="195"/>
      <c r="W42" s="195"/>
      <c r="X42" s="195"/>
      <c r="Y42" s="195"/>
      <c r="Z42" s="195"/>
      <c r="AA42" s="195"/>
      <c r="AB42" s="195"/>
      <c r="AC42" s="195"/>
      <c r="AD42" s="196"/>
      <c r="AE42" s="212"/>
      <c r="AF42" s="197">
        <f>U42</f>
        <v>8</v>
      </c>
      <c r="AG42" s="197" t="s">
        <v>198</v>
      </c>
      <c r="AH42" s="198"/>
      <c r="AI42" s="198"/>
      <c r="AJ42" s="198"/>
      <c r="AK42" s="198"/>
      <c r="AL42" s="198"/>
      <c r="AM42" s="198"/>
      <c r="AN42" s="199"/>
      <c r="AO42" s="199"/>
    </row>
    <row r="43" spans="1:49" ht="17" thickBot="1" x14ac:dyDescent="0.25">
      <c r="A43" s="26"/>
      <c r="B43" s="56"/>
      <c r="C43" s="79"/>
      <c r="D43" s="58"/>
      <c r="E43" s="59" t="s">
        <v>75</v>
      </c>
      <c r="F43" s="59"/>
      <c r="G43" s="71"/>
      <c r="H43" s="72"/>
      <c r="I43" s="72"/>
      <c r="J43" s="73"/>
      <c r="K43" s="73"/>
      <c r="L43" s="73"/>
      <c r="M43" s="113">
        <f>SUM(G43:L43)</f>
        <v>0</v>
      </c>
      <c r="N43" s="31"/>
      <c r="O43" s="26"/>
      <c r="P43" s="26"/>
      <c r="Q43" s="26"/>
      <c r="R43" s="26"/>
      <c r="U43" s="99"/>
      <c r="V43" s="1"/>
      <c r="W43" s="1"/>
      <c r="X43" s="1"/>
      <c r="Y43" s="1"/>
      <c r="Z43" s="1"/>
      <c r="AA43" s="1"/>
      <c r="AB43" s="1"/>
      <c r="AC43" s="1"/>
      <c r="AD43" s="6"/>
      <c r="AE43" s="6"/>
      <c r="AF43" s="1"/>
      <c r="AJ43" s="10" t="s">
        <v>29</v>
      </c>
      <c r="AK43" t="str">
        <f>$AL$19</f>
        <v>Venlo</v>
      </c>
      <c r="AL43" t="str">
        <f>$AN$19</f>
        <v xml:space="preserve">Germersheim  </v>
      </c>
      <c r="AM43" t="str">
        <f>$AP$19</f>
        <v>Wolfsburg</v>
      </c>
      <c r="AN43" t="str">
        <f>$AR$19</f>
        <v>Saarbrucke</v>
      </c>
      <c r="AO43" t="str">
        <f>$AT$19</f>
        <v xml:space="preserve">Paris </v>
      </c>
      <c r="AP43" t="str">
        <f>$AV$19</f>
        <v xml:space="preserve">Torino  It. </v>
      </c>
      <c r="AQ43" t="str">
        <f>$AX$19</f>
        <v>Praha CZ</v>
      </c>
      <c r="AR43" t="str">
        <f>$AZ$19</f>
        <v xml:space="preserve">Genua  </v>
      </c>
      <c r="AS43" t="str">
        <f>$BB$19</f>
        <v>Bilbao It.</v>
      </c>
      <c r="AT43" t="str">
        <f>$BD$19</f>
        <v>Munich</v>
      </c>
    </row>
    <row r="44" spans="1:49" ht="17" thickBot="1" x14ac:dyDescent="0.25">
      <c r="A44" s="26"/>
      <c r="B44" s="56"/>
      <c r="C44" s="79"/>
      <c r="D44" s="58"/>
      <c r="E44" s="59" t="s">
        <v>76</v>
      </c>
      <c r="F44" s="59"/>
      <c r="G44" s="71"/>
      <c r="H44" s="72"/>
      <c r="I44" s="72"/>
      <c r="J44" s="73"/>
      <c r="K44" s="73"/>
      <c r="L44" s="73"/>
      <c r="M44" s="113">
        <f>SUM(G44:L44)</f>
        <v>0</v>
      </c>
      <c r="N44" s="31"/>
      <c r="O44" s="26"/>
      <c r="P44" s="26" t="s">
        <v>69</v>
      </c>
      <c r="Q44" s="26"/>
      <c r="R44" s="26"/>
      <c r="U44" s="99">
        <v>8</v>
      </c>
      <c r="V44" s="1"/>
      <c r="W44" s="1"/>
      <c r="X44" s="1">
        <v>3</v>
      </c>
      <c r="Y44" s="1"/>
      <c r="Z44" s="1"/>
      <c r="AA44" s="1"/>
      <c r="AB44" s="1"/>
      <c r="AC44" s="1"/>
      <c r="AD44" s="6">
        <v>1</v>
      </c>
      <c r="AE44" s="6"/>
      <c r="AF44" s="1"/>
      <c r="AJ44" t="s">
        <v>3</v>
      </c>
      <c r="AK44" s="6">
        <v>70</v>
      </c>
      <c r="AL44" s="6">
        <v>75</v>
      </c>
      <c r="AM44" s="6">
        <v>75</v>
      </c>
      <c r="AN44" s="6">
        <v>70</v>
      </c>
      <c r="AO44" s="6">
        <v>85</v>
      </c>
      <c r="AP44" s="6">
        <v>78</v>
      </c>
      <c r="AQ44" s="6">
        <v>78</v>
      </c>
      <c r="AR44" s="6">
        <v>78</v>
      </c>
      <c r="AS44" s="6">
        <v>78</v>
      </c>
      <c r="AT44" s="6">
        <v>75</v>
      </c>
    </row>
    <row r="45" spans="1:49" ht="17" thickBot="1" x14ac:dyDescent="0.25">
      <c r="A45" s="26"/>
      <c r="B45" s="56"/>
      <c r="C45" s="80"/>
      <c r="D45" s="65"/>
      <c r="E45" s="66"/>
      <c r="F45" s="66"/>
      <c r="G45" s="67"/>
      <c r="H45" s="68"/>
      <c r="I45" s="81"/>
      <c r="J45" s="82"/>
      <c r="K45" s="82"/>
      <c r="L45" s="82"/>
      <c r="M45" s="113">
        <f>SUM(G45:L45)</f>
        <v>0</v>
      </c>
      <c r="N45" s="31"/>
      <c r="O45" s="26"/>
      <c r="P45" s="26"/>
      <c r="Q45" s="26"/>
      <c r="R45" s="26"/>
      <c r="U45" s="99">
        <v>8</v>
      </c>
      <c r="V45" s="1"/>
      <c r="W45" s="1"/>
      <c r="X45" s="1"/>
      <c r="Y45" s="1">
        <v>4</v>
      </c>
      <c r="Z45" s="1"/>
      <c r="AA45" s="1"/>
      <c r="AB45" s="1"/>
      <c r="AC45" s="1"/>
      <c r="AD45" s="6">
        <v>1</v>
      </c>
      <c r="AE45" s="6"/>
      <c r="AF45" s="1"/>
      <c r="AJ45" t="s">
        <v>7</v>
      </c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9" ht="17" thickBot="1" x14ac:dyDescent="0.25">
      <c r="M46" s="113"/>
      <c r="N46" s="31"/>
      <c r="R46" s="26"/>
      <c r="U46" s="99">
        <v>8</v>
      </c>
      <c r="V46" s="1"/>
      <c r="W46" s="1"/>
      <c r="X46" s="1"/>
      <c r="Y46" s="1"/>
      <c r="Z46" s="1">
        <v>5</v>
      </c>
      <c r="AA46" s="1"/>
      <c r="AB46" s="1"/>
      <c r="AC46" s="1"/>
      <c r="AD46" s="6">
        <v>1</v>
      </c>
      <c r="AE46" s="6"/>
      <c r="AF46" s="1"/>
      <c r="AJ46" t="s">
        <v>4</v>
      </c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spans="1:49" ht="16" x14ac:dyDescent="0.2">
      <c r="M47" s="113"/>
      <c r="N47" s="31"/>
      <c r="R47" s="26"/>
      <c r="U47" s="99"/>
      <c r="V47" s="1"/>
      <c r="W47" s="1"/>
      <c r="X47" s="1"/>
      <c r="Y47" s="1"/>
      <c r="Z47" s="1"/>
      <c r="AA47" s="1"/>
      <c r="AB47" s="1"/>
      <c r="AC47" s="1"/>
      <c r="AD47" s="6"/>
      <c r="AE47" s="6"/>
      <c r="AF47" s="1"/>
    </row>
    <row r="48" spans="1:49" ht="16" x14ac:dyDescent="0.2">
      <c r="N48" s="31"/>
      <c r="R48" s="26"/>
      <c r="U48" s="194">
        <f>U42+1</f>
        <v>9</v>
      </c>
      <c r="V48" s="195"/>
      <c r="W48" s="195"/>
      <c r="X48" s="195"/>
      <c r="Y48" s="195"/>
      <c r="Z48" s="195"/>
      <c r="AA48" s="195"/>
      <c r="AB48" s="195"/>
      <c r="AC48" s="195"/>
      <c r="AD48" s="196"/>
      <c r="AE48" s="196"/>
      <c r="AF48" s="207">
        <f>U48</f>
        <v>9</v>
      </c>
      <c r="AG48" s="207" t="s">
        <v>123</v>
      </c>
      <c r="AH48" s="195"/>
      <c r="AI48" s="195"/>
      <c r="AJ48" s="195"/>
      <c r="AK48" s="195"/>
      <c r="AL48" s="195"/>
      <c r="AM48" s="195"/>
      <c r="AN48" s="208"/>
    </row>
    <row r="49" spans="1:47" ht="17" thickBot="1" x14ac:dyDescent="0.25">
      <c r="A49" s="173" t="s">
        <v>153</v>
      </c>
      <c r="B49" s="173"/>
      <c r="C49" s="173"/>
      <c r="D49" s="173" t="s">
        <v>154</v>
      </c>
      <c r="E49" s="173"/>
      <c r="F49" s="173"/>
      <c r="G49" s="173"/>
      <c r="H49" s="173"/>
      <c r="I49" s="173"/>
      <c r="N49" s="31"/>
      <c r="R49" s="26"/>
      <c r="U49" s="99"/>
      <c r="V49" s="1"/>
      <c r="W49" s="1"/>
      <c r="X49" s="1"/>
      <c r="Y49" s="1"/>
      <c r="Z49" s="1"/>
      <c r="AA49" s="1"/>
      <c r="AB49" s="1"/>
      <c r="AC49" s="1"/>
      <c r="AD49" s="6"/>
      <c r="AE49" s="6"/>
      <c r="AF49" s="1"/>
      <c r="AJ49" s="10" t="s">
        <v>282</v>
      </c>
      <c r="AK49" t="str">
        <f>$AL$19</f>
        <v>Venlo</v>
      </c>
      <c r="AL49" t="str">
        <f>$AN$19</f>
        <v xml:space="preserve">Germersheim  </v>
      </c>
      <c r="AM49" t="str">
        <f>$AP$19</f>
        <v>Wolfsburg</v>
      </c>
      <c r="AN49" t="str">
        <f>$AR$19</f>
        <v>Saarbrucke</v>
      </c>
      <c r="AO49" t="str">
        <f>$AT$19</f>
        <v xml:space="preserve">Paris </v>
      </c>
      <c r="AP49" t="str">
        <f>$AV$19</f>
        <v xml:space="preserve">Torino  It. </v>
      </c>
      <c r="AQ49" t="str">
        <f>$AX$19</f>
        <v>Praha CZ</v>
      </c>
      <c r="AR49" t="str">
        <f>$AZ$19</f>
        <v xml:space="preserve">Genua  </v>
      </c>
      <c r="AS49" t="str">
        <f>$BB$19</f>
        <v>Bilbao It.</v>
      </c>
      <c r="AT49" t="str">
        <f>$BD$19</f>
        <v>Munich</v>
      </c>
    </row>
    <row r="50" spans="1:47" ht="17" thickBot="1" x14ac:dyDescent="0.25">
      <c r="A50" s="162">
        <v>5</v>
      </c>
      <c r="B50" s="49"/>
      <c r="C50" s="52"/>
      <c r="D50" s="83"/>
      <c r="E50" s="112" t="s">
        <v>180</v>
      </c>
      <c r="F50" s="52"/>
      <c r="G50" s="75"/>
      <c r="H50" s="76"/>
      <c r="I50" s="76"/>
      <c r="J50" s="84"/>
      <c r="K50" s="84"/>
      <c r="L50" s="84"/>
      <c r="M50" s="113">
        <f>SUM(G50:L50)</f>
        <v>0</v>
      </c>
      <c r="N50" s="31"/>
      <c r="O50" s="26"/>
      <c r="P50" s="26"/>
      <c r="Q50" s="26"/>
      <c r="R50" s="26"/>
      <c r="U50" s="99">
        <v>9</v>
      </c>
      <c r="V50" s="1"/>
      <c r="W50" s="1"/>
      <c r="X50" s="1">
        <v>3</v>
      </c>
      <c r="Y50" s="1"/>
      <c r="Z50" s="1"/>
      <c r="AA50" s="1"/>
      <c r="AB50" s="1"/>
      <c r="AC50" s="1"/>
      <c r="AD50" s="6">
        <v>1</v>
      </c>
      <c r="AE50" s="6"/>
      <c r="AF50" s="1"/>
      <c r="AJ50" t="s">
        <v>3</v>
      </c>
      <c r="AK50" s="6">
        <v>0</v>
      </c>
      <c r="AL50" s="294">
        <v>0.75</v>
      </c>
      <c r="AM50" s="6">
        <v>0.75</v>
      </c>
      <c r="AN50" s="6">
        <v>1</v>
      </c>
      <c r="AO50" s="6">
        <v>0</v>
      </c>
      <c r="AP50" s="6">
        <v>12.45</v>
      </c>
      <c r="AQ50" s="6">
        <v>0.75</v>
      </c>
      <c r="AR50" s="6">
        <v>0.75</v>
      </c>
      <c r="AS50" s="6">
        <v>12.45</v>
      </c>
      <c r="AT50" s="6">
        <v>0.75</v>
      </c>
    </row>
    <row r="51" spans="1:47" ht="17" thickBot="1" x14ac:dyDescent="0.25">
      <c r="A51" s="55"/>
      <c r="B51" s="56"/>
      <c r="C51" s="59"/>
      <c r="D51" s="85"/>
      <c r="E51" s="59" t="s">
        <v>77</v>
      </c>
      <c r="F51" s="59"/>
      <c r="G51" s="71"/>
      <c r="H51" s="72"/>
      <c r="I51" s="72"/>
      <c r="J51" s="61"/>
      <c r="K51" s="61"/>
      <c r="L51" s="61"/>
      <c r="M51" s="113">
        <f>SUM(G51:L51)</f>
        <v>0</v>
      </c>
      <c r="N51" s="31"/>
      <c r="O51" s="26"/>
      <c r="P51" s="26"/>
      <c r="Q51" s="26"/>
      <c r="R51" s="26"/>
      <c r="U51" s="99">
        <v>9</v>
      </c>
      <c r="V51" s="1"/>
      <c r="W51" s="1"/>
      <c r="X51" s="1"/>
      <c r="Y51" s="1">
        <v>4</v>
      </c>
      <c r="Z51" s="1"/>
      <c r="AA51" s="1"/>
      <c r="AB51" s="1"/>
      <c r="AC51" s="1"/>
      <c r="AD51" s="6">
        <v>1</v>
      </c>
      <c r="AE51" s="6"/>
      <c r="AF51" s="1"/>
      <c r="AJ51" t="s">
        <v>7</v>
      </c>
      <c r="AK51" s="6"/>
      <c r="AL51" s="6"/>
      <c r="AM51" s="6"/>
      <c r="AN51" s="6"/>
      <c r="AO51" s="6"/>
      <c r="AP51" s="6"/>
      <c r="AQ51" s="6"/>
      <c r="AR51" s="6"/>
      <c r="AS51" s="6"/>
      <c r="AT51" s="6"/>
    </row>
    <row r="52" spans="1:47" ht="17" thickBot="1" x14ac:dyDescent="0.25">
      <c r="A52" s="55"/>
      <c r="B52" s="56"/>
      <c r="C52" s="59"/>
      <c r="D52" s="85"/>
      <c r="E52" s="59"/>
      <c r="F52" s="59"/>
      <c r="G52" s="71"/>
      <c r="H52" s="72"/>
      <c r="I52" s="72"/>
      <c r="J52" s="61"/>
      <c r="K52" s="61"/>
      <c r="L52" s="61"/>
      <c r="M52" s="113">
        <f>SUM(G52:L52)</f>
        <v>0</v>
      </c>
      <c r="N52" s="31"/>
      <c r="O52" s="26"/>
      <c r="P52" s="26"/>
      <c r="Q52" s="26"/>
      <c r="R52" s="26"/>
      <c r="U52" s="99">
        <v>9</v>
      </c>
      <c r="V52" s="1"/>
      <c r="W52" s="1"/>
      <c r="X52" s="1"/>
      <c r="Y52" s="1"/>
      <c r="Z52" s="1">
        <v>5</v>
      </c>
      <c r="AA52" s="1"/>
      <c r="AB52" s="1"/>
      <c r="AC52" s="1"/>
      <c r="AD52" s="6">
        <v>1</v>
      </c>
      <c r="AE52" s="6"/>
      <c r="AF52" s="1"/>
      <c r="AJ52" t="s">
        <v>4</v>
      </c>
      <c r="AK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1:47" ht="16" x14ac:dyDescent="0.2">
      <c r="A53" s="62" t="s">
        <v>5</v>
      </c>
      <c r="B53" s="63"/>
      <c r="C53" s="64"/>
      <c r="D53" s="65"/>
      <c r="E53" s="66"/>
      <c r="F53" s="66"/>
      <c r="G53" s="67"/>
      <c r="H53" s="68"/>
      <c r="I53" s="81"/>
      <c r="J53" s="82"/>
      <c r="K53" s="82"/>
      <c r="L53" s="82"/>
      <c r="M53" s="113">
        <f>SUM(G53:L53)</f>
        <v>0</v>
      </c>
      <c r="N53" s="31"/>
      <c r="O53" s="26"/>
      <c r="P53" s="26"/>
      <c r="Q53" s="26"/>
      <c r="R53" s="26"/>
      <c r="U53" s="99"/>
      <c r="V53" s="1"/>
      <c r="W53" s="1"/>
      <c r="X53" s="1"/>
      <c r="Y53" s="1"/>
      <c r="Z53" s="1"/>
      <c r="AA53" s="1"/>
      <c r="AB53" s="1"/>
      <c r="AC53" s="1"/>
      <c r="AD53" s="6"/>
      <c r="AE53" s="6"/>
      <c r="AF53" s="1"/>
    </row>
    <row r="54" spans="1:47" ht="16" x14ac:dyDescent="0.2">
      <c r="N54" s="31"/>
      <c r="U54" s="194">
        <f>U48+1</f>
        <v>10</v>
      </c>
      <c r="V54" s="195"/>
      <c r="W54" s="195"/>
      <c r="X54" s="195"/>
      <c r="Y54" s="195"/>
      <c r="Z54" s="195"/>
      <c r="AA54" s="195"/>
      <c r="AB54" s="195"/>
      <c r="AC54" s="195"/>
      <c r="AD54" s="196"/>
      <c r="AE54" s="196"/>
      <c r="AF54" s="207">
        <f>U54</f>
        <v>10</v>
      </c>
      <c r="AG54" s="207" t="s">
        <v>124</v>
      </c>
      <c r="AH54" s="195"/>
      <c r="AI54" s="195"/>
      <c r="AJ54" s="195"/>
      <c r="AK54" s="195"/>
      <c r="AL54" s="195"/>
      <c r="AM54" s="195"/>
      <c r="AN54" s="208"/>
    </row>
    <row r="55" spans="1:47" ht="16" x14ac:dyDescent="0.2">
      <c r="N55" s="31"/>
      <c r="U55" s="99"/>
      <c r="V55" s="1"/>
      <c r="W55" s="1"/>
      <c r="X55" s="1"/>
      <c r="Y55" s="1"/>
      <c r="Z55" s="1"/>
      <c r="AA55" s="1"/>
      <c r="AB55" s="1"/>
      <c r="AC55" s="1"/>
      <c r="AD55" s="6"/>
      <c r="AE55" s="6"/>
      <c r="AF55" s="1"/>
      <c r="AJ55" s="10" t="s">
        <v>283</v>
      </c>
      <c r="AK55" t="str">
        <f>$AL$19</f>
        <v>Venlo</v>
      </c>
      <c r="AL55" t="str">
        <f>$AN$19</f>
        <v xml:space="preserve">Germersheim  </v>
      </c>
      <c r="AM55" t="str">
        <f>$AP$19</f>
        <v>Wolfsburg</v>
      </c>
      <c r="AN55" t="str">
        <f>$AR$19</f>
        <v>Saarbrucke</v>
      </c>
      <c r="AO55" t="str">
        <f>$AT$19</f>
        <v xml:space="preserve">Paris </v>
      </c>
      <c r="AP55" t="str">
        <f>$AV$19</f>
        <v xml:space="preserve">Torino  It. </v>
      </c>
      <c r="AQ55" t="str">
        <f>$AX$19</f>
        <v>Praha CZ</v>
      </c>
      <c r="AR55" t="str">
        <f>$AZ$19</f>
        <v xml:space="preserve">Genua  </v>
      </c>
      <c r="AS55" t="str">
        <f>$BB$19</f>
        <v>Bilbao It.</v>
      </c>
      <c r="AT55" t="str">
        <f>$BD$19</f>
        <v>Munich</v>
      </c>
      <c r="AU55" t="s">
        <v>50</v>
      </c>
    </row>
    <row r="56" spans="1:47" ht="16" x14ac:dyDescent="0.2">
      <c r="N56" s="31"/>
      <c r="U56" s="99">
        <f>U54</f>
        <v>10</v>
      </c>
      <c r="V56" s="1"/>
      <c r="W56" s="1"/>
      <c r="X56" s="1"/>
      <c r="Y56" s="1"/>
      <c r="Z56" s="1"/>
      <c r="AA56" s="1"/>
      <c r="AB56" s="1"/>
      <c r="AC56" s="1"/>
      <c r="AD56" s="6">
        <v>1</v>
      </c>
      <c r="AE56" s="6"/>
      <c r="AF56" s="1"/>
      <c r="AJ56" t="s">
        <v>6</v>
      </c>
      <c r="AK56" s="6">
        <f t="shared" ref="AK56:AT56" si="1">ROUNDDOWN((2/3),2)</f>
        <v>0.66</v>
      </c>
      <c r="AL56" s="6">
        <f t="shared" si="1"/>
        <v>0.66</v>
      </c>
      <c r="AM56" s="6">
        <f t="shared" si="1"/>
        <v>0.66</v>
      </c>
      <c r="AN56" s="6">
        <f t="shared" si="1"/>
        <v>0.66</v>
      </c>
      <c r="AO56" s="6">
        <f t="shared" si="1"/>
        <v>0.66</v>
      </c>
      <c r="AP56" s="6">
        <f t="shared" si="1"/>
        <v>0.66</v>
      </c>
      <c r="AQ56" s="6">
        <f t="shared" si="1"/>
        <v>0.66</v>
      </c>
      <c r="AR56" s="6">
        <f t="shared" si="1"/>
        <v>0.66</v>
      </c>
      <c r="AS56" s="6">
        <f t="shared" si="1"/>
        <v>0.66</v>
      </c>
      <c r="AT56" s="6">
        <f t="shared" si="1"/>
        <v>0.66</v>
      </c>
    </row>
    <row r="57" spans="1:47" ht="16" x14ac:dyDescent="0.2">
      <c r="N57" s="31"/>
      <c r="U57" s="99">
        <f>U54</f>
        <v>10</v>
      </c>
      <c r="V57" s="1"/>
      <c r="W57" s="1"/>
      <c r="X57" s="1"/>
      <c r="Y57" s="1"/>
      <c r="Z57" s="1"/>
      <c r="AA57" s="1"/>
      <c r="AB57" s="1"/>
      <c r="AC57" s="1"/>
      <c r="AD57" s="6">
        <v>1</v>
      </c>
      <c r="AE57" s="6"/>
      <c r="AF57" s="1"/>
      <c r="AJ57" t="s">
        <v>7</v>
      </c>
      <c r="AK57" s="6"/>
      <c r="AL57" s="6"/>
      <c r="AM57" s="6"/>
      <c r="AN57" s="6"/>
      <c r="AO57" s="6"/>
      <c r="AP57" s="6"/>
      <c r="AQ57" s="6"/>
      <c r="AR57" s="6"/>
      <c r="AS57" s="6"/>
      <c r="AT57" s="6"/>
    </row>
    <row r="58" spans="1:47" ht="16" x14ac:dyDescent="0.2">
      <c r="A58" s="165">
        <v>6</v>
      </c>
      <c r="B58" s="56"/>
      <c r="C58" s="28"/>
      <c r="D58" s="58"/>
      <c r="E58" s="59" t="s">
        <v>5</v>
      </c>
      <c r="F58" s="59"/>
      <c r="G58" s="71"/>
      <c r="H58" s="72"/>
      <c r="I58" s="72"/>
      <c r="J58" s="73"/>
      <c r="K58" s="73"/>
      <c r="L58" s="73"/>
      <c r="M58" s="53">
        <f>SUM(G58:K58)</f>
        <v>0</v>
      </c>
      <c r="N58" s="31"/>
      <c r="O58" s="26"/>
      <c r="P58" s="26"/>
      <c r="Q58" s="26"/>
      <c r="R58" s="26"/>
      <c r="U58" s="99">
        <f>U54</f>
        <v>10</v>
      </c>
      <c r="V58" s="1"/>
      <c r="W58" s="1"/>
      <c r="X58" s="1"/>
      <c r="Y58" s="1"/>
      <c r="Z58" s="1"/>
      <c r="AA58" s="1"/>
      <c r="AB58" s="1"/>
      <c r="AC58" s="1"/>
      <c r="AD58" s="6">
        <v>1</v>
      </c>
      <c r="AE58" s="6"/>
      <c r="AF58" s="1"/>
      <c r="AJ58" t="s">
        <v>4</v>
      </c>
      <c r="AK58" s="6"/>
      <c r="AL58" s="6"/>
      <c r="AM58" s="6"/>
      <c r="AN58" s="6"/>
      <c r="AO58" s="6"/>
      <c r="AP58" s="6"/>
      <c r="AQ58" s="6"/>
      <c r="AR58" s="6"/>
      <c r="AS58" s="6"/>
      <c r="AT58" s="6"/>
    </row>
    <row r="59" spans="1:47" ht="16" x14ac:dyDescent="0.2">
      <c r="A59" s="26"/>
      <c r="B59" s="56"/>
      <c r="C59" s="28"/>
      <c r="D59" s="58"/>
      <c r="E59" s="59"/>
      <c r="F59" s="59"/>
      <c r="G59" s="71"/>
      <c r="H59" s="72"/>
      <c r="I59" s="72"/>
      <c r="J59" s="73"/>
      <c r="K59" s="73"/>
      <c r="L59" s="73"/>
      <c r="M59" s="34">
        <f>SUM(G59:K59)</f>
        <v>0</v>
      </c>
      <c r="N59" s="31"/>
      <c r="O59" s="26"/>
      <c r="P59" s="26"/>
      <c r="Q59" s="26"/>
      <c r="R59" s="26"/>
      <c r="U59" s="99"/>
      <c r="V59" s="1"/>
      <c r="W59" s="1"/>
      <c r="X59" s="1"/>
      <c r="Y59" s="1"/>
      <c r="Z59" s="1"/>
      <c r="AA59" s="1"/>
      <c r="AB59" s="1"/>
      <c r="AC59" s="1"/>
      <c r="AD59" s="6"/>
      <c r="AE59" s="6"/>
      <c r="AF59" s="1"/>
      <c r="AJ59" t="s">
        <v>11</v>
      </c>
    </row>
    <row r="60" spans="1:47" ht="16" x14ac:dyDescent="0.2">
      <c r="A60" s="26"/>
      <c r="B60" s="56"/>
      <c r="C60" s="28"/>
      <c r="D60" s="58"/>
      <c r="E60" s="59" t="s">
        <v>69</v>
      </c>
      <c r="F60" s="59"/>
      <c r="G60" s="71"/>
      <c r="H60" s="72"/>
      <c r="I60" s="72"/>
      <c r="J60" s="73"/>
      <c r="K60" s="73"/>
      <c r="L60" s="73"/>
      <c r="M60" s="34">
        <f>SUM(G60:K60)</f>
        <v>0</v>
      </c>
      <c r="N60" s="31"/>
      <c r="O60" s="26"/>
      <c r="P60" s="26"/>
      <c r="Q60" s="26"/>
      <c r="R60" s="26"/>
      <c r="U60" s="194">
        <f>U54+1</f>
        <v>11</v>
      </c>
      <c r="V60" s="195"/>
      <c r="W60" s="195"/>
      <c r="X60" s="195"/>
      <c r="Y60" s="195"/>
      <c r="Z60" s="195"/>
      <c r="AA60" s="195"/>
      <c r="AB60" s="195"/>
      <c r="AC60" s="195"/>
      <c r="AD60" s="196"/>
      <c r="AE60" s="196"/>
      <c r="AF60" s="207">
        <f>U60</f>
        <v>11</v>
      </c>
      <c r="AG60" s="207" t="s">
        <v>125</v>
      </c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195"/>
      <c r="AS60" s="195"/>
      <c r="AT60" s="23"/>
    </row>
    <row r="61" spans="1:47" ht="16" x14ac:dyDescent="0.2">
      <c r="A61" s="26" t="s">
        <v>5</v>
      </c>
      <c r="B61" s="56"/>
      <c r="C61" s="28"/>
      <c r="D61" s="58"/>
      <c r="E61" s="59" t="s">
        <v>5</v>
      </c>
      <c r="F61" s="59"/>
      <c r="G61" s="71"/>
      <c r="H61" s="72"/>
      <c r="I61" s="72"/>
      <c r="J61" s="73"/>
      <c r="K61" s="73"/>
      <c r="L61" s="73"/>
      <c r="M61" s="70">
        <f>SUM(G61:K61)</f>
        <v>0</v>
      </c>
      <c r="N61" s="31"/>
      <c r="O61" s="26"/>
      <c r="P61" s="26"/>
      <c r="Q61" s="26"/>
      <c r="R61" s="26"/>
      <c r="U61" s="99"/>
      <c r="V61" s="1"/>
      <c r="W61" s="1"/>
      <c r="X61" s="1"/>
      <c r="Y61" s="1"/>
      <c r="Z61" s="1"/>
      <c r="AA61" s="1"/>
      <c r="AB61" s="1"/>
      <c r="AC61" s="1"/>
      <c r="AD61" s="6"/>
      <c r="AE61" s="6"/>
      <c r="AF61" s="1"/>
      <c r="AG61" s="10" t="s">
        <v>199</v>
      </c>
      <c r="AJ61" s="10" t="s">
        <v>10</v>
      </c>
      <c r="AK61" t="str">
        <f>$AL$19</f>
        <v>Venlo</v>
      </c>
      <c r="AL61" t="str">
        <f>$AN$19</f>
        <v xml:space="preserve">Germersheim  </v>
      </c>
      <c r="AM61" t="str">
        <f>$AP$19</f>
        <v>Wolfsburg</v>
      </c>
      <c r="AN61" t="str">
        <f>$AR$19</f>
        <v>Saarbrucke</v>
      </c>
      <c r="AO61" t="str">
        <f>$AT$19</f>
        <v xml:space="preserve">Paris </v>
      </c>
      <c r="AP61" t="str">
        <f>$AV$19</f>
        <v xml:space="preserve">Torino  It. </v>
      </c>
      <c r="AQ61" t="str">
        <f>$AX$19</f>
        <v>Praha CZ</v>
      </c>
      <c r="AR61" t="str">
        <f>$AZ$19</f>
        <v xml:space="preserve">Genua  </v>
      </c>
      <c r="AS61" t="str">
        <f>$BB$19</f>
        <v>Bilbao It.</v>
      </c>
      <c r="AT61" t="str">
        <f>$BD$19</f>
        <v>Munich</v>
      </c>
    </row>
    <row r="62" spans="1:47" ht="16" x14ac:dyDescent="0.2">
      <c r="N62" s="31"/>
      <c r="P62" s="26"/>
      <c r="Q62" s="26"/>
      <c r="R62" s="26"/>
      <c r="U62" s="46"/>
      <c r="V62" s="1"/>
      <c r="W62" s="1"/>
      <c r="X62" s="1">
        <v>3</v>
      </c>
      <c r="Y62" s="1"/>
      <c r="Z62" s="1"/>
      <c r="AA62" s="1"/>
      <c r="AB62" s="1"/>
      <c r="AC62" s="1"/>
      <c r="AD62" s="6">
        <v>2</v>
      </c>
      <c r="AE62" s="6"/>
      <c r="AF62" s="1"/>
      <c r="AG62" s="10" t="s">
        <v>33</v>
      </c>
      <c r="AJ62" t="s">
        <v>6</v>
      </c>
      <c r="AK62" s="292">
        <f>ROUNDDOWN((3+(1/3)),2)</f>
        <v>3.33</v>
      </c>
      <c r="AL62" s="6">
        <f>ROUNDDOWN((6+(2/3)),2)</f>
        <v>6.66</v>
      </c>
      <c r="AM62" s="6">
        <f>ROUNDDOWN((7+(2/3)),2)</f>
        <v>7.66</v>
      </c>
      <c r="AN62" s="6">
        <f>ROUNDDOWN((6+(1/12)),2)</f>
        <v>6.08</v>
      </c>
      <c r="AO62" s="6">
        <f>ROUNDDOWN((4+(1/3)),2)</f>
        <v>4.33</v>
      </c>
      <c r="AP62" s="6">
        <f>ROUNDDOWN((24+(1/12)),2)</f>
        <v>24.08</v>
      </c>
      <c r="AQ62" s="6">
        <f>ROUNDDOWN((10+(5/6)),2)</f>
        <v>10.83</v>
      </c>
      <c r="AR62" s="6">
        <v>19.75</v>
      </c>
      <c r="AS62" s="6">
        <v>25.25</v>
      </c>
      <c r="AT62" s="6">
        <v>10</v>
      </c>
    </row>
    <row r="63" spans="1:47" ht="16" x14ac:dyDescent="0.2">
      <c r="N63" s="31"/>
      <c r="P63" s="26"/>
      <c r="Q63" s="26"/>
      <c r="R63" s="26"/>
      <c r="U63" s="99">
        <f>U60</f>
        <v>11</v>
      </c>
      <c r="V63" s="1"/>
      <c r="W63" s="1"/>
      <c r="X63" s="1"/>
      <c r="Y63" s="1">
        <v>4</v>
      </c>
      <c r="Z63" s="1"/>
      <c r="AA63" s="1"/>
      <c r="AB63" s="1"/>
      <c r="AC63" s="1"/>
      <c r="AD63" s="6">
        <v>2</v>
      </c>
      <c r="AE63" s="6"/>
      <c r="AF63" s="1"/>
      <c r="AJ63" t="s">
        <v>7</v>
      </c>
      <c r="AK63" s="6"/>
      <c r="AL63" s="6"/>
      <c r="AM63" s="6"/>
      <c r="AN63" s="6"/>
      <c r="AO63" s="6"/>
      <c r="AP63" s="6"/>
      <c r="AQ63" s="6"/>
      <c r="AR63" s="6"/>
      <c r="AS63" s="6"/>
      <c r="AT63" s="6"/>
    </row>
    <row r="64" spans="1:47" ht="16" x14ac:dyDescent="0.2">
      <c r="N64" s="31"/>
      <c r="P64" s="26"/>
      <c r="Q64" s="26"/>
      <c r="R64" s="26"/>
      <c r="U64" s="99">
        <f>U63</f>
        <v>11</v>
      </c>
      <c r="V64" s="1"/>
      <c r="W64" s="1"/>
      <c r="X64" s="1"/>
      <c r="Y64" s="1"/>
      <c r="Z64" s="1">
        <v>5</v>
      </c>
      <c r="AA64" s="1"/>
      <c r="AB64" s="1"/>
      <c r="AC64" s="1"/>
      <c r="AD64" s="6">
        <v>2</v>
      </c>
      <c r="AE64" s="6"/>
      <c r="AF64" s="1"/>
      <c r="AJ64" t="s">
        <v>4</v>
      </c>
      <c r="AK64" s="6"/>
      <c r="AL64" s="6"/>
      <c r="AM64" s="6"/>
      <c r="AN64" s="6"/>
      <c r="AO64" s="6"/>
      <c r="AP64" s="6"/>
      <c r="AQ64" s="6"/>
      <c r="AR64" s="6"/>
      <c r="AS64" s="6"/>
      <c r="AT64" s="6"/>
    </row>
    <row r="65" spans="1:48" ht="16" x14ac:dyDescent="0.2">
      <c r="N65" s="31"/>
      <c r="P65" s="26"/>
      <c r="Q65" s="26"/>
      <c r="R65" s="26"/>
      <c r="U65" s="99">
        <f>U60</f>
        <v>11</v>
      </c>
      <c r="V65" s="1"/>
      <c r="W65" s="1"/>
      <c r="X65" s="1"/>
      <c r="Y65" s="1"/>
      <c r="Z65" s="1"/>
      <c r="AA65" s="1"/>
      <c r="AB65" s="1"/>
      <c r="AC65" s="1"/>
      <c r="AD65" s="6"/>
      <c r="AE65" s="6"/>
      <c r="AF65" s="1"/>
      <c r="AJ65" t="s">
        <v>12</v>
      </c>
    </row>
    <row r="66" spans="1:48" ht="16" x14ac:dyDescent="0.2">
      <c r="A66" s="162">
        <v>7</v>
      </c>
      <c r="B66" s="49"/>
      <c r="C66" s="50"/>
      <c r="D66" s="51"/>
      <c r="E66" s="52" t="s">
        <v>5</v>
      </c>
      <c r="F66" s="52"/>
      <c r="G66" s="75"/>
      <c r="H66" s="76"/>
      <c r="I66" s="76"/>
      <c r="J66" s="77"/>
      <c r="K66" s="77"/>
      <c r="L66" s="77"/>
      <c r="M66" s="53">
        <f>SUM(G66:K66)</f>
        <v>0</v>
      </c>
      <c r="N66" s="31"/>
      <c r="O66" s="26"/>
      <c r="P66" s="26"/>
      <c r="Q66" s="26"/>
      <c r="R66" s="26"/>
      <c r="U66" s="99"/>
      <c r="V66" s="1"/>
      <c r="W66" s="1"/>
      <c r="X66" s="1"/>
      <c r="Y66" s="1"/>
      <c r="Z66" s="1"/>
      <c r="AA66" s="1"/>
      <c r="AB66" s="1"/>
      <c r="AC66" s="1"/>
      <c r="AD66" s="6"/>
      <c r="AE66" s="6"/>
      <c r="AF66" s="1"/>
    </row>
    <row r="67" spans="1:48" ht="16" x14ac:dyDescent="0.2">
      <c r="A67" s="55"/>
      <c r="B67" s="56"/>
      <c r="C67" s="57"/>
      <c r="D67" s="58"/>
      <c r="E67" s="59" t="s">
        <v>69</v>
      </c>
      <c r="F67" s="59"/>
      <c r="G67" s="71"/>
      <c r="H67" s="72"/>
      <c r="I67" s="72"/>
      <c r="J67" s="73"/>
      <c r="K67" s="73"/>
      <c r="L67" s="73"/>
      <c r="M67" s="34">
        <f>SUM(G67:K67)</f>
        <v>0</v>
      </c>
      <c r="N67" s="31"/>
      <c r="O67" s="26"/>
      <c r="P67" s="26"/>
      <c r="Q67" s="26"/>
      <c r="R67" s="26"/>
      <c r="U67" s="194">
        <f>U60+1</f>
        <v>12</v>
      </c>
      <c r="V67" s="195"/>
      <c r="W67" s="195"/>
      <c r="X67" s="195"/>
      <c r="Y67" s="195"/>
      <c r="Z67" s="195"/>
      <c r="AA67" s="195"/>
      <c r="AB67" s="195"/>
      <c r="AC67" s="195"/>
      <c r="AD67" s="196"/>
      <c r="AE67" s="196"/>
      <c r="AF67" s="207">
        <f>U67</f>
        <v>12</v>
      </c>
      <c r="AG67" s="207" t="s">
        <v>126</v>
      </c>
      <c r="AH67" s="195"/>
      <c r="AI67" s="195"/>
      <c r="AJ67" s="195"/>
      <c r="AK67" s="195"/>
      <c r="AL67" s="195"/>
      <c r="AM67" s="195"/>
      <c r="AN67" s="195"/>
      <c r="AO67" s="195"/>
      <c r="AP67" s="208"/>
    </row>
    <row r="68" spans="1:48" ht="16" x14ac:dyDescent="0.2">
      <c r="A68" s="55"/>
      <c r="B68" s="56"/>
      <c r="C68" s="57"/>
      <c r="D68" s="58"/>
      <c r="E68" s="59"/>
      <c r="F68" s="59"/>
      <c r="G68" s="71"/>
      <c r="H68" s="72"/>
      <c r="I68" s="72"/>
      <c r="J68" s="73"/>
      <c r="K68" s="73"/>
      <c r="L68" s="73"/>
      <c r="M68" s="34">
        <f>SUM(G68:K68)</f>
        <v>0</v>
      </c>
      <c r="N68" s="31"/>
      <c r="O68" s="26"/>
      <c r="P68" s="26"/>
      <c r="Q68" s="26"/>
      <c r="R68" s="26"/>
      <c r="U68" s="99"/>
      <c r="V68" s="1"/>
      <c r="W68" s="1"/>
      <c r="X68" s="1"/>
      <c r="Y68" s="1"/>
      <c r="Z68" s="1"/>
      <c r="AA68" s="1"/>
      <c r="AB68" s="1"/>
      <c r="AC68" s="1"/>
      <c r="AD68" s="6"/>
      <c r="AE68" s="6"/>
      <c r="AF68" s="1"/>
      <c r="AG68" t="s">
        <v>34</v>
      </c>
      <c r="AJ68" s="10" t="s">
        <v>22</v>
      </c>
      <c r="AK68" t="str">
        <f>$AL$19</f>
        <v>Venlo</v>
      </c>
      <c r="AL68" t="str">
        <f>$AN$19</f>
        <v xml:space="preserve">Germersheim  </v>
      </c>
      <c r="AM68" t="str">
        <f>$AP$19</f>
        <v>Wolfsburg</v>
      </c>
      <c r="AN68" t="str">
        <f>$AR$19</f>
        <v>Saarbrucke</v>
      </c>
      <c r="AO68" t="str">
        <f>$AT$19</f>
        <v xml:space="preserve">Paris </v>
      </c>
      <c r="AP68" t="str">
        <f>$AV$19</f>
        <v xml:space="preserve">Torino  It. </v>
      </c>
      <c r="AQ68" t="str">
        <f>$AX$19</f>
        <v>Praha CZ</v>
      </c>
      <c r="AR68" t="str">
        <f>$AZ$19</f>
        <v xml:space="preserve">Genua  </v>
      </c>
      <c r="AS68" t="str">
        <f>$BB$19</f>
        <v>Bilbao It.</v>
      </c>
      <c r="AT68" t="str">
        <f>$BD$19</f>
        <v>Munich</v>
      </c>
    </row>
    <row r="69" spans="1:48" ht="16" x14ac:dyDescent="0.2">
      <c r="A69" s="62"/>
      <c r="B69" s="86"/>
      <c r="C69" s="17"/>
      <c r="D69" s="87"/>
      <c r="E69" s="17"/>
      <c r="F69" s="17"/>
      <c r="G69" s="88"/>
      <c r="H69" s="81"/>
      <c r="I69" s="81"/>
      <c r="J69" s="69"/>
      <c r="K69" s="69"/>
      <c r="L69" s="69"/>
      <c r="M69" s="70">
        <f>SUM(G69:K69)</f>
        <v>0</v>
      </c>
      <c r="N69" s="31"/>
      <c r="O69" s="26"/>
      <c r="P69" s="26"/>
      <c r="Q69" s="26"/>
      <c r="R69" s="26"/>
      <c r="U69" s="99">
        <f>U67</f>
        <v>12</v>
      </c>
      <c r="V69" s="1"/>
      <c r="W69" s="1"/>
      <c r="X69" s="1">
        <v>3</v>
      </c>
      <c r="Y69" s="1"/>
      <c r="Z69" s="1"/>
      <c r="AA69" s="1"/>
      <c r="AB69" s="1"/>
      <c r="AC69" s="1"/>
      <c r="AD69" s="6">
        <v>2</v>
      </c>
      <c r="AE69" s="6"/>
      <c r="AF69" s="1"/>
      <c r="AJ69" t="s">
        <v>3</v>
      </c>
      <c r="AK69" s="6">
        <v>44</v>
      </c>
      <c r="AL69" s="6">
        <v>40</v>
      </c>
      <c r="AM69" s="6">
        <v>40</v>
      </c>
      <c r="AN69" s="6">
        <v>40</v>
      </c>
      <c r="AO69" s="6">
        <v>40</v>
      </c>
      <c r="AP69" s="6">
        <v>40</v>
      </c>
      <c r="AQ69" s="6">
        <v>40</v>
      </c>
      <c r="AR69" s="6">
        <v>40</v>
      </c>
      <c r="AS69" s="6">
        <v>40</v>
      </c>
      <c r="AT69" s="6">
        <v>40</v>
      </c>
    </row>
    <row r="70" spans="1:48" ht="16" x14ac:dyDescent="0.2">
      <c r="N70" s="31"/>
      <c r="P70" s="26"/>
      <c r="Q70" s="26"/>
      <c r="R70" s="26"/>
      <c r="U70" s="99">
        <f>U69</f>
        <v>12</v>
      </c>
      <c r="V70" s="1"/>
      <c r="W70" s="1"/>
      <c r="X70" s="1"/>
      <c r="Y70" s="1">
        <v>4</v>
      </c>
      <c r="Z70" s="1"/>
      <c r="AA70" s="1"/>
      <c r="AB70" s="1"/>
      <c r="AC70" s="1"/>
      <c r="AD70" s="6">
        <v>2</v>
      </c>
      <c r="AE70" s="6"/>
      <c r="AF70" s="1"/>
      <c r="AJ70" t="s">
        <v>7</v>
      </c>
      <c r="AK70" s="6">
        <f t="shared" ref="AK70:AT70" si="2">AK69*1.1</f>
        <v>48.400000000000006</v>
      </c>
      <c r="AL70" s="6">
        <f t="shared" si="2"/>
        <v>44</v>
      </c>
      <c r="AM70" s="6">
        <f t="shared" si="2"/>
        <v>44</v>
      </c>
      <c r="AN70" s="6">
        <f t="shared" si="2"/>
        <v>44</v>
      </c>
      <c r="AO70" s="6">
        <f t="shared" si="2"/>
        <v>44</v>
      </c>
      <c r="AP70" s="6">
        <f t="shared" si="2"/>
        <v>44</v>
      </c>
      <c r="AQ70" s="6">
        <f t="shared" si="2"/>
        <v>44</v>
      </c>
      <c r="AR70" s="6">
        <f t="shared" si="2"/>
        <v>44</v>
      </c>
      <c r="AS70" s="6">
        <f t="shared" si="2"/>
        <v>44</v>
      </c>
      <c r="AT70" s="6">
        <f t="shared" si="2"/>
        <v>44</v>
      </c>
    </row>
    <row r="71" spans="1:48" ht="16" x14ac:dyDescent="0.2">
      <c r="N71" s="31"/>
      <c r="P71" s="26"/>
      <c r="Q71" s="26"/>
      <c r="R71" s="26"/>
      <c r="U71" s="99">
        <f>U70</f>
        <v>12</v>
      </c>
      <c r="V71" s="1"/>
      <c r="W71" s="1"/>
      <c r="X71" s="1"/>
      <c r="Y71" s="1"/>
      <c r="Z71" s="1">
        <v>5</v>
      </c>
      <c r="AA71" s="1"/>
      <c r="AB71" s="1"/>
      <c r="AC71" s="1"/>
      <c r="AD71" s="6">
        <v>2</v>
      </c>
      <c r="AE71" s="6"/>
      <c r="AF71" s="1"/>
      <c r="AJ71" t="s">
        <v>4</v>
      </c>
      <c r="AK71" s="6"/>
      <c r="AL71" s="6"/>
      <c r="AM71" s="6"/>
      <c r="AN71" s="6"/>
      <c r="AO71" s="6"/>
      <c r="AP71" s="6"/>
      <c r="AQ71" s="6"/>
      <c r="AR71" s="6"/>
      <c r="AS71" s="6"/>
      <c r="AT71" s="6"/>
    </row>
    <row r="72" spans="1:48" ht="16" x14ac:dyDescent="0.2">
      <c r="N72" s="31"/>
      <c r="P72" s="26"/>
      <c r="Q72" s="26"/>
      <c r="R72" s="26"/>
      <c r="U72" s="99"/>
      <c r="V72" s="1"/>
      <c r="W72" s="1"/>
      <c r="X72" s="1"/>
      <c r="Y72" s="1"/>
      <c r="Z72" s="1"/>
      <c r="AA72" s="1"/>
      <c r="AB72" s="1"/>
      <c r="AC72" s="1"/>
      <c r="AD72" s="6"/>
      <c r="AE72" s="6"/>
      <c r="AF72" s="1"/>
      <c r="AJ72" t="s">
        <v>11</v>
      </c>
    </row>
    <row r="73" spans="1:48" ht="16" x14ac:dyDescent="0.2">
      <c r="N73" s="31"/>
      <c r="P73" s="26"/>
      <c r="Q73" s="26"/>
      <c r="R73" s="26"/>
      <c r="U73" s="194">
        <f>U67+1</f>
        <v>13</v>
      </c>
      <c r="V73" s="195"/>
      <c r="W73" s="195"/>
      <c r="X73" s="195"/>
      <c r="Y73" s="195"/>
      <c r="Z73" s="195"/>
      <c r="AA73" s="195"/>
      <c r="AB73" s="195"/>
      <c r="AC73" s="195"/>
      <c r="AD73" s="196"/>
      <c r="AE73" s="196"/>
      <c r="AF73" s="207">
        <f>U73</f>
        <v>13</v>
      </c>
      <c r="AG73" s="207" t="s">
        <v>200</v>
      </c>
      <c r="AH73" s="195"/>
      <c r="AI73" s="195"/>
      <c r="AJ73" s="195"/>
      <c r="AK73" s="195"/>
      <c r="AL73" s="195"/>
      <c r="AM73" s="195"/>
      <c r="AN73" s="195"/>
      <c r="AO73" s="195"/>
      <c r="AP73" s="208"/>
    </row>
    <row r="74" spans="1:48" ht="16" x14ac:dyDescent="0.2">
      <c r="A74" s="165">
        <v>8</v>
      </c>
      <c r="B74" s="56"/>
      <c r="C74" s="28"/>
      <c r="D74" s="58"/>
      <c r="E74" s="59"/>
      <c r="F74" s="59"/>
      <c r="G74" s="71"/>
      <c r="H74" s="72"/>
      <c r="I74" s="60"/>
      <c r="J74" s="73"/>
      <c r="K74" s="73"/>
      <c r="L74" s="73"/>
      <c r="M74" s="34">
        <f>SUM(G74:K74)</f>
        <v>0</v>
      </c>
      <c r="N74" s="31"/>
      <c r="O74" s="26"/>
      <c r="P74" s="26"/>
      <c r="Q74" s="26"/>
      <c r="R74" s="26"/>
      <c r="U74" s="99"/>
      <c r="V74" s="1"/>
      <c r="W74" s="1"/>
      <c r="X74" s="1"/>
      <c r="Y74" s="1"/>
      <c r="Z74" s="1"/>
      <c r="AA74" s="1"/>
      <c r="AB74" s="1"/>
      <c r="AC74" s="1"/>
      <c r="AD74" s="6"/>
      <c r="AE74" s="6"/>
      <c r="AF74" s="1"/>
      <c r="AJ74" s="10" t="s">
        <v>21</v>
      </c>
      <c r="AK74" t="str">
        <f>$AL$19</f>
        <v>Venlo</v>
      </c>
      <c r="AL74" t="str">
        <f>$AN$19</f>
        <v xml:space="preserve">Germersheim  </v>
      </c>
      <c r="AM74" t="str">
        <f>$AP$19</f>
        <v>Wolfsburg</v>
      </c>
      <c r="AN74" t="str">
        <f>$AR$19</f>
        <v>Saarbrucke</v>
      </c>
      <c r="AO74" t="str">
        <f>$AT$19</f>
        <v xml:space="preserve">Paris </v>
      </c>
      <c r="AP74" t="str">
        <f>$AV$19</f>
        <v xml:space="preserve">Torino  It. </v>
      </c>
      <c r="AQ74" t="str">
        <f>$AX$19</f>
        <v>Praha CZ</v>
      </c>
      <c r="AR74" t="str">
        <f>$AZ$19</f>
        <v xml:space="preserve">Genua  </v>
      </c>
      <c r="AS74" t="str">
        <f>$BB$19</f>
        <v>Bilbao It.</v>
      </c>
      <c r="AT74" t="str">
        <f>$BD$19</f>
        <v>Munich</v>
      </c>
    </row>
    <row r="75" spans="1:48" ht="16" x14ac:dyDescent="0.2">
      <c r="A75" s="26"/>
      <c r="B75" s="56"/>
      <c r="C75" s="28"/>
      <c r="D75" s="58"/>
      <c r="E75" s="59"/>
      <c r="F75" s="59"/>
      <c r="G75" s="71"/>
      <c r="H75" s="72"/>
      <c r="I75" s="60"/>
      <c r="J75" s="73"/>
      <c r="K75" s="73"/>
      <c r="L75" s="73"/>
      <c r="M75" s="34">
        <f>SUM(G75:K75)</f>
        <v>0</v>
      </c>
      <c r="N75" s="31"/>
      <c r="O75" s="26"/>
      <c r="P75" s="26"/>
      <c r="Q75" s="26"/>
      <c r="R75" s="26"/>
      <c r="U75" s="99">
        <f>U73</f>
        <v>13</v>
      </c>
      <c r="V75" s="1"/>
      <c r="W75" s="1"/>
      <c r="X75" s="1">
        <v>3</v>
      </c>
      <c r="Y75" s="1"/>
      <c r="Z75" s="1"/>
      <c r="AA75" s="1"/>
      <c r="AB75" s="1"/>
      <c r="AC75" s="1"/>
      <c r="AD75" s="6">
        <v>2</v>
      </c>
      <c r="AE75" s="6"/>
      <c r="AF75" s="1"/>
      <c r="AJ75" t="s">
        <v>3</v>
      </c>
      <c r="AK75" s="6">
        <v>44</v>
      </c>
      <c r="AL75" s="6">
        <v>40</v>
      </c>
      <c r="AM75" s="6">
        <v>40</v>
      </c>
      <c r="AN75" s="6">
        <v>40</v>
      </c>
      <c r="AO75" s="6">
        <v>40</v>
      </c>
      <c r="AP75" s="6">
        <v>40</v>
      </c>
      <c r="AQ75" s="6">
        <v>40</v>
      </c>
      <c r="AR75" s="6">
        <v>40</v>
      </c>
      <c r="AS75" s="6">
        <v>40</v>
      </c>
      <c r="AT75" s="6">
        <v>40</v>
      </c>
    </row>
    <row r="76" spans="1:48" ht="16" x14ac:dyDescent="0.2">
      <c r="A76" s="26"/>
      <c r="B76" s="56"/>
      <c r="C76" s="28"/>
      <c r="D76" s="58"/>
      <c r="E76" s="59" t="s">
        <v>69</v>
      </c>
      <c r="F76" s="59"/>
      <c r="G76" s="71"/>
      <c r="H76" s="72"/>
      <c r="I76" s="60"/>
      <c r="J76" s="73"/>
      <c r="K76" s="73"/>
      <c r="L76" s="73"/>
      <c r="M76" s="34">
        <f>SUM(G76:K76)</f>
        <v>0</v>
      </c>
      <c r="N76" s="31"/>
      <c r="O76" s="26"/>
      <c r="P76" s="26"/>
      <c r="Q76" s="26"/>
      <c r="R76" s="26"/>
      <c r="U76" s="99">
        <f>U75</f>
        <v>13</v>
      </c>
      <c r="V76" s="1"/>
      <c r="W76" s="1"/>
      <c r="X76" s="1"/>
      <c r="Y76" s="1">
        <v>4</v>
      </c>
      <c r="Z76" s="1"/>
      <c r="AA76" s="1"/>
      <c r="AB76" s="1"/>
      <c r="AC76" s="1"/>
      <c r="AD76" s="6">
        <v>2</v>
      </c>
      <c r="AE76" s="6"/>
      <c r="AF76" s="1"/>
      <c r="AJ76" t="s">
        <v>7</v>
      </c>
      <c r="AK76" s="6">
        <f t="shared" ref="AK76" si="3">AK75*1.1</f>
        <v>48.400000000000006</v>
      </c>
      <c r="AL76" s="6">
        <f t="shared" ref="AL76" si="4">AL75*1.1</f>
        <v>44</v>
      </c>
      <c r="AM76" s="6">
        <f t="shared" ref="AM76" si="5">AM75*1.1</f>
        <v>44</v>
      </c>
      <c r="AN76" s="6">
        <f t="shared" ref="AN76" si="6">AN75*1.1</f>
        <v>44</v>
      </c>
      <c r="AO76" s="6">
        <f t="shared" ref="AO76" si="7">AO75*1.1</f>
        <v>44</v>
      </c>
      <c r="AP76" s="6">
        <f t="shared" ref="AP76" si="8">AP75*1.1</f>
        <v>44</v>
      </c>
      <c r="AQ76" s="6">
        <f t="shared" ref="AQ76" si="9">AQ75*1.1</f>
        <v>44</v>
      </c>
      <c r="AR76" s="6">
        <f t="shared" ref="AR76" si="10">AR75*1.1</f>
        <v>44</v>
      </c>
      <c r="AS76" s="6">
        <f t="shared" ref="AS76" si="11">AS75*1.1</f>
        <v>44</v>
      </c>
      <c r="AT76" s="6">
        <f t="shared" ref="AT76" si="12">AT75*1.1</f>
        <v>44</v>
      </c>
    </row>
    <row r="77" spans="1:48" ht="16" x14ac:dyDescent="0.2">
      <c r="A77" s="26"/>
      <c r="B77" s="56"/>
      <c r="C77" s="28"/>
      <c r="D77" s="58"/>
      <c r="E77" s="59"/>
      <c r="F77" s="59"/>
      <c r="G77" s="71"/>
      <c r="H77" s="72"/>
      <c r="I77" s="60"/>
      <c r="J77" s="73"/>
      <c r="K77" s="73"/>
      <c r="L77" s="73"/>
      <c r="M77" s="34">
        <f>SUM(G77:K77)</f>
        <v>0</v>
      </c>
      <c r="N77" s="31"/>
      <c r="O77" s="26"/>
      <c r="P77" s="26"/>
      <c r="Q77" s="26"/>
      <c r="R77" s="26"/>
      <c r="U77" s="99">
        <f>U76</f>
        <v>13</v>
      </c>
      <c r="V77" s="1"/>
      <c r="W77" s="1"/>
      <c r="X77" s="1"/>
      <c r="Y77" s="1"/>
      <c r="Z77" s="1">
        <v>5</v>
      </c>
      <c r="AA77" s="1"/>
      <c r="AB77" s="1"/>
      <c r="AC77" s="1"/>
      <c r="AD77" s="6">
        <v>2</v>
      </c>
      <c r="AE77" s="6"/>
      <c r="AF77" s="1"/>
      <c r="AJ77" t="s">
        <v>4</v>
      </c>
      <c r="AK77" s="6"/>
      <c r="AL77" s="6"/>
      <c r="AM77" s="6"/>
      <c r="AN77" s="6"/>
      <c r="AO77" s="6"/>
      <c r="AP77" s="6"/>
      <c r="AQ77" s="6"/>
      <c r="AR77" s="6"/>
      <c r="AS77" s="6"/>
      <c r="AT77" s="6"/>
    </row>
    <row r="78" spans="1:48" ht="16" x14ac:dyDescent="0.2">
      <c r="N78" s="31"/>
      <c r="P78" s="26"/>
      <c r="Q78" s="26"/>
      <c r="R78" s="26"/>
      <c r="U78" s="99"/>
      <c r="V78" s="1"/>
      <c r="W78" s="1"/>
      <c r="X78" s="1"/>
      <c r="Y78" s="1"/>
      <c r="Z78" s="1"/>
      <c r="AA78" s="1"/>
      <c r="AB78" s="1"/>
      <c r="AC78" s="1"/>
      <c r="AD78" s="6"/>
      <c r="AE78" s="6"/>
      <c r="AF78" s="1"/>
      <c r="AJ78" t="s">
        <v>11</v>
      </c>
    </row>
    <row r="79" spans="1:48" ht="16" x14ac:dyDescent="0.2">
      <c r="N79" s="31"/>
      <c r="P79" s="26"/>
      <c r="Q79" s="26"/>
      <c r="R79" s="26"/>
      <c r="U79" s="194">
        <f>U73+1</f>
        <v>14</v>
      </c>
      <c r="V79" s="195"/>
      <c r="W79" s="195"/>
      <c r="X79" s="195"/>
      <c r="Y79" s="195"/>
      <c r="Z79" s="195"/>
      <c r="AA79" s="195"/>
      <c r="AB79" s="195"/>
      <c r="AC79" s="195"/>
      <c r="AD79" s="196"/>
      <c r="AE79" s="196"/>
      <c r="AF79" s="207">
        <f>U79</f>
        <v>14</v>
      </c>
      <c r="AG79" s="207" t="s">
        <v>127</v>
      </c>
      <c r="AH79" s="195"/>
      <c r="AI79" s="195"/>
      <c r="AJ79" s="195"/>
      <c r="AK79" s="195"/>
      <c r="AL79" s="195"/>
      <c r="AM79" s="208"/>
    </row>
    <row r="80" spans="1:48" ht="16" x14ac:dyDescent="0.2">
      <c r="N80" s="31"/>
      <c r="P80" s="26"/>
      <c r="Q80" s="26"/>
      <c r="R80" s="26"/>
      <c r="U80" s="99"/>
      <c r="V80" s="1"/>
      <c r="W80" s="1"/>
      <c r="X80" s="1"/>
      <c r="Y80" s="1"/>
      <c r="Z80" s="1"/>
      <c r="AA80" s="1"/>
      <c r="AB80" s="1"/>
      <c r="AC80" s="1"/>
      <c r="AD80" s="6"/>
      <c r="AE80" s="6"/>
      <c r="AF80" s="1"/>
      <c r="AJ80" t="s">
        <v>21</v>
      </c>
      <c r="AK80" t="str">
        <f>$AL$19</f>
        <v>Venlo</v>
      </c>
      <c r="AL80" t="str">
        <f>$AN$19</f>
        <v xml:space="preserve">Germersheim  </v>
      </c>
      <c r="AM80" t="str">
        <f>$AP$19</f>
        <v>Wolfsburg</v>
      </c>
      <c r="AN80" t="str">
        <f>$AR$19</f>
        <v>Saarbrucke</v>
      </c>
      <c r="AO80" t="str">
        <f>$AT$19</f>
        <v xml:space="preserve">Paris </v>
      </c>
      <c r="AP80" t="str">
        <f>$AV$19</f>
        <v xml:space="preserve">Torino  It. </v>
      </c>
      <c r="AQ80" t="str">
        <f>$AX$19</f>
        <v>Praha CZ</v>
      </c>
      <c r="AR80" t="str">
        <f>$AZ$19</f>
        <v xml:space="preserve">Genua  </v>
      </c>
      <c r="AS80" t="str">
        <f>$BB$19</f>
        <v>Bilbao It.</v>
      </c>
      <c r="AT80" t="str">
        <f>$BD$19</f>
        <v>Munich</v>
      </c>
      <c r="AV80" s="6" t="s">
        <v>284</v>
      </c>
    </row>
    <row r="81" spans="1:48" ht="16" x14ac:dyDescent="0.2">
      <c r="N81" s="31"/>
      <c r="P81" s="26"/>
      <c r="Q81" s="26"/>
      <c r="R81" s="26"/>
      <c r="U81" s="99">
        <f>U79</f>
        <v>14</v>
      </c>
      <c r="V81" s="1"/>
      <c r="W81" s="1"/>
      <c r="X81" s="1">
        <v>3</v>
      </c>
      <c r="Y81" s="1"/>
      <c r="Z81" s="1"/>
      <c r="AA81" s="1"/>
      <c r="AB81" s="1"/>
      <c r="AC81" s="1"/>
      <c r="AD81" s="6">
        <v>2</v>
      </c>
      <c r="AE81" s="6"/>
      <c r="AF81" s="1"/>
      <c r="AJ81" t="s">
        <v>3</v>
      </c>
      <c r="AK81" s="6">
        <f>(AK75-AV81)</f>
        <v>29</v>
      </c>
      <c r="AL81" s="6">
        <f>(AL75-AV81)</f>
        <v>25</v>
      </c>
      <c r="AM81" s="6">
        <f>(AM75-AV81)</f>
        <v>25</v>
      </c>
      <c r="AN81" s="6">
        <f>(AN75-AV81)</f>
        <v>25</v>
      </c>
      <c r="AO81" s="6">
        <f>(AO75-AV81)</f>
        <v>25</v>
      </c>
      <c r="AP81" s="6">
        <f>(AP75-AV81)</f>
        <v>25</v>
      </c>
      <c r="AQ81" s="6">
        <f>(AQ75-AV81)</f>
        <v>25</v>
      </c>
      <c r="AR81" s="6">
        <f>(AR75-AV81)</f>
        <v>25</v>
      </c>
      <c r="AS81" s="6">
        <f>(AS75-AV81)</f>
        <v>25</v>
      </c>
      <c r="AT81" s="6">
        <f>(AT75-AV81)</f>
        <v>25</v>
      </c>
      <c r="AV81" s="6">
        <v>15</v>
      </c>
    </row>
    <row r="82" spans="1:48" ht="16" x14ac:dyDescent="0.2">
      <c r="A82" s="162">
        <v>9</v>
      </c>
      <c r="B82" s="49"/>
      <c r="C82" s="50"/>
      <c r="D82" s="51"/>
      <c r="E82" s="52" t="s">
        <v>69</v>
      </c>
      <c r="F82" s="52"/>
      <c r="G82" s="75"/>
      <c r="H82" s="76"/>
      <c r="I82" s="76"/>
      <c r="J82" s="77"/>
      <c r="K82" s="77"/>
      <c r="L82" s="77"/>
      <c r="M82" s="53">
        <f>SUM(G82:K82)</f>
        <v>0</v>
      </c>
      <c r="N82" s="31"/>
      <c r="O82" s="26"/>
      <c r="P82" s="26"/>
      <c r="Q82" s="26"/>
      <c r="R82" s="26"/>
      <c r="U82" s="99">
        <f>U81</f>
        <v>14</v>
      </c>
      <c r="V82" s="1"/>
      <c r="W82" s="1"/>
      <c r="X82" s="1"/>
      <c r="Y82" s="1">
        <v>4</v>
      </c>
      <c r="Z82" s="1"/>
      <c r="AA82" s="1"/>
      <c r="AB82" s="1"/>
      <c r="AC82" s="1"/>
      <c r="AD82" s="6">
        <v>2</v>
      </c>
      <c r="AE82" s="6"/>
      <c r="AF82" s="1"/>
      <c r="AJ82" t="s">
        <v>7</v>
      </c>
      <c r="AK82" s="6">
        <f>(AK76-AV81)</f>
        <v>33.400000000000006</v>
      </c>
      <c r="AL82" s="6">
        <f>AL76-AV81</f>
        <v>29</v>
      </c>
      <c r="AM82" s="6">
        <f>AM76-AV81</f>
        <v>29</v>
      </c>
      <c r="AN82" s="6">
        <f>AN76-AV81</f>
        <v>29</v>
      </c>
      <c r="AO82" s="6">
        <f>AO76-AV81</f>
        <v>29</v>
      </c>
      <c r="AP82" s="6">
        <f>AP76-AV81</f>
        <v>29</v>
      </c>
      <c r="AQ82" s="6">
        <f>AQ76-AV81</f>
        <v>29</v>
      </c>
      <c r="AR82" s="6">
        <f>AR76-AV81</f>
        <v>29</v>
      </c>
      <c r="AS82" s="6">
        <f>AS76-AV81</f>
        <v>29</v>
      </c>
      <c r="AT82" s="6">
        <f>AT76-AV81</f>
        <v>29</v>
      </c>
    </row>
    <row r="83" spans="1:48" ht="16" x14ac:dyDescent="0.2">
      <c r="A83" s="55"/>
      <c r="B83" s="56"/>
      <c r="C83" s="57"/>
      <c r="D83" s="58"/>
      <c r="E83" s="59"/>
      <c r="F83" s="59"/>
      <c r="G83" s="71"/>
      <c r="H83" s="72"/>
      <c r="I83" s="72"/>
      <c r="J83" s="73"/>
      <c r="K83" s="73"/>
      <c r="L83" s="73"/>
      <c r="M83" s="34">
        <f>SUM(G83:K83)</f>
        <v>0</v>
      </c>
      <c r="N83" s="31"/>
      <c r="O83" s="26"/>
      <c r="P83" s="26"/>
      <c r="Q83" s="26"/>
      <c r="R83" s="26"/>
      <c r="U83" s="99">
        <f>U82</f>
        <v>14</v>
      </c>
      <c r="V83" s="1"/>
      <c r="W83" s="1"/>
      <c r="X83" s="1"/>
      <c r="Y83" s="1"/>
      <c r="Z83" s="1">
        <v>5</v>
      </c>
      <c r="AA83" s="1"/>
      <c r="AB83" s="1"/>
      <c r="AC83" s="1"/>
      <c r="AD83" s="6">
        <v>2</v>
      </c>
      <c r="AE83" s="6"/>
      <c r="AF83" s="1"/>
      <c r="AJ83" t="s">
        <v>4</v>
      </c>
      <c r="AK83" s="6"/>
      <c r="AL83" s="6"/>
      <c r="AM83" s="6"/>
      <c r="AN83" s="6"/>
      <c r="AO83" s="6"/>
      <c r="AP83" s="6"/>
      <c r="AQ83" s="6"/>
      <c r="AR83" s="6"/>
      <c r="AS83" s="6"/>
      <c r="AT83" s="6"/>
    </row>
    <row r="84" spans="1:48" ht="16" x14ac:dyDescent="0.2">
      <c r="A84" s="55"/>
      <c r="B84" s="56"/>
      <c r="C84" s="57"/>
      <c r="D84" s="58"/>
      <c r="E84" s="59"/>
      <c r="F84" s="59"/>
      <c r="G84" s="55"/>
      <c r="H84" s="59"/>
      <c r="I84" s="59"/>
      <c r="J84" s="34"/>
      <c r="K84" s="34"/>
      <c r="L84" s="34"/>
      <c r="M84" s="34">
        <f>SUM(G84:K84)</f>
        <v>0</v>
      </c>
      <c r="N84" s="31"/>
      <c r="O84" s="26"/>
      <c r="P84" s="26"/>
      <c r="Q84" s="26"/>
      <c r="R84" s="26"/>
      <c r="U84" s="99"/>
      <c r="V84" s="1"/>
      <c r="W84" s="1"/>
      <c r="X84" s="1"/>
      <c r="Y84" s="1"/>
      <c r="Z84" s="1"/>
      <c r="AA84" s="1"/>
      <c r="AB84" s="1"/>
      <c r="AC84" s="1"/>
      <c r="AD84" s="6"/>
      <c r="AE84" s="6"/>
      <c r="AF84" s="1"/>
      <c r="AJ84" t="s">
        <v>11</v>
      </c>
    </row>
    <row r="85" spans="1:48" ht="16" x14ac:dyDescent="0.2">
      <c r="A85" s="62"/>
      <c r="B85" s="63"/>
      <c r="C85" s="17"/>
      <c r="D85" s="87"/>
      <c r="E85" s="66"/>
      <c r="F85" s="17"/>
      <c r="G85" s="62"/>
      <c r="H85" s="66"/>
      <c r="I85" s="66"/>
      <c r="J85" s="70"/>
      <c r="K85" s="70"/>
      <c r="L85" s="70"/>
      <c r="M85" s="70">
        <f>SUM(G85:K85)</f>
        <v>0</v>
      </c>
      <c r="N85" s="31"/>
      <c r="O85" s="26"/>
      <c r="P85" s="26"/>
      <c r="Q85" s="26"/>
      <c r="R85" s="26"/>
      <c r="U85" s="194">
        <f>U79+1</f>
        <v>15</v>
      </c>
      <c r="V85" s="195"/>
      <c r="W85" s="195"/>
      <c r="X85" s="195"/>
      <c r="Y85" s="195"/>
      <c r="Z85" s="195"/>
      <c r="AA85" s="195"/>
      <c r="AB85" s="195"/>
      <c r="AC85" s="195"/>
      <c r="AD85" s="196"/>
      <c r="AE85" s="196"/>
      <c r="AF85" s="207">
        <f>U85</f>
        <v>15</v>
      </c>
      <c r="AG85" s="207" t="s">
        <v>128</v>
      </c>
      <c r="AH85" s="195"/>
      <c r="AI85" s="195"/>
      <c r="AJ85" s="195"/>
      <c r="AK85" s="195"/>
      <c r="AL85" s="195"/>
      <c r="AM85" s="208"/>
    </row>
    <row r="86" spans="1:48" ht="16" x14ac:dyDescent="0.2">
      <c r="N86" s="31"/>
      <c r="O86" s="26"/>
      <c r="P86" s="26"/>
      <c r="Q86" s="26"/>
      <c r="R86" s="26"/>
      <c r="U86" s="99"/>
      <c r="V86" s="1"/>
      <c r="W86" s="1"/>
      <c r="X86" s="1"/>
      <c r="Y86" s="1"/>
      <c r="Z86" s="1"/>
      <c r="AA86" s="1"/>
      <c r="AB86" s="1"/>
      <c r="AC86" s="1"/>
      <c r="AD86" s="6"/>
      <c r="AE86" s="6"/>
      <c r="AF86" s="1"/>
      <c r="AJ86" s="10" t="s">
        <v>285</v>
      </c>
      <c r="AK86" t="str">
        <f>$AL$19</f>
        <v>Venlo</v>
      </c>
      <c r="AL86" t="str">
        <f>$AN$19</f>
        <v xml:space="preserve">Germersheim  </v>
      </c>
      <c r="AM86" t="str">
        <f>$AP$19</f>
        <v>Wolfsburg</v>
      </c>
      <c r="AN86" t="str">
        <f>$AR$19</f>
        <v>Saarbrucke</v>
      </c>
      <c r="AO86" t="str">
        <f>$AT$19</f>
        <v xml:space="preserve">Paris </v>
      </c>
      <c r="AP86" t="str">
        <f>$AV$19</f>
        <v xml:space="preserve">Torino  It. </v>
      </c>
      <c r="AQ86" t="str">
        <f>$AX$19</f>
        <v>Praha CZ</v>
      </c>
      <c r="AR86" t="str">
        <f>$AZ$19</f>
        <v xml:space="preserve">Genua  </v>
      </c>
      <c r="AS86" t="str">
        <f>$BB$19</f>
        <v>Bilbao It.</v>
      </c>
      <c r="AT86" t="str">
        <f>$BD$19</f>
        <v>Munich</v>
      </c>
    </row>
    <row r="87" spans="1:48" ht="16" x14ac:dyDescent="0.2">
      <c r="N87" s="31"/>
      <c r="O87" s="26"/>
      <c r="P87" s="26"/>
      <c r="Q87" s="26"/>
      <c r="R87" s="26"/>
      <c r="U87" s="99">
        <f>U85</f>
        <v>15</v>
      </c>
      <c r="V87" s="1"/>
      <c r="W87" s="1"/>
      <c r="X87" s="1">
        <v>3</v>
      </c>
      <c r="Y87" s="1"/>
      <c r="Z87" s="1"/>
      <c r="AA87" s="1"/>
      <c r="AB87" s="1"/>
      <c r="AC87" s="1"/>
      <c r="AD87" s="6">
        <v>2</v>
      </c>
      <c r="AE87" s="6"/>
      <c r="AF87" s="1"/>
      <c r="AJ87" t="s">
        <v>6</v>
      </c>
      <c r="AK87" s="6">
        <f>ROUNDDOWN((AK81/'final product division'!$C$11)*'final product division'!$G$11,0)</f>
        <v>23</v>
      </c>
      <c r="AL87" s="6">
        <f>ROUNDDOWN((AL81/'final product division'!$C$11)*'final product division'!$G$11,0)</f>
        <v>20</v>
      </c>
      <c r="AM87" s="6">
        <f>ROUNDDOWN((AM81/'final product division'!$C$11)*'final product division'!$G$11,0)</f>
        <v>20</v>
      </c>
      <c r="AN87" s="6">
        <f>ROUNDDOWN((AN81/'final product division'!$C$11)*'final product division'!$G$11,0)</f>
        <v>20</v>
      </c>
      <c r="AO87" s="6">
        <f>ROUNDDOWN((AO81/'final product division'!$C$11)*'final product division'!$G$11,0)</f>
        <v>20</v>
      </c>
      <c r="AP87" s="6">
        <f>ROUNDDOWN((AP81/'final product division'!$C$11)*'final product division'!$G$11,0)</f>
        <v>20</v>
      </c>
      <c r="AQ87" s="6">
        <f>ROUNDDOWN((AQ81/'final product division'!$C$11)*'final product division'!$G$11,0)</f>
        <v>20</v>
      </c>
      <c r="AR87" s="6">
        <f>ROUNDDOWN((AR81/'final product division'!$C$11)*'final product division'!$G$11,0)</f>
        <v>20</v>
      </c>
      <c r="AS87" s="6">
        <f>ROUNDDOWN((AS81/'final product division'!$C$11)*'final product division'!$G$11,0)</f>
        <v>20</v>
      </c>
      <c r="AT87" s="6">
        <f>ROUNDDOWN((AT81/'final product division'!$C$11)*'final product division'!$G$11,0)</f>
        <v>20</v>
      </c>
    </row>
    <row r="88" spans="1:48" ht="16" x14ac:dyDescent="0.2">
      <c r="N88" s="31"/>
      <c r="O88" s="26"/>
      <c r="P88" s="26"/>
      <c r="Q88" s="26"/>
      <c r="R88" s="26"/>
      <c r="U88" s="99">
        <f>U87</f>
        <v>15</v>
      </c>
      <c r="V88" s="1"/>
      <c r="W88" s="1"/>
      <c r="X88" s="1"/>
      <c r="Y88" s="1">
        <v>4</v>
      </c>
      <c r="Z88" s="1"/>
      <c r="AA88" s="1"/>
      <c r="AB88" s="1"/>
      <c r="AC88" s="1"/>
      <c r="AD88" s="6">
        <v>2</v>
      </c>
      <c r="AE88" s="6"/>
      <c r="AF88" s="1"/>
      <c r="AJ88" t="s">
        <v>7</v>
      </c>
      <c r="AK88" s="6">
        <f>ROUNDDOWN((AK82/'final product division'!$C$11)*'final product division'!$G$11,0)</f>
        <v>26</v>
      </c>
      <c r="AL88" s="6">
        <f>ROUNDDOWN((AL82/'final product division'!$C$11)*'final product division'!$G$11,0)</f>
        <v>23</v>
      </c>
      <c r="AM88" s="6">
        <f>ROUNDDOWN((AM82/'final product division'!$C$11)*'final product division'!$G$11,0)</f>
        <v>23</v>
      </c>
      <c r="AN88" s="6">
        <f>ROUNDDOWN((AN82/'final product division'!$C$11)*'final product division'!$G$11,0)</f>
        <v>23</v>
      </c>
      <c r="AO88" s="6">
        <f>ROUNDDOWN((AO82/'final product division'!$C$11)*'final product division'!$G$11,0)</f>
        <v>23</v>
      </c>
      <c r="AP88" s="6">
        <f>ROUNDDOWN((AP82/'final product division'!$C$11)*'final product division'!$G$11,0)</f>
        <v>23</v>
      </c>
      <c r="AQ88" s="6">
        <f>ROUNDDOWN((AQ82/'final product division'!$C$11)*'final product division'!$G$11,0)</f>
        <v>23</v>
      </c>
      <c r="AR88" s="6">
        <f>ROUNDDOWN((AR82/'final product division'!$C$11)*'final product division'!$G$11,0)</f>
        <v>23</v>
      </c>
      <c r="AS88" s="6">
        <f>ROUNDDOWN((AS82/'final product division'!$C$11)*'final product division'!$G$11,0)</f>
        <v>23</v>
      </c>
      <c r="AT88" s="6">
        <f>ROUNDDOWN((AT82/'final product division'!$C$11)*'final product division'!$G$11,0)</f>
        <v>23</v>
      </c>
    </row>
    <row r="89" spans="1:48" ht="16" x14ac:dyDescent="0.2">
      <c r="N89" s="31"/>
      <c r="O89" s="26"/>
      <c r="P89" s="26"/>
      <c r="Q89" s="26"/>
      <c r="R89" s="26"/>
      <c r="U89" s="99">
        <f>U88</f>
        <v>15</v>
      </c>
      <c r="V89" s="1"/>
      <c r="W89" s="1"/>
      <c r="X89" s="1"/>
      <c r="Y89" s="1"/>
      <c r="Z89" s="1">
        <v>5</v>
      </c>
      <c r="AA89" s="1"/>
      <c r="AB89" s="1"/>
      <c r="AC89" s="1"/>
      <c r="AD89" s="6">
        <v>2</v>
      </c>
      <c r="AE89" s="6"/>
      <c r="AF89" s="1"/>
      <c r="AJ89" t="s">
        <v>4</v>
      </c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1:48" ht="16" x14ac:dyDescent="0.2">
      <c r="N90" s="31"/>
      <c r="O90" s="26"/>
      <c r="P90" s="26"/>
      <c r="Q90" s="26"/>
      <c r="R90" s="26"/>
      <c r="U90" s="99"/>
      <c r="V90" s="1"/>
      <c r="W90" s="1"/>
      <c r="X90" s="1"/>
      <c r="Y90" s="1"/>
      <c r="Z90" s="1"/>
      <c r="AA90" s="1"/>
      <c r="AB90" s="1"/>
      <c r="AC90" s="1"/>
      <c r="AD90" s="6"/>
      <c r="AE90" s="6"/>
      <c r="AF90" s="1"/>
      <c r="AJ90" t="s">
        <v>12</v>
      </c>
    </row>
    <row r="91" spans="1:48" ht="16" x14ac:dyDescent="0.2">
      <c r="N91" s="31"/>
      <c r="O91" s="26"/>
      <c r="P91" s="26"/>
      <c r="Q91" s="26"/>
      <c r="R91" s="26"/>
      <c r="U91" s="99"/>
      <c r="V91" s="1"/>
      <c r="W91" s="1"/>
      <c r="X91" s="1"/>
      <c r="Y91" s="1"/>
      <c r="Z91" s="1"/>
      <c r="AA91" s="1"/>
      <c r="AB91" s="1"/>
      <c r="AC91" s="1"/>
      <c r="AD91" s="6"/>
      <c r="AE91" s="6"/>
      <c r="AF91" s="1"/>
      <c r="AJ91" s="10" t="s">
        <v>286</v>
      </c>
      <c r="AK91" t="str">
        <f>$AL$19</f>
        <v>Venlo</v>
      </c>
      <c r="AL91" t="str">
        <f>$AN$19</f>
        <v xml:space="preserve">Germersheim  </v>
      </c>
      <c r="AM91" t="str">
        <f>$AP$19</f>
        <v>Wolfsburg</v>
      </c>
      <c r="AN91" t="str">
        <f>$AR$19</f>
        <v>Saarbrucke</v>
      </c>
      <c r="AO91" t="str">
        <f>$AT$19</f>
        <v xml:space="preserve">Paris </v>
      </c>
      <c r="AP91" t="str">
        <f>$AV$19</f>
        <v xml:space="preserve">Torino  It. </v>
      </c>
      <c r="AQ91" t="str">
        <f>$AX$19</f>
        <v>Praha CZ</v>
      </c>
      <c r="AR91" t="str">
        <f>$AZ$19</f>
        <v xml:space="preserve">Genua  </v>
      </c>
      <c r="AS91" t="str">
        <f>$BB$19</f>
        <v>Bilbao It.</v>
      </c>
      <c r="AT91" t="str">
        <f>$BD$19</f>
        <v>Munich</v>
      </c>
    </row>
    <row r="92" spans="1:48" ht="16" x14ac:dyDescent="0.2">
      <c r="N92" s="31"/>
      <c r="O92" s="26"/>
      <c r="P92" s="26"/>
      <c r="Q92" s="26"/>
      <c r="R92" s="26"/>
      <c r="U92" s="99"/>
      <c r="V92" s="1"/>
      <c r="W92" s="1"/>
      <c r="X92" s="1"/>
      <c r="Y92" s="1"/>
      <c r="Z92" s="1"/>
      <c r="AA92" s="1"/>
      <c r="AB92" s="1"/>
      <c r="AC92" s="1"/>
      <c r="AD92" s="6"/>
      <c r="AE92" s="6"/>
      <c r="AF92" s="1"/>
      <c r="AJ92" t="s">
        <v>6</v>
      </c>
      <c r="AK92" s="6" t="e">
        <f>ROUNDDOWN((AK86/BC71)*BB71,0)</f>
        <v>#VALUE!</v>
      </c>
      <c r="AL92" s="6" t="e">
        <f>ROUNDDOWN((AL86/BC71)*BB71,0)</f>
        <v>#VALUE!</v>
      </c>
      <c r="AM92" s="6" t="e">
        <f>ROUNDDOWN((AM86/BC71)*BB71,0)</f>
        <v>#VALUE!</v>
      </c>
      <c r="AN92" s="6" t="e">
        <f>ROUNDDOWN((AN86/BC71)*BB71,0)</f>
        <v>#VALUE!</v>
      </c>
      <c r="AO92" s="6" t="e">
        <f>ROUNDDOWN((AO86/BC71)*BB71,0)</f>
        <v>#VALUE!</v>
      </c>
      <c r="AP92" s="6" t="e">
        <f>ROUNDDOWN((AP86/BC71)*BB71,0)</f>
        <v>#VALUE!</v>
      </c>
      <c r="AQ92" s="6" t="e">
        <f>ROUNDDOWN((AQ86/BC71)*BB71,0)</f>
        <v>#VALUE!</v>
      </c>
      <c r="AR92" s="6" t="e">
        <f>ROUNDDOWN((AR86/BC71)*BB71,0)</f>
        <v>#VALUE!</v>
      </c>
      <c r="AS92" s="6" t="e">
        <f>ROUNDDOWN((AS86/BC71)*BB71,0)</f>
        <v>#VALUE!</v>
      </c>
      <c r="AT92" s="6" t="e">
        <f>ROUNDDOWN((AT86/BC71)*BB71,0)</f>
        <v>#VALUE!</v>
      </c>
    </row>
    <row r="93" spans="1:48" ht="16" x14ac:dyDescent="0.2">
      <c r="N93" s="31"/>
      <c r="O93" s="26"/>
      <c r="P93" s="26"/>
      <c r="Q93" s="26"/>
      <c r="R93" s="26"/>
      <c r="U93" s="99"/>
      <c r="V93" s="1"/>
      <c r="W93" s="1"/>
      <c r="X93" s="1"/>
      <c r="Y93" s="1"/>
      <c r="Z93" s="1"/>
      <c r="AA93" s="1"/>
      <c r="AB93" s="1"/>
      <c r="AC93" s="1"/>
      <c r="AD93" s="6"/>
      <c r="AE93" s="6"/>
      <c r="AF93" s="1"/>
      <c r="AJ93" t="s">
        <v>7</v>
      </c>
      <c r="AK93" s="6" t="e">
        <f>ROUNDDOWN((AK87/BC71)*BB71,0)</f>
        <v>#DIV/0!</v>
      </c>
      <c r="AL93" s="6" t="e">
        <f>ROUNDDOWN((AL87/BC71)*BB71,0)</f>
        <v>#DIV/0!</v>
      </c>
      <c r="AM93" s="6" t="e">
        <f>ROUNDDOWN((AM87/BC71)*BB71,0)</f>
        <v>#DIV/0!</v>
      </c>
      <c r="AN93" s="6" t="e">
        <f>ROUNDDOWN((AN87/BC71)*BB71,0)</f>
        <v>#DIV/0!</v>
      </c>
      <c r="AO93" s="6" t="e">
        <f>ROUNDDOWN((AO87/BC71)*BB71,0)</f>
        <v>#DIV/0!</v>
      </c>
      <c r="AP93" s="6" t="e">
        <f>ROUNDDOWN((AP87/BC71)*BB71,0)</f>
        <v>#DIV/0!</v>
      </c>
      <c r="AQ93" s="6" t="e">
        <f>ROUNDDOWN((AQ87/BC71)*BB71,0)</f>
        <v>#DIV/0!</v>
      </c>
      <c r="AR93" s="6" t="e">
        <f>ROUNDDOWN((AR87/BC71)*BB71,0)</f>
        <v>#DIV/0!</v>
      </c>
      <c r="AS93" s="6" t="e">
        <f>ROUNDDOWN((AS87/BC71)*BB71,0)</f>
        <v>#DIV/0!</v>
      </c>
      <c r="AT93" s="6" t="e">
        <f>ROUNDDOWN((AT87/BC71)*BB71,0)</f>
        <v>#DIV/0!</v>
      </c>
    </row>
    <row r="94" spans="1:48" ht="16" x14ac:dyDescent="0.2">
      <c r="N94" s="31"/>
      <c r="O94" s="26"/>
      <c r="P94" s="26"/>
      <c r="Q94" s="26"/>
      <c r="R94" s="26"/>
      <c r="U94" s="99"/>
      <c r="V94" s="1"/>
      <c r="W94" s="1"/>
      <c r="X94" s="1"/>
      <c r="Y94" s="1"/>
      <c r="Z94" s="1"/>
      <c r="AA94" s="1"/>
      <c r="AB94" s="1"/>
      <c r="AC94" s="1"/>
      <c r="AD94" s="6"/>
      <c r="AE94" s="6"/>
      <c r="AF94" s="1"/>
      <c r="AJ94" t="s">
        <v>4</v>
      </c>
      <c r="AK94" s="6"/>
      <c r="AL94" s="6"/>
      <c r="AM94" s="6"/>
      <c r="AN94" s="6"/>
      <c r="AO94" s="6"/>
      <c r="AP94" s="6"/>
      <c r="AQ94" s="6"/>
      <c r="AR94" s="6"/>
      <c r="AS94" s="6"/>
      <c r="AT94" s="6"/>
    </row>
    <row r="95" spans="1:48" ht="16" x14ac:dyDescent="0.2">
      <c r="N95" s="31"/>
      <c r="O95" s="26"/>
      <c r="P95" s="26"/>
      <c r="Q95" s="26"/>
      <c r="R95" s="26"/>
      <c r="U95" s="99"/>
      <c r="V95" s="1"/>
      <c r="W95" s="1"/>
      <c r="X95" s="1"/>
      <c r="Y95" s="1"/>
      <c r="Z95" s="1"/>
      <c r="AA95" s="1"/>
      <c r="AB95" s="1"/>
      <c r="AC95" s="1"/>
      <c r="AD95" s="6"/>
      <c r="AE95" s="6"/>
      <c r="AF95" s="1"/>
      <c r="AJ95" t="s">
        <v>12</v>
      </c>
    </row>
    <row r="96" spans="1:48" ht="16" x14ac:dyDescent="0.2">
      <c r="N96" s="31"/>
      <c r="O96" s="26"/>
      <c r="P96" s="26"/>
      <c r="Q96" s="26"/>
      <c r="R96" s="26"/>
      <c r="U96" s="99"/>
      <c r="V96" s="1"/>
      <c r="W96" s="1"/>
      <c r="X96" s="1"/>
      <c r="Y96" s="1"/>
      <c r="Z96" s="1"/>
      <c r="AA96" s="1"/>
      <c r="AB96" s="1"/>
      <c r="AC96" s="1"/>
      <c r="AD96" s="6"/>
      <c r="AE96" s="6"/>
      <c r="AF96" s="1"/>
      <c r="AJ96" s="10" t="s">
        <v>287</v>
      </c>
      <c r="AK96" t="str">
        <f>$AL$19</f>
        <v>Venlo</v>
      </c>
      <c r="AL96" t="str">
        <f>$AN$19</f>
        <v xml:space="preserve">Germersheim  </v>
      </c>
      <c r="AM96" t="str">
        <f>$AP$19</f>
        <v>Wolfsburg</v>
      </c>
      <c r="AN96" t="str">
        <f>$AR$19</f>
        <v>Saarbrucke</v>
      </c>
      <c r="AO96" t="str">
        <f>$AT$19</f>
        <v xml:space="preserve">Paris </v>
      </c>
      <c r="AP96" t="str">
        <f>$AV$19</f>
        <v xml:space="preserve">Torino  It. </v>
      </c>
      <c r="AQ96" t="str">
        <f>$AX$19</f>
        <v>Praha CZ</v>
      </c>
      <c r="AR96" t="str">
        <f>$AZ$19</f>
        <v xml:space="preserve">Genua  </v>
      </c>
      <c r="AS96" t="str">
        <f>$BB$19</f>
        <v>Bilbao It.</v>
      </c>
      <c r="AT96" t="str">
        <f>$BD$19</f>
        <v>Munich</v>
      </c>
    </row>
    <row r="97" spans="1:46" ht="16" x14ac:dyDescent="0.2">
      <c r="N97" s="31"/>
      <c r="O97" s="26"/>
      <c r="P97" s="26"/>
      <c r="Q97" s="26"/>
      <c r="R97" s="26"/>
      <c r="U97" s="99"/>
      <c r="V97" s="1"/>
      <c r="W97" s="1"/>
      <c r="X97" s="1"/>
      <c r="Y97" s="1"/>
      <c r="Z97" s="1"/>
      <c r="AA97" s="1"/>
      <c r="AB97" s="1"/>
      <c r="AC97" s="1"/>
      <c r="AD97" s="6"/>
      <c r="AE97" s="6"/>
      <c r="AF97" s="1"/>
      <c r="AJ97" t="s">
        <v>6</v>
      </c>
      <c r="AK97" s="6" t="e">
        <f>ROUNDDOWN((AK91/BC76)*BB76,0)</f>
        <v>#VALUE!</v>
      </c>
      <c r="AL97" s="6" t="e">
        <f>ROUNDDOWN((AL91/BC76)*BB76,0)</f>
        <v>#VALUE!</v>
      </c>
      <c r="AM97" s="6" t="e">
        <f>ROUNDDOWN((AM91/BC76)*BB76,0)</f>
        <v>#VALUE!</v>
      </c>
      <c r="AN97" s="6" t="e">
        <f>ROUNDDOWN((AN91/BC76)*BB76,0)</f>
        <v>#VALUE!</v>
      </c>
      <c r="AO97" s="6" t="e">
        <f>ROUNDDOWN((AO91/BC76)*BB76,0)</f>
        <v>#VALUE!</v>
      </c>
      <c r="AP97" s="6" t="e">
        <f>ROUNDDOWN((AP91/BC76)*BB76,0)</f>
        <v>#VALUE!</v>
      </c>
      <c r="AQ97" s="6" t="e">
        <f>ROUNDDOWN((AQ91/BC76)*BB76,0)</f>
        <v>#VALUE!</v>
      </c>
      <c r="AR97" s="6" t="e">
        <f>ROUNDDOWN((AR91/BC76)*BB76,0)</f>
        <v>#VALUE!</v>
      </c>
      <c r="AS97" s="6" t="e">
        <f>ROUNDDOWN((AS91/BC76)*BB76,0)</f>
        <v>#VALUE!</v>
      </c>
      <c r="AT97" s="6" t="e">
        <f>ROUNDDOWN((AT91/BC76)*BB76,0)</f>
        <v>#VALUE!</v>
      </c>
    </row>
    <row r="98" spans="1:46" ht="16" x14ac:dyDescent="0.2">
      <c r="N98" s="31"/>
      <c r="O98" s="26"/>
      <c r="P98" s="26"/>
      <c r="Q98" s="26"/>
      <c r="R98" s="26"/>
      <c r="U98" s="99"/>
      <c r="V98" s="1"/>
      <c r="W98" s="1"/>
      <c r="X98" s="1"/>
      <c r="Y98" s="1"/>
      <c r="Z98" s="1"/>
      <c r="AA98" s="1"/>
      <c r="AB98" s="1"/>
      <c r="AC98" s="1"/>
      <c r="AD98" s="6"/>
      <c r="AE98" s="6"/>
      <c r="AF98" s="1"/>
      <c r="AJ98" t="s">
        <v>7</v>
      </c>
      <c r="AK98" s="6" t="e">
        <f>ROUNDDOWN((AK92/BC76)*BB76,0)</f>
        <v>#VALUE!</v>
      </c>
      <c r="AL98" s="6" t="e">
        <f>ROUNDDOWN((AL92/BC76)*BB76,0)</f>
        <v>#VALUE!</v>
      </c>
      <c r="AM98" s="6" t="e">
        <f>ROUNDDOWN((AM92/BC76)*BB76,0)</f>
        <v>#VALUE!</v>
      </c>
      <c r="AN98" s="6" t="e">
        <f>ROUNDDOWN((AN92/BC76)*BB76,0)</f>
        <v>#VALUE!</v>
      </c>
      <c r="AO98" s="6" t="e">
        <f>ROUNDDOWN((AO92/BC76)*BB76,0)</f>
        <v>#VALUE!</v>
      </c>
      <c r="AP98" s="6" t="e">
        <f>ROUNDDOWN((AP92/BC76)*BB76,0)</f>
        <v>#VALUE!</v>
      </c>
      <c r="AQ98" s="6" t="e">
        <f>ROUNDDOWN((AQ92/BC76)*BB76,0)</f>
        <v>#VALUE!</v>
      </c>
      <c r="AR98" s="6" t="e">
        <f>ROUNDDOWN((AR92/BC76)*BB76,0)</f>
        <v>#VALUE!</v>
      </c>
      <c r="AS98" s="6" t="e">
        <f>ROUNDDOWN((AS92/BC76)*BB76,0)</f>
        <v>#VALUE!</v>
      </c>
      <c r="AT98" s="6" t="e">
        <f>ROUNDDOWN((AT92/BC76)*BB76,0)</f>
        <v>#VALUE!</v>
      </c>
    </row>
    <row r="99" spans="1:46" ht="16" x14ac:dyDescent="0.2">
      <c r="N99" s="31"/>
      <c r="O99" s="26"/>
      <c r="P99" s="26"/>
      <c r="Q99" s="26"/>
      <c r="R99" s="26"/>
      <c r="U99" s="99"/>
      <c r="V99" s="1"/>
      <c r="W99" s="1"/>
      <c r="X99" s="1"/>
      <c r="Y99" s="1"/>
      <c r="Z99" s="1"/>
      <c r="AA99" s="1"/>
      <c r="AB99" s="1"/>
      <c r="AC99" s="1"/>
      <c r="AD99" s="6"/>
      <c r="AE99" s="6"/>
      <c r="AF99" s="1"/>
      <c r="AJ99" t="s">
        <v>4</v>
      </c>
      <c r="AK99" s="6"/>
      <c r="AL99" s="6"/>
      <c r="AM99" s="6"/>
      <c r="AN99" s="6"/>
      <c r="AO99" s="6"/>
      <c r="AP99" s="6"/>
      <c r="AQ99" s="6"/>
      <c r="AR99" s="6"/>
      <c r="AS99" s="6"/>
      <c r="AT99" s="6"/>
    </row>
    <row r="100" spans="1:46" ht="16" x14ac:dyDescent="0.2">
      <c r="N100" s="31"/>
      <c r="O100" s="26"/>
      <c r="P100" s="26"/>
      <c r="Q100" s="26"/>
      <c r="R100" s="26"/>
      <c r="U100" s="99"/>
      <c r="V100" s="1"/>
      <c r="W100" s="1"/>
      <c r="X100" s="1"/>
      <c r="Y100" s="1"/>
      <c r="Z100" s="1"/>
      <c r="AA100" s="1"/>
      <c r="AB100" s="1"/>
      <c r="AC100" s="1"/>
      <c r="AD100" s="6"/>
      <c r="AE100" s="6"/>
      <c r="AF100" s="1"/>
      <c r="AJ100" t="s">
        <v>12</v>
      </c>
    </row>
    <row r="101" spans="1:46" ht="16" x14ac:dyDescent="0.2">
      <c r="N101" s="31"/>
      <c r="O101" s="26"/>
      <c r="P101" s="26"/>
      <c r="Q101" s="26"/>
      <c r="R101" s="26"/>
      <c r="U101" s="99"/>
      <c r="V101" s="1"/>
      <c r="W101" s="1"/>
      <c r="X101" s="1"/>
      <c r="Y101" s="1"/>
      <c r="Z101" s="1"/>
      <c r="AA101" s="1"/>
      <c r="AB101" s="1"/>
      <c r="AC101" s="1"/>
      <c r="AD101" s="6"/>
      <c r="AE101" s="6"/>
      <c r="AF101" s="1"/>
      <c r="AJ101" s="10" t="s">
        <v>288</v>
      </c>
      <c r="AK101" t="str">
        <f>$AL$19</f>
        <v>Venlo</v>
      </c>
      <c r="AL101" t="str">
        <f>$AN$19</f>
        <v xml:space="preserve">Germersheim  </v>
      </c>
      <c r="AM101" t="str">
        <f>$AP$19</f>
        <v>Wolfsburg</v>
      </c>
      <c r="AN101" t="str">
        <f>$AR$19</f>
        <v>Saarbrucke</v>
      </c>
      <c r="AO101" t="str">
        <f>$AT$19</f>
        <v xml:space="preserve">Paris </v>
      </c>
      <c r="AP101" t="str">
        <f>$AV$19</f>
        <v xml:space="preserve">Torino  It. </v>
      </c>
      <c r="AQ101" t="str">
        <f>$AX$19</f>
        <v>Praha CZ</v>
      </c>
      <c r="AR101" t="str">
        <f>$AZ$19</f>
        <v xml:space="preserve">Genua  </v>
      </c>
      <c r="AS101" t="str">
        <f>$BB$19</f>
        <v>Bilbao It.</v>
      </c>
      <c r="AT101" t="str">
        <f>$BD$19</f>
        <v>Munich</v>
      </c>
    </row>
    <row r="102" spans="1:46" ht="16" x14ac:dyDescent="0.2">
      <c r="N102" s="31"/>
      <c r="O102" s="26"/>
      <c r="P102" s="26"/>
      <c r="Q102" s="26"/>
      <c r="R102" s="26"/>
      <c r="U102" s="99"/>
      <c r="V102" s="1"/>
      <c r="W102" s="1"/>
      <c r="X102" s="1"/>
      <c r="Y102" s="1"/>
      <c r="Z102" s="1"/>
      <c r="AA102" s="1"/>
      <c r="AB102" s="1"/>
      <c r="AC102" s="1"/>
      <c r="AD102" s="6"/>
      <c r="AE102" s="6"/>
      <c r="AF102" s="1"/>
      <c r="AJ102" t="s">
        <v>6</v>
      </c>
      <c r="AK102" s="6" t="e">
        <f>ROUNDDOWN((AK96/BC81)*BB81,0)</f>
        <v>#VALUE!</v>
      </c>
      <c r="AL102" s="6" t="e">
        <f>ROUNDDOWN((AL96/BC81)*BB81,0)</f>
        <v>#VALUE!</v>
      </c>
      <c r="AM102" s="6" t="e">
        <f>ROUNDDOWN((AM96/BC81)*BB81,0)</f>
        <v>#VALUE!</v>
      </c>
      <c r="AN102" s="6" t="e">
        <f>ROUNDDOWN((AN96/BC81)*BB81,0)</f>
        <v>#VALUE!</v>
      </c>
      <c r="AO102" s="6" t="e">
        <f>ROUNDDOWN((AO96/BC81)*BB81,0)</f>
        <v>#VALUE!</v>
      </c>
      <c r="AP102" s="6" t="e">
        <f>ROUNDDOWN((AP96/BC81)*BB81,0)</f>
        <v>#VALUE!</v>
      </c>
      <c r="AQ102" s="6" t="e">
        <f>ROUNDDOWN((AQ96/BC81)*BB81,0)</f>
        <v>#VALUE!</v>
      </c>
      <c r="AR102" s="6" t="e">
        <f>ROUNDDOWN((AR96/BC81)*BB81,0)</f>
        <v>#VALUE!</v>
      </c>
      <c r="AS102" s="6" t="e">
        <f>ROUNDDOWN((AS96/BC81)*BB81,0)</f>
        <v>#VALUE!</v>
      </c>
      <c r="AT102" s="6" t="e">
        <f>ROUNDDOWN((AT96/BC81)*BB81,0)</f>
        <v>#VALUE!</v>
      </c>
    </row>
    <row r="103" spans="1:46" ht="16" x14ac:dyDescent="0.2">
      <c r="N103" s="31"/>
      <c r="O103" s="26"/>
      <c r="P103" s="26"/>
      <c r="Q103" s="26"/>
      <c r="R103" s="26"/>
      <c r="U103" s="99"/>
      <c r="V103" s="1"/>
      <c r="W103" s="1"/>
      <c r="X103" s="1"/>
      <c r="Y103" s="1"/>
      <c r="Z103" s="1"/>
      <c r="AA103" s="1"/>
      <c r="AB103" s="1"/>
      <c r="AC103" s="1"/>
      <c r="AD103" s="6"/>
      <c r="AE103" s="6"/>
      <c r="AF103" s="1"/>
      <c r="AJ103" t="s">
        <v>7</v>
      </c>
      <c r="AK103" s="6" t="e">
        <f>ROUNDDOWN((AK97/BC81)*BB81,0)</f>
        <v>#VALUE!</v>
      </c>
      <c r="AL103" s="6" t="e">
        <f>ROUNDDOWN((AL97/BC81)*BB81,0)</f>
        <v>#VALUE!</v>
      </c>
      <c r="AM103" s="6" t="e">
        <f>ROUNDDOWN((AM97/BC81)*BB81,0)</f>
        <v>#VALUE!</v>
      </c>
      <c r="AN103" s="6" t="e">
        <f>ROUNDDOWN((AN97/BC81)*BB81,0)</f>
        <v>#VALUE!</v>
      </c>
      <c r="AO103" s="6" t="e">
        <f>ROUNDDOWN((AO97/BC81)*BB81,0)</f>
        <v>#VALUE!</v>
      </c>
      <c r="AP103" s="6" t="e">
        <f>ROUNDDOWN((AP97/BC81)*BB81,0)</f>
        <v>#VALUE!</v>
      </c>
      <c r="AQ103" s="6" t="e">
        <f>ROUNDDOWN((AQ97/BC81)*BB81,0)</f>
        <v>#VALUE!</v>
      </c>
      <c r="AR103" s="6" t="e">
        <f>ROUNDDOWN((AR97/BC81)*BB81,0)</f>
        <v>#VALUE!</v>
      </c>
      <c r="AS103" s="6" t="e">
        <f>ROUNDDOWN((AS97/BC81)*BB81,0)</f>
        <v>#VALUE!</v>
      </c>
      <c r="AT103" s="6" t="e">
        <f>ROUNDDOWN((AT97/BC81)*BB81,0)</f>
        <v>#VALUE!</v>
      </c>
    </row>
    <row r="104" spans="1:46" ht="16" x14ac:dyDescent="0.2">
      <c r="N104" s="31"/>
      <c r="O104" s="26"/>
      <c r="P104" s="26"/>
      <c r="Q104" s="26"/>
      <c r="R104" s="26"/>
      <c r="U104" s="99"/>
      <c r="V104" s="1"/>
      <c r="W104" s="1"/>
      <c r="X104" s="1"/>
      <c r="Y104" s="1"/>
      <c r="Z104" s="1"/>
      <c r="AA104" s="1"/>
      <c r="AB104" s="1"/>
      <c r="AC104" s="1"/>
      <c r="AD104" s="6"/>
      <c r="AE104" s="6"/>
      <c r="AF104" s="1"/>
      <c r="AJ104" t="s">
        <v>4</v>
      </c>
      <c r="AK104" s="6"/>
      <c r="AL104" s="6"/>
      <c r="AM104" s="6"/>
      <c r="AN104" s="6"/>
      <c r="AO104" s="6"/>
      <c r="AP104" s="6"/>
      <c r="AQ104" s="6"/>
      <c r="AR104" s="6"/>
      <c r="AS104" s="6"/>
      <c r="AT104" s="6"/>
    </row>
    <row r="105" spans="1:46" ht="16" x14ac:dyDescent="0.2">
      <c r="N105" s="31"/>
      <c r="O105" s="26"/>
      <c r="P105" s="26"/>
      <c r="Q105" s="26"/>
      <c r="R105" s="26"/>
      <c r="U105" s="99"/>
      <c r="V105" s="1"/>
      <c r="W105" s="1"/>
      <c r="X105" s="1"/>
      <c r="Y105" s="1"/>
      <c r="Z105" s="1"/>
      <c r="AA105" s="1"/>
      <c r="AB105" s="1"/>
      <c r="AC105" s="1"/>
      <c r="AD105" s="6"/>
      <c r="AE105" s="6"/>
      <c r="AF105" s="1"/>
      <c r="AJ105" t="s">
        <v>12</v>
      </c>
    </row>
    <row r="106" spans="1:46" ht="16" x14ac:dyDescent="0.2">
      <c r="N106" s="31"/>
      <c r="O106" s="26"/>
      <c r="P106" s="26"/>
      <c r="Q106" s="26"/>
      <c r="R106" s="26"/>
      <c r="U106" s="194">
        <f>U85+1</f>
        <v>16</v>
      </c>
      <c r="V106" s="195"/>
      <c r="W106" s="195"/>
      <c r="X106" s="195"/>
      <c r="Y106" s="195"/>
      <c r="Z106" s="195"/>
      <c r="AA106" s="195"/>
      <c r="AB106" s="195"/>
      <c r="AC106" s="195"/>
      <c r="AD106" s="196"/>
      <c r="AE106" s="196"/>
      <c r="AF106" s="207">
        <f>U106</f>
        <v>16</v>
      </c>
      <c r="AG106" s="195" t="s">
        <v>43</v>
      </c>
      <c r="AH106" s="195"/>
      <c r="AI106" s="195"/>
      <c r="AJ106" s="195"/>
      <c r="AK106" s="195"/>
      <c r="AL106" s="208"/>
      <c r="AM106" s="208"/>
    </row>
    <row r="107" spans="1:46" ht="16" x14ac:dyDescent="0.2">
      <c r="A107" s="162">
        <v>10</v>
      </c>
      <c r="B107" s="49" t="s">
        <v>5</v>
      </c>
      <c r="C107" s="16"/>
      <c r="D107" s="92"/>
      <c r="E107" s="52"/>
      <c r="F107" s="16"/>
      <c r="G107" s="48"/>
      <c r="H107" s="52"/>
      <c r="I107" s="52"/>
      <c r="J107" s="53"/>
      <c r="K107" s="53"/>
      <c r="L107" s="53"/>
      <c r="M107" s="53">
        <f>SUM(G107:K107)</f>
        <v>0</v>
      </c>
      <c r="N107" s="31"/>
      <c r="O107" s="26"/>
      <c r="P107" s="26"/>
      <c r="Q107" s="26"/>
      <c r="R107" s="26"/>
      <c r="U107" s="99"/>
      <c r="V107" s="1"/>
      <c r="W107" s="1"/>
      <c r="X107" s="1"/>
      <c r="Y107" s="1"/>
      <c r="Z107" s="1"/>
      <c r="AA107" s="1"/>
      <c r="AB107" s="1"/>
      <c r="AC107" s="1"/>
      <c r="AD107" s="6"/>
      <c r="AE107" s="6"/>
      <c r="AF107" s="1"/>
      <c r="AJ107" s="10" t="s">
        <v>42</v>
      </c>
      <c r="AK107" t="str">
        <f>$AL$19</f>
        <v>Venlo</v>
      </c>
      <c r="AL107" t="str">
        <f>$AN$19</f>
        <v xml:space="preserve">Germersheim  </v>
      </c>
      <c r="AM107" t="str">
        <f>$AP$19</f>
        <v>Wolfsburg</v>
      </c>
      <c r="AN107" t="str">
        <f>$AR$19</f>
        <v>Saarbrucke</v>
      </c>
      <c r="AO107" t="str">
        <f>$AT$19</f>
        <v xml:space="preserve">Paris </v>
      </c>
      <c r="AP107" t="str">
        <f>$AV$19</f>
        <v xml:space="preserve">Torino  It. </v>
      </c>
      <c r="AQ107" t="str">
        <f>$AX$19</f>
        <v>Praha CZ</v>
      </c>
      <c r="AR107" t="str">
        <f>$AZ$19</f>
        <v xml:space="preserve">Genua  </v>
      </c>
      <c r="AS107" t="str">
        <f>$BB$19</f>
        <v>Bilbao It.</v>
      </c>
      <c r="AT107" t="str">
        <f>$BD$19</f>
        <v>Munich</v>
      </c>
    </row>
    <row r="108" spans="1:46" ht="16" x14ac:dyDescent="0.2">
      <c r="A108" s="55"/>
      <c r="B108" s="56"/>
      <c r="C108" s="1"/>
      <c r="D108" s="46"/>
      <c r="E108" s="59"/>
      <c r="F108" s="1"/>
      <c r="G108" s="55"/>
      <c r="H108" s="59"/>
      <c r="I108" s="59"/>
      <c r="J108" s="34"/>
      <c r="K108" s="34"/>
      <c r="L108" s="34"/>
      <c r="M108" s="34">
        <f>SUM(G108:K108)</f>
        <v>0</v>
      </c>
      <c r="N108" s="31"/>
      <c r="O108" s="26"/>
      <c r="P108" s="26"/>
      <c r="Q108" s="26"/>
      <c r="R108" s="26"/>
      <c r="U108" s="99">
        <f>U106</f>
        <v>16</v>
      </c>
      <c r="V108" s="1"/>
      <c r="W108" s="1"/>
      <c r="X108" s="1"/>
      <c r="Y108" s="1"/>
      <c r="Z108" s="1"/>
      <c r="AA108" s="1"/>
      <c r="AB108" s="1"/>
      <c r="AC108" s="1"/>
      <c r="AD108" s="6">
        <v>2</v>
      </c>
      <c r="AE108" s="6"/>
      <c r="AF108" s="1">
        <f>U108</f>
        <v>16</v>
      </c>
      <c r="AJ108" s="6" t="s">
        <v>6</v>
      </c>
      <c r="AK108" s="6"/>
      <c r="AL108" s="6"/>
      <c r="AM108" s="6"/>
      <c r="AN108" s="6"/>
      <c r="AO108" s="6"/>
      <c r="AP108" s="6"/>
      <c r="AQ108" s="6"/>
      <c r="AR108" s="6"/>
      <c r="AS108" s="6"/>
      <c r="AT108" s="6"/>
    </row>
    <row r="109" spans="1:46" ht="16" x14ac:dyDescent="0.2">
      <c r="A109" s="55"/>
      <c r="B109" s="56"/>
      <c r="C109" s="1"/>
      <c r="D109" s="46"/>
      <c r="E109" s="59"/>
      <c r="F109" s="1"/>
      <c r="G109" s="55"/>
      <c r="H109" s="59"/>
      <c r="I109" s="59"/>
      <c r="J109" s="34"/>
      <c r="K109" s="34"/>
      <c r="L109" s="34"/>
      <c r="M109" s="34">
        <f>SUM(G109:K109)</f>
        <v>0</v>
      </c>
      <c r="N109" s="31"/>
      <c r="O109" s="26"/>
      <c r="P109" s="26"/>
      <c r="Q109" s="26"/>
      <c r="R109" s="26"/>
      <c r="U109" s="99">
        <f>U108</f>
        <v>16</v>
      </c>
      <c r="V109" s="1"/>
      <c r="W109" s="1"/>
      <c r="X109" s="1"/>
      <c r="Y109" s="1"/>
      <c r="Z109" s="1"/>
      <c r="AA109" s="1"/>
      <c r="AB109" s="1"/>
      <c r="AC109" s="1"/>
      <c r="AD109" s="6">
        <v>2</v>
      </c>
      <c r="AE109" s="6"/>
      <c r="AF109" s="1">
        <f>U109</f>
        <v>16</v>
      </c>
      <c r="AJ109" s="6" t="s">
        <v>7</v>
      </c>
      <c r="AK109" s="6"/>
      <c r="AL109" s="6"/>
      <c r="AM109" s="6"/>
      <c r="AN109" s="6"/>
      <c r="AO109" s="6"/>
      <c r="AP109" s="6"/>
      <c r="AQ109" s="6"/>
      <c r="AR109" s="6"/>
      <c r="AS109" s="6"/>
      <c r="AT109" s="6"/>
    </row>
    <row r="110" spans="1:46" ht="16" x14ac:dyDescent="0.2">
      <c r="A110" s="55"/>
      <c r="B110" s="56"/>
      <c r="C110" s="1"/>
      <c r="D110" s="46"/>
      <c r="E110" s="1"/>
      <c r="F110" s="1"/>
      <c r="G110" s="89"/>
      <c r="H110" s="90"/>
      <c r="I110" s="90"/>
      <c r="J110" s="91"/>
      <c r="K110" s="91"/>
      <c r="L110" s="91"/>
      <c r="M110" s="34">
        <f>SUM(G110:K110)</f>
        <v>0</v>
      </c>
      <c r="N110" s="31"/>
      <c r="O110" s="26"/>
      <c r="P110" s="26"/>
      <c r="Q110" s="26"/>
      <c r="R110" s="26"/>
      <c r="U110" s="99">
        <f>U109</f>
        <v>16</v>
      </c>
      <c r="V110" s="1"/>
      <c r="W110" s="1"/>
      <c r="X110" s="1"/>
      <c r="Y110" s="1"/>
      <c r="Z110" s="1"/>
      <c r="AA110" s="1"/>
      <c r="AB110" s="1"/>
      <c r="AC110" s="1"/>
      <c r="AD110" s="6">
        <v>2</v>
      </c>
      <c r="AE110" s="6"/>
      <c r="AF110" s="1">
        <f>U110</f>
        <v>16</v>
      </c>
      <c r="AJ110" s="6" t="s">
        <v>4</v>
      </c>
      <c r="AK110" s="6"/>
      <c r="AL110" s="6"/>
      <c r="AM110" s="6"/>
      <c r="AN110" s="6"/>
      <c r="AO110" s="6"/>
      <c r="AP110" s="6"/>
      <c r="AQ110" s="6"/>
      <c r="AR110" s="6"/>
      <c r="AS110" s="6"/>
      <c r="AT110" s="6"/>
    </row>
    <row r="111" spans="1:46" ht="16" x14ac:dyDescent="0.2">
      <c r="A111" s="55"/>
      <c r="B111" s="56"/>
      <c r="C111" s="1"/>
      <c r="D111" s="46"/>
      <c r="E111" s="1"/>
      <c r="F111" s="1"/>
      <c r="G111" s="89"/>
      <c r="H111" s="90"/>
      <c r="I111" s="90"/>
      <c r="J111" s="91"/>
      <c r="K111" s="91"/>
      <c r="L111" s="91"/>
      <c r="M111" s="34">
        <f>SUM(G111:K111)</f>
        <v>0</v>
      </c>
      <c r="N111" s="31"/>
      <c r="O111" s="26"/>
      <c r="P111" s="26"/>
      <c r="Q111" s="26"/>
      <c r="R111" s="26"/>
      <c r="U111" s="99"/>
      <c r="V111" s="1"/>
      <c r="W111" s="1"/>
      <c r="X111" s="1"/>
      <c r="Y111" s="1"/>
      <c r="Z111" s="1"/>
      <c r="AA111" s="1"/>
      <c r="AB111" s="1"/>
      <c r="AC111" s="1"/>
      <c r="AD111" s="6"/>
      <c r="AE111" s="6"/>
      <c r="AF111" s="1"/>
      <c r="AJ111" s="6" t="s">
        <v>12</v>
      </c>
      <c r="AK111" s="6"/>
      <c r="AL111" s="6"/>
      <c r="AM111" s="6"/>
      <c r="AN111" s="6"/>
      <c r="AO111" s="6"/>
      <c r="AP111" s="6"/>
      <c r="AQ111" s="6"/>
      <c r="AR111" s="6"/>
      <c r="AS111" s="6"/>
      <c r="AT111" s="6"/>
    </row>
    <row r="112" spans="1:46" ht="16" x14ac:dyDescent="0.2">
      <c r="A112" s="62"/>
      <c r="B112" s="63"/>
      <c r="C112" s="17"/>
      <c r="D112" s="87"/>
      <c r="E112" s="17"/>
      <c r="F112" s="17"/>
      <c r="G112" s="93"/>
      <c r="H112" s="94"/>
      <c r="I112" s="94"/>
      <c r="J112" s="95"/>
      <c r="K112" s="95"/>
      <c r="L112" s="95"/>
      <c r="M112" s="70">
        <f>SUM(G112:K112)</f>
        <v>0</v>
      </c>
      <c r="N112" s="31">
        <v>0</v>
      </c>
      <c r="O112" s="26"/>
      <c r="P112" s="26"/>
      <c r="Q112" s="26"/>
      <c r="R112" s="26"/>
      <c r="U112" s="99"/>
      <c r="V112" s="1"/>
      <c r="W112" s="1"/>
      <c r="X112" s="1"/>
      <c r="Y112" s="1"/>
      <c r="Z112" s="1"/>
      <c r="AA112" s="1"/>
      <c r="AB112" s="1"/>
      <c r="AC112" s="1"/>
      <c r="AD112" s="125"/>
      <c r="AE112" s="125"/>
      <c r="AF112" s="1"/>
    </row>
    <row r="113" spans="1:46" ht="16" x14ac:dyDescent="0.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U113" s="209">
        <f>U106+1</f>
        <v>17</v>
      </c>
      <c r="V113" s="195"/>
      <c r="W113" s="195"/>
      <c r="X113" s="195"/>
      <c r="Y113" s="195"/>
      <c r="Z113" s="195"/>
      <c r="AA113" s="195"/>
      <c r="AB113" s="195"/>
      <c r="AC113" s="195"/>
      <c r="AD113" s="196"/>
      <c r="AE113" s="196"/>
      <c r="AF113" s="207">
        <f>U113</f>
        <v>17</v>
      </c>
      <c r="AG113" s="210" t="s">
        <v>44</v>
      </c>
      <c r="AH113" s="195"/>
      <c r="AI113" s="207" t="s">
        <v>40</v>
      </c>
      <c r="AJ113" s="211"/>
      <c r="AK113" s="195" t="s">
        <v>36</v>
      </c>
      <c r="AL113" s="195" t="s">
        <v>0</v>
      </c>
      <c r="AM113" s="195" t="s">
        <v>1</v>
      </c>
      <c r="AN113" s="195" t="s">
        <v>37</v>
      </c>
      <c r="AO113" s="208" t="s">
        <v>38</v>
      </c>
    </row>
    <row r="114" spans="1:46" ht="16" x14ac:dyDescent="0.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U114" s="99">
        <f>U113</f>
        <v>17</v>
      </c>
      <c r="V114" s="1"/>
      <c r="W114" s="1"/>
      <c r="X114" s="1">
        <v>3</v>
      </c>
      <c r="Y114" s="1"/>
      <c r="Z114" s="1"/>
      <c r="AA114" s="1"/>
      <c r="AB114" s="1"/>
      <c r="AC114" s="1"/>
      <c r="AD114" s="86">
        <v>2</v>
      </c>
      <c r="AE114" s="86"/>
      <c r="AF114" s="1">
        <f>U114</f>
        <v>17</v>
      </c>
      <c r="AH114" s="10" t="s">
        <v>47</v>
      </c>
      <c r="AI114" s="10" t="s">
        <v>39</v>
      </c>
      <c r="AJ114" s="6" t="s">
        <v>6</v>
      </c>
      <c r="AK114" s="6"/>
      <c r="AL114" s="6"/>
      <c r="AM114" s="6"/>
      <c r="AN114" s="6"/>
      <c r="AO114" s="6"/>
    </row>
    <row r="115" spans="1:46" ht="16" x14ac:dyDescent="0.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U115" s="99">
        <f>U114</f>
        <v>17</v>
      </c>
      <c r="V115" s="1"/>
      <c r="W115" s="1"/>
      <c r="X115" s="1"/>
      <c r="Y115" s="1">
        <v>4</v>
      </c>
      <c r="Z115" s="1"/>
      <c r="AA115" s="1"/>
      <c r="AB115" s="1"/>
      <c r="AC115" s="1"/>
      <c r="AD115" s="6">
        <v>2</v>
      </c>
      <c r="AE115" s="6"/>
      <c r="AF115" s="1">
        <f>U115</f>
        <v>17</v>
      </c>
      <c r="AH115" s="10"/>
      <c r="AI115" s="10"/>
      <c r="AJ115" s="6" t="s">
        <v>7</v>
      </c>
      <c r="AK115" s="6"/>
      <c r="AL115" s="6"/>
      <c r="AM115" s="6"/>
      <c r="AN115" s="6"/>
      <c r="AO115" s="6"/>
    </row>
    <row r="116" spans="1:46" ht="16" x14ac:dyDescent="0.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U116" s="99">
        <f>U115</f>
        <v>17</v>
      </c>
      <c r="V116" s="1"/>
      <c r="W116" s="1"/>
      <c r="X116" s="1"/>
      <c r="Y116" s="1"/>
      <c r="Z116" s="1">
        <v>5</v>
      </c>
      <c r="AA116" s="1"/>
      <c r="AB116" s="1"/>
      <c r="AC116" s="1"/>
      <c r="AD116" s="6">
        <v>2</v>
      </c>
      <c r="AE116" s="6"/>
      <c r="AF116" s="1">
        <f>U116</f>
        <v>17</v>
      </c>
      <c r="AH116" s="10"/>
      <c r="AI116" s="10"/>
      <c r="AJ116" s="6" t="s">
        <v>4</v>
      </c>
      <c r="AK116" s="6"/>
      <c r="AL116" s="6"/>
      <c r="AM116" s="6"/>
      <c r="AN116" s="6"/>
      <c r="AO116" s="6"/>
    </row>
    <row r="117" spans="1:46" ht="16" x14ac:dyDescent="0.2">
      <c r="A117" s="26"/>
      <c r="M117" s="26" t="s">
        <v>5</v>
      </c>
      <c r="N117" s="26"/>
      <c r="Q117" s="26"/>
      <c r="R117" s="26"/>
      <c r="U117" s="46"/>
      <c r="V117" s="1"/>
      <c r="W117" s="1"/>
      <c r="X117" s="1"/>
      <c r="Y117" s="1"/>
      <c r="Z117" s="1"/>
      <c r="AA117" s="1"/>
      <c r="AB117" s="1"/>
      <c r="AC117" s="1"/>
      <c r="AD117" s="6"/>
      <c r="AE117" s="6"/>
      <c r="AF117" s="1"/>
      <c r="AH117" s="10"/>
      <c r="AI117" s="10"/>
      <c r="AJ117" s="6" t="s">
        <v>12</v>
      </c>
      <c r="AK117" s="6"/>
      <c r="AL117" s="6"/>
      <c r="AM117" s="6"/>
      <c r="AN117" s="6"/>
      <c r="AO117" s="6"/>
    </row>
    <row r="118" spans="1:46" ht="16" x14ac:dyDescent="0.2">
      <c r="M118" s="26" t="s">
        <v>5</v>
      </c>
      <c r="N118" s="26"/>
      <c r="U118" s="46"/>
      <c r="V118" s="1"/>
      <c r="W118" s="1"/>
      <c r="X118" s="1"/>
      <c r="Y118" s="1"/>
      <c r="Z118" s="1"/>
      <c r="AA118" s="1"/>
      <c r="AB118" s="1"/>
      <c r="AC118" s="1"/>
      <c r="AD118" s="6"/>
      <c r="AE118" s="6"/>
      <c r="AF118" s="1"/>
      <c r="AH118" s="10"/>
      <c r="AI118" s="10"/>
    </row>
    <row r="119" spans="1:46" ht="16" x14ac:dyDescent="0.2">
      <c r="M119" s="26" t="s">
        <v>5</v>
      </c>
      <c r="N119" s="26"/>
      <c r="U119" s="194">
        <f>U113+1</f>
        <v>18</v>
      </c>
      <c r="V119" s="195"/>
      <c r="W119" s="195"/>
      <c r="X119" s="195"/>
      <c r="Y119" s="195"/>
      <c r="Z119" s="195"/>
      <c r="AA119" s="195"/>
      <c r="AB119" s="195"/>
      <c r="AC119" s="195"/>
      <c r="AD119" s="196"/>
      <c r="AE119" s="196"/>
      <c r="AF119" s="202">
        <f>U119</f>
        <v>18</v>
      </c>
      <c r="AG119" s="212"/>
      <c r="AH119" s="207" t="s">
        <v>45</v>
      </c>
      <c r="AI119" s="207"/>
      <c r="AJ119" s="211" t="s">
        <v>46</v>
      </c>
      <c r="AK119" t="str">
        <f>$AL$19</f>
        <v>Venlo</v>
      </c>
      <c r="AL119" t="str">
        <f>$AN$19</f>
        <v xml:space="preserve">Germersheim  </v>
      </c>
      <c r="AM119" t="str">
        <f>$AP$19</f>
        <v>Wolfsburg</v>
      </c>
      <c r="AN119" t="str">
        <f>$AR$19</f>
        <v>Saarbrucke</v>
      </c>
      <c r="AO119" t="str">
        <f>$AT$19</f>
        <v xml:space="preserve">Paris </v>
      </c>
      <c r="AP119" t="str">
        <f>$AV$19</f>
        <v xml:space="preserve">Torino  It. </v>
      </c>
      <c r="AQ119" t="str">
        <f>$AX$19</f>
        <v>Praha CZ</v>
      </c>
      <c r="AR119" t="str">
        <f>$AZ$19</f>
        <v xml:space="preserve">Genua  </v>
      </c>
      <c r="AS119" t="str">
        <f>$BB$19</f>
        <v>Bilbao It.</v>
      </c>
      <c r="AT119" t="str">
        <f>$BD$19</f>
        <v>Munich</v>
      </c>
    </row>
    <row r="120" spans="1:46" ht="16" x14ac:dyDescent="0.2">
      <c r="M120" s="26" t="s">
        <v>5</v>
      </c>
      <c r="N120" s="26"/>
      <c r="U120" s="99">
        <f>U119</f>
        <v>18</v>
      </c>
      <c r="V120" s="1"/>
      <c r="W120" s="1"/>
      <c r="X120" s="1">
        <v>3</v>
      </c>
      <c r="Y120" s="1"/>
      <c r="Z120" s="1"/>
      <c r="AA120" s="1"/>
      <c r="AB120" s="1"/>
      <c r="AC120" s="1"/>
      <c r="AD120" s="6">
        <v>2</v>
      </c>
      <c r="AE120" s="6"/>
      <c r="AF120" s="1">
        <f>U120</f>
        <v>18</v>
      </c>
      <c r="AJ120" s="6" t="s">
        <v>6</v>
      </c>
      <c r="AK120" s="6"/>
      <c r="AL120" s="6"/>
      <c r="AM120" s="6"/>
      <c r="AN120" s="6"/>
      <c r="AO120" s="6"/>
      <c r="AP120" s="6"/>
      <c r="AQ120" s="6"/>
      <c r="AR120" s="6"/>
      <c r="AS120" s="6"/>
      <c r="AT120" s="6"/>
    </row>
    <row r="121" spans="1:46" x14ac:dyDescent="0.2">
      <c r="U121" s="99">
        <f>U120</f>
        <v>18</v>
      </c>
      <c r="V121" s="1"/>
      <c r="W121" s="1"/>
      <c r="X121" s="1"/>
      <c r="Y121" s="1">
        <v>4</v>
      </c>
      <c r="Z121" s="1"/>
      <c r="AA121" s="1"/>
      <c r="AB121" s="1"/>
      <c r="AC121" s="1"/>
      <c r="AD121" s="6">
        <v>2</v>
      </c>
      <c r="AE121" s="6"/>
      <c r="AF121" s="1">
        <f>U121</f>
        <v>18</v>
      </c>
      <c r="AJ121" s="6" t="s">
        <v>7</v>
      </c>
      <c r="AK121" s="6"/>
      <c r="AL121" s="6"/>
      <c r="AM121" s="6"/>
      <c r="AN121" s="6"/>
      <c r="AO121" s="6"/>
      <c r="AP121" s="6"/>
      <c r="AQ121" s="6"/>
      <c r="AR121" s="6"/>
      <c r="AS121" s="6"/>
      <c r="AT121" s="6"/>
    </row>
    <row r="122" spans="1:46" x14ac:dyDescent="0.2">
      <c r="U122" s="99">
        <f>U121</f>
        <v>18</v>
      </c>
      <c r="V122" s="1"/>
      <c r="W122" s="1"/>
      <c r="X122" s="1"/>
      <c r="Y122" s="1"/>
      <c r="Z122" s="1">
        <v>5</v>
      </c>
      <c r="AA122" s="1"/>
      <c r="AB122" s="1"/>
      <c r="AC122" s="1"/>
      <c r="AD122" s="6">
        <v>2</v>
      </c>
      <c r="AE122" s="6"/>
      <c r="AF122" s="1">
        <f>U122</f>
        <v>18</v>
      </c>
      <c r="AJ122" s="6" t="s">
        <v>4</v>
      </c>
      <c r="AK122" s="6"/>
      <c r="AL122" s="6"/>
      <c r="AM122" s="6"/>
      <c r="AN122" s="6"/>
      <c r="AO122" s="6"/>
      <c r="AP122" s="6"/>
      <c r="AQ122" s="6"/>
      <c r="AR122" s="6"/>
      <c r="AS122" s="6"/>
      <c r="AT122" s="6"/>
    </row>
    <row r="123" spans="1:46" x14ac:dyDescent="0.2">
      <c r="U123" s="99"/>
      <c r="V123" s="1"/>
      <c r="W123" s="1"/>
      <c r="X123" s="1"/>
      <c r="Y123" s="1"/>
      <c r="Z123" s="1"/>
      <c r="AA123" s="1"/>
      <c r="AB123" s="1"/>
      <c r="AC123" s="1"/>
      <c r="AD123" s="6"/>
      <c r="AE123" s="6"/>
      <c r="AF123" s="1"/>
      <c r="AJ123" s="6" t="s">
        <v>12</v>
      </c>
      <c r="AK123" s="6"/>
      <c r="AL123" s="6"/>
      <c r="AM123" s="6"/>
      <c r="AN123" s="6"/>
      <c r="AO123" s="6"/>
      <c r="AP123" s="6"/>
      <c r="AQ123" s="6"/>
      <c r="AR123" s="6"/>
      <c r="AS123" s="6"/>
      <c r="AT123" s="6"/>
    </row>
    <row r="124" spans="1:46" x14ac:dyDescent="0.2">
      <c r="U124" s="99"/>
      <c r="V124" s="1"/>
      <c r="W124" s="1"/>
      <c r="X124" s="1"/>
      <c r="Y124" s="1"/>
      <c r="Z124" s="1"/>
      <c r="AA124" s="1"/>
      <c r="AB124" s="1"/>
      <c r="AC124" s="1"/>
      <c r="AD124" s="6"/>
      <c r="AE124" s="6"/>
      <c r="AF124" s="1"/>
    </row>
    <row r="125" spans="1:46" x14ac:dyDescent="0.2">
      <c r="U125" s="194">
        <f>U119+1</f>
        <v>19</v>
      </c>
      <c r="V125" s="195"/>
      <c r="W125" s="195"/>
      <c r="X125" s="195"/>
      <c r="Y125" s="195"/>
      <c r="Z125" s="195"/>
      <c r="AA125" s="195"/>
      <c r="AB125" s="195"/>
      <c r="AC125" s="195"/>
      <c r="AD125" s="196"/>
      <c r="AE125" s="196"/>
      <c r="AF125" s="202">
        <f>U125</f>
        <v>19</v>
      </c>
      <c r="AG125" s="212" t="s">
        <v>35</v>
      </c>
      <c r="AH125" s="195"/>
      <c r="AI125" s="195"/>
      <c r="AJ125" s="195"/>
      <c r="AK125" s="195"/>
      <c r="AL125" s="195"/>
      <c r="AM125" s="208"/>
    </row>
    <row r="126" spans="1:46" x14ac:dyDescent="0.2">
      <c r="U126" s="99"/>
      <c r="V126" s="1"/>
      <c r="W126" s="1"/>
      <c r="X126" s="1"/>
      <c r="Y126" s="1"/>
      <c r="Z126" s="1"/>
      <c r="AA126" s="1"/>
      <c r="AB126" s="1"/>
      <c r="AC126" s="1"/>
      <c r="AD126" s="6"/>
      <c r="AE126" s="6"/>
      <c r="AF126" s="1"/>
      <c r="AJ126" s="10" t="s">
        <v>178</v>
      </c>
      <c r="AK126" t="str">
        <f>$AL$19</f>
        <v>Venlo</v>
      </c>
      <c r="AL126" t="str">
        <f>$AN$19</f>
        <v xml:space="preserve">Germersheim  </v>
      </c>
      <c r="AM126" t="str">
        <f>$AP$19</f>
        <v>Wolfsburg</v>
      </c>
      <c r="AN126" t="str">
        <f>$AR$19</f>
        <v>Saarbrucke</v>
      </c>
      <c r="AO126" t="str">
        <f>$AT$19</f>
        <v xml:space="preserve">Paris </v>
      </c>
      <c r="AP126" t="str">
        <f>$AV$19</f>
        <v xml:space="preserve">Torino  It. </v>
      </c>
      <c r="AQ126" t="str">
        <f>$AX$19</f>
        <v>Praha CZ</v>
      </c>
      <c r="AR126" t="str">
        <f>$AZ$19</f>
        <v xml:space="preserve">Genua  </v>
      </c>
      <c r="AS126" t="str">
        <f>$BB$19</f>
        <v>Bilbao It.</v>
      </c>
      <c r="AT126" t="str">
        <f>$BD$19</f>
        <v>Munich</v>
      </c>
    </row>
    <row r="127" spans="1:46" x14ac:dyDescent="0.2">
      <c r="U127" s="99">
        <f>U125</f>
        <v>19</v>
      </c>
      <c r="V127" s="1"/>
      <c r="W127" s="1"/>
      <c r="X127" s="1">
        <v>3</v>
      </c>
      <c r="Y127" s="1"/>
      <c r="Z127" s="1"/>
      <c r="AA127" s="1"/>
      <c r="AB127" s="1"/>
      <c r="AC127" s="1"/>
      <c r="AD127" s="6">
        <v>2</v>
      </c>
      <c r="AE127" s="6"/>
      <c r="AF127" s="1"/>
      <c r="AJ127" s="6" t="s">
        <v>6</v>
      </c>
      <c r="AK127" s="282">
        <f>'TRUCK COST help sheet'!C7/AK62</f>
        <v>46.82402402402402</v>
      </c>
      <c r="AL127" s="282">
        <f>'TRUCK COST help sheet'!D7/AL62</f>
        <v>53.978978978978979</v>
      </c>
      <c r="AM127" s="282">
        <f>'TRUCK COST help sheet'!E7/AM62</f>
        <v>54.052219321148826</v>
      </c>
      <c r="AN127" s="282">
        <f>'TRUCK COST help sheet'!F7/AN62</f>
        <v>42.832236842105253</v>
      </c>
      <c r="AO127" s="282">
        <f>'TRUCK COST help sheet'!G7/AO62</f>
        <v>50.660508083140876</v>
      </c>
      <c r="AP127" s="282">
        <f>'TRUCK COST help sheet'!H7/AP62</f>
        <v>40.444352159468437</v>
      </c>
      <c r="AQ127" s="282">
        <f>'TRUCK COST help sheet'!I7/AQ62</f>
        <v>62.439519852262237</v>
      </c>
      <c r="AR127" s="282">
        <f>'TRUCK COST help sheet'!J7/AR62</f>
        <v>73.045063291139243</v>
      </c>
      <c r="AS127" s="282">
        <f>'TRUCK COST help sheet'!K7/AS62</f>
        <v>39.98178217821782</v>
      </c>
      <c r="AT127" s="282">
        <f>'TRUCK COST help sheet'!L7/AT62</f>
        <v>57.905999999999992</v>
      </c>
    </row>
    <row r="128" spans="1:46" x14ac:dyDescent="0.2">
      <c r="U128" s="99">
        <f>U127</f>
        <v>19</v>
      </c>
      <c r="V128" s="1"/>
      <c r="W128" s="1"/>
      <c r="X128" s="1"/>
      <c r="Y128" s="1">
        <v>4</v>
      </c>
      <c r="Z128" s="1"/>
      <c r="AA128" s="1"/>
      <c r="AB128" s="1"/>
      <c r="AC128" s="1"/>
      <c r="AD128" s="6">
        <v>2</v>
      </c>
      <c r="AE128" s="6"/>
      <c r="AF128" s="1"/>
      <c r="AJ128" s="6" t="s">
        <v>7</v>
      </c>
      <c r="AK128" s="6"/>
      <c r="AL128" s="6"/>
      <c r="AM128" s="6"/>
      <c r="AN128" s="6"/>
      <c r="AO128" s="6"/>
      <c r="AP128" s="6"/>
      <c r="AQ128" s="6"/>
      <c r="AR128" s="6"/>
      <c r="AS128" s="6"/>
      <c r="AT128" s="6"/>
    </row>
    <row r="129" spans="21:48" x14ac:dyDescent="0.2">
      <c r="U129" s="99">
        <f>U128</f>
        <v>19</v>
      </c>
      <c r="V129" s="1"/>
      <c r="W129" s="1"/>
      <c r="X129" s="1"/>
      <c r="Y129" s="1"/>
      <c r="Z129" s="1">
        <v>5</v>
      </c>
      <c r="AA129" s="1"/>
      <c r="AB129" s="1"/>
      <c r="AC129" s="1"/>
      <c r="AD129" s="6">
        <v>2</v>
      </c>
      <c r="AE129" s="6"/>
      <c r="AF129" s="1"/>
      <c r="AJ129" s="6" t="s">
        <v>4</v>
      </c>
      <c r="AK129" s="6"/>
      <c r="AL129" s="6"/>
      <c r="AM129" s="6"/>
      <c r="AN129" s="6"/>
      <c r="AO129" s="6"/>
      <c r="AP129" s="6"/>
      <c r="AQ129" s="6"/>
      <c r="AR129" s="6"/>
      <c r="AS129" s="6"/>
      <c r="AT129" s="6"/>
    </row>
    <row r="130" spans="21:48" x14ac:dyDescent="0.2">
      <c r="U130" s="99"/>
      <c r="V130" s="1"/>
      <c r="W130" s="1"/>
      <c r="X130" s="1"/>
      <c r="Y130" s="1"/>
      <c r="Z130" s="1"/>
      <c r="AA130" s="1"/>
      <c r="AB130" s="1"/>
      <c r="AC130" s="1"/>
      <c r="AD130" s="6"/>
      <c r="AE130" s="6"/>
      <c r="AF130" s="1"/>
      <c r="AJ130" s="6" t="s">
        <v>12</v>
      </c>
      <c r="AK130" s="6"/>
      <c r="AL130" s="6"/>
      <c r="AM130" s="6"/>
      <c r="AN130" s="6"/>
      <c r="AO130" s="6"/>
      <c r="AP130" s="6"/>
      <c r="AQ130" s="6"/>
      <c r="AR130" s="6"/>
      <c r="AS130" s="6"/>
      <c r="AT130" s="6"/>
    </row>
    <row r="131" spans="21:48" x14ac:dyDescent="0.2">
      <c r="U131" s="99"/>
      <c r="V131" s="1"/>
      <c r="W131" s="1"/>
      <c r="X131" s="1"/>
      <c r="Y131" s="1"/>
      <c r="Z131" s="1"/>
      <c r="AA131" s="1"/>
      <c r="AB131" s="1"/>
      <c r="AC131" s="1"/>
      <c r="AD131" s="6"/>
      <c r="AE131" s="6"/>
      <c r="AF131" s="1"/>
    </row>
    <row r="132" spans="21:48" x14ac:dyDescent="0.2">
      <c r="U132" s="194">
        <f>U125+1</f>
        <v>20</v>
      </c>
      <c r="V132" s="195"/>
      <c r="W132" s="195"/>
      <c r="X132" s="195"/>
      <c r="Y132" s="195"/>
      <c r="Z132" s="195"/>
      <c r="AA132" s="195"/>
      <c r="AB132" s="195"/>
      <c r="AC132" s="195"/>
      <c r="AD132" s="196"/>
      <c r="AE132" s="196"/>
      <c r="AF132" s="207">
        <f>U132</f>
        <v>20</v>
      </c>
      <c r="AG132" s="195" t="s">
        <v>53</v>
      </c>
      <c r="AH132" s="195"/>
      <c r="AI132" s="195"/>
      <c r="AJ132" s="195"/>
      <c r="AK132" s="195"/>
      <c r="AL132" s="195"/>
      <c r="AM132" s="208"/>
    </row>
    <row r="133" spans="21:48" x14ac:dyDescent="0.2">
      <c r="U133" s="46"/>
      <c r="V133" s="1"/>
      <c r="W133" s="1"/>
      <c r="X133" s="1"/>
      <c r="Y133" s="1"/>
      <c r="Z133" s="1"/>
      <c r="AA133" s="1"/>
      <c r="AB133" s="1"/>
      <c r="AC133" s="1"/>
      <c r="AD133" s="6"/>
      <c r="AE133" s="6"/>
      <c r="AF133" s="1"/>
      <c r="AJ133" s="10" t="s">
        <v>177</v>
      </c>
      <c r="AK133" t="str">
        <f>$AL$19</f>
        <v>Venlo</v>
      </c>
      <c r="AL133" t="str">
        <f>$AN$19</f>
        <v xml:space="preserve">Germersheim  </v>
      </c>
      <c r="AM133" t="str">
        <f>$AP$19</f>
        <v>Wolfsburg</v>
      </c>
      <c r="AN133" t="str">
        <f>$AR$19</f>
        <v>Saarbrucke</v>
      </c>
      <c r="AO133" t="str">
        <f>$AT$19</f>
        <v xml:space="preserve">Paris </v>
      </c>
      <c r="AP133" t="str">
        <f>$AV$19</f>
        <v xml:space="preserve">Torino  It. </v>
      </c>
      <c r="AQ133" t="str">
        <f>$AX$19</f>
        <v>Praha CZ</v>
      </c>
      <c r="AR133" t="str">
        <f>$AZ$19</f>
        <v xml:space="preserve">Genua  </v>
      </c>
      <c r="AS133" t="str">
        <f>$BB$19</f>
        <v>Bilbao It.</v>
      </c>
      <c r="AT133" t="str">
        <f>$BD$19</f>
        <v>Munich</v>
      </c>
    </row>
    <row r="134" spans="21:48" x14ac:dyDescent="0.2">
      <c r="U134" s="99">
        <f>U132</f>
        <v>20</v>
      </c>
      <c r="V134" s="1"/>
      <c r="W134" s="1"/>
      <c r="X134" s="1">
        <v>3</v>
      </c>
      <c r="Y134" s="1"/>
      <c r="Z134" s="1"/>
      <c r="AA134" s="1"/>
      <c r="AB134" s="1"/>
      <c r="AC134" s="1"/>
      <c r="AD134" s="6">
        <v>2</v>
      </c>
      <c r="AE134" s="6"/>
      <c r="AF134" s="1"/>
      <c r="AJ134" t="s">
        <v>6</v>
      </c>
      <c r="AK134" s="282">
        <f>'TRUCK COST help sheet'!C7/SUM('final product division'!H11:H14)</f>
        <v>3.3604310344827582E-2</v>
      </c>
      <c r="AL134" s="282">
        <f>'TRUCK COST help sheet'!D7/SUM('final product division'!H31:H34)</f>
        <v>7.8837719298245609E-2</v>
      </c>
      <c r="AM134" s="282">
        <f>'TRUCK COST help sheet'!E7/SUM('final product division'!H15:H18)</f>
        <v>4.5399122807017543E-2</v>
      </c>
      <c r="AN134" s="282">
        <f>'TRUCK COST help sheet'!F7/SUM('final product division'!H59:H62)</f>
        <v>2.3674545454545452E-2</v>
      </c>
      <c r="AO134" s="282">
        <f>'TRUCK COST help sheet'!G7/SUM('final product division'!H39:H42)</f>
        <v>4.7275862068965516E-2</v>
      </c>
      <c r="AP134" s="282">
        <f>'TRUCK COST help sheet'!H7/SUM('final product division'!H35:H38)</f>
        <v>0.43477678571428569</v>
      </c>
      <c r="AQ134" s="282">
        <f>'TRUCK COST help sheet'!I7/SUM('final product division'!H63:H66)</f>
        <v>6.1474545454545455E-2</v>
      </c>
      <c r="AR134" s="282">
        <f>'TRUCK COST help sheet'!J7/SUM('final product division'!H43:H46)</f>
        <v>0.32491891891891894</v>
      </c>
      <c r="AS134" s="282">
        <f>'TRUCK COST help sheet'!K7/SUM('final product division'!H67:H70)</f>
        <v>0.11069517543859649</v>
      </c>
      <c r="AT134" s="282">
        <f>'TRUCK COST help sheet'!L7/SUM('final product division'!H47:H50)</f>
        <v>0.24746153846153843</v>
      </c>
    </row>
    <row r="135" spans="21:48" x14ac:dyDescent="0.2">
      <c r="U135" s="99">
        <f>U134</f>
        <v>20</v>
      </c>
      <c r="V135" s="1"/>
      <c r="W135" s="1"/>
      <c r="X135" s="1"/>
      <c r="Y135" s="1">
        <v>4</v>
      </c>
      <c r="Z135" s="1"/>
      <c r="AA135" s="1"/>
      <c r="AB135" s="1"/>
      <c r="AC135" s="1"/>
      <c r="AD135" s="6">
        <v>2</v>
      </c>
      <c r="AE135" s="6"/>
      <c r="AF135" s="1"/>
      <c r="AJ135" t="s">
        <v>7</v>
      </c>
      <c r="AK135" s="6"/>
      <c r="AL135" s="6"/>
      <c r="AM135" s="6"/>
      <c r="AN135" s="6"/>
      <c r="AO135" s="6"/>
      <c r="AP135" s="6"/>
      <c r="AQ135" s="6"/>
      <c r="AR135" s="6"/>
      <c r="AS135" s="6"/>
      <c r="AT135" s="6"/>
    </row>
    <row r="136" spans="21:48" x14ac:dyDescent="0.2">
      <c r="U136" s="99">
        <f>U135</f>
        <v>20</v>
      </c>
      <c r="V136" s="1"/>
      <c r="W136" s="1"/>
      <c r="X136" s="1"/>
      <c r="Y136" s="1"/>
      <c r="Z136" s="1">
        <v>5</v>
      </c>
      <c r="AA136" s="1"/>
      <c r="AB136" s="1"/>
      <c r="AC136" s="1"/>
      <c r="AD136" s="6">
        <v>2</v>
      </c>
      <c r="AE136" s="6"/>
      <c r="AF136" s="1"/>
      <c r="AJ136" t="s">
        <v>4</v>
      </c>
      <c r="AK136" s="6"/>
      <c r="AL136" s="6"/>
      <c r="AM136" s="6"/>
      <c r="AN136" s="6"/>
      <c r="AO136" s="6"/>
      <c r="AP136" s="6"/>
      <c r="AQ136" s="6"/>
      <c r="AR136" s="6"/>
      <c r="AS136" s="6"/>
      <c r="AT136" s="6"/>
    </row>
    <row r="137" spans="21:48" x14ac:dyDescent="0.2">
      <c r="U137" s="46"/>
      <c r="V137" s="1"/>
      <c r="W137" s="1"/>
      <c r="X137" s="1"/>
      <c r="Y137" s="1"/>
      <c r="Z137" s="1"/>
      <c r="AA137" s="1"/>
      <c r="AB137" s="1"/>
      <c r="AC137" s="1"/>
      <c r="AD137" s="6"/>
      <c r="AE137" s="6"/>
      <c r="AF137" s="1"/>
      <c r="AJ137" t="s">
        <v>12</v>
      </c>
      <c r="AK137" s="6"/>
      <c r="AL137" s="6"/>
      <c r="AM137" s="6"/>
      <c r="AN137" s="6"/>
      <c r="AO137" s="6"/>
      <c r="AP137" s="6"/>
      <c r="AQ137" s="6"/>
      <c r="AR137" s="6"/>
      <c r="AS137" s="6"/>
      <c r="AT137" s="6"/>
    </row>
    <row r="138" spans="21:48" x14ac:dyDescent="0.2">
      <c r="U138" s="46"/>
      <c r="V138" s="1"/>
      <c r="W138" s="1"/>
      <c r="X138" s="1"/>
      <c r="Y138" s="1"/>
      <c r="Z138" s="1"/>
      <c r="AA138" s="1"/>
      <c r="AB138" s="1"/>
      <c r="AC138" s="1"/>
      <c r="AD138" s="6"/>
      <c r="AE138" s="6"/>
      <c r="AF138" s="1"/>
    </row>
    <row r="139" spans="21:48" x14ac:dyDescent="0.2">
      <c r="U139" s="194">
        <f>U132+1</f>
        <v>21</v>
      </c>
      <c r="V139" s="195"/>
      <c r="W139" s="195"/>
      <c r="X139" s="195"/>
      <c r="Y139" s="195"/>
      <c r="Z139" s="195"/>
      <c r="AA139" s="195"/>
      <c r="AB139" s="195"/>
      <c r="AC139" s="195"/>
      <c r="AD139" s="196"/>
      <c r="AE139" s="196"/>
      <c r="AF139" s="207">
        <f>U139</f>
        <v>21</v>
      </c>
      <c r="AG139" s="195" t="s">
        <v>52</v>
      </c>
      <c r="AH139" s="195"/>
      <c r="AI139" s="195"/>
      <c r="AJ139" s="195"/>
      <c r="AK139" s="208"/>
    </row>
    <row r="140" spans="21:48" x14ac:dyDescent="0.2">
      <c r="U140" s="99"/>
      <c r="V140" s="1"/>
      <c r="W140" s="1"/>
      <c r="X140" s="1"/>
      <c r="Y140" s="1"/>
      <c r="Z140" s="1"/>
      <c r="AA140" s="1"/>
      <c r="AB140" s="1"/>
      <c r="AC140" s="1"/>
      <c r="AD140" s="6"/>
      <c r="AE140" s="6"/>
      <c r="AF140" s="1"/>
      <c r="AJ140" s="10" t="s">
        <v>176</v>
      </c>
      <c r="AK140" t="str">
        <f>$AL$19</f>
        <v>Venlo</v>
      </c>
      <c r="AL140" t="str">
        <f>$AN$19</f>
        <v xml:space="preserve">Germersheim  </v>
      </c>
      <c r="AM140" t="str">
        <f>$AP$19</f>
        <v>Wolfsburg</v>
      </c>
      <c r="AN140" t="str">
        <f>$AR$19</f>
        <v>Saarbrucke</v>
      </c>
      <c r="AO140" t="str">
        <f>$AT$19</f>
        <v xml:space="preserve">Paris </v>
      </c>
      <c r="AP140" t="str">
        <f>$AV$19</f>
        <v xml:space="preserve">Torino  It. </v>
      </c>
      <c r="AQ140" t="str">
        <f>$AX$19</f>
        <v>Praha CZ</v>
      </c>
      <c r="AR140" t="str">
        <f>$AZ$19</f>
        <v xml:space="preserve">Genua  </v>
      </c>
      <c r="AS140" t="str">
        <f>$BB$19</f>
        <v>Bilbao It.</v>
      </c>
      <c r="AT140" t="str">
        <f>$BD$19</f>
        <v>Munich</v>
      </c>
    </row>
    <row r="141" spans="21:48" x14ac:dyDescent="0.2">
      <c r="U141" s="99">
        <f>U139</f>
        <v>21</v>
      </c>
      <c r="V141" s="1"/>
      <c r="W141" s="1"/>
      <c r="X141" s="1">
        <v>3</v>
      </c>
      <c r="Y141" s="1"/>
      <c r="Z141" s="1"/>
      <c r="AA141" s="1"/>
      <c r="AB141" s="1"/>
      <c r="AC141" s="1"/>
      <c r="AD141" s="6">
        <v>2</v>
      </c>
      <c r="AE141" s="6"/>
      <c r="AF141" s="1"/>
      <c r="AJ141" t="s">
        <v>6</v>
      </c>
      <c r="AK141" s="293">
        <f>'TRUCK COST help sheet'!C7/'Current base situation'!AK30</f>
        <v>0.8037319587628865</v>
      </c>
      <c r="AL141" s="293">
        <f>'TRUCK COST help sheet'!D7/'Current base situation'!AL30</f>
        <v>0.71188118811881185</v>
      </c>
      <c r="AM141" s="293">
        <f>'TRUCK COST help sheet'!E7/'Current base situation'!AM30</f>
        <v>0.72384615384615392</v>
      </c>
      <c r="AN141" s="293">
        <f>'TRUCK COST help sheet'!F7/'Current base situation'!AN30</f>
        <v>0.69260638297872335</v>
      </c>
      <c r="AO141" s="293">
        <f>'TRUCK COST help sheet'!G7/'Current base situation'!AO30</f>
        <v>0.66878048780487798</v>
      </c>
      <c r="AP141" s="293">
        <f>'TRUCK COST help sheet'!H7/'Current base situation'!AP30</f>
        <v>0.91446009389671357</v>
      </c>
      <c r="AQ141" s="293">
        <f>'TRUCK COST help sheet'!I7/'Current base situation'!AQ30</f>
        <v>0.70002070393374749</v>
      </c>
      <c r="AR141" s="293">
        <f>'TRUCK COST help sheet'!J7/'Current base situation'!AR30</f>
        <v>1.3333086876155269</v>
      </c>
      <c r="AS141" s="293">
        <f>'TRUCK COST help sheet'!K7/'Current base situation'!AS30</f>
        <v>0.7844133644133644</v>
      </c>
      <c r="AT141" s="293">
        <f>'TRUCK COST help sheet'!L7/'Current base situation'!AT30</f>
        <v>0.73021437578814619</v>
      </c>
    </row>
    <row r="142" spans="21:48" x14ac:dyDescent="0.2">
      <c r="U142" s="99">
        <f>U141</f>
        <v>21</v>
      </c>
      <c r="V142" s="1"/>
      <c r="W142" s="1"/>
      <c r="X142" s="1"/>
      <c r="Y142" s="1">
        <v>4</v>
      </c>
      <c r="Z142" s="1"/>
      <c r="AA142" s="1"/>
      <c r="AB142" s="1"/>
      <c r="AC142" s="1"/>
      <c r="AD142" s="6">
        <v>2</v>
      </c>
      <c r="AE142" s="6"/>
      <c r="AF142" s="1"/>
      <c r="AJ142" t="s">
        <v>7</v>
      </c>
      <c r="AK142" s="6"/>
      <c r="AL142" s="6"/>
      <c r="AM142" s="6"/>
      <c r="AN142" s="6"/>
      <c r="AO142" s="6"/>
      <c r="AP142" s="6"/>
      <c r="AQ142" s="6"/>
      <c r="AR142" s="6"/>
      <c r="AS142" s="6"/>
      <c r="AT142" s="6"/>
    </row>
    <row r="143" spans="21:48" x14ac:dyDescent="0.2">
      <c r="U143" s="99">
        <f>U142</f>
        <v>21</v>
      </c>
      <c r="V143" s="1"/>
      <c r="W143" s="1"/>
      <c r="X143" s="1"/>
      <c r="Y143" s="1"/>
      <c r="Z143" s="1">
        <v>5</v>
      </c>
      <c r="AA143" s="1"/>
      <c r="AB143" s="1"/>
      <c r="AC143" s="1"/>
      <c r="AD143" s="6">
        <v>2</v>
      </c>
      <c r="AE143" s="6"/>
      <c r="AF143" s="1"/>
      <c r="AJ143" t="s">
        <v>4</v>
      </c>
      <c r="AK143" s="6"/>
      <c r="AL143" s="6"/>
      <c r="AM143" s="6"/>
      <c r="AN143" s="6"/>
      <c r="AO143" s="6"/>
      <c r="AP143" s="6"/>
      <c r="AQ143" s="6"/>
      <c r="AR143" s="6"/>
      <c r="AS143" s="6"/>
      <c r="AT143" s="6"/>
    </row>
    <row r="144" spans="21:48" x14ac:dyDescent="0.2">
      <c r="U144" s="99"/>
      <c r="V144" s="1"/>
      <c r="W144" s="1"/>
      <c r="X144" s="1"/>
      <c r="Y144" s="1"/>
      <c r="Z144" s="1"/>
      <c r="AA144" s="1"/>
      <c r="AB144" s="1"/>
      <c r="AC144" s="1"/>
      <c r="AD144" s="6"/>
      <c r="AE144" s="6"/>
      <c r="AF144" s="1"/>
      <c r="AJ144" t="s">
        <v>12</v>
      </c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V144" s="6"/>
    </row>
    <row r="145" spans="21:48" x14ac:dyDescent="0.2">
      <c r="U145" s="99"/>
      <c r="V145" s="1"/>
      <c r="W145" s="1"/>
      <c r="X145" s="1"/>
      <c r="Y145" s="1"/>
      <c r="Z145" s="1"/>
      <c r="AA145" s="1"/>
      <c r="AB145" s="1"/>
      <c r="AC145" s="1"/>
      <c r="AD145" s="125"/>
      <c r="AE145" s="125"/>
      <c r="AF145" s="1"/>
      <c r="AV145" s="6"/>
    </row>
    <row r="146" spans="21:48" x14ac:dyDescent="0.2">
      <c r="U146" s="209">
        <f>U139+1</f>
        <v>22</v>
      </c>
      <c r="V146" s="195"/>
      <c r="W146" s="195"/>
      <c r="X146" s="195"/>
      <c r="Y146" s="195"/>
      <c r="Z146" s="195"/>
      <c r="AA146" s="195"/>
      <c r="AB146" s="195"/>
      <c r="AC146" s="195"/>
      <c r="AD146" s="196"/>
      <c r="AE146" s="196"/>
      <c r="AF146" s="207">
        <f>U146</f>
        <v>22</v>
      </c>
      <c r="AG146" s="195" t="s">
        <v>15</v>
      </c>
      <c r="AH146" s="195"/>
      <c r="AI146" s="195"/>
      <c r="AJ146" s="195"/>
      <c r="AK146" s="208"/>
      <c r="AV146" s="6"/>
    </row>
    <row r="147" spans="21:48" x14ac:dyDescent="0.2">
      <c r="U147" s="99"/>
      <c r="V147" s="1"/>
      <c r="W147" s="1"/>
      <c r="X147" s="1"/>
      <c r="Y147" s="1"/>
      <c r="Z147" s="1"/>
      <c r="AA147" s="1"/>
      <c r="AB147" s="1"/>
      <c r="AC147" s="1"/>
      <c r="AD147" s="86"/>
      <c r="AE147" s="86"/>
      <c r="AF147" s="1"/>
      <c r="AJ147" s="10" t="s">
        <v>175</v>
      </c>
      <c r="AK147" t="str">
        <f>$AL$19</f>
        <v>Venlo</v>
      </c>
      <c r="AL147" t="str">
        <f>$AN$19</f>
        <v xml:space="preserve">Germersheim  </v>
      </c>
      <c r="AM147" t="str">
        <f>$AP$19</f>
        <v>Wolfsburg</v>
      </c>
      <c r="AN147" t="str">
        <f>$AR$19</f>
        <v>Saarbrucke</v>
      </c>
      <c r="AO147" t="str">
        <f>$AT$19</f>
        <v xml:space="preserve">Paris </v>
      </c>
      <c r="AP147" t="str">
        <f>$AV$19</f>
        <v xml:space="preserve">Torino  It. </v>
      </c>
      <c r="AQ147" t="str">
        <f>$AX$19</f>
        <v>Praha CZ</v>
      </c>
      <c r="AR147" t="str">
        <f>$AZ$19</f>
        <v xml:space="preserve">Genua  </v>
      </c>
      <c r="AS147" t="str">
        <f>$BB$19</f>
        <v>Bilbao It.</v>
      </c>
      <c r="AT147" t="str">
        <f>$BD$19</f>
        <v>Munich</v>
      </c>
      <c r="AU147" t="s">
        <v>50</v>
      </c>
      <c r="AV147" s="6"/>
    </row>
    <row r="148" spans="21:48" x14ac:dyDescent="0.2">
      <c r="U148" s="99">
        <f>U146</f>
        <v>22</v>
      </c>
      <c r="V148" s="1"/>
      <c r="W148" s="1"/>
      <c r="X148" s="1">
        <v>3</v>
      </c>
      <c r="Y148" s="1"/>
      <c r="Z148" s="1"/>
      <c r="AA148" s="1"/>
      <c r="AB148" s="1"/>
      <c r="AC148" s="1"/>
      <c r="AD148" s="6">
        <v>2</v>
      </c>
      <c r="AE148" s="6"/>
      <c r="AF148" s="1"/>
      <c r="AJ148" t="s">
        <v>6</v>
      </c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</row>
    <row r="149" spans="21:48" x14ac:dyDescent="0.2">
      <c r="U149" s="99">
        <f>U148</f>
        <v>22</v>
      </c>
      <c r="V149" s="1"/>
      <c r="W149" s="1"/>
      <c r="X149" s="1"/>
      <c r="Y149" s="1">
        <v>4</v>
      </c>
      <c r="Z149" s="1"/>
      <c r="AA149" s="1"/>
      <c r="AB149" s="1"/>
      <c r="AC149" s="1"/>
      <c r="AD149" s="6">
        <v>2</v>
      </c>
      <c r="AE149" s="6"/>
      <c r="AF149" s="1"/>
      <c r="AJ149" t="s">
        <v>7</v>
      </c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</row>
    <row r="150" spans="21:48" ht="15" thickBot="1" x14ac:dyDescent="0.25">
      <c r="U150" s="99">
        <f>U149</f>
        <v>22</v>
      </c>
      <c r="V150" s="1"/>
      <c r="W150" s="1"/>
      <c r="X150" s="1"/>
      <c r="Y150" s="1"/>
      <c r="Z150" s="1">
        <v>5</v>
      </c>
      <c r="AA150" s="1"/>
      <c r="AB150" s="1"/>
      <c r="AC150" s="1"/>
      <c r="AD150" s="6">
        <v>2</v>
      </c>
      <c r="AE150" s="6"/>
      <c r="AF150" s="1"/>
      <c r="AJ150" t="s">
        <v>4</v>
      </c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</row>
    <row r="151" spans="21:48" x14ac:dyDescent="0.2">
      <c r="U151" s="99"/>
      <c r="V151" s="1"/>
      <c r="W151" s="1"/>
      <c r="X151" s="1"/>
      <c r="Y151" s="1"/>
      <c r="Z151" s="1"/>
      <c r="AA151" s="1"/>
      <c r="AB151" s="1"/>
      <c r="AC151" s="1"/>
      <c r="AD151" s="6"/>
      <c r="AE151" s="6"/>
      <c r="AF151" s="1"/>
      <c r="AJ151" t="s">
        <v>12</v>
      </c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221"/>
    </row>
    <row r="152" spans="21:48" x14ac:dyDescent="0.2">
      <c r="U152" s="99"/>
      <c r="V152" s="1"/>
      <c r="W152" s="1"/>
      <c r="X152" s="1"/>
      <c r="Y152" s="1"/>
      <c r="Z152" s="1"/>
      <c r="AA152" s="1"/>
      <c r="AB152" s="1"/>
      <c r="AC152" s="1"/>
      <c r="AD152" s="125"/>
      <c r="AE152" s="125"/>
      <c r="AF152" s="1"/>
      <c r="AV152" s="107"/>
    </row>
    <row r="153" spans="21:48" x14ac:dyDescent="0.2">
      <c r="U153" s="209">
        <f>U146+1</f>
        <v>23</v>
      </c>
      <c r="V153" s="195"/>
      <c r="W153" s="195"/>
      <c r="X153" s="195"/>
      <c r="Y153" s="195"/>
      <c r="Z153" s="195"/>
      <c r="AA153" s="195"/>
      <c r="AB153" s="195"/>
      <c r="AC153" s="195"/>
      <c r="AD153" s="196"/>
      <c r="AE153" s="196"/>
      <c r="AF153" s="207">
        <f>U153</f>
        <v>23</v>
      </c>
      <c r="AG153" s="195" t="s">
        <v>41</v>
      </c>
      <c r="AH153" s="195"/>
      <c r="AI153" s="195"/>
      <c r="AJ153" s="195"/>
      <c r="AK153" s="195"/>
      <c r="AL153" s="195"/>
      <c r="AM153" s="208"/>
      <c r="AV153" s="107"/>
    </row>
    <row r="154" spans="21:48" ht="15" thickBot="1" x14ac:dyDescent="0.25">
      <c r="U154" s="99"/>
      <c r="V154" s="1"/>
      <c r="W154" s="1"/>
      <c r="X154" s="1"/>
      <c r="Y154" s="1"/>
      <c r="Z154" s="1"/>
      <c r="AA154" s="1"/>
      <c r="AB154" s="1"/>
      <c r="AC154" s="1"/>
      <c r="AD154" s="86"/>
      <c r="AE154" s="86"/>
      <c r="AF154" s="1"/>
      <c r="AK154" t="str">
        <f>$AL$19</f>
        <v>Venlo</v>
      </c>
      <c r="AL154" t="str">
        <f>$AN$19</f>
        <v xml:space="preserve">Germersheim  </v>
      </c>
      <c r="AM154" t="str">
        <f>$AP$19</f>
        <v>Wolfsburg</v>
      </c>
      <c r="AN154" t="str">
        <f>$AR$19</f>
        <v>Saarbrucke</v>
      </c>
      <c r="AO154" t="str">
        <f>$AT$19</f>
        <v xml:space="preserve">Paris </v>
      </c>
      <c r="AP154" t="str">
        <f>$AV$19</f>
        <v xml:space="preserve">Torino  It. </v>
      </c>
      <c r="AQ154" t="str">
        <f>$AX$19</f>
        <v>Praha CZ</v>
      </c>
      <c r="AR154" t="str">
        <f>$AZ$19</f>
        <v xml:space="preserve">Genua  </v>
      </c>
      <c r="AS154" t="str">
        <f>$BB$19</f>
        <v>Bilbao It.</v>
      </c>
      <c r="AT154" t="str">
        <f>$BD$19</f>
        <v>Munich</v>
      </c>
      <c r="AU154" t="s">
        <v>50</v>
      </c>
      <c r="AV154" s="225"/>
    </row>
    <row r="155" spans="21:48" x14ac:dyDescent="0.2">
      <c r="U155" s="99">
        <f>U153</f>
        <v>23</v>
      </c>
      <c r="V155" s="1"/>
      <c r="W155" s="1"/>
      <c r="X155" s="1">
        <v>3</v>
      </c>
      <c r="Y155" s="1"/>
      <c r="Z155" s="1"/>
      <c r="AA155" s="1"/>
      <c r="AB155" s="1"/>
      <c r="AC155" s="1"/>
      <c r="AD155" s="6">
        <v>2</v>
      </c>
      <c r="AE155" s="6"/>
      <c r="AF155" s="1"/>
      <c r="AJ155" t="s">
        <v>6</v>
      </c>
      <c r="AK155" s="219"/>
      <c r="AL155" s="220"/>
      <c r="AM155" s="220"/>
      <c r="AN155" s="220"/>
      <c r="AO155" s="220"/>
      <c r="AP155" s="220"/>
      <c r="AQ155" s="220"/>
      <c r="AR155" s="220"/>
      <c r="AS155" s="220"/>
      <c r="AT155" s="220"/>
      <c r="AU155" s="220"/>
      <c r="AV155" s="86"/>
    </row>
    <row r="156" spans="21:48" x14ac:dyDescent="0.2">
      <c r="U156" s="99">
        <f>U155</f>
        <v>23</v>
      </c>
      <c r="V156" s="1"/>
      <c r="W156" s="1"/>
      <c r="X156" s="1"/>
      <c r="Y156" s="1">
        <v>4</v>
      </c>
      <c r="Z156" s="1"/>
      <c r="AA156" s="1"/>
      <c r="AB156" s="1"/>
      <c r="AC156" s="1"/>
      <c r="AD156" s="6">
        <v>2</v>
      </c>
      <c r="AE156" s="6"/>
      <c r="AF156" s="1"/>
      <c r="AJ156" t="s">
        <v>7</v>
      </c>
      <c r="AK156" s="222"/>
      <c r="AL156" s="6"/>
      <c r="AM156" s="6"/>
      <c r="AN156" s="6"/>
      <c r="AO156" s="6"/>
      <c r="AP156" s="6"/>
      <c r="AQ156" s="6"/>
      <c r="AR156" s="6"/>
      <c r="AS156" s="6"/>
      <c r="AT156" s="6"/>
      <c r="AU156" s="6"/>
    </row>
    <row r="157" spans="21:48" x14ac:dyDescent="0.2">
      <c r="U157" s="99">
        <f>U156</f>
        <v>23</v>
      </c>
      <c r="V157" s="1"/>
      <c r="W157" s="1"/>
      <c r="X157" s="1"/>
      <c r="Y157" s="1"/>
      <c r="Z157" s="1">
        <v>5</v>
      </c>
      <c r="AA157" s="1"/>
      <c r="AB157" s="1"/>
      <c r="AC157" s="1"/>
      <c r="AD157" s="6">
        <v>2</v>
      </c>
      <c r="AE157" s="6"/>
      <c r="AF157" s="1"/>
      <c r="AJ157" t="s">
        <v>4</v>
      </c>
      <c r="AK157" s="222"/>
      <c r="AL157" s="6"/>
      <c r="AM157" s="6"/>
      <c r="AN157" s="6"/>
      <c r="AO157" s="6"/>
      <c r="AP157" s="6"/>
      <c r="AQ157" s="6"/>
      <c r="AR157" s="6"/>
      <c r="AS157" s="6"/>
      <c r="AT157" s="6"/>
      <c r="AU157" s="6"/>
    </row>
    <row r="158" spans="21:48" ht="15" thickBot="1" x14ac:dyDescent="0.25">
      <c r="U158" s="100"/>
      <c r="V158" s="4"/>
      <c r="W158" s="4"/>
      <c r="X158" s="4"/>
      <c r="Y158" s="4"/>
      <c r="Z158" s="4"/>
      <c r="AA158" s="4"/>
      <c r="AB158" s="4"/>
      <c r="AC158" s="4"/>
      <c r="AD158" s="6">
        <v>1</v>
      </c>
      <c r="AE158" s="6"/>
      <c r="AF158" s="1"/>
      <c r="AJ158" t="s">
        <v>12</v>
      </c>
      <c r="AK158" s="223"/>
      <c r="AL158" s="224"/>
      <c r="AM158" s="224"/>
      <c r="AN158" s="224"/>
      <c r="AO158" s="224"/>
      <c r="AP158" s="224"/>
      <c r="AQ158" s="224"/>
      <c r="AR158" s="224"/>
      <c r="AS158" s="224"/>
      <c r="AT158" s="224"/>
      <c r="AU158" s="224"/>
    </row>
    <row r="159" spans="21:48" ht="15" thickBot="1" x14ac:dyDescent="0.25">
      <c r="AD159" s="125"/>
      <c r="AE159" s="6"/>
      <c r="AF159" s="1"/>
      <c r="AJ159" t="s">
        <v>182</v>
      </c>
      <c r="AK159" s="86"/>
      <c r="AL159" s="86"/>
      <c r="AM159" s="86"/>
      <c r="AN159" s="86"/>
      <c r="AO159" s="86"/>
      <c r="AP159" s="86"/>
      <c r="AQ159" s="86"/>
      <c r="AR159" s="86"/>
      <c r="AS159" s="86"/>
      <c r="AT159" s="86"/>
      <c r="AU159" s="86"/>
    </row>
    <row r="160" spans="21:48" ht="15" thickBot="1" x14ac:dyDescent="0.25">
      <c r="U160" s="11" t="s">
        <v>161</v>
      </c>
      <c r="V160" s="12"/>
      <c r="W160" s="12"/>
      <c r="X160" s="12"/>
      <c r="Y160" s="12"/>
      <c r="Z160" s="104">
        <v>30</v>
      </c>
      <c r="AA160" s="12" t="s">
        <v>160</v>
      </c>
      <c r="AB160" s="12"/>
      <c r="AC160" s="12"/>
      <c r="AD160" s="104">
        <f>SUM(AD14:AD159)</f>
        <v>100</v>
      </c>
      <c r="AF160" s="1"/>
    </row>
    <row r="161" spans="21:34" ht="15" thickBot="1" x14ac:dyDescent="0.25">
      <c r="U161" s="123" t="s">
        <v>163</v>
      </c>
      <c r="V161" s="97"/>
      <c r="W161" s="97"/>
      <c r="X161" s="97"/>
      <c r="Y161" s="97"/>
      <c r="Z161" s="192">
        <f>AD161*Z160</f>
        <v>0</v>
      </c>
      <c r="AA161" s="97"/>
      <c r="AB161" s="97"/>
      <c r="AC161" s="97"/>
      <c r="AD161" s="193">
        <f>AE161/AD160</f>
        <v>0</v>
      </c>
      <c r="AE161" s="248">
        <f>SUM(AE14:AE159)</f>
        <v>0</v>
      </c>
      <c r="AF161" s="249" t="s">
        <v>162</v>
      </c>
      <c r="AG161" s="200"/>
      <c r="AH161" s="201"/>
    </row>
  </sheetData>
  <phoneticPr fontId="12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topLeftCell="B8" workbookViewId="0">
      <selection activeCell="Y30" sqref="Y30"/>
    </sheetView>
  </sheetViews>
  <sheetFormatPr baseColWidth="10" defaultColWidth="9" defaultRowHeight="14" x14ac:dyDescent="0.2"/>
  <cols>
    <col min="1" max="1" width="13.3984375" bestFit="1" customWidth="1"/>
    <col min="27" max="27" width="11.59765625" bestFit="1" customWidth="1"/>
    <col min="28" max="28" width="37.19921875" bestFit="1" customWidth="1"/>
    <col min="29" max="29" width="8.3984375" customWidth="1"/>
    <col min="30" max="30" width="23.19921875" customWidth="1"/>
    <col min="31" max="31" width="15.59765625" customWidth="1"/>
    <col min="32" max="32" width="16" customWidth="1"/>
    <col min="33" max="33" width="32.59765625" bestFit="1" customWidth="1"/>
  </cols>
  <sheetData>
    <row r="1" spans="1:33" x14ac:dyDescent="0.2">
      <c r="M1" s="1"/>
      <c r="N1" s="1"/>
      <c r="O1" s="1"/>
      <c r="P1" s="1"/>
      <c r="Q1" s="1"/>
      <c r="R1" s="1"/>
      <c r="S1" s="1"/>
    </row>
    <row r="2" spans="1:33" x14ac:dyDescent="0.2">
      <c r="B2" s="6"/>
      <c r="C2" s="6" t="str">
        <f>'Current base situation'!AK$29</f>
        <v>Venlo</v>
      </c>
      <c r="D2" s="6" t="str">
        <f>'Current base situation'!AL$29</f>
        <v xml:space="preserve">Germersheim  </v>
      </c>
      <c r="E2" s="6" t="str">
        <f>'Current base situation'!AM$29</f>
        <v>Wolfsburg</v>
      </c>
      <c r="F2" s="6" t="str">
        <f>'Current base situation'!AN$29</f>
        <v>Saarbrucke</v>
      </c>
      <c r="G2" s="6" t="str">
        <f>'Current base situation'!AO$29</f>
        <v xml:space="preserve">Paris </v>
      </c>
      <c r="H2" s="6" t="str">
        <f>'Current base situation'!AP$29</f>
        <v xml:space="preserve">Torino  It. </v>
      </c>
      <c r="I2" s="6" t="str">
        <f>'Current base situation'!AQ$29</f>
        <v>Praha CZ</v>
      </c>
      <c r="J2" s="6" t="str">
        <f>'Current base situation'!AR$29</f>
        <v xml:space="preserve">Genua  </v>
      </c>
      <c r="K2" s="6" t="str">
        <f>'Current base situation'!AS$29</f>
        <v>Bilbao It.</v>
      </c>
      <c r="L2" s="6" t="str">
        <f>'Current base situation'!AT$29</f>
        <v>Munich</v>
      </c>
      <c r="M2" s="1"/>
      <c r="N2" s="1"/>
      <c r="O2" s="1"/>
      <c r="P2" s="1"/>
      <c r="Q2" s="1"/>
      <c r="R2" s="1"/>
      <c r="S2" s="1"/>
    </row>
    <row r="3" spans="1:33" x14ac:dyDescent="0.2">
      <c r="B3" s="6" t="s">
        <v>277</v>
      </c>
      <c r="C3" s="6">
        <v>50</v>
      </c>
      <c r="D3" s="6">
        <v>100</v>
      </c>
      <c r="E3" s="6">
        <v>115</v>
      </c>
      <c r="F3" s="6">
        <v>92</v>
      </c>
      <c r="G3" s="6">
        <v>65</v>
      </c>
      <c r="H3" s="6">
        <v>362</v>
      </c>
      <c r="I3" s="6">
        <v>163</v>
      </c>
      <c r="J3" s="6">
        <v>297</v>
      </c>
      <c r="K3" s="6">
        <v>379</v>
      </c>
      <c r="L3" s="6">
        <v>150</v>
      </c>
      <c r="M3" s="1"/>
      <c r="N3" s="1"/>
      <c r="O3" s="1"/>
      <c r="P3" s="1"/>
      <c r="Q3" s="1"/>
      <c r="R3" s="1"/>
      <c r="S3" s="1"/>
    </row>
    <row r="4" spans="1:33" x14ac:dyDescent="0.2">
      <c r="B4" s="6" t="s">
        <v>278</v>
      </c>
      <c r="C4" s="6">
        <f>(39*'Current base situation'!AK30/100)</f>
        <v>75.66</v>
      </c>
      <c r="D4" s="6">
        <f>(30*'Current base situation'!AL30/100)</f>
        <v>151.5</v>
      </c>
      <c r="E4" s="6">
        <f>(30*'Current base situation'!AM30/100)</f>
        <v>171.6</v>
      </c>
      <c r="F4" s="6">
        <f>(30*'Current base situation'!AN30/100)</f>
        <v>112.8</v>
      </c>
      <c r="G4" s="6">
        <f>(30*'Current base situation'!AO30/100)</f>
        <v>98.4</v>
      </c>
      <c r="H4" s="6">
        <f>(30*'Current base situation'!AP30/100)</f>
        <v>319.5</v>
      </c>
      <c r="I4" s="6">
        <f>(30*'Current base situation'!AQ30/100)</f>
        <v>289.8</v>
      </c>
      <c r="J4" s="6">
        <f>(30*'Current base situation'!AR30/100)</f>
        <v>324.60000000000002</v>
      </c>
      <c r="K4" s="6">
        <f>(30*'Current base situation'!AS30/100)</f>
        <v>386.1</v>
      </c>
      <c r="L4" s="6">
        <f>(30*'Current base situation'!AT30/100)</f>
        <v>237.9</v>
      </c>
      <c r="M4" s="1"/>
      <c r="N4" s="1"/>
      <c r="O4" s="1"/>
      <c r="P4" s="1"/>
      <c r="Q4" s="1"/>
      <c r="R4" s="1"/>
      <c r="S4" s="1"/>
    </row>
    <row r="5" spans="1:33" x14ac:dyDescent="0.2">
      <c r="B5" s="6" t="s">
        <v>279</v>
      </c>
      <c r="C5" s="6">
        <f t="shared" ref="C5:X5" si="0">(1.4*C4)</f>
        <v>105.92399999999999</v>
      </c>
      <c r="D5" s="6">
        <f t="shared" si="0"/>
        <v>212.1</v>
      </c>
      <c r="E5" s="6">
        <f>(1.4*E4)</f>
        <v>240.23999999999998</v>
      </c>
      <c r="F5" s="6">
        <f>(1.4*F4)</f>
        <v>157.91999999999999</v>
      </c>
      <c r="G5" s="6">
        <f>(1.4*G4)</f>
        <v>137.76</v>
      </c>
      <c r="H5" s="6">
        <f>(1.4*H4)</f>
        <v>447.29999999999995</v>
      </c>
      <c r="I5" s="6">
        <f>(1.4*I4)</f>
        <v>405.71999999999997</v>
      </c>
      <c r="J5" s="6">
        <f>(1.4*J4)</f>
        <v>454.44</v>
      </c>
      <c r="K5" s="6">
        <f>(1.4*K4)</f>
        <v>540.54</v>
      </c>
      <c r="L5" s="6">
        <f>(1.4*L4)</f>
        <v>333.06</v>
      </c>
      <c r="M5" s="1"/>
      <c r="N5" s="1"/>
      <c r="O5" s="1"/>
      <c r="P5" s="1"/>
      <c r="Q5" s="1"/>
      <c r="R5" s="1"/>
      <c r="S5" s="1"/>
    </row>
    <row r="6" spans="1:33" x14ac:dyDescent="0.2">
      <c r="B6" s="6" t="s">
        <v>280</v>
      </c>
      <c r="C6" s="6">
        <v>0</v>
      </c>
      <c r="D6" s="6">
        <f>(316*0.15)</f>
        <v>47.4</v>
      </c>
      <c r="E6" s="6">
        <f>(392*0.15)</f>
        <v>58.8</v>
      </c>
      <c r="F6" s="6">
        <f>(70*0.15)</f>
        <v>10.5</v>
      </c>
      <c r="G6" s="6">
        <v>16.600000000000001</v>
      </c>
      <c r="H6" s="6">
        <f>(54.6+110)</f>
        <v>164.6</v>
      </c>
      <c r="I6" s="6">
        <f>((650*0.15)+10)</f>
        <v>107.5</v>
      </c>
      <c r="J6" s="6">
        <f>(650+13+28.2)</f>
        <v>691.2</v>
      </c>
      <c r="K6" s="6">
        <v>90</v>
      </c>
      <c r="L6" s="6">
        <f>(640*0.15)</f>
        <v>96</v>
      </c>
      <c r="M6" s="1"/>
      <c r="N6" s="1"/>
      <c r="O6" s="1"/>
      <c r="P6" s="1"/>
      <c r="Q6" s="1"/>
      <c r="R6" s="1"/>
      <c r="S6" s="1"/>
    </row>
    <row r="7" spans="1:33" x14ac:dyDescent="0.2">
      <c r="B7" s="6" t="s">
        <v>281</v>
      </c>
      <c r="C7" s="6">
        <f t="shared" ref="C7:X7" si="1">(C3+C5+C6)</f>
        <v>155.92399999999998</v>
      </c>
      <c r="D7" s="6">
        <f t="shared" si="1"/>
        <v>359.5</v>
      </c>
      <c r="E7" s="6">
        <f>(E3+E5+E6)</f>
        <v>414.04</v>
      </c>
      <c r="F7" s="6">
        <f>(F3+F5+F6)</f>
        <v>260.41999999999996</v>
      </c>
      <c r="G7" s="6">
        <f>(G3+G5+G6)</f>
        <v>219.35999999999999</v>
      </c>
      <c r="H7" s="6">
        <f>(H3+H5+H6)</f>
        <v>973.9</v>
      </c>
      <c r="I7" s="6">
        <f>(I3+I5+I6)</f>
        <v>676.22</v>
      </c>
      <c r="J7" s="6">
        <f>(J3+J5+J6)</f>
        <v>1442.64</v>
      </c>
      <c r="K7" s="6">
        <f>(K3+K5+K6)</f>
        <v>1009.54</v>
      </c>
      <c r="L7" s="6">
        <f>(L3+L5+L6)</f>
        <v>579.05999999999995</v>
      </c>
      <c r="M7" s="1"/>
      <c r="N7" s="1"/>
      <c r="O7" s="1"/>
      <c r="P7" s="1"/>
      <c r="Q7" s="1"/>
      <c r="R7" s="1"/>
      <c r="S7" s="1"/>
      <c r="AA7" s="275" t="s">
        <v>241</v>
      </c>
      <c r="AB7" t="s">
        <v>28</v>
      </c>
    </row>
    <row r="8" spans="1:33" ht="15" thickBot="1" x14ac:dyDescent="0.25">
      <c r="AA8" s="275" t="s">
        <v>262</v>
      </c>
      <c r="AB8" t="s">
        <v>3</v>
      </c>
    </row>
    <row r="9" spans="1:33" x14ac:dyDescent="0.2">
      <c r="B9" s="11" t="s">
        <v>294</v>
      </c>
      <c r="C9" s="12"/>
      <c r="D9" s="12" t="s">
        <v>302</v>
      </c>
      <c r="E9" s="12" t="s">
        <v>303</v>
      </c>
      <c r="F9" s="12" t="s">
        <v>304</v>
      </c>
      <c r="G9" s="12" t="s">
        <v>305</v>
      </c>
      <c r="H9" s="12" t="s">
        <v>302</v>
      </c>
      <c r="I9" s="12" t="s">
        <v>303</v>
      </c>
      <c r="J9" s="12" t="s">
        <v>304</v>
      </c>
      <c r="K9" s="12" t="s">
        <v>305</v>
      </c>
      <c r="L9" s="12" t="s">
        <v>302</v>
      </c>
      <c r="M9" s="12" t="s">
        <v>303</v>
      </c>
      <c r="N9" s="12" t="s">
        <v>304</v>
      </c>
      <c r="O9" s="12" t="s">
        <v>305</v>
      </c>
      <c r="P9" s="12" t="s">
        <v>302</v>
      </c>
      <c r="Q9" s="12" t="s">
        <v>303</v>
      </c>
      <c r="R9" s="12" t="s">
        <v>304</v>
      </c>
      <c r="S9" s="12" t="s">
        <v>305</v>
      </c>
      <c r="T9" s="12" t="s">
        <v>302</v>
      </c>
      <c r="U9" s="12" t="s">
        <v>303</v>
      </c>
      <c r="V9" s="12" t="s">
        <v>304</v>
      </c>
      <c r="W9" s="13" t="s">
        <v>305</v>
      </c>
      <c r="X9" t="s">
        <v>306</v>
      </c>
    </row>
    <row r="10" spans="1:33" x14ac:dyDescent="0.2">
      <c r="A10" t="s">
        <v>28</v>
      </c>
      <c r="B10" s="21" t="s">
        <v>301</v>
      </c>
      <c r="C10" s="1" t="s">
        <v>300</v>
      </c>
      <c r="D10" s="307" t="s">
        <v>295</v>
      </c>
      <c r="E10" s="307"/>
      <c r="F10" s="307"/>
      <c r="G10" s="307"/>
      <c r="H10" s="307" t="s">
        <v>296</v>
      </c>
      <c r="I10" s="307"/>
      <c r="J10" s="307"/>
      <c r="K10" s="307"/>
      <c r="L10" s="307" t="s">
        <v>297</v>
      </c>
      <c r="M10" s="307"/>
      <c r="N10" s="307"/>
      <c r="O10" s="307"/>
      <c r="P10" s="307" t="s">
        <v>298</v>
      </c>
      <c r="Q10" s="307"/>
      <c r="R10" s="307"/>
      <c r="S10" s="307"/>
      <c r="T10" s="307" t="s">
        <v>299</v>
      </c>
      <c r="U10" s="307"/>
      <c r="V10" s="307"/>
      <c r="W10" s="309"/>
      <c r="X10" s="1" t="s">
        <v>302</v>
      </c>
      <c r="Y10">
        <f>AC12-SUM(D11:D26,H11:H26,L11:L26,P11:P26,T11:T26)</f>
        <v>1</v>
      </c>
      <c r="AE10" s="275" t="s">
        <v>291</v>
      </c>
    </row>
    <row r="11" spans="1:33" x14ac:dyDescent="0.2">
      <c r="B11" s="310">
        <v>1</v>
      </c>
      <c r="C11" s="1">
        <v>1</v>
      </c>
      <c r="D11" s="305">
        <v>1</v>
      </c>
      <c r="E11" s="16">
        <v>1</v>
      </c>
      <c r="F11" s="16"/>
      <c r="G11" s="306"/>
      <c r="H11" s="305">
        <v>1</v>
      </c>
      <c r="I11" s="16">
        <v>1</v>
      </c>
      <c r="J11" s="16"/>
      <c r="K11" s="306"/>
      <c r="L11" s="305"/>
      <c r="M11" s="16">
        <v>1</v>
      </c>
      <c r="N11" s="16">
        <v>1</v>
      </c>
      <c r="O11" s="306"/>
      <c r="P11" s="305"/>
      <c r="Q11" s="16">
        <v>1</v>
      </c>
      <c r="R11" s="16"/>
      <c r="S11" s="306">
        <v>1</v>
      </c>
      <c r="T11" s="305"/>
      <c r="U11" s="16">
        <v>2</v>
      </c>
      <c r="V11" s="16"/>
      <c r="W11" s="128"/>
      <c r="X11" s="1" t="s">
        <v>303</v>
      </c>
      <c r="Y11">
        <f>AC13-SUM(E11:E26,I11:I26,M11:M26,Q11:Q26,U11:U26)</f>
        <v>7</v>
      </c>
      <c r="AA11" s="275" t="s">
        <v>243</v>
      </c>
      <c r="AB11" s="275" t="s">
        <v>272</v>
      </c>
      <c r="AC11" s="275" t="s">
        <v>276</v>
      </c>
      <c r="AD11" s="275" t="s">
        <v>293</v>
      </c>
      <c r="AE11" t="s">
        <v>274</v>
      </c>
      <c r="AF11" t="s">
        <v>275</v>
      </c>
      <c r="AG11" t="s">
        <v>292</v>
      </c>
    </row>
    <row r="12" spans="1:33" x14ac:dyDescent="0.2">
      <c r="B12" s="310"/>
      <c r="C12" s="1">
        <v>2</v>
      </c>
      <c r="D12" s="7">
        <v>1</v>
      </c>
      <c r="E12" s="1">
        <v>1</v>
      </c>
      <c r="F12" s="1"/>
      <c r="G12" s="14"/>
      <c r="H12" s="7">
        <v>1</v>
      </c>
      <c r="I12" s="1">
        <v>1</v>
      </c>
      <c r="J12" s="1"/>
      <c r="K12" s="14"/>
      <c r="L12" s="7"/>
      <c r="M12" s="1">
        <v>1</v>
      </c>
      <c r="N12" s="1">
        <v>1</v>
      </c>
      <c r="O12" s="14"/>
      <c r="P12" s="7"/>
      <c r="Q12" s="1">
        <v>1</v>
      </c>
      <c r="R12" s="1"/>
      <c r="S12" s="14">
        <v>1</v>
      </c>
      <c r="T12" s="7"/>
      <c r="U12" s="1">
        <v>2</v>
      </c>
      <c r="V12" s="1"/>
      <c r="W12" s="15"/>
      <c r="X12" s="1" t="s">
        <v>304</v>
      </c>
      <c r="Y12">
        <f>AC14-SUM(F11:F26,J11:J26,N11:N26,R11:R26,V11:V26)</f>
        <v>0</v>
      </c>
      <c r="AA12" t="s">
        <v>232</v>
      </c>
      <c r="AB12">
        <v>1</v>
      </c>
      <c r="AC12">
        <v>35</v>
      </c>
      <c r="AD12">
        <v>17.5</v>
      </c>
      <c r="AE12" s="276">
        <v>1200.0000000000005</v>
      </c>
      <c r="AF12" s="276">
        <v>960.00000000000034</v>
      </c>
      <c r="AG12" s="276">
        <v>69</v>
      </c>
    </row>
    <row r="13" spans="1:33" x14ac:dyDescent="0.2">
      <c r="B13" s="310"/>
      <c r="C13" s="1">
        <v>3</v>
      </c>
      <c r="D13" s="7">
        <v>1</v>
      </c>
      <c r="E13" s="1">
        <v>1</v>
      </c>
      <c r="F13" s="1"/>
      <c r="G13" s="14"/>
      <c r="H13" s="7">
        <v>1</v>
      </c>
      <c r="I13" s="1">
        <v>1</v>
      </c>
      <c r="J13" s="1"/>
      <c r="K13" s="14"/>
      <c r="L13" s="7"/>
      <c r="M13" s="1">
        <v>1</v>
      </c>
      <c r="N13" s="1">
        <v>1</v>
      </c>
      <c r="O13" s="14"/>
      <c r="P13" s="7"/>
      <c r="Q13" s="1">
        <v>1</v>
      </c>
      <c r="R13" s="1"/>
      <c r="S13" s="14">
        <v>1</v>
      </c>
      <c r="T13" s="7"/>
      <c r="U13" s="1">
        <v>2</v>
      </c>
      <c r="V13" s="1"/>
      <c r="W13" s="15"/>
      <c r="X13" s="1" t="s">
        <v>305</v>
      </c>
      <c r="Y13">
        <f>AC15-SUM(G11:G26,K11:K26,O11:O26,S11:S26,W11:W26)</f>
        <v>0</v>
      </c>
      <c r="AA13" t="s">
        <v>233</v>
      </c>
      <c r="AB13">
        <v>1</v>
      </c>
      <c r="AC13">
        <v>103</v>
      </c>
      <c r="AD13">
        <v>17.5</v>
      </c>
      <c r="AE13" s="276">
        <v>3600</v>
      </c>
      <c r="AF13" s="276">
        <v>2880</v>
      </c>
      <c r="AG13" s="276">
        <v>206</v>
      </c>
    </row>
    <row r="14" spans="1:33" x14ac:dyDescent="0.2">
      <c r="B14" s="310"/>
      <c r="C14" s="1">
        <v>4</v>
      </c>
      <c r="D14" s="8">
        <v>1</v>
      </c>
      <c r="E14" s="17">
        <v>1</v>
      </c>
      <c r="F14" s="17"/>
      <c r="G14" s="308"/>
      <c r="H14" s="8">
        <v>1</v>
      </c>
      <c r="I14" s="17">
        <v>1</v>
      </c>
      <c r="J14" s="17"/>
      <c r="K14" s="308"/>
      <c r="L14" s="8"/>
      <c r="M14" s="17">
        <v>1</v>
      </c>
      <c r="N14" s="17">
        <v>1</v>
      </c>
      <c r="O14" s="308"/>
      <c r="P14" s="8"/>
      <c r="Q14" s="17">
        <v>1</v>
      </c>
      <c r="R14" s="17"/>
      <c r="S14" s="308">
        <v>1</v>
      </c>
      <c r="T14" s="8"/>
      <c r="U14" s="17">
        <v>2</v>
      </c>
      <c r="V14" s="17"/>
      <c r="W14" s="318"/>
      <c r="AA14" t="s">
        <v>234</v>
      </c>
      <c r="AB14">
        <v>1</v>
      </c>
      <c r="AC14">
        <v>15</v>
      </c>
      <c r="AD14">
        <v>21</v>
      </c>
      <c r="AE14" s="276">
        <v>600</v>
      </c>
      <c r="AF14" s="276">
        <v>400</v>
      </c>
      <c r="AG14" s="276">
        <v>29</v>
      </c>
    </row>
    <row r="15" spans="1:33" x14ac:dyDescent="0.2">
      <c r="B15" s="310">
        <v>2</v>
      </c>
      <c r="C15" s="1">
        <v>5</v>
      </c>
      <c r="D15" s="305">
        <v>1</v>
      </c>
      <c r="E15" s="16">
        <v>1</v>
      </c>
      <c r="F15" s="16"/>
      <c r="G15" s="306"/>
      <c r="H15" s="305">
        <v>1</v>
      </c>
      <c r="I15" s="16">
        <v>1</v>
      </c>
      <c r="J15" s="16"/>
      <c r="K15" s="306"/>
      <c r="L15" s="305"/>
      <c r="M15" s="16">
        <v>1</v>
      </c>
      <c r="N15" s="16">
        <v>1</v>
      </c>
      <c r="O15" s="306"/>
      <c r="P15" s="305"/>
      <c r="Q15" s="16">
        <v>1</v>
      </c>
      <c r="R15" s="16"/>
      <c r="S15" s="306">
        <v>1</v>
      </c>
      <c r="T15" s="305"/>
      <c r="U15" s="16">
        <v>2</v>
      </c>
      <c r="V15" s="16"/>
      <c r="W15" s="128"/>
      <c r="AA15" t="s">
        <v>235</v>
      </c>
      <c r="AB15">
        <v>1</v>
      </c>
      <c r="AC15">
        <v>15</v>
      </c>
      <c r="AD15">
        <v>21</v>
      </c>
      <c r="AE15" s="276">
        <v>600</v>
      </c>
      <c r="AF15" s="276">
        <v>400</v>
      </c>
      <c r="AG15" s="276">
        <v>29</v>
      </c>
    </row>
    <row r="16" spans="1:33" x14ac:dyDescent="0.2">
      <c r="B16" s="310"/>
      <c r="C16" s="1">
        <v>6</v>
      </c>
      <c r="D16" s="7">
        <v>1</v>
      </c>
      <c r="E16" s="1">
        <v>1</v>
      </c>
      <c r="F16" s="1"/>
      <c r="G16" s="14"/>
      <c r="H16" s="7">
        <v>1</v>
      </c>
      <c r="I16" s="1">
        <v>1</v>
      </c>
      <c r="J16" s="1"/>
      <c r="K16" s="14"/>
      <c r="L16" s="7"/>
      <c r="M16" s="1">
        <v>1</v>
      </c>
      <c r="N16" s="1">
        <v>1</v>
      </c>
      <c r="O16" s="14"/>
      <c r="P16" s="7"/>
      <c r="Q16" s="1">
        <v>1</v>
      </c>
      <c r="R16" s="1"/>
      <c r="S16" s="14">
        <v>1</v>
      </c>
      <c r="T16" s="7"/>
      <c r="U16" s="1">
        <v>2</v>
      </c>
      <c r="V16" s="1"/>
      <c r="W16" s="15"/>
      <c r="AA16" t="s">
        <v>261</v>
      </c>
      <c r="AE16" s="276">
        <v>6000</v>
      </c>
      <c r="AF16" s="276">
        <v>4640</v>
      </c>
      <c r="AG16" s="276">
        <v>333</v>
      </c>
    </row>
    <row r="17" spans="1:33" x14ac:dyDescent="0.2">
      <c r="B17" s="310"/>
      <c r="C17" s="1">
        <v>7</v>
      </c>
      <c r="D17" s="7">
        <v>1</v>
      </c>
      <c r="E17" s="1">
        <v>1</v>
      </c>
      <c r="F17" s="1"/>
      <c r="G17" s="14"/>
      <c r="H17" s="7">
        <v>1</v>
      </c>
      <c r="I17" s="1">
        <v>1</v>
      </c>
      <c r="J17" s="1"/>
      <c r="K17" s="14"/>
      <c r="L17" s="7"/>
      <c r="M17" s="1">
        <v>1</v>
      </c>
      <c r="N17" s="1">
        <v>1</v>
      </c>
      <c r="O17" s="14"/>
      <c r="P17" s="7"/>
      <c r="Q17" s="1">
        <v>1</v>
      </c>
      <c r="R17" s="1"/>
      <c r="S17" s="14">
        <v>1</v>
      </c>
      <c r="T17" s="7"/>
      <c r="U17" s="1">
        <v>2</v>
      </c>
      <c r="V17" s="1"/>
      <c r="W17" s="15"/>
      <c r="AA17" s="275" t="s">
        <v>241</v>
      </c>
      <c r="AB17" t="s">
        <v>24</v>
      </c>
    </row>
    <row r="18" spans="1:33" x14ac:dyDescent="0.2">
      <c r="B18" s="310"/>
      <c r="C18" s="1">
        <v>8</v>
      </c>
      <c r="D18" s="8">
        <v>1</v>
      </c>
      <c r="E18" s="17">
        <v>1</v>
      </c>
      <c r="F18" s="17"/>
      <c r="G18" s="308"/>
      <c r="H18" s="8">
        <v>1</v>
      </c>
      <c r="I18" s="17">
        <v>1</v>
      </c>
      <c r="J18" s="17"/>
      <c r="K18" s="308"/>
      <c r="L18" s="8"/>
      <c r="M18" s="17">
        <v>1</v>
      </c>
      <c r="N18" s="17">
        <v>1</v>
      </c>
      <c r="O18" s="308"/>
      <c r="P18" s="8"/>
      <c r="Q18" s="17">
        <v>1</v>
      </c>
      <c r="R18" s="17"/>
      <c r="S18" s="308">
        <v>1</v>
      </c>
      <c r="T18" s="8"/>
      <c r="U18" s="17">
        <v>2</v>
      </c>
      <c r="V18" s="17"/>
      <c r="W18" s="318"/>
      <c r="AA18" s="275" t="s">
        <v>262</v>
      </c>
      <c r="AB18" t="s">
        <v>3</v>
      </c>
    </row>
    <row r="19" spans="1:33" x14ac:dyDescent="0.2">
      <c r="B19" s="310">
        <v>3</v>
      </c>
      <c r="C19" s="1">
        <v>9</v>
      </c>
      <c r="D19" s="305">
        <v>1</v>
      </c>
      <c r="E19" s="16">
        <v>1</v>
      </c>
      <c r="F19" s="16"/>
      <c r="G19" s="306"/>
      <c r="H19" s="305">
        <v>1</v>
      </c>
      <c r="I19" s="16">
        <v>1</v>
      </c>
      <c r="J19" s="16"/>
      <c r="K19" s="306"/>
      <c r="L19" s="305"/>
      <c r="M19" s="16">
        <v>1</v>
      </c>
      <c r="N19" s="16">
        <v>1</v>
      </c>
      <c r="O19" s="306"/>
      <c r="P19" s="305"/>
      <c r="Q19" s="16">
        <v>1</v>
      </c>
      <c r="R19" s="16"/>
      <c r="S19" s="306">
        <v>1</v>
      </c>
      <c r="T19" s="305"/>
      <c r="U19" s="16">
        <v>2</v>
      </c>
      <c r="V19" s="16"/>
      <c r="W19" s="128"/>
    </row>
    <row r="20" spans="1:33" x14ac:dyDescent="0.2">
      <c r="B20" s="310"/>
      <c r="C20" s="1">
        <v>10</v>
      </c>
      <c r="D20" s="7">
        <v>1</v>
      </c>
      <c r="E20" s="1">
        <v>1</v>
      </c>
      <c r="F20" s="1"/>
      <c r="G20" s="14"/>
      <c r="H20" s="7">
        <v>1</v>
      </c>
      <c r="I20" s="1">
        <v>1</v>
      </c>
      <c r="J20" s="1"/>
      <c r="K20" s="14"/>
      <c r="L20" s="7"/>
      <c r="M20" s="1">
        <v>1</v>
      </c>
      <c r="N20" s="1">
        <v>1</v>
      </c>
      <c r="O20" s="14"/>
      <c r="P20" s="7"/>
      <c r="Q20" s="1">
        <v>1</v>
      </c>
      <c r="R20" s="1"/>
      <c r="S20" s="14">
        <v>1</v>
      </c>
      <c r="T20" s="7"/>
      <c r="U20" s="1">
        <v>2</v>
      </c>
      <c r="V20" s="1"/>
      <c r="W20" s="15"/>
      <c r="AE20" s="275" t="s">
        <v>291</v>
      </c>
    </row>
    <row r="21" spans="1:33" x14ac:dyDescent="0.2">
      <c r="B21" s="310"/>
      <c r="C21" s="1">
        <v>11</v>
      </c>
      <c r="D21" s="7">
        <v>1</v>
      </c>
      <c r="E21" s="1">
        <v>1</v>
      </c>
      <c r="F21" s="1"/>
      <c r="G21" s="14"/>
      <c r="H21" s="7">
        <v>1</v>
      </c>
      <c r="I21" s="1">
        <v>1</v>
      </c>
      <c r="J21" s="1"/>
      <c r="K21" s="14"/>
      <c r="L21" s="7"/>
      <c r="M21" s="1">
        <v>1</v>
      </c>
      <c r="N21" s="1">
        <v>1</v>
      </c>
      <c r="O21" s="14"/>
      <c r="P21" s="7"/>
      <c r="Q21" s="1">
        <v>1</v>
      </c>
      <c r="R21" s="1"/>
      <c r="S21" s="14">
        <v>1</v>
      </c>
      <c r="T21" s="7"/>
      <c r="U21" s="1">
        <v>2</v>
      </c>
      <c r="V21" s="1"/>
      <c r="W21" s="15"/>
      <c r="AA21" s="275" t="s">
        <v>243</v>
      </c>
      <c r="AB21" s="275" t="s">
        <v>272</v>
      </c>
      <c r="AC21" s="275" t="s">
        <v>276</v>
      </c>
      <c r="AD21" s="275" t="s">
        <v>293</v>
      </c>
      <c r="AE21" t="s">
        <v>274</v>
      </c>
      <c r="AF21" t="s">
        <v>275</v>
      </c>
      <c r="AG21" t="s">
        <v>292</v>
      </c>
    </row>
    <row r="22" spans="1:33" x14ac:dyDescent="0.2">
      <c r="B22" s="310"/>
      <c r="C22" s="1">
        <v>12</v>
      </c>
      <c r="D22" s="8">
        <v>1</v>
      </c>
      <c r="E22" s="17">
        <v>1</v>
      </c>
      <c r="F22" s="17"/>
      <c r="G22" s="308"/>
      <c r="H22" s="8">
        <v>1</v>
      </c>
      <c r="I22" s="17">
        <v>1</v>
      </c>
      <c r="J22" s="17"/>
      <c r="K22" s="308"/>
      <c r="L22" s="8"/>
      <c r="M22" s="17">
        <v>1</v>
      </c>
      <c r="N22" s="17">
        <v>1</v>
      </c>
      <c r="O22" s="308"/>
      <c r="P22" s="8"/>
      <c r="Q22" s="17">
        <v>1</v>
      </c>
      <c r="R22" s="17"/>
      <c r="S22" s="308">
        <v>1</v>
      </c>
      <c r="T22" s="8"/>
      <c r="U22" s="17">
        <v>2</v>
      </c>
      <c r="V22" s="17"/>
      <c r="W22" s="318"/>
      <c r="AA22" t="s">
        <v>232</v>
      </c>
      <c r="AB22">
        <v>1</v>
      </c>
      <c r="AC22">
        <v>43</v>
      </c>
      <c r="AD22">
        <v>17.5</v>
      </c>
      <c r="AE22" s="276">
        <v>1500</v>
      </c>
      <c r="AF22" s="276">
        <v>1200</v>
      </c>
      <c r="AG22" s="276">
        <v>86</v>
      </c>
    </row>
    <row r="23" spans="1:33" x14ac:dyDescent="0.2">
      <c r="B23" s="310">
        <v>4</v>
      </c>
      <c r="C23" s="1">
        <v>13</v>
      </c>
      <c r="D23" s="305">
        <v>1</v>
      </c>
      <c r="E23" s="16">
        <v>1</v>
      </c>
      <c r="F23" s="16"/>
      <c r="G23" s="306"/>
      <c r="H23" s="305">
        <v>1</v>
      </c>
      <c r="I23" s="16">
        <v>1</v>
      </c>
      <c r="J23" s="16"/>
      <c r="K23" s="306"/>
      <c r="L23" s="313"/>
      <c r="M23" s="314">
        <v>1</v>
      </c>
      <c r="N23" s="314">
        <v>1</v>
      </c>
      <c r="O23" s="315"/>
      <c r="P23" s="305"/>
      <c r="Q23" s="16">
        <v>1</v>
      </c>
      <c r="R23" s="16"/>
      <c r="S23" s="306">
        <v>1</v>
      </c>
      <c r="T23" s="1"/>
      <c r="U23" s="1">
        <v>2</v>
      </c>
      <c r="V23" s="1"/>
      <c r="W23" s="15"/>
      <c r="AA23" t="s">
        <v>233</v>
      </c>
      <c r="AB23">
        <v>1</v>
      </c>
      <c r="AC23">
        <v>78</v>
      </c>
      <c r="AD23">
        <v>17.5</v>
      </c>
      <c r="AE23" s="276">
        <v>2700</v>
      </c>
      <c r="AF23" s="276">
        <v>2160</v>
      </c>
      <c r="AG23" s="276">
        <v>155</v>
      </c>
    </row>
    <row r="24" spans="1:33" x14ac:dyDescent="0.2">
      <c r="B24" s="310"/>
      <c r="C24" s="1">
        <v>14</v>
      </c>
      <c r="D24" s="7">
        <v>1</v>
      </c>
      <c r="E24" s="1">
        <v>1</v>
      </c>
      <c r="F24" s="1"/>
      <c r="G24" s="14"/>
      <c r="H24" s="7">
        <v>1</v>
      </c>
      <c r="I24" s="1">
        <v>1</v>
      </c>
      <c r="J24" s="1"/>
      <c r="K24" s="14"/>
      <c r="L24" s="316"/>
      <c r="M24" s="18">
        <v>1</v>
      </c>
      <c r="N24" s="18">
        <v>1</v>
      </c>
      <c r="O24" s="317"/>
      <c r="P24" s="7"/>
      <c r="Q24" s="1">
        <v>1</v>
      </c>
      <c r="R24" s="1"/>
      <c r="S24" s="14">
        <v>1</v>
      </c>
      <c r="T24" s="1"/>
      <c r="U24" s="1">
        <v>2</v>
      </c>
      <c r="V24" s="1"/>
      <c r="W24" s="15"/>
      <c r="AA24" t="s">
        <v>234</v>
      </c>
      <c r="AB24">
        <v>1</v>
      </c>
      <c r="AC24">
        <v>29</v>
      </c>
      <c r="AD24">
        <v>21</v>
      </c>
      <c r="AE24" s="276">
        <v>1200</v>
      </c>
      <c r="AF24" s="276">
        <v>800</v>
      </c>
      <c r="AG24" s="276">
        <v>58</v>
      </c>
    </row>
    <row r="25" spans="1:33" x14ac:dyDescent="0.2">
      <c r="B25" s="310"/>
      <c r="C25" s="1">
        <v>15</v>
      </c>
      <c r="D25" s="7">
        <v>1</v>
      </c>
      <c r="E25" s="1">
        <v>1</v>
      </c>
      <c r="F25" s="1"/>
      <c r="G25" s="14"/>
      <c r="H25" s="7">
        <v>1</v>
      </c>
      <c r="I25" s="1">
        <v>1</v>
      </c>
      <c r="J25" s="1"/>
      <c r="K25" s="14"/>
      <c r="L25" s="316"/>
      <c r="M25" s="18">
        <v>1</v>
      </c>
      <c r="N25" s="18">
        <v>1</v>
      </c>
      <c r="O25" s="317"/>
      <c r="P25" s="7"/>
      <c r="Q25" s="1">
        <v>1</v>
      </c>
      <c r="R25" s="1"/>
      <c r="S25" s="14">
        <v>1</v>
      </c>
      <c r="T25" s="1"/>
      <c r="U25" s="1">
        <v>2</v>
      </c>
      <c r="V25" s="1"/>
      <c r="W25" s="15"/>
      <c r="AA25" t="s">
        <v>235</v>
      </c>
      <c r="AB25">
        <v>1</v>
      </c>
      <c r="AC25">
        <v>15</v>
      </c>
      <c r="AD25">
        <v>21</v>
      </c>
      <c r="AE25" s="276">
        <v>600</v>
      </c>
      <c r="AF25" s="276">
        <v>400</v>
      </c>
      <c r="AG25" s="276">
        <v>29</v>
      </c>
    </row>
    <row r="26" spans="1:33" ht="15" thickBot="1" x14ac:dyDescent="0.25">
      <c r="B26" s="311"/>
      <c r="C26" s="4">
        <v>16</v>
      </c>
      <c r="D26" s="319">
        <v>1</v>
      </c>
      <c r="E26" s="4">
        <v>1</v>
      </c>
      <c r="F26" s="4"/>
      <c r="G26" s="320"/>
      <c r="H26" s="319">
        <v>1</v>
      </c>
      <c r="I26" s="4">
        <v>1</v>
      </c>
      <c r="J26" s="4"/>
      <c r="K26" s="320"/>
      <c r="L26" s="321">
        <v>1</v>
      </c>
      <c r="M26" s="312">
        <v>1</v>
      </c>
      <c r="N26" s="312"/>
      <c r="O26" s="322"/>
      <c r="P26" s="319">
        <v>1</v>
      </c>
      <c r="Q26" s="4">
        <v>1</v>
      </c>
      <c r="R26" s="4"/>
      <c r="S26" s="320"/>
      <c r="T26" s="4"/>
      <c r="U26" s="4">
        <v>2</v>
      </c>
      <c r="V26" s="4"/>
      <c r="W26" s="5"/>
      <c r="AA26" t="s">
        <v>261</v>
      </c>
      <c r="AE26" s="276">
        <v>6000</v>
      </c>
      <c r="AF26" s="276">
        <v>4560</v>
      </c>
      <c r="AG26" s="276">
        <v>328</v>
      </c>
    </row>
    <row r="27" spans="1:33" ht="15" thickBot="1" x14ac:dyDescent="0.25">
      <c r="B27" s="323"/>
      <c r="C27" s="1"/>
      <c r="D27" s="1"/>
      <c r="E27" s="1"/>
      <c r="F27" s="1"/>
      <c r="G27" s="1"/>
      <c r="H27" s="1"/>
      <c r="I27" s="1"/>
      <c r="J27" s="1"/>
      <c r="K27" s="1"/>
      <c r="L27" s="18"/>
      <c r="M27" s="18"/>
      <c r="N27" s="18"/>
      <c r="O27" s="18"/>
      <c r="P27" s="1"/>
      <c r="Q27" s="1"/>
      <c r="R27" s="1"/>
      <c r="S27" s="1"/>
      <c r="T27" s="1"/>
      <c r="U27" s="1"/>
      <c r="V27" s="1"/>
      <c r="W27" s="1"/>
      <c r="AE27" s="276"/>
      <c r="AF27" s="276"/>
      <c r="AG27" s="276"/>
    </row>
    <row r="28" spans="1:33" x14ac:dyDescent="0.2">
      <c r="B28" s="11" t="s">
        <v>294</v>
      </c>
      <c r="C28" s="12"/>
      <c r="D28" s="12" t="s">
        <v>302</v>
      </c>
      <c r="E28" s="12" t="s">
        <v>303</v>
      </c>
      <c r="F28" s="12" t="s">
        <v>304</v>
      </c>
      <c r="G28" s="12" t="s">
        <v>305</v>
      </c>
      <c r="H28" s="12" t="s">
        <v>302</v>
      </c>
      <c r="I28" s="12" t="s">
        <v>303</v>
      </c>
      <c r="J28" s="12" t="s">
        <v>304</v>
      </c>
      <c r="K28" s="12" t="s">
        <v>305</v>
      </c>
      <c r="L28" s="12" t="s">
        <v>302</v>
      </c>
      <c r="M28" s="12" t="s">
        <v>303</v>
      </c>
      <c r="N28" s="12" t="s">
        <v>304</v>
      </c>
      <c r="O28" s="12" t="s">
        <v>305</v>
      </c>
      <c r="P28" s="12" t="s">
        <v>302</v>
      </c>
      <c r="Q28" s="12" t="s">
        <v>303</v>
      </c>
      <c r="R28" s="12" t="s">
        <v>304</v>
      </c>
      <c r="S28" s="12" t="s">
        <v>305</v>
      </c>
      <c r="T28" s="12" t="s">
        <v>302</v>
      </c>
      <c r="U28" s="12" t="s">
        <v>303</v>
      </c>
      <c r="V28" s="12" t="s">
        <v>304</v>
      </c>
      <c r="W28" s="13" t="s">
        <v>305</v>
      </c>
      <c r="X28" t="s">
        <v>306</v>
      </c>
      <c r="AE28" s="276"/>
      <c r="AF28" s="276"/>
      <c r="AG28" s="276"/>
    </row>
    <row r="29" spans="1:33" x14ac:dyDescent="0.2">
      <c r="A29" t="str">
        <f>D2</f>
        <v xml:space="preserve">Germersheim  </v>
      </c>
      <c r="B29" s="21" t="s">
        <v>301</v>
      </c>
      <c r="C29" s="1" t="s">
        <v>300</v>
      </c>
      <c r="D29" s="307" t="s">
        <v>295</v>
      </c>
      <c r="E29" s="307"/>
      <c r="F29" s="307"/>
      <c r="G29" s="307"/>
      <c r="H29" s="307" t="s">
        <v>296</v>
      </c>
      <c r="I29" s="307"/>
      <c r="J29" s="307"/>
      <c r="K29" s="307"/>
      <c r="L29" s="307" t="s">
        <v>297</v>
      </c>
      <c r="M29" s="307"/>
      <c r="N29" s="307"/>
      <c r="O29" s="307"/>
      <c r="P29" s="307" t="s">
        <v>298</v>
      </c>
      <c r="Q29" s="307"/>
      <c r="R29" s="307"/>
      <c r="S29" s="307"/>
      <c r="T29" s="307" t="s">
        <v>299</v>
      </c>
      <c r="U29" s="307"/>
      <c r="V29" s="307"/>
      <c r="W29" s="309"/>
      <c r="X29" s="1" t="s">
        <v>302</v>
      </c>
      <c r="Y29">
        <f>AC22-SUM(D30:D45,H30:H45,L30:L45,P30:P45,T30:T45)</f>
        <v>43</v>
      </c>
      <c r="AE29" s="276"/>
      <c r="AF29" s="276"/>
      <c r="AG29" s="276"/>
    </row>
    <row r="30" spans="1:33" x14ac:dyDescent="0.2">
      <c r="B30" s="310">
        <v>1</v>
      </c>
      <c r="C30" s="1">
        <v>1</v>
      </c>
      <c r="D30" s="305"/>
      <c r="E30" s="16"/>
      <c r="F30" s="16"/>
      <c r="G30" s="306"/>
      <c r="H30" s="305"/>
      <c r="I30" s="16"/>
      <c r="J30" s="16"/>
      <c r="K30" s="306"/>
      <c r="L30" s="305"/>
      <c r="M30" s="16"/>
      <c r="N30" s="16"/>
      <c r="O30" s="306"/>
      <c r="P30" s="305"/>
      <c r="Q30" s="16"/>
      <c r="R30" s="16"/>
      <c r="S30" s="306"/>
      <c r="T30" s="305"/>
      <c r="U30" s="16"/>
      <c r="V30" s="16"/>
      <c r="W30" s="128"/>
      <c r="X30" s="1" t="s">
        <v>303</v>
      </c>
      <c r="Y30">
        <f t="shared" ref="Y30:Y32" si="2">AC23-SUM(D31:D46,H31:H46,L31:L46,P31:P46,T31:T46)</f>
        <v>78</v>
      </c>
      <c r="AE30" s="276"/>
      <c r="AF30" s="276"/>
      <c r="AG30" s="276"/>
    </row>
    <row r="31" spans="1:33" x14ac:dyDescent="0.2">
      <c r="B31" s="310"/>
      <c r="C31" s="1">
        <v>2</v>
      </c>
      <c r="D31" s="7"/>
      <c r="E31" s="1"/>
      <c r="F31" s="1"/>
      <c r="G31" s="14"/>
      <c r="H31" s="7"/>
      <c r="I31" s="1"/>
      <c r="J31" s="1"/>
      <c r="K31" s="14"/>
      <c r="L31" s="7"/>
      <c r="M31" s="1"/>
      <c r="N31" s="1"/>
      <c r="O31" s="14"/>
      <c r="P31" s="7"/>
      <c r="Q31" s="1"/>
      <c r="R31" s="1"/>
      <c r="S31" s="14"/>
      <c r="T31" s="7"/>
      <c r="U31" s="1"/>
      <c r="V31" s="1"/>
      <c r="W31" s="15"/>
      <c r="X31" s="1" t="s">
        <v>304</v>
      </c>
      <c r="Y31">
        <f t="shared" si="2"/>
        <v>29</v>
      </c>
    </row>
    <row r="32" spans="1:33" x14ac:dyDescent="0.2">
      <c r="B32" s="310"/>
      <c r="C32" s="1">
        <v>3</v>
      </c>
      <c r="D32" s="7"/>
      <c r="E32" s="1"/>
      <c r="F32" s="1"/>
      <c r="G32" s="14"/>
      <c r="H32" s="7"/>
      <c r="I32" s="1"/>
      <c r="J32" s="1"/>
      <c r="K32" s="14"/>
      <c r="L32" s="7"/>
      <c r="M32" s="1"/>
      <c r="N32" s="1"/>
      <c r="O32" s="14"/>
      <c r="P32" s="7"/>
      <c r="Q32" s="1"/>
      <c r="R32" s="1"/>
      <c r="S32" s="14"/>
      <c r="T32" s="7"/>
      <c r="U32" s="1"/>
      <c r="V32" s="1"/>
      <c r="W32" s="15"/>
      <c r="X32" s="1" t="s">
        <v>305</v>
      </c>
      <c r="Y32">
        <f t="shared" si="2"/>
        <v>15</v>
      </c>
    </row>
    <row r="33" spans="2:23" x14ac:dyDescent="0.2">
      <c r="B33" s="310"/>
      <c r="C33" s="1">
        <v>4</v>
      </c>
      <c r="D33" s="8"/>
      <c r="E33" s="17"/>
      <c r="F33" s="17"/>
      <c r="G33" s="308"/>
      <c r="H33" s="8"/>
      <c r="I33" s="17"/>
      <c r="J33" s="17"/>
      <c r="K33" s="308"/>
      <c r="L33" s="8"/>
      <c r="M33" s="17"/>
      <c r="N33" s="17"/>
      <c r="O33" s="308"/>
      <c r="P33" s="8"/>
      <c r="Q33" s="17"/>
      <c r="R33" s="17"/>
      <c r="S33" s="308"/>
      <c r="T33" s="8"/>
      <c r="U33" s="17"/>
      <c r="V33" s="17"/>
      <c r="W33" s="318"/>
    </row>
    <row r="34" spans="2:23" x14ac:dyDescent="0.2">
      <c r="B34" s="310">
        <v>2</v>
      </c>
      <c r="C34" s="1">
        <v>5</v>
      </c>
      <c r="D34" s="305"/>
      <c r="E34" s="16"/>
      <c r="F34" s="16"/>
      <c r="G34" s="306"/>
      <c r="H34" s="305"/>
      <c r="I34" s="16"/>
      <c r="J34" s="16"/>
      <c r="K34" s="306"/>
      <c r="L34" s="305"/>
      <c r="M34" s="16"/>
      <c r="N34" s="16"/>
      <c r="O34" s="306"/>
      <c r="P34" s="305"/>
      <c r="Q34" s="16"/>
      <c r="R34" s="16"/>
      <c r="S34" s="306"/>
      <c r="T34" s="305"/>
      <c r="U34" s="16"/>
      <c r="V34" s="16"/>
      <c r="W34" s="128"/>
    </row>
    <row r="35" spans="2:23" x14ac:dyDescent="0.2">
      <c r="B35" s="310"/>
      <c r="C35" s="1">
        <v>6</v>
      </c>
      <c r="D35" s="7"/>
      <c r="E35" s="1"/>
      <c r="F35" s="1"/>
      <c r="G35" s="14"/>
      <c r="H35" s="7"/>
      <c r="I35" s="1"/>
      <c r="J35" s="1"/>
      <c r="K35" s="14"/>
      <c r="L35" s="7"/>
      <c r="M35" s="1"/>
      <c r="N35" s="1"/>
      <c r="O35" s="14"/>
      <c r="P35" s="7"/>
      <c r="Q35" s="1"/>
      <c r="R35" s="1"/>
      <c r="S35" s="14"/>
      <c r="T35" s="7"/>
      <c r="U35" s="1"/>
      <c r="V35" s="1"/>
      <c r="W35" s="15"/>
    </row>
    <row r="36" spans="2:23" x14ac:dyDescent="0.2">
      <c r="B36" s="310"/>
      <c r="C36" s="1">
        <v>7</v>
      </c>
      <c r="D36" s="7"/>
      <c r="E36" s="1"/>
      <c r="F36" s="1"/>
      <c r="G36" s="14"/>
      <c r="H36" s="7"/>
      <c r="I36" s="1"/>
      <c r="J36" s="1"/>
      <c r="K36" s="14"/>
      <c r="L36" s="7"/>
      <c r="M36" s="1"/>
      <c r="N36" s="1"/>
      <c r="O36" s="14"/>
      <c r="P36" s="7"/>
      <c r="Q36" s="1"/>
      <c r="R36" s="1"/>
      <c r="S36" s="14"/>
      <c r="T36" s="7"/>
      <c r="U36" s="1"/>
      <c r="V36" s="1"/>
      <c r="W36" s="15"/>
    </row>
    <row r="37" spans="2:23" x14ac:dyDescent="0.2">
      <c r="B37" s="310"/>
      <c r="C37" s="1">
        <v>8</v>
      </c>
      <c r="D37" s="8"/>
      <c r="E37" s="17"/>
      <c r="F37" s="17"/>
      <c r="G37" s="308"/>
      <c r="H37" s="8"/>
      <c r="I37" s="17"/>
      <c r="J37" s="17"/>
      <c r="K37" s="308"/>
      <c r="L37" s="8"/>
      <c r="M37" s="17"/>
      <c r="N37" s="17"/>
      <c r="O37" s="308"/>
      <c r="P37" s="8"/>
      <c r="Q37" s="17"/>
      <c r="R37" s="17"/>
      <c r="S37" s="308"/>
      <c r="T37" s="8"/>
      <c r="U37" s="17"/>
      <c r="V37" s="17"/>
      <c r="W37" s="318"/>
    </row>
    <row r="38" spans="2:23" x14ac:dyDescent="0.2">
      <c r="B38" s="310">
        <v>3</v>
      </c>
      <c r="C38" s="1">
        <v>9</v>
      </c>
      <c r="D38" s="305"/>
      <c r="E38" s="16"/>
      <c r="F38" s="16"/>
      <c r="G38" s="306"/>
      <c r="H38" s="305"/>
      <c r="I38" s="16"/>
      <c r="J38" s="16"/>
      <c r="K38" s="306"/>
      <c r="L38" s="305"/>
      <c r="M38" s="16"/>
      <c r="N38" s="16"/>
      <c r="O38" s="306"/>
      <c r="P38" s="305"/>
      <c r="Q38" s="16"/>
      <c r="R38" s="16"/>
      <c r="S38" s="306"/>
      <c r="T38" s="305"/>
      <c r="U38" s="16"/>
      <c r="V38" s="16"/>
      <c r="W38" s="128"/>
    </row>
    <row r="39" spans="2:23" x14ac:dyDescent="0.2">
      <c r="B39" s="310"/>
      <c r="C39" s="1">
        <v>10</v>
      </c>
      <c r="D39" s="7"/>
      <c r="E39" s="1"/>
      <c r="F39" s="1"/>
      <c r="G39" s="14"/>
      <c r="H39" s="7"/>
      <c r="I39" s="1"/>
      <c r="J39" s="1"/>
      <c r="K39" s="14"/>
      <c r="L39" s="7"/>
      <c r="M39" s="1"/>
      <c r="N39" s="1"/>
      <c r="O39" s="14"/>
      <c r="P39" s="7"/>
      <c r="Q39" s="1"/>
      <c r="R39" s="1"/>
      <c r="S39" s="14"/>
      <c r="T39" s="7"/>
      <c r="U39" s="1"/>
      <c r="V39" s="1"/>
      <c r="W39" s="15"/>
    </row>
    <row r="40" spans="2:23" x14ac:dyDescent="0.2">
      <c r="B40" s="310"/>
      <c r="C40" s="1">
        <v>11</v>
      </c>
      <c r="D40" s="7"/>
      <c r="E40" s="1"/>
      <c r="F40" s="1"/>
      <c r="G40" s="14"/>
      <c r="H40" s="7"/>
      <c r="I40" s="1"/>
      <c r="J40" s="1"/>
      <c r="K40" s="14"/>
      <c r="L40" s="7"/>
      <c r="M40" s="1"/>
      <c r="N40" s="1"/>
      <c r="O40" s="14"/>
      <c r="P40" s="7"/>
      <c r="Q40" s="1"/>
      <c r="R40" s="1"/>
      <c r="S40" s="14"/>
      <c r="T40" s="7"/>
      <c r="U40" s="1"/>
      <c r="V40" s="1"/>
      <c r="W40" s="15"/>
    </row>
    <row r="41" spans="2:23" x14ac:dyDescent="0.2">
      <c r="B41" s="310"/>
      <c r="C41" s="1">
        <v>12</v>
      </c>
      <c r="D41" s="8"/>
      <c r="E41" s="17"/>
      <c r="F41" s="17"/>
      <c r="G41" s="308"/>
      <c r="H41" s="8"/>
      <c r="I41" s="17"/>
      <c r="J41" s="17"/>
      <c r="K41" s="308"/>
      <c r="L41" s="8"/>
      <c r="M41" s="17"/>
      <c r="N41" s="17"/>
      <c r="O41" s="308"/>
      <c r="P41" s="8"/>
      <c r="Q41" s="17"/>
      <c r="R41" s="17"/>
      <c r="S41" s="308"/>
      <c r="T41" s="8"/>
      <c r="U41" s="17"/>
      <c r="V41" s="17"/>
      <c r="W41" s="318"/>
    </row>
    <row r="42" spans="2:23" x14ac:dyDescent="0.2">
      <c r="B42" s="310">
        <v>4</v>
      </c>
      <c r="C42" s="1">
        <v>13</v>
      </c>
      <c r="D42" s="305"/>
      <c r="E42" s="16"/>
      <c r="F42" s="16"/>
      <c r="G42" s="306"/>
      <c r="H42" s="305"/>
      <c r="I42" s="16"/>
      <c r="J42" s="16"/>
      <c r="K42" s="306"/>
      <c r="L42" s="313"/>
      <c r="M42" s="314"/>
      <c r="N42" s="314"/>
      <c r="O42" s="315"/>
      <c r="P42" s="305"/>
      <c r="Q42" s="16"/>
      <c r="R42" s="16"/>
      <c r="S42" s="306"/>
      <c r="T42" s="1"/>
      <c r="U42" s="1"/>
      <c r="V42" s="1"/>
      <c r="W42" s="15"/>
    </row>
    <row r="43" spans="2:23" x14ac:dyDescent="0.2">
      <c r="B43" s="310"/>
      <c r="C43" s="1">
        <v>14</v>
      </c>
      <c r="D43" s="7"/>
      <c r="E43" s="1"/>
      <c r="F43" s="1"/>
      <c r="G43" s="14"/>
      <c r="H43" s="7"/>
      <c r="I43" s="1"/>
      <c r="J43" s="1"/>
      <c r="K43" s="14"/>
      <c r="L43" s="316"/>
      <c r="M43" s="18"/>
      <c r="N43" s="18"/>
      <c r="O43" s="317"/>
      <c r="P43" s="7"/>
      <c r="Q43" s="1"/>
      <c r="R43" s="1"/>
      <c r="S43" s="14"/>
      <c r="T43" s="1"/>
      <c r="U43" s="1"/>
      <c r="V43" s="1"/>
      <c r="W43" s="15"/>
    </row>
    <row r="44" spans="2:23" x14ac:dyDescent="0.2">
      <c r="B44" s="310"/>
      <c r="C44" s="1">
        <v>15</v>
      </c>
      <c r="D44" s="7"/>
      <c r="E44" s="1"/>
      <c r="F44" s="1"/>
      <c r="G44" s="14"/>
      <c r="H44" s="7"/>
      <c r="I44" s="1"/>
      <c r="J44" s="1"/>
      <c r="K44" s="14"/>
      <c r="L44" s="316"/>
      <c r="M44" s="18"/>
      <c r="N44" s="18"/>
      <c r="O44" s="317"/>
      <c r="P44" s="7"/>
      <c r="Q44" s="1"/>
      <c r="R44" s="1"/>
      <c r="S44" s="14"/>
      <c r="T44" s="1"/>
      <c r="U44" s="1"/>
      <c r="V44" s="1"/>
      <c r="W44" s="15"/>
    </row>
    <row r="45" spans="2:23" ht="15" thickBot="1" x14ac:dyDescent="0.25">
      <c r="B45" s="311"/>
      <c r="C45" s="4">
        <v>16</v>
      </c>
      <c r="D45" s="319"/>
      <c r="E45" s="4"/>
      <c r="F45" s="4"/>
      <c r="G45" s="320"/>
      <c r="H45" s="319"/>
      <c r="I45" s="4"/>
      <c r="J45" s="4"/>
      <c r="K45" s="320"/>
      <c r="L45" s="321"/>
      <c r="M45" s="312"/>
      <c r="N45" s="312"/>
      <c r="O45" s="322"/>
      <c r="P45" s="319"/>
      <c r="Q45" s="4"/>
      <c r="R45" s="4"/>
      <c r="S45" s="320"/>
      <c r="T45" s="4"/>
      <c r="U45" s="4"/>
      <c r="V45" s="4"/>
      <c r="W45" s="5"/>
    </row>
  </sheetData>
  <mergeCells count="18">
    <mergeCell ref="B30:B33"/>
    <mergeCell ref="B34:B37"/>
    <mergeCell ref="B38:B41"/>
    <mergeCell ref="B42:B45"/>
    <mergeCell ref="L10:O10"/>
    <mergeCell ref="P10:S10"/>
    <mergeCell ref="T10:W10"/>
    <mergeCell ref="D29:G29"/>
    <mergeCell ref="H29:K29"/>
    <mergeCell ref="L29:O29"/>
    <mergeCell ref="P29:S29"/>
    <mergeCell ref="T29:W29"/>
    <mergeCell ref="B11:B14"/>
    <mergeCell ref="B15:B18"/>
    <mergeCell ref="B19:B22"/>
    <mergeCell ref="B23:B26"/>
    <mergeCell ref="D10:G10"/>
    <mergeCell ref="H10:K10"/>
  </mergeCells>
  <phoneticPr fontId="1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4"/>
  <sheetViews>
    <sheetView topLeftCell="A7" workbookViewId="0">
      <selection activeCell="D32" sqref="D32"/>
    </sheetView>
  </sheetViews>
  <sheetFormatPr baseColWidth="10" defaultColWidth="9" defaultRowHeight="14" x14ac:dyDescent="0.2"/>
  <cols>
    <col min="1" max="1" width="11.19921875" customWidth="1"/>
    <col min="3" max="3" width="14.59765625" customWidth="1"/>
    <col min="4" max="4" width="10.3984375" customWidth="1"/>
    <col min="5" max="5" width="9.3984375" customWidth="1"/>
    <col min="6" max="7" width="10.19921875" customWidth="1"/>
    <col min="10" max="10" width="14.59765625" customWidth="1"/>
    <col min="12" max="12" width="10" customWidth="1"/>
  </cols>
  <sheetData>
    <row r="2" spans="1:21" x14ac:dyDescent="0.2">
      <c r="C2" t="s">
        <v>97</v>
      </c>
    </row>
    <row r="3" spans="1:21" x14ac:dyDescent="0.2">
      <c r="E3" t="str">
        <f>'RAIL COST help sheet'!L13</f>
        <v>Venlo</v>
      </c>
      <c r="F3" t="str">
        <f>'RAIL COST help sheet'!M13</f>
        <v xml:space="preserve">Germersheim  </v>
      </c>
      <c r="G3" t="str">
        <f>'RAIL COST help sheet'!N13</f>
        <v>Wolfsburg</v>
      </c>
      <c r="H3" t="str">
        <f>'RAIL COST help sheet'!O13</f>
        <v>Saarbrucke</v>
      </c>
      <c r="I3" t="str">
        <f>'RAIL COST help sheet'!P13</f>
        <v xml:space="preserve">Paris </v>
      </c>
      <c r="J3" t="str">
        <f>'RAIL COST help sheet'!Q13</f>
        <v xml:space="preserve">Torino  It. </v>
      </c>
      <c r="K3" t="str">
        <f>'RAIL COST help sheet'!R13</f>
        <v>Praha CZ</v>
      </c>
      <c r="L3" t="str">
        <f>'RAIL COST help sheet'!S13</f>
        <v xml:space="preserve">Genua  </v>
      </c>
      <c r="M3" t="str">
        <f>'RAIL COST help sheet'!T13</f>
        <v>Bilbao It.</v>
      </c>
      <c r="N3" t="str">
        <f>'RAIL COST help sheet'!U13</f>
        <v>Munich</v>
      </c>
      <c r="O3">
        <f>'RAIL COST help sheet'!V13</f>
        <v>0</v>
      </c>
    </row>
    <row r="4" spans="1:21" x14ac:dyDescent="0.2">
      <c r="C4" t="s">
        <v>92</v>
      </c>
    </row>
    <row r="5" spans="1:21" x14ac:dyDescent="0.2">
      <c r="C5" t="s">
        <v>93</v>
      </c>
    </row>
    <row r="6" spans="1:21" x14ac:dyDescent="0.2">
      <c r="C6" t="s">
        <v>94</v>
      </c>
    </row>
    <row r="7" spans="1:21" x14ac:dyDescent="0.2">
      <c r="C7" t="s">
        <v>96</v>
      </c>
    </row>
    <row r="8" spans="1:21" x14ac:dyDescent="0.2">
      <c r="C8" t="s">
        <v>95</v>
      </c>
    </row>
    <row r="10" spans="1:21" ht="15" thickBot="1" x14ac:dyDescent="0.25">
      <c r="A10" s="9" t="s">
        <v>171</v>
      </c>
    </row>
    <row r="11" spans="1:21" ht="15" thickBot="1" x14ac:dyDescent="0.25">
      <c r="A11" s="197" t="s">
        <v>207</v>
      </c>
      <c r="B11" s="262"/>
      <c r="C11" s="262"/>
      <c r="D11" s="199"/>
      <c r="E11" s="12"/>
      <c r="F11" s="12"/>
      <c r="G11" s="13"/>
      <c r="K11" s="9" t="s">
        <v>172</v>
      </c>
      <c r="L11" s="9"/>
      <c r="M11" s="9"/>
      <c r="N11" s="9"/>
    </row>
    <row r="12" spans="1:21" x14ac:dyDescent="0.2">
      <c r="A12" s="21"/>
      <c r="B12" s="1"/>
      <c r="C12" s="1"/>
      <c r="D12" s="1"/>
      <c r="E12" s="1"/>
      <c r="F12" s="1"/>
      <c r="G12" s="15"/>
      <c r="K12" s="10" t="s">
        <v>170</v>
      </c>
      <c r="L12" s="10"/>
      <c r="M12" s="10"/>
      <c r="N12" s="10"/>
      <c r="O12" s="10"/>
      <c r="P12" s="10"/>
      <c r="Q12" s="10"/>
    </row>
    <row r="13" spans="1:21" ht="15" thickBot="1" x14ac:dyDescent="0.25">
      <c r="A13" s="21"/>
      <c r="B13" s="1"/>
      <c r="C13" s="1"/>
      <c r="D13" s="1"/>
      <c r="E13" s="1"/>
      <c r="F13" s="1"/>
      <c r="G13" s="15"/>
      <c r="L13" t="str">
        <f>'Current base situation'!$AL$19</f>
        <v>Venlo</v>
      </c>
      <c r="M13" t="str">
        <f>'Current base situation'!$AN$19</f>
        <v xml:space="preserve">Germersheim  </v>
      </c>
      <c r="N13" t="str">
        <f>'Current base situation'!$AP$19</f>
        <v>Wolfsburg</v>
      </c>
      <c r="O13" t="str">
        <f>'Current base situation'!$AR$19</f>
        <v>Saarbrucke</v>
      </c>
      <c r="P13" t="str">
        <f>'Current base situation'!$AT$19</f>
        <v xml:space="preserve">Paris </v>
      </c>
      <c r="Q13" t="str">
        <f>'Current base situation'!$AV$19</f>
        <v xml:space="preserve">Torino  It. </v>
      </c>
      <c r="R13" t="str">
        <f>'Current base situation'!$AX$19</f>
        <v>Praha CZ</v>
      </c>
      <c r="S13" t="str">
        <f>'Current base situation'!$AZ$19</f>
        <v xml:space="preserve">Genua  </v>
      </c>
      <c r="T13" t="str">
        <f>'Current base situation'!$BB$19</f>
        <v>Bilbao It.</v>
      </c>
      <c r="U13" t="str">
        <f>'Current base situation'!$BD$19</f>
        <v>Munich</v>
      </c>
    </row>
    <row r="14" spans="1:21" x14ac:dyDescent="0.2">
      <c r="A14" s="252" t="s">
        <v>110</v>
      </c>
      <c r="B14" s="1" t="s">
        <v>120</v>
      </c>
      <c r="C14" s="1"/>
      <c r="D14" s="1"/>
      <c r="E14" s="1"/>
      <c r="F14" s="1"/>
      <c r="G14" s="15"/>
      <c r="K14" t="s">
        <v>99</v>
      </c>
      <c r="L14">
        <f t="shared" ref="L14:U14" si="0">SUM(L15:L23)</f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</row>
    <row r="15" spans="1:21" ht="15" thickBot="1" x14ac:dyDescent="0.25">
      <c r="A15" s="96" t="s">
        <v>121</v>
      </c>
      <c r="B15" s="1" t="s">
        <v>103</v>
      </c>
      <c r="C15" s="1"/>
      <c r="D15" s="1"/>
      <c r="E15" s="1"/>
      <c r="F15" s="1"/>
      <c r="G15" s="15"/>
      <c r="K15" t="s">
        <v>80</v>
      </c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5" thickBot="1" x14ac:dyDescent="0.25">
      <c r="A16" s="21"/>
      <c r="B16" s="1"/>
      <c r="C16" s="1"/>
      <c r="D16" s="1" t="s">
        <v>81</v>
      </c>
      <c r="E16" s="1" t="s">
        <v>83</v>
      </c>
      <c r="F16" s="1" t="s">
        <v>206</v>
      </c>
      <c r="G16" s="106"/>
      <c r="H16" s="261" t="s">
        <v>208</v>
      </c>
      <c r="K16" t="s">
        <v>81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5" thickBot="1" x14ac:dyDescent="0.25">
      <c r="A17" s="251" t="s">
        <v>195</v>
      </c>
      <c r="B17" s="1"/>
      <c r="C17" s="98" t="s">
        <v>137</v>
      </c>
      <c r="D17" s="6"/>
      <c r="E17" s="6"/>
      <c r="F17" s="6"/>
      <c r="G17" s="107"/>
      <c r="K17" t="s">
        <v>82</v>
      </c>
      <c r="L17" s="6">
        <v>0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ht="15" thickBot="1" x14ac:dyDescent="0.25">
      <c r="A18" s="21"/>
      <c r="B18" s="98" t="s">
        <v>104</v>
      </c>
      <c r="C18" s="1"/>
      <c r="D18" s="1"/>
      <c r="E18" s="1"/>
      <c r="F18" s="1"/>
      <c r="G18" s="15"/>
      <c r="K18" t="s">
        <v>83</v>
      </c>
      <c r="L18" s="6">
        <v>0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ht="15" thickBot="1" x14ac:dyDescent="0.25">
      <c r="A19" s="21" t="s">
        <v>168</v>
      </c>
      <c r="B19" s="98" t="s">
        <v>106</v>
      </c>
      <c r="C19" s="2" t="s">
        <v>107</v>
      </c>
      <c r="D19" s="1"/>
      <c r="E19" s="1"/>
      <c r="F19" s="1"/>
      <c r="G19" s="15"/>
      <c r="K19" t="s">
        <v>84</v>
      </c>
      <c r="L19" s="6">
        <v>0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ht="15" thickBot="1" x14ac:dyDescent="0.25">
      <c r="A20" s="21"/>
      <c r="B20" s="98" t="s">
        <v>105</v>
      </c>
      <c r="C20" s="1"/>
      <c r="D20" s="1"/>
      <c r="E20" s="1"/>
      <c r="F20" s="1"/>
      <c r="G20" s="15"/>
      <c r="K20" t="s">
        <v>85</v>
      </c>
      <c r="L20" s="6">
        <v>0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15" thickBot="1" x14ac:dyDescent="0.25">
      <c r="A21" s="251" t="s">
        <v>196</v>
      </c>
      <c r="B21" s="1" t="s">
        <v>108</v>
      </c>
      <c r="C21" s="1"/>
      <c r="D21" s="6"/>
      <c r="E21" s="6"/>
      <c r="F21" s="6"/>
      <c r="G21" s="107"/>
      <c r="K21" t="s">
        <v>88</v>
      </c>
      <c r="L21" s="6">
        <v>0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21"/>
      <c r="B22" s="98" t="s">
        <v>102</v>
      </c>
      <c r="C22" s="1"/>
      <c r="D22" s="1"/>
      <c r="E22" s="1"/>
      <c r="F22" s="1"/>
      <c r="G22" s="1"/>
      <c r="H22" s="1"/>
      <c r="K22" t="s">
        <v>86</v>
      </c>
      <c r="L22" s="6">
        <v>0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ht="15" thickBot="1" x14ac:dyDescent="0.25">
      <c r="A23" s="21"/>
      <c r="B23" s="98"/>
      <c r="C23" s="1"/>
      <c r="D23" s="1"/>
      <c r="E23" s="1"/>
      <c r="F23" s="1"/>
      <c r="G23" s="1"/>
      <c r="H23" s="1"/>
      <c r="K23" t="s">
        <v>87</v>
      </c>
      <c r="L23" s="6">
        <v>0</v>
      </c>
      <c r="M23" s="6"/>
      <c r="N23" s="6"/>
      <c r="O23" s="6"/>
      <c r="P23" s="6"/>
      <c r="Q23" s="6"/>
      <c r="R23" s="6"/>
      <c r="S23" s="6"/>
      <c r="T23" s="6"/>
      <c r="U23" s="6"/>
    </row>
    <row r="24" spans="1:21" ht="15" thickBot="1" x14ac:dyDescent="0.25">
      <c r="A24" s="21"/>
      <c r="B24" s="149" t="s">
        <v>140</v>
      </c>
      <c r="C24" s="97"/>
      <c r="D24" s="123" t="s">
        <v>81</v>
      </c>
      <c r="E24" s="97" t="s">
        <v>83</v>
      </c>
      <c r="F24" s="97" t="s">
        <v>138</v>
      </c>
      <c r="G24" s="97" t="s">
        <v>139</v>
      </c>
      <c r="H24" s="231" t="s">
        <v>169</v>
      </c>
    </row>
    <row r="25" spans="1:21" ht="15" thickBot="1" x14ac:dyDescent="0.25">
      <c r="A25" s="21"/>
      <c r="B25" s="150" t="s">
        <v>92</v>
      </c>
      <c r="C25" s="13"/>
      <c r="D25" s="152">
        <v>236</v>
      </c>
      <c r="E25" s="153">
        <v>821</v>
      </c>
      <c r="F25" s="153">
        <v>857</v>
      </c>
      <c r="G25" s="228">
        <v>295</v>
      </c>
      <c r="H25" s="260"/>
      <c r="K25" s="122" t="s">
        <v>166</v>
      </c>
      <c r="L25" s="190"/>
      <c r="M25" s="217"/>
    </row>
    <row r="26" spans="1:21" ht="15" thickBot="1" x14ac:dyDescent="0.25">
      <c r="A26" s="21"/>
      <c r="B26" s="127" t="s">
        <v>93</v>
      </c>
      <c r="C26" s="15"/>
      <c r="D26" s="154">
        <v>742</v>
      </c>
      <c r="E26" s="155">
        <v>3746</v>
      </c>
      <c r="F26" s="155">
        <v>1155</v>
      </c>
      <c r="G26" s="229">
        <v>405</v>
      </c>
      <c r="H26" s="260"/>
      <c r="K26" s="218" t="s">
        <v>80</v>
      </c>
      <c r="L26" s="218" t="s">
        <v>82</v>
      </c>
      <c r="M26" s="218" t="s">
        <v>85</v>
      </c>
      <c r="N26" s="125" t="s">
        <v>88</v>
      </c>
      <c r="O26" s="125" t="s">
        <v>87</v>
      </c>
    </row>
    <row r="27" spans="1:21" x14ac:dyDescent="0.2">
      <c r="A27" s="21"/>
      <c r="B27" s="127" t="s">
        <v>94</v>
      </c>
      <c r="C27" s="15"/>
      <c r="D27" s="154">
        <v>250</v>
      </c>
      <c r="E27" s="155">
        <v>5409</v>
      </c>
      <c r="F27" s="155">
        <v>2436</v>
      </c>
      <c r="G27" s="229">
        <v>414</v>
      </c>
      <c r="H27" s="260"/>
      <c r="J27" s="150" t="s">
        <v>92</v>
      </c>
      <c r="K27" s="219"/>
      <c r="L27" s="220"/>
      <c r="M27" s="220"/>
      <c r="N27" s="220"/>
      <c r="O27" s="221"/>
    </row>
    <row r="28" spans="1:21" x14ac:dyDescent="0.2">
      <c r="A28" s="21"/>
      <c r="B28" s="127" t="s">
        <v>96</v>
      </c>
      <c r="C28" s="15"/>
      <c r="D28" s="154">
        <v>277</v>
      </c>
      <c r="E28" s="155">
        <v>1199</v>
      </c>
      <c r="F28" s="155">
        <v>476</v>
      </c>
      <c r="G28" s="229">
        <v>170</v>
      </c>
      <c r="H28" s="260"/>
      <c r="J28" s="127" t="s">
        <v>93</v>
      </c>
      <c r="K28" s="222"/>
      <c r="L28" s="6"/>
      <c r="M28" s="6"/>
      <c r="N28" s="6"/>
      <c r="O28" s="107"/>
    </row>
    <row r="29" spans="1:21" ht="15" thickBot="1" x14ac:dyDescent="0.25">
      <c r="A29" s="21"/>
      <c r="B29" s="151" t="s">
        <v>95</v>
      </c>
      <c r="C29" s="15"/>
      <c r="D29" s="226">
        <v>1812</v>
      </c>
      <c r="E29" s="227">
        <v>2381</v>
      </c>
      <c r="F29" s="227">
        <v>945</v>
      </c>
      <c r="G29" s="230">
        <v>1510</v>
      </c>
      <c r="H29" s="260"/>
      <c r="J29" s="127" t="s">
        <v>94</v>
      </c>
      <c r="K29" s="222"/>
      <c r="L29" s="6"/>
      <c r="M29" s="6"/>
      <c r="N29" s="6"/>
      <c r="O29" s="107"/>
    </row>
    <row r="30" spans="1:21" ht="15" thickBot="1" x14ac:dyDescent="0.25">
      <c r="A30" s="21"/>
      <c r="B30" s="1"/>
      <c r="C30" s="123"/>
      <c r="D30" s="259"/>
      <c r="E30" s="259"/>
      <c r="F30" s="259"/>
      <c r="G30" s="259"/>
      <c r="H30" s="258"/>
      <c r="J30" s="127" t="s">
        <v>96</v>
      </c>
      <c r="K30" s="222"/>
      <c r="L30" s="6"/>
      <c r="M30" s="6"/>
      <c r="N30" s="6"/>
      <c r="O30" s="107"/>
    </row>
    <row r="31" spans="1:21" ht="15" thickBot="1" x14ac:dyDescent="0.25">
      <c r="A31" s="21"/>
      <c r="B31" s="1"/>
      <c r="C31" s="1"/>
      <c r="D31" s="1"/>
      <c r="E31" s="1"/>
      <c r="F31" s="1"/>
      <c r="G31" s="1"/>
      <c r="H31" s="1"/>
      <c r="J31" s="151" t="s">
        <v>95</v>
      </c>
      <c r="K31" s="223"/>
      <c r="L31" s="224"/>
      <c r="M31" s="224"/>
      <c r="N31" s="224"/>
      <c r="O31" s="225"/>
    </row>
    <row r="32" spans="1:21" ht="15" thickBot="1" x14ac:dyDescent="0.25">
      <c r="A32" s="21"/>
      <c r="B32" s="149" t="s">
        <v>167</v>
      </c>
      <c r="C32" s="19"/>
      <c r="D32" s="1"/>
      <c r="E32" s="1"/>
      <c r="F32" s="1"/>
      <c r="G32" s="1"/>
      <c r="H32" s="1"/>
    </row>
    <row r="33" spans="1:15" ht="15" thickBot="1" x14ac:dyDescent="0.25">
      <c r="B33" s="149" t="s">
        <v>140</v>
      </c>
      <c r="C33" s="97"/>
      <c r="D33" s="123" t="s">
        <v>81</v>
      </c>
      <c r="E33" s="97" t="s">
        <v>83</v>
      </c>
      <c r="F33" s="97" t="s">
        <v>138</v>
      </c>
      <c r="G33" s="19" t="s">
        <v>139</v>
      </c>
    </row>
    <row r="34" spans="1:15" x14ac:dyDescent="0.2">
      <c r="B34" s="150" t="s">
        <v>92</v>
      </c>
      <c r="C34" s="13"/>
      <c r="D34" s="152"/>
      <c r="E34" s="153"/>
      <c r="F34" s="153"/>
      <c r="G34" s="153"/>
    </row>
    <row r="35" spans="1:15" x14ac:dyDescent="0.2">
      <c r="B35" s="127" t="s">
        <v>93</v>
      </c>
      <c r="C35" s="15"/>
      <c r="D35" s="154"/>
      <c r="E35" s="155"/>
      <c r="F35" s="155"/>
      <c r="G35" s="155"/>
      <c r="K35" s="6" t="s">
        <v>80</v>
      </c>
      <c r="L35" s="6" t="s">
        <v>82</v>
      </c>
      <c r="M35" s="6" t="s">
        <v>85</v>
      </c>
      <c r="N35" s="6" t="s">
        <v>88</v>
      </c>
      <c r="O35" s="6" t="s">
        <v>87</v>
      </c>
    </row>
    <row r="36" spans="1:15" ht="9.75" customHeight="1" x14ac:dyDescent="0.2">
      <c r="B36" s="127" t="s">
        <v>94</v>
      </c>
      <c r="C36" s="15"/>
      <c r="D36" s="154"/>
      <c r="E36" s="155"/>
      <c r="F36" s="155"/>
      <c r="G36" s="155"/>
      <c r="K36" s="6"/>
      <c r="L36" s="6"/>
      <c r="M36" s="6"/>
      <c r="N36" s="6"/>
      <c r="O36" s="6"/>
    </row>
    <row r="37" spans="1:15" x14ac:dyDescent="0.2">
      <c r="B37" s="127" t="s">
        <v>96</v>
      </c>
      <c r="C37" s="15"/>
      <c r="D37" s="154"/>
      <c r="E37" s="155"/>
      <c r="F37" s="155"/>
      <c r="G37" s="155"/>
      <c r="K37" s="6"/>
      <c r="L37" s="6"/>
      <c r="M37" s="6"/>
      <c r="N37" s="6"/>
      <c r="O37" s="6"/>
    </row>
    <row r="38" spans="1:15" ht="15" thickBot="1" x14ac:dyDescent="0.25">
      <c r="B38" s="151" t="s">
        <v>95</v>
      </c>
      <c r="C38" s="5"/>
      <c r="D38" s="154"/>
      <c r="E38" s="155"/>
      <c r="F38" s="155"/>
      <c r="G38" s="155"/>
      <c r="K38" s="6"/>
      <c r="L38" s="6"/>
      <c r="M38" s="6"/>
      <c r="N38" s="6"/>
      <c r="O38" s="6"/>
    </row>
    <row r="39" spans="1:15" x14ac:dyDescent="0.2">
      <c r="K39" s="6"/>
      <c r="L39" s="6"/>
      <c r="M39" s="6"/>
      <c r="N39" s="6"/>
      <c r="O39" s="6"/>
    </row>
    <row r="40" spans="1:15" x14ac:dyDescent="0.2">
      <c r="K40" s="6"/>
      <c r="L40" s="6"/>
      <c r="M40" s="6"/>
      <c r="N40" s="6"/>
      <c r="O40" s="6"/>
    </row>
    <row r="41" spans="1:15" ht="15" thickBot="1" x14ac:dyDescent="0.25"/>
    <row r="42" spans="1:15" ht="15" thickBot="1" x14ac:dyDescent="0.25">
      <c r="A42" s="21" t="s">
        <v>114</v>
      </c>
      <c r="B42" s="149" t="s">
        <v>111</v>
      </c>
      <c r="C42" s="19"/>
      <c r="D42" s="1"/>
      <c r="E42" s="1"/>
      <c r="F42" s="1"/>
      <c r="G42" s="1"/>
      <c r="H42" s="1"/>
    </row>
    <row r="43" spans="1:15" ht="15" thickBot="1" x14ac:dyDescent="0.25">
      <c r="A43" s="21"/>
      <c r="B43" s="98" t="s">
        <v>197</v>
      </c>
      <c r="C43" s="1"/>
      <c r="D43" s="98" t="s">
        <v>81</v>
      </c>
      <c r="E43" s="98" t="s">
        <v>83</v>
      </c>
      <c r="F43" s="98" t="s">
        <v>138</v>
      </c>
      <c r="G43" s="98" t="s">
        <v>139</v>
      </c>
      <c r="H43" s="1"/>
    </row>
    <row r="44" spans="1:15" ht="15" thickBot="1" x14ac:dyDescent="0.25">
      <c r="A44" s="21"/>
      <c r="B44" s="1" t="s">
        <v>92</v>
      </c>
      <c r="D44" s="6"/>
      <c r="E44" s="6"/>
      <c r="F44" s="6"/>
      <c r="G44" s="6"/>
      <c r="K44" s="149" t="s">
        <v>111</v>
      </c>
      <c r="L44" s="19"/>
    </row>
    <row r="45" spans="1:15" x14ac:dyDescent="0.2">
      <c r="A45" s="21"/>
      <c r="B45" s="1" t="s">
        <v>93</v>
      </c>
      <c r="D45" s="6"/>
      <c r="E45" s="6"/>
      <c r="F45" s="6"/>
      <c r="G45" s="6"/>
      <c r="K45" s="6" t="s">
        <v>80</v>
      </c>
      <c r="L45" s="6" t="s">
        <v>82</v>
      </c>
      <c r="M45" s="6" t="s">
        <v>85</v>
      </c>
      <c r="N45" s="6" t="s">
        <v>88</v>
      </c>
      <c r="O45" s="6" t="s">
        <v>87</v>
      </c>
    </row>
    <row r="46" spans="1:15" x14ac:dyDescent="0.2">
      <c r="A46" s="21"/>
      <c r="B46" s="1" t="s">
        <v>94</v>
      </c>
      <c r="D46" s="6"/>
      <c r="E46" s="6"/>
      <c r="F46" s="6"/>
      <c r="G46" s="6"/>
      <c r="K46" s="6"/>
      <c r="L46" s="6"/>
      <c r="M46" s="6"/>
      <c r="N46" s="6"/>
      <c r="O46" s="6"/>
    </row>
    <row r="47" spans="1:15" x14ac:dyDescent="0.2">
      <c r="A47" s="21"/>
      <c r="B47" s="1" t="s">
        <v>96</v>
      </c>
      <c r="D47" s="6"/>
      <c r="E47" s="6"/>
      <c r="F47" s="6"/>
      <c r="G47" s="6"/>
      <c r="K47" s="6"/>
      <c r="L47" s="6"/>
      <c r="M47" s="6"/>
      <c r="N47" s="6"/>
      <c r="O47" s="6"/>
    </row>
    <row r="48" spans="1:15" x14ac:dyDescent="0.2">
      <c r="A48" s="21"/>
      <c r="B48" s="1" t="s">
        <v>109</v>
      </c>
      <c r="D48" s="6"/>
      <c r="E48" s="6"/>
      <c r="F48" s="6"/>
      <c r="G48" s="6"/>
      <c r="K48" s="6"/>
      <c r="L48" s="6"/>
      <c r="M48" s="6"/>
      <c r="N48" s="6"/>
      <c r="O48" s="6"/>
    </row>
    <row r="49" spans="1:15" x14ac:dyDescent="0.2">
      <c r="A49" s="21"/>
      <c r="B49" s="1"/>
      <c r="C49" s="1"/>
      <c r="D49" s="1"/>
      <c r="E49" s="1"/>
      <c r="F49" s="1"/>
      <c r="G49" s="1"/>
      <c r="H49" s="1"/>
      <c r="K49" s="6"/>
      <c r="L49" s="6"/>
      <c r="M49" s="6"/>
      <c r="N49" s="6"/>
      <c r="O49" s="6"/>
    </row>
    <row r="50" spans="1:15" ht="15" thickBot="1" x14ac:dyDescent="0.25">
      <c r="A50" s="21"/>
      <c r="B50" s="1"/>
      <c r="C50" s="1"/>
      <c r="D50" s="1"/>
      <c r="E50" s="1"/>
      <c r="F50" s="1"/>
      <c r="G50" s="1"/>
      <c r="H50" s="1"/>
      <c r="K50" s="6"/>
      <c r="L50" s="6"/>
      <c r="M50" s="6"/>
      <c r="N50" s="6"/>
      <c r="O50" s="6"/>
    </row>
    <row r="51" spans="1:15" ht="15" thickBot="1" x14ac:dyDescent="0.25">
      <c r="A51" s="21" t="s">
        <v>115</v>
      </c>
      <c r="B51" s="149" t="s">
        <v>112</v>
      </c>
      <c r="C51" s="19"/>
      <c r="D51" s="1"/>
      <c r="E51" s="1"/>
      <c r="F51" s="1"/>
      <c r="G51" s="1"/>
      <c r="H51" s="1"/>
    </row>
    <row r="52" spans="1:15" ht="15" thickBot="1" x14ac:dyDescent="0.25">
      <c r="A52" s="21"/>
      <c r="B52" s="108" t="s">
        <v>113</v>
      </c>
      <c r="C52" s="1"/>
      <c r="D52" s="98" t="s">
        <v>81</v>
      </c>
      <c r="E52" s="98" t="s">
        <v>83</v>
      </c>
      <c r="F52" s="98" t="s">
        <v>138</v>
      </c>
      <c r="G52" s="98" t="s">
        <v>139</v>
      </c>
      <c r="H52" s="1"/>
    </row>
    <row r="53" spans="1:15" ht="15" thickBot="1" x14ac:dyDescent="0.25">
      <c r="A53" s="21"/>
      <c r="B53" s="1" t="s">
        <v>92</v>
      </c>
      <c r="D53" s="6"/>
      <c r="E53" s="6"/>
      <c r="F53" s="6"/>
      <c r="G53" s="6"/>
      <c r="K53" s="149" t="s">
        <v>112</v>
      </c>
      <c r="L53" s="19"/>
    </row>
    <row r="54" spans="1:15" x14ac:dyDescent="0.2">
      <c r="A54" s="21"/>
      <c r="B54" s="1" t="s">
        <v>93</v>
      </c>
      <c r="D54" s="6"/>
      <c r="E54" s="6"/>
      <c r="F54" s="6"/>
      <c r="G54" s="6"/>
      <c r="K54" s="6" t="s">
        <v>80</v>
      </c>
      <c r="L54" s="6" t="s">
        <v>82</v>
      </c>
      <c r="M54" s="6" t="s">
        <v>85</v>
      </c>
      <c r="N54" s="6" t="s">
        <v>88</v>
      </c>
      <c r="O54" s="6" t="s">
        <v>87</v>
      </c>
    </row>
    <row r="55" spans="1:15" x14ac:dyDescent="0.2">
      <c r="A55" s="21"/>
      <c r="B55" s="1" t="s">
        <v>94</v>
      </c>
      <c r="D55" s="6"/>
      <c r="E55" s="6"/>
      <c r="F55" s="6"/>
      <c r="G55" s="6"/>
      <c r="K55" s="6"/>
      <c r="L55" s="6"/>
      <c r="M55" s="6"/>
      <c r="N55" s="6"/>
      <c r="O55" s="6"/>
    </row>
    <row r="56" spans="1:15" x14ac:dyDescent="0.2">
      <c r="A56" s="21"/>
      <c r="B56" s="1" t="s">
        <v>96</v>
      </c>
      <c r="D56" s="6"/>
      <c r="E56" s="6"/>
      <c r="F56" s="6"/>
      <c r="G56" s="6"/>
      <c r="K56" s="6"/>
      <c r="L56" s="6"/>
      <c r="M56" s="6"/>
      <c r="N56" s="6"/>
      <c r="O56" s="6"/>
    </row>
    <row r="57" spans="1:15" x14ac:dyDescent="0.2">
      <c r="A57" s="21"/>
      <c r="B57" s="1" t="s">
        <v>109</v>
      </c>
      <c r="D57" s="6"/>
      <c r="E57" s="6"/>
      <c r="F57" s="6"/>
      <c r="G57" s="6"/>
      <c r="K57" s="6"/>
      <c r="L57" s="6"/>
      <c r="M57" s="6"/>
      <c r="N57" s="6"/>
      <c r="O57" s="6"/>
    </row>
    <row r="58" spans="1:15" x14ac:dyDescent="0.2">
      <c r="A58" s="21"/>
      <c r="B58" s="1"/>
      <c r="C58" s="1"/>
      <c r="D58" s="1"/>
      <c r="E58" s="1"/>
      <c r="F58" s="1"/>
      <c r="G58" s="1"/>
      <c r="H58" s="1"/>
      <c r="K58" s="6"/>
      <c r="L58" s="6"/>
      <c r="M58" s="6"/>
      <c r="N58" s="6"/>
      <c r="O58" s="6"/>
    </row>
    <row r="59" spans="1:15" ht="15" thickBot="1" x14ac:dyDescent="0.25">
      <c r="A59" s="21"/>
      <c r="C59" s="98"/>
      <c r="D59" s="1"/>
      <c r="E59" s="1"/>
      <c r="F59" s="1"/>
      <c r="G59" s="1"/>
      <c r="H59" s="1"/>
      <c r="K59" s="6"/>
      <c r="L59" s="6"/>
      <c r="M59" s="6"/>
      <c r="N59" s="6"/>
      <c r="O59" s="6"/>
    </row>
    <row r="60" spans="1:15" ht="15" thickBot="1" x14ac:dyDescent="0.25">
      <c r="A60" s="21"/>
      <c r="B60" s="122" t="s">
        <v>117</v>
      </c>
      <c r="C60" s="97"/>
      <c r="D60" s="190" t="s">
        <v>118</v>
      </c>
      <c r="E60" s="97"/>
      <c r="F60" s="97"/>
      <c r="G60" s="2"/>
    </row>
    <row r="62" spans="1:15" x14ac:dyDescent="0.2">
      <c r="K62" s="6" t="s">
        <v>80</v>
      </c>
      <c r="L62" s="6" t="s">
        <v>82</v>
      </c>
      <c r="M62" s="6" t="s">
        <v>85</v>
      </c>
      <c r="N62" s="6" t="s">
        <v>88</v>
      </c>
      <c r="O62" s="6" t="s">
        <v>87</v>
      </c>
    </row>
    <row r="67" spans="2:15" ht="15" thickBot="1" x14ac:dyDescent="0.25"/>
    <row r="68" spans="2:15" ht="15" thickBot="1" x14ac:dyDescent="0.25">
      <c r="B68" s="122" t="s">
        <v>116</v>
      </c>
      <c r="C68" s="97"/>
      <c r="D68" s="97"/>
      <c r="E68" s="97"/>
      <c r="F68" s="97"/>
      <c r="G68" s="19"/>
    </row>
    <row r="70" spans="2:15" x14ac:dyDescent="0.2">
      <c r="K70" s="6" t="s">
        <v>80</v>
      </c>
      <c r="L70" s="6" t="s">
        <v>82</v>
      </c>
      <c r="M70" s="6" t="s">
        <v>85</v>
      </c>
      <c r="N70" s="6" t="s">
        <v>88</v>
      </c>
      <c r="O70" s="6" t="s">
        <v>87</v>
      </c>
    </row>
    <row r="73" spans="2:15" ht="15" thickBot="1" x14ac:dyDescent="0.25">
      <c r="D73" s="98" t="s">
        <v>81</v>
      </c>
      <c r="E73" s="98" t="s">
        <v>83</v>
      </c>
      <c r="F73" s="98" t="s">
        <v>138</v>
      </c>
      <c r="G73" s="98" t="s">
        <v>139</v>
      </c>
    </row>
    <row r="74" spans="2:15" ht="15" thickBot="1" x14ac:dyDescent="0.25">
      <c r="B74" s="122" t="s">
        <v>119</v>
      </c>
      <c r="C74" s="97"/>
      <c r="D74" s="97"/>
      <c r="E74" s="97"/>
      <c r="F74" s="97"/>
      <c r="G74" s="19"/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baseColWidth="10" defaultColWidth="9" defaultRowHeight="14" x14ac:dyDescent="0.2"/>
  <sheetData/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5" sqref="J25"/>
    </sheetView>
  </sheetViews>
  <sheetFormatPr baseColWidth="10" defaultColWidth="9" defaultRowHeight="14" x14ac:dyDescent="0.2"/>
  <sheetData/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3"/>
  <sheetViews>
    <sheetView tabSelected="1" topLeftCell="A2" zoomScale="50" zoomScaleNormal="90" zoomScaleSheetLayoutView="100" workbookViewId="0">
      <selection activeCell="R36" sqref="R36"/>
    </sheetView>
  </sheetViews>
  <sheetFormatPr baseColWidth="10" defaultColWidth="10.59765625" defaultRowHeight="15" x14ac:dyDescent="0.2"/>
  <cols>
    <col min="1" max="1" width="25" style="270" customWidth="1"/>
    <col min="2" max="2" width="17.3984375" style="270" customWidth="1"/>
    <col min="3" max="3" width="23.796875" style="270" bestFit="1" customWidth="1"/>
    <col min="4" max="4" width="21.19921875" style="270" customWidth="1"/>
    <col min="5" max="5" width="21.796875" style="270" bestFit="1" customWidth="1"/>
    <col min="6" max="6" width="12.19921875" style="270" customWidth="1"/>
    <col min="7" max="7" width="15" style="270" customWidth="1"/>
    <col min="8" max="9" width="14" style="270" customWidth="1"/>
    <col min="10" max="10" width="21" style="270" bestFit="1" customWidth="1"/>
    <col min="11" max="11" width="21" style="270" customWidth="1"/>
    <col min="12" max="12" width="21" style="270" bestFit="1" customWidth="1"/>
    <col min="13" max="14" width="45.3984375" style="270" customWidth="1"/>
    <col min="15" max="15" width="14.19921875" style="270" customWidth="1"/>
    <col min="16" max="16" width="10.59765625" style="270" customWidth="1"/>
    <col min="17" max="17" width="21.3984375" style="270" bestFit="1" customWidth="1"/>
    <col min="18" max="19" width="25.3984375" style="270" customWidth="1"/>
    <col min="20" max="20" width="26.19921875" style="270" bestFit="1" customWidth="1"/>
    <col min="21" max="21" width="23" style="270" customWidth="1"/>
    <col min="22" max="22" width="9.3984375" style="270" customWidth="1"/>
    <col min="23" max="24" width="11.19921875" style="270" customWidth="1"/>
    <col min="25" max="25" width="8.59765625" style="270" customWidth="1"/>
    <col min="26" max="26" width="24" style="270" customWidth="1"/>
    <col min="27" max="28" width="8.796875" style="270" customWidth="1"/>
    <col min="29" max="29" width="6" style="270" customWidth="1"/>
    <col min="30" max="16384" width="10.59765625" style="270"/>
  </cols>
  <sheetData>
    <row r="1" spans="1:29" x14ac:dyDescent="0.2">
      <c r="A1" s="271" t="s">
        <v>236</v>
      </c>
      <c r="B1" s="271">
        <v>1.5</v>
      </c>
      <c r="E1" s="288" t="s">
        <v>260</v>
      </c>
      <c r="F1" s="289"/>
      <c r="G1" s="289"/>
      <c r="H1" s="290"/>
      <c r="I1" s="270" t="s">
        <v>266</v>
      </c>
      <c r="J1" s="270">
        <v>225</v>
      </c>
    </row>
    <row r="2" spans="1:29" x14ac:dyDescent="0.2">
      <c r="E2" s="285" t="s">
        <v>255</v>
      </c>
      <c r="F2" s="283" t="s">
        <v>256</v>
      </c>
      <c r="G2" s="283" t="s">
        <v>257</v>
      </c>
      <c r="H2" s="284" t="s">
        <v>258</v>
      </c>
      <c r="I2" s="270" t="s">
        <v>273</v>
      </c>
      <c r="J2" s="270">
        <v>1</v>
      </c>
    </row>
    <row r="3" spans="1:29" ht="19" x14ac:dyDescent="0.25">
      <c r="A3" s="271" t="s">
        <v>247</v>
      </c>
      <c r="B3" s="271" t="s">
        <v>237</v>
      </c>
      <c r="E3" s="297" t="s">
        <v>290</v>
      </c>
      <c r="F3" s="298">
        <v>3000</v>
      </c>
      <c r="G3" s="299" t="s">
        <v>259</v>
      </c>
      <c r="H3" s="300">
        <v>140</v>
      </c>
      <c r="I3" s="295"/>
      <c r="W3"/>
      <c r="X3"/>
      <c r="Y3"/>
      <c r="Z3"/>
      <c r="AA3"/>
    </row>
    <row r="4" spans="1:29" ht="19" x14ac:dyDescent="0.25">
      <c r="A4" s="271" t="s">
        <v>248</v>
      </c>
      <c r="B4" s="271" t="s">
        <v>238</v>
      </c>
      <c r="E4" s="261"/>
      <c r="F4" s="301"/>
      <c r="G4" s="302"/>
      <c r="H4" s="296"/>
      <c r="I4" s="296"/>
      <c r="W4"/>
      <c r="X4"/>
      <c r="Y4"/>
      <c r="Z4"/>
      <c r="AA4"/>
    </row>
    <row r="5" spans="1:29" x14ac:dyDescent="0.2">
      <c r="A5" s="271" t="s">
        <v>249</v>
      </c>
      <c r="B5" s="271" t="s">
        <v>239</v>
      </c>
      <c r="E5" s="261"/>
      <c r="F5" s="303"/>
      <c r="G5" s="303"/>
      <c r="H5" s="296"/>
      <c r="I5" s="296"/>
      <c r="W5"/>
      <c r="X5"/>
      <c r="Y5"/>
      <c r="Z5"/>
      <c r="AA5"/>
    </row>
    <row r="6" spans="1:29" ht="19" x14ac:dyDescent="0.25">
      <c r="A6" s="271" t="s">
        <v>250</v>
      </c>
      <c r="B6" s="271" t="s">
        <v>240</v>
      </c>
      <c r="E6" s="261"/>
      <c r="F6" s="296"/>
      <c r="G6" s="302"/>
      <c r="H6" s="296"/>
      <c r="I6" s="296"/>
      <c r="W6"/>
      <c r="X6"/>
      <c r="Y6"/>
      <c r="Z6"/>
      <c r="AA6"/>
    </row>
    <row r="7" spans="1:29" ht="19" x14ac:dyDescent="0.25">
      <c r="A7" s="277"/>
      <c r="B7" s="277"/>
      <c r="E7" s="261"/>
      <c r="F7" s="296"/>
      <c r="G7" s="304"/>
      <c r="H7" s="296"/>
      <c r="I7" s="296"/>
      <c r="W7"/>
      <c r="X7"/>
      <c r="Y7"/>
      <c r="Z7"/>
      <c r="AA7"/>
    </row>
    <row r="8" spans="1:29" x14ac:dyDescent="0.2">
      <c r="A8" s="274"/>
      <c r="B8" s="270" t="s">
        <v>246</v>
      </c>
      <c r="Y8"/>
      <c r="Z8"/>
      <c r="AA8"/>
      <c r="AB8"/>
      <c r="AC8"/>
    </row>
    <row r="9" spans="1:29" x14ac:dyDescent="0.2">
      <c r="R9"/>
      <c r="S9"/>
      <c r="T9"/>
      <c r="U9"/>
      <c r="V9"/>
      <c r="W9"/>
      <c r="X9"/>
      <c r="Y9"/>
      <c r="Z9"/>
      <c r="AA9"/>
      <c r="AB9"/>
      <c r="AC9"/>
    </row>
    <row r="10" spans="1:29" x14ac:dyDescent="0.2">
      <c r="A10" s="270" t="s">
        <v>242</v>
      </c>
      <c r="B10" s="270" t="s">
        <v>244</v>
      </c>
      <c r="C10" s="270" t="s">
        <v>271</v>
      </c>
      <c r="D10" s="270" t="s">
        <v>270</v>
      </c>
      <c r="E10" s="270" t="s">
        <v>269</v>
      </c>
      <c r="F10" s="270" t="s">
        <v>267</v>
      </c>
      <c r="G10" s="270" t="s">
        <v>231</v>
      </c>
      <c r="H10" s="270" t="s">
        <v>268</v>
      </c>
      <c r="I10" s="270" t="s">
        <v>289</v>
      </c>
      <c r="J10" s="270" t="s">
        <v>272</v>
      </c>
      <c r="K10" s="270" t="s">
        <v>293</v>
      </c>
      <c r="L10" s="270" t="s">
        <v>276</v>
      </c>
      <c r="M10" s="270" t="s">
        <v>262</v>
      </c>
      <c r="N10"/>
      <c r="O10"/>
      <c r="P10"/>
      <c r="Q10"/>
      <c r="R10"/>
      <c r="S10"/>
      <c r="T10"/>
      <c r="U10"/>
      <c r="V10"/>
      <c r="W10"/>
      <c r="X10"/>
      <c r="Y10"/>
    </row>
    <row r="11" spans="1:29" x14ac:dyDescent="0.2">
      <c r="A11" s="270" t="str">
        <f>'Current base situation'!$AL$19</f>
        <v>Venlo</v>
      </c>
      <c r="B11" s="270" t="s">
        <v>232</v>
      </c>
      <c r="C11" s="270">
        <v>1.25</v>
      </c>
      <c r="D11" s="278">
        <f>1-SUM(D12:D14)</f>
        <v>0.20000000000000007</v>
      </c>
      <c r="E11" s="270">
        <f>D11*HLOOKUP(A11,'Current base situation'!$19:$22,4,0)</f>
        <v>1200.0000000000005</v>
      </c>
      <c r="F11" s="270">
        <f>E11/C11</f>
        <v>960.00000000000034</v>
      </c>
      <c r="G11" s="270">
        <f t="shared" ref="G11:G50" si="0">ROUNDDOWN($B$1/C11,0)</f>
        <v>1</v>
      </c>
      <c r="H11" s="270">
        <f>F11/G11</f>
        <v>960.00000000000034</v>
      </c>
      <c r="I11" s="270">
        <f>ROUNDUP(H11/14,0)</f>
        <v>69</v>
      </c>
      <c r="J11" s="286">
        <f>IF(I11/2&gt;$J$1,IF(I11/2/$J$1&gt;ROUNDDOWN(I11/2/$J$1,0),IF(I11/2/$J$1-ROUNDDOWN(I11/2/$J$1,0)&gt;0.5,ROUNDUP(I11/2/$J$1,0),"one day "&amp;ROUNDDOWN(I11/2/$J$1,0)&amp;", next day "&amp;ROUNDUP(I11/2/$J$1,0)),I11/2/$J$1),1)</f>
        <v>1</v>
      </c>
      <c r="K11" s="286">
        <f>C11*G11*14</f>
        <v>17.5</v>
      </c>
      <c r="L11" s="286">
        <f>IF(I11/2&gt;$J$1,IF(I11/2/$J$1&gt;ROUNDDOWN(I11/2/$J$1,0),IF(I11/2/$J$1-ROUNDDOWN(I11/2/$J$1,0)&gt;0.5,ROUNDUP(I11/2/ROUNDUP(I11/2/$J$1,0),0),IF(I11/2-2*(I11/2/(ROUNDDOWN(I11/2/$J$1,0)+ROUNDUP(I11/2/$J$1,0)))&lt;ROUNDUP(I11/2/$J$1,0),2*ROUNDDOWN((I11/2/(ROUNDDOWN(I11/2/$J$1,0)+ROUNDUP(I11/2/$J$1,0))),0)+1&amp;", last day ending with "&amp;ROUNDDOWN(I11/2/$J$1,0),2*ROUNDDOWN((I11/2/(ROUNDDOWN(I11/2/$J$1,0)+ROUNDUP(I11/2/$J$1,0))),0)+1&amp;", last day ending with "&amp;ROUNDUP(I11/2/$J$1,0))),225),ROUNDUP(I11/2,0))</f>
        <v>35</v>
      </c>
      <c r="M11" s="270" t="s">
        <v>3</v>
      </c>
      <c r="P11"/>
      <c r="Q11"/>
      <c r="R11"/>
      <c r="S11"/>
      <c r="T11"/>
      <c r="U11"/>
      <c r="V11"/>
      <c r="W11"/>
      <c r="X11"/>
      <c r="Y11"/>
      <c r="Z11"/>
      <c r="AA11"/>
    </row>
    <row r="12" spans="1:29" x14ac:dyDescent="0.2">
      <c r="A12" s="270" t="str">
        <f>'Current base situation'!$AL$19</f>
        <v>Venlo</v>
      </c>
      <c r="B12" s="270" t="s">
        <v>233</v>
      </c>
      <c r="C12" s="270">
        <v>1.25</v>
      </c>
      <c r="D12" s="273">
        <v>0.6</v>
      </c>
      <c r="E12" s="270">
        <f>D12*HLOOKUP(A12,'Current base situation'!$19:$22,4,0)</f>
        <v>3600</v>
      </c>
      <c r="F12" s="270">
        <f t="shared" ref="F12:F50" si="1">E12/C12</f>
        <v>2880</v>
      </c>
      <c r="G12" s="270">
        <f t="shared" si="0"/>
        <v>1</v>
      </c>
      <c r="H12" s="270">
        <f t="shared" ref="H12:H50" si="2">F12/G12</f>
        <v>2880</v>
      </c>
      <c r="I12" s="270">
        <f t="shared" ref="I12:I75" si="3">ROUNDUP(H12/14,0)</f>
        <v>206</v>
      </c>
      <c r="J12" s="286">
        <f t="shared" ref="J12:J50" si="4">IF(I12/2&gt;$J$1,IF(I12/2/$J$1&gt;ROUNDDOWN(I12/2/$J$1,0),IF(I12/2/$J$1-ROUNDDOWN(I12/2/$J$1,0)&gt;0.5,ROUNDUP(I12/2/$J$1,0),"one day "&amp;ROUNDDOWN(I12/2/$J$1,0)&amp;", next day "&amp;ROUNDUP(I12/2/$J$1,0)),I12/2/$J$1),1)</f>
        <v>1</v>
      </c>
      <c r="K12" s="286">
        <f t="shared" ref="K12:K50" si="5">C12*G12*14</f>
        <v>17.5</v>
      </c>
      <c r="L12" s="286">
        <f t="shared" ref="L12:L50" si="6">IF(I12/2&gt;$J$1,IF(I12/2/$J$1&gt;ROUNDDOWN(I12/2/$J$1,0),IF(I12/2/$J$1-ROUNDDOWN(I12/2/$J$1,0)&gt;0.5,ROUNDUP(I12/2/ROUNDUP(I12/2/$J$1,0),0),IF(I12/2-2*(I12/2/(ROUNDDOWN(I12/2/$J$1,0)+ROUNDUP(I12/2/$J$1,0)))&lt;ROUNDUP(I12/2/$J$1,0),2*ROUNDDOWN((I12/2/(ROUNDDOWN(I12/2/$J$1,0)+ROUNDUP(I12/2/$J$1,0))),0)+1&amp;", last day ending with "&amp;ROUNDDOWN(I12/2/$J$1,0),2*ROUNDDOWN((I12/2/(ROUNDDOWN(I12/2/$J$1,0)+ROUNDUP(I12/2/$J$1,0))),0)+1&amp;", last day ending with "&amp;ROUNDUP(I12/2/$J$1,0))),225),ROUNDUP(I12/2,0))</f>
        <v>103</v>
      </c>
      <c r="M12" s="270" t="s">
        <v>3</v>
      </c>
      <c r="P12"/>
      <c r="Q12"/>
      <c r="R12"/>
      <c r="S12"/>
      <c r="T12"/>
      <c r="U12"/>
      <c r="V12"/>
      <c r="X12"/>
      <c r="Y12"/>
      <c r="Z12"/>
    </row>
    <row r="13" spans="1:29" x14ac:dyDescent="0.2">
      <c r="A13" s="270" t="str">
        <f>'Current base situation'!$AL$19</f>
        <v>Venlo</v>
      </c>
      <c r="B13" s="270" t="s">
        <v>234</v>
      </c>
      <c r="C13" s="270">
        <v>1.5</v>
      </c>
      <c r="D13" s="273">
        <v>0.1</v>
      </c>
      <c r="E13" s="270">
        <f>D13*HLOOKUP(A13,'Current base situation'!$19:$22,4,0)</f>
        <v>600</v>
      </c>
      <c r="F13" s="270">
        <f t="shared" si="1"/>
        <v>400</v>
      </c>
      <c r="G13" s="270">
        <f t="shared" si="0"/>
        <v>1</v>
      </c>
      <c r="H13" s="270">
        <f t="shared" si="2"/>
        <v>400</v>
      </c>
      <c r="I13" s="270">
        <f t="shared" si="3"/>
        <v>29</v>
      </c>
      <c r="J13" s="286">
        <f t="shared" si="4"/>
        <v>1</v>
      </c>
      <c r="K13" s="286">
        <f t="shared" si="5"/>
        <v>21</v>
      </c>
      <c r="L13" s="286">
        <f t="shared" si="6"/>
        <v>15</v>
      </c>
      <c r="M13" s="270" t="s">
        <v>3</v>
      </c>
      <c r="P13"/>
      <c r="Q13"/>
      <c r="X13"/>
      <c r="Y13"/>
      <c r="Z13"/>
    </row>
    <row r="14" spans="1:29" x14ac:dyDescent="0.2">
      <c r="A14" s="270" t="str">
        <f>'Current base situation'!$AL$19</f>
        <v>Venlo</v>
      </c>
      <c r="B14" s="270" t="s">
        <v>235</v>
      </c>
      <c r="C14" s="270">
        <v>0.5</v>
      </c>
      <c r="D14" s="273">
        <v>0.1</v>
      </c>
      <c r="E14" s="270">
        <f>D14*HLOOKUP(A14,'Current base situation'!$19:$22,4,0)</f>
        <v>600</v>
      </c>
      <c r="F14" s="270">
        <f t="shared" si="1"/>
        <v>1200</v>
      </c>
      <c r="G14" s="270">
        <f t="shared" si="0"/>
        <v>3</v>
      </c>
      <c r="H14" s="270">
        <f t="shared" si="2"/>
        <v>400</v>
      </c>
      <c r="I14" s="270">
        <f t="shared" si="3"/>
        <v>29</v>
      </c>
      <c r="J14" s="286">
        <f t="shared" si="4"/>
        <v>1</v>
      </c>
      <c r="K14" s="286">
        <f t="shared" si="5"/>
        <v>21</v>
      </c>
      <c r="L14" s="286">
        <f t="shared" si="6"/>
        <v>15</v>
      </c>
      <c r="M14" s="270" t="s">
        <v>3</v>
      </c>
      <c r="P14"/>
      <c r="Q14"/>
      <c r="R14" s="287"/>
      <c r="S14" s="287"/>
      <c r="T14" s="287"/>
      <c r="U14" s="287"/>
      <c r="V14"/>
      <c r="X14"/>
      <c r="Y14"/>
      <c r="Z14"/>
    </row>
    <row r="15" spans="1:29" x14ac:dyDescent="0.2">
      <c r="A15" s="270" t="str">
        <f>'Current base situation'!$AP$19</f>
        <v>Wolfsburg</v>
      </c>
      <c r="B15" s="270" t="s">
        <v>232</v>
      </c>
      <c r="C15" s="270">
        <v>1.25</v>
      </c>
      <c r="D15" s="278">
        <f>1-SUM(D16:D18)</f>
        <v>0.29999999999999993</v>
      </c>
      <c r="E15" s="270">
        <f>D15*HLOOKUP(A15,'Current base situation'!$19:$22,4,0)</f>
        <v>3599.9999999999991</v>
      </c>
      <c r="F15" s="270">
        <f t="shared" si="1"/>
        <v>2879.9999999999991</v>
      </c>
      <c r="G15" s="270">
        <f t="shared" si="0"/>
        <v>1</v>
      </c>
      <c r="H15" s="270">
        <f t="shared" si="2"/>
        <v>2879.9999999999991</v>
      </c>
      <c r="I15" s="270">
        <f t="shared" si="3"/>
        <v>206</v>
      </c>
      <c r="J15" s="286">
        <f t="shared" si="4"/>
        <v>1</v>
      </c>
      <c r="K15" s="286">
        <f t="shared" si="5"/>
        <v>17.5</v>
      </c>
      <c r="L15" s="286">
        <f t="shared" si="6"/>
        <v>103</v>
      </c>
      <c r="M15" s="270" t="s">
        <v>3</v>
      </c>
      <c r="P15"/>
      <c r="Q15"/>
      <c r="R15" s="276"/>
      <c r="S15" s="276"/>
      <c r="T15" s="276"/>
      <c r="U15" s="276"/>
      <c r="V15" s="276"/>
      <c r="X15"/>
      <c r="Y15"/>
      <c r="Z15"/>
    </row>
    <row r="16" spans="1:29" x14ac:dyDescent="0.2">
      <c r="A16" s="270" t="str">
        <f>'Current base situation'!$AP$19</f>
        <v>Wolfsburg</v>
      </c>
      <c r="B16" s="270" t="s">
        <v>233</v>
      </c>
      <c r="C16" s="270">
        <v>1.25</v>
      </c>
      <c r="D16" s="273">
        <v>0.4</v>
      </c>
      <c r="E16" s="270">
        <f>D16*HLOOKUP(A16,'Current base situation'!$19:$22,4,0)</f>
        <v>4800</v>
      </c>
      <c r="F16" s="270">
        <f t="shared" si="1"/>
        <v>3840</v>
      </c>
      <c r="G16" s="270">
        <f t="shared" si="0"/>
        <v>1</v>
      </c>
      <c r="H16" s="270">
        <f t="shared" si="2"/>
        <v>3840</v>
      </c>
      <c r="I16" s="270">
        <f t="shared" si="3"/>
        <v>275</v>
      </c>
      <c r="J16" s="286">
        <f t="shared" si="4"/>
        <v>1</v>
      </c>
      <c r="K16" s="286">
        <f t="shared" si="5"/>
        <v>17.5</v>
      </c>
      <c r="L16" s="286">
        <f t="shared" si="6"/>
        <v>138</v>
      </c>
      <c r="M16" s="270" t="s">
        <v>3</v>
      </c>
      <c r="P16"/>
      <c r="Q16"/>
      <c r="S16"/>
      <c r="T16"/>
      <c r="U16"/>
      <c r="V16"/>
      <c r="X16"/>
      <c r="Y16"/>
      <c r="Z16"/>
    </row>
    <row r="17" spans="1:26" x14ac:dyDescent="0.2">
      <c r="A17" s="270" t="str">
        <f>'Current base situation'!$AP$19</f>
        <v>Wolfsburg</v>
      </c>
      <c r="B17" s="270" t="s">
        <v>234</v>
      </c>
      <c r="C17" s="270">
        <v>1.5</v>
      </c>
      <c r="D17" s="273">
        <v>0.2</v>
      </c>
      <c r="E17" s="270">
        <f>D17*HLOOKUP(A17,'Current base situation'!$19:$22,4,0)</f>
        <v>2400</v>
      </c>
      <c r="F17" s="270">
        <f t="shared" si="1"/>
        <v>1600</v>
      </c>
      <c r="G17" s="270">
        <f t="shared" si="0"/>
        <v>1</v>
      </c>
      <c r="H17" s="270">
        <f t="shared" si="2"/>
        <v>1600</v>
      </c>
      <c r="I17" s="270">
        <f t="shared" si="3"/>
        <v>115</v>
      </c>
      <c r="J17" s="286">
        <f t="shared" si="4"/>
        <v>1</v>
      </c>
      <c r="K17" s="286">
        <f t="shared" si="5"/>
        <v>21</v>
      </c>
      <c r="L17" s="286">
        <f t="shared" si="6"/>
        <v>58</v>
      </c>
      <c r="M17" s="270" t="s">
        <v>3</v>
      </c>
      <c r="P17"/>
      <c r="Q17"/>
      <c r="R17"/>
      <c r="S17"/>
      <c r="T17"/>
      <c r="U17"/>
      <c r="V17"/>
      <c r="X17"/>
      <c r="Y17"/>
      <c r="Z17"/>
    </row>
    <row r="18" spans="1:26" x14ac:dyDescent="0.2">
      <c r="A18" s="270" t="str">
        <f>'Current base situation'!$AP$19</f>
        <v>Wolfsburg</v>
      </c>
      <c r="B18" s="270" t="s">
        <v>235</v>
      </c>
      <c r="C18" s="270">
        <v>0.5</v>
      </c>
      <c r="D18" s="273">
        <v>0.1</v>
      </c>
      <c r="E18" s="270">
        <f>D18*HLOOKUP(A18,'Current base situation'!$19:$22,4,0)</f>
        <v>1200</v>
      </c>
      <c r="F18" s="270">
        <f t="shared" si="1"/>
        <v>2400</v>
      </c>
      <c r="G18" s="270">
        <f t="shared" si="0"/>
        <v>3</v>
      </c>
      <c r="H18" s="270">
        <f t="shared" si="2"/>
        <v>800</v>
      </c>
      <c r="I18" s="270">
        <f t="shared" si="3"/>
        <v>58</v>
      </c>
      <c r="J18" s="286">
        <f t="shared" si="4"/>
        <v>1</v>
      </c>
      <c r="K18" s="286">
        <f t="shared" si="5"/>
        <v>21</v>
      </c>
      <c r="L18" s="286">
        <f t="shared" si="6"/>
        <v>29</v>
      </c>
      <c r="M18" s="270" t="s">
        <v>3</v>
      </c>
      <c r="P18"/>
      <c r="Q18"/>
      <c r="R18"/>
      <c r="S18"/>
      <c r="T18"/>
      <c r="U18"/>
      <c r="V18"/>
      <c r="X18"/>
      <c r="Y18"/>
      <c r="Z18"/>
    </row>
    <row r="19" spans="1:26" x14ac:dyDescent="0.2">
      <c r="A19" s="270" t="str">
        <f>'Current base situation'!$AR$19</f>
        <v>Saarbrucke</v>
      </c>
      <c r="B19" s="270" t="s">
        <v>232</v>
      </c>
      <c r="C19" s="270">
        <v>1.25</v>
      </c>
      <c r="D19" s="278">
        <f>1-SUM(D20:D22)</f>
        <v>0.20000000000000007</v>
      </c>
      <c r="E19" s="270">
        <f>D19*HLOOKUP(A19,'Current base situation'!$19:$22,4,0)</f>
        <v>1200.0000000000005</v>
      </c>
      <c r="F19" s="270">
        <f t="shared" si="1"/>
        <v>960.00000000000034</v>
      </c>
      <c r="G19" s="270">
        <f t="shared" si="0"/>
        <v>1</v>
      </c>
      <c r="H19" s="270">
        <f t="shared" si="2"/>
        <v>960.00000000000034</v>
      </c>
      <c r="I19" s="270">
        <f t="shared" si="3"/>
        <v>69</v>
      </c>
      <c r="J19" s="286">
        <f t="shared" si="4"/>
        <v>1</v>
      </c>
      <c r="K19" s="286">
        <f t="shared" si="5"/>
        <v>17.5</v>
      </c>
      <c r="L19" s="286">
        <f t="shared" si="6"/>
        <v>35</v>
      </c>
      <c r="M19" s="270" t="s">
        <v>3</v>
      </c>
      <c r="X19"/>
      <c r="Y19"/>
      <c r="Z19"/>
    </row>
    <row r="20" spans="1:26" x14ac:dyDescent="0.2">
      <c r="A20" s="270" t="str">
        <f>'Current base situation'!$AR$19</f>
        <v>Saarbrucke</v>
      </c>
      <c r="B20" s="270" t="s">
        <v>233</v>
      </c>
      <c r="C20" s="270">
        <v>1.25</v>
      </c>
      <c r="D20" s="273">
        <v>0.3</v>
      </c>
      <c r="E20" s="270">
        <f>D20*HLOOKUP(A20,'Current base situation'!$19:$22,4,0)</f>
        <v>1800</v>
      </c>
      <c r="F20" s="270">
        <f t="shared" si="1"/>
        <v>1440</v>
      </c>
      <c r="G20" s="270">
        <f t="shared" si="0"/>
        <v>1</v>
      </c>
      <c r="H20" s="270">
        <f t="shared" si="2"/>
        <v>1440</v>
      </c>
      <c r="I20" s="270">
        <f t="shared" si="3"/>
        <v>103</v>
      </c>
      <c r="J20" s="286">
        <f t="shared" si="4"/>
        <v>1</v>
      </c>
      <c r="K20" s="286">
        <f t="shared" si="5"/>
        <v>17.5</v>
      </c>
      <c r="L20" s="286">
        <f t="shared" si="6"/>
        <v>52</v>
      </c>
      <c r="M20" s="270" t="s">
        <v>3</v>
      </c>
      <c r="P20"/>
      <c r="Q20"/>
      <c r="R20"/>
      <c r="S20"/>
    </row>
    <row r="21" spans="1:26" x14ac:dyDescent="0.2">
      <c r="A21" s="270" t="str">
        <f>'Current base situation'!$AR$19</f>
        <v>Saarbrucke</v>
      </c>
      <c r="B21" s="270" t="s">
        <v>234</v>
      </c>
      <c r="C21" s="270">
        <v>1.5</v>
      </c>
      <c r="D21" s="273">
        <v>0.35</v>
      </c>
      <c r="E21" s="270">
        <f>D21*HLOOKUP(A21,'Current base situation'!$19:$22,4,0)</f>
        <v>2100</v>
      </c>
      <c r="F21" s="270">
        <f t="shared" si="1"/>
        <v>1400</v>
      </c>
      <c r="G21" s="270">
        <f t="shared" si="0"/>
        <v>1</v>
      </c>
      <c r="H21" s="270">
        <f t="shared" si="2"/>
        <v>1400</v>
      </c>
      <c r="I21" s="270">
        <f t="shared" si="3"/>
        <v>100</v>
      </c>
      <c r="J21" s="286">
        <f t="shared" si="4"/>
        <v>1</v>
      </c>
      <c r="K21" s="286">
        <f t="shared" si="5"/>
        <v>21</v>
      </c>
      <c r="L21" s="286">
        <f t="shared" si="6"/>
        <v>50</v>
      </c>
      <c r="M21" s="270" t="s">
        <v>3</v>
      </c>
      <c r="P21"/>
      <c r="Q21"/>
      <c r="R21"/>
      <c r="S21"/>
    </row>
    <row r="22" spans="1:26" x14ac:dyDescent="0.2">
      <c r="A22" s="270" t="str">
        <f>'Current base situation'!$AR$19</f>
        <v>Saarbrucke</v>
      </c>
      <c r="B22" s="270" t="s">
        <v>235</v>
      </c>
      <c r="C22" s="270">
        <v>0.5</v>
      </c>
      <c r="D22" s="273">
        <v>0.15</v>
      </c>
      <c r="E22" s="270">
        <f>D22*HLOOKUP(A22,'Current base situation'!$19:$22,4,0)</f>
        <v>900</v>
      </c>
      <c r="F22" s="270">
        <f t="shared" si="1"/>
        <v>1800</v>
      </c>
      <c r="G22" s="270">
        <f t="shared" si="0"/>
        <v>3</v>
      </c>
      <c r="H22" s="270">
        <f t="shared" si="2"/>
        <v>600</v>
      </c>
      <c r="I22" s="270">
        <f t="shared" si="3"/>
        <v>43</v>
      </c>
      <c r="J22" s="286">
        <f t="shared" si="4"/>
        <v>1</v>
      </c>
      <c r="K22" s="286">
        <f t="shared" si="5"/>
        <v>21</v>
      </c>
      <c r="L22" s="286">
        <f t="shared" si="6"/>
        <v>22</v>
      </c>
      <c r="M22" s="270" t="s">
        <v>3</v>
      </c>
      <c r="P22"/>
      <c r="Q22"/>
      <c r="R22"/>
      <c r="S22"/>
    </row>
    <row r="23" spans="1:26" x14ac:dyDescent="0.2">
      <c r="A23" s="270" t="str">
        <f>'Current base situation'!$AX$19</f>
        <v>Praha CZ</v>
      </c>
      <c r="B23" s="270" t="s">
        <v>232</v>
      </c>
      <c r="C23" s="270">
        <v>1.25</v>
      </c>
      <c r="D23" s="278">
        <f>1-SUM(D24:D26)</f>
        <v>0.4</v>
      </c>
      <c r="E23" s="270">
        <f>D23*HLOOKUP(A23,'Current base situation'!$19:$22,4,0)</f>
        <v>2400</v>
      </c>
      <c r="F23" s="270">
        <f t="shared" si="1"/>
        <v>1920</v>
      </c>
      <c r="G23" s="270">
        <f t="shared" si="0"/>
        <v>1</v>
      </c>
      <c r="H23" s="270">
        <f t="shared" si="2"/>
        <v>1920</v>
      </c>
      <c r="I23" s="270">
        <f t="shared" si="3"/>
        <v>138</v>
      </c>
      <c r="J23" s="286">
        <f t="shared" si="4"/>
        <v>1</v>
      </c>
      <c r="K23" s="286">
        <f t="shared" si="5"/>
        <v>17.5</v>
      </c>
      <c r="L23" s="286">
        <f t="shared" si="6"/>
        <v>69</v>
      </c>
      <c r="M23" s="270" t="s">
        <v>3</v>
      </c>
      <c r="P23"/>
      <c r="Q23"/>
      <c r="R23"/>
      <c r="S23"/>
    </row>
    <row r="24" spans="1:26" x14ac:dyDescent="0.2">
      <c r="A24" s="270" t="str">
        <f>'Current base situation'!$AX$19</f>
        <v>Praha CZ</v>
      </c>
      <c r="B24" s="270" t="s">
        <v>233</v>
      </c>
      <c r="C24" s="270">
        <v>1.25</v>
      </c>
      <c r="D24" s="273">
        <v>0.1</v>
      </c>
      <c r="E24" s="270">
        <f>D24*HLOOKUP(A24,'Current base situation'!$19:$22,4,0)</f>
        <v>600</v>
      </c>
      <c r="F24" s="270">
        <f t="shared" si="1"/>
        <v>480</v>
      </c>
      <c r="G24" s="270">
        <f t="shared" si="0"/>
        <v>1</v>
      </c>
      <c r="H24" s="270">
        <f t="shared" si="2"/>
        <v>480</v>
      </c>
      <c r="I24" s="270">
        <f t="shared" si="3"/>
        <v>35</v>
      </c>
      <c r="J24" s="286">
        <f t="shared" si="4"/>
        <v>1</v>
      </c>
      <c r="K24" s="286">
        <f t="shared" si="5"/>
        <v>17.5</v>
      </c>
      <c r="L24" s="286">
        <f t="shared" si="6"/>
        <v>18</v>
      </c>
      <c r="M24" s="270" t="s">
        <v>3</v>
      </c>
      <c r="P24"/>
      <c r="Q24"/>
      <c r="R24"/>
      <c r="S24"/>
    </row>
    <row r="25" spans="1:26" x14ac:dyDescent="0.2">
      <c r="A25" s="270" t="str">
        <f>'Current base situation'!$AX$19</f>
        <v>Praha CZ</v>
      </c>
      <c r="B25" s="270" t="s">
        <v>234</v>
      </c>
      <c r="C25" s="270">
        <v>1.5</v>
      </c>
      <c r="D25" s="273">
        <v>0.4</v>
      </c>
      <c r="E25" s="270">
        <f>D25*HLOOKUP(A25,'Current base situation'!$19:$22,4,0)</f>
        <v>2400</v>
      </c>
      <c r="F25" s="270">
        <f t="shared" si="1"/>
        <v>1600</v>
      </c>
      <c r="G25" s="270">
        <f t="shared" si="0"/>
        <v>1</v>
      </c>
      <c r="H25" s="270">
        <f t="shared" si="2"/>
        <v>1600</v>
      </c>
      <c r="I25" s="270">
        <f t="shared" si="3"/>
        <v>115</v>
      </c>
      <c r="J25" s="286">
        <f t="shared" si="4"/>
        <v>1</v>
      </c>
      <c r="K25" s="286">
        <f t="shared" si="5"/>
        <v>21</v>
      </c>
      <c r="L25" s="286">
        <f t="shared" si="6"/>
        <v>58</v>
      </c>
      <c r="M25" s="270" t="s">
        <v>3</v>
      </c>
      <c r="P25"/>
      <c r="Q25"/>
      <c r="R25"/>
      <c r="S25"/>
    </row>
    <row r="26" spans="1:26" x14ac:dyDescent="0.2">
      <c r="A26" s="270" t="str">
        <f>'Current base situation'!$AX$19</f>
        <v>Praha CZ</v>
      </c>
      <c r="B26" s="270" t="s">
        <v>235</v>
      </c>
      <c r="C26" s="270">
        <v>0.5</v>
      </c>
      <c r="D26" s="273">
        <v>0.1</v>
      </c>
      <c r="E26" s="270">
        <f>D26*HLOOKUP(A26,'Current base situation'!$19:$22,4,0)</f>
        <v>600</v>
      </c>
      <c r="F26" s="270">
        <f t="shared" si="1"/>
        <v>1200</v>
      </c>
      <c r="G26" s="270">
        <f t="shared" si="0"/>
        <v>3</v>
      </c>
      <c r="H26" s="270">
        <f t="shared" si="2"/>
        <v>400</v>
      </c>
      <c r="I26" s="270">
        <f t="shared" si="3"/>
        <v>29</v>
      </c>
      <c r="J26" s="286">
        <f t="shared" si="4"/>
        <v>1</v>
      </c>
      <c r="K26" s="286">
        <f t="shared" si="5"/>
        <v>21</v>
      </c>
      <c r="L26" s="286">
        <f t="shared" si="6"/>
        <v>15</v>
      </c>
      <c r="M26" s="270" t="s">
        <v>3</v>
      </c>
      <c r="P26"/>
      <c r="Q26"/>
      <c r="R26"/>
      <c r="S26"/>
    </row>
    <row r="27" spans="1:26" x14ac:dyDescent="0.2">
      <c r="A27" s="270" t="str">
        <f>'Current base situation'!$BB$19</f>
        <v>Bilbao It.</v>
      </c>
      <c r="B27" s="270" t="s">
        <v>232</v>
      </c>
      <c r="C27" s="270">
        <v>1.25</v>
      </c>
      <c r="D27" s="278">
        <f>1-SUM(D28:D30)</f>
        <v>0.5</v>
      </c>
      <c r="E27" s="270">
        <f>D27*HLOOKUP(A27,'Current base situation'!$19:$22,4,0)</f>
        <v>3000</v>
      </c>
      <c r="F27" s="270">
        <f t="shared" si="1"/>
        <v>2400</v>
      </c>
      <c r="G27" s="270">
        <f t="shared" si="0"/>
        <v>1</v>
      </c>
      <c r="H27" s="270">
        <f t="shared" si="2"/>
        <v>2400</v>
      </c>
      <c r="I27" s="270">
        <f t="shared" si="3"/>
        <v>172</v>
      </c>
      <c r="J27" s="286">
        <f t="shared" si="4"/>
        <v>1</v>
      </c>
      <c r="K27" s="286">
        <f t="shared" si="5"/>
        <v>17.5</v>
      </c>
      <c r="L27" s="286">
        <f t="shared" si="6"/>
        <v>86</v>
      </c>
      <c r="M27" s="270" t="s">
        <v>3</v>
      </c>
      <c r="P27"/>
      <c r="Q27"/>
      <c r="R27"/>
      <c r="S27"/>
    </row>
    <row r="28" spans="1:26" x14ac:dyDescent="0.2">
      <c r="A28" s="270" t="str">
        <f>'Current base situation'!$BB$19</f>
        <v>Bilbao It.</v>
      </c>
      <c r="B28" s="270" t="s">
        <v>233</v>
      </c>
      <c r="C28" s="270">
        <v>1.25</v>
      </c>
      <c r="D28" s="273">
        <v>0.2</v>
      </c>
      <c r="E28" s="270">
        <f>D28*HLOOKUP(A28,'Current base situation'!$19:$22,4,0)</f>
        <v>1200</v>
      </c>
      <c r="F28" s="270">
        <f t="shared" si="1"/>
        <v>960</v>
      </c>
      <c r="G28" s="270">
        <f t="shared" si="0"/>
        <v>1</v>
      </c>
      <c r="H28" s="270">
        <f t="shared" si="2"/>
        <v>960</v>
      </c>
      <c r="I28" s="270">
        <f t="shared" si="3"/>
        <v>69</v>
      </c>
      <c r="J28" s="286">
        <f t="shared" si="4"/>
        <v>1</v>
      </c>
      <c r="K28" s="286">
        <f t="shared" si="5"/>
        <v>17.5</v>
      </c>
      <c r="L28" s="286">
        <f t="shared" si="6"/>
        <v>35</v>
      </c>
      <c r="M28" s="270" t="s">
        <v>3</v>
      </c>
      <c r="P28"/>
      <c r="Q28"/>
      <c r="R28"/>
      <c r="S28"/>
    </row>
    <row r="29" spans="1:26" x14ac:dyDescent="0.2">
      <c r="A29" s="270" t="str">
        <f>'Current base situation'!$BB$19</f>
        <v>Bilbao It.</v>
      </c>
      <c r="B29" s="270" t="s">
        <v>234</v>
      </c>
      <c r="C29" s="270">
        <v>1.5</v>
      </c>
      <c r="D29" s="273">
        <v>0.1</v>
      </c>
      <c r="E29" s="270">
        <f>D29*HLOOKUP(A29,'Current base situation'!$19:$22,4,0)</f>
        <v>600</v>
      </c>
      <c r="F29" s="270">
        <f t="shared" si="1"/>
        <v>400</v>
      </c>
      <c r="G29" s="270">
        <f t="shared" si="0"/>
        <v>1</v>
      </c>
      <c r="H29" s="270">
        <f t="shared" si="2"/>
        <v>400</v>
      </c>
      <c r="I29" s="270">
        <f t="shared" si="3"/>
        <v>29</v>
      </c>
      <c r="J29" s="286">
        <f t="shared" si="4"/>
        <v>1</v>
      </c>
      <c r="K29" s="286">
        <f t="shared" si="5"/>
        <v>21</v>
      </c>
      <c r="L29" s="286">
        <f t="shared" si="6"/>
        <v>15</v>
      </c>
      <c r="M29" s="270" t="s">
        <v>3</v>
      </c>
      <c r="P29"/>
      <c r="Q29"/>
      <c r="R29"/>
      <c r="S29"/>
    </row>
    <row r="30" spans="1:26" x14ac:dyDescent="0.2">
      <c r="A30" s="270" t="str">
        <f>'Current base situation'!$BB$19</f>
        <v>Bilbao It.</v>
      </c>
      <c r="B30" s="270" t="s">
        <v>235</v>
      </c>
      <c r="C30" s="270">
        <v>0.5</v>
      </c>
      <c r="D30" s="273">
        <v>0.2</v>
      </c>
      <c r="E30" s="270">
        <f>D30*HLOOKUP(A30,'Current base situation'!$19:$22,4,0)</f>
        <v>1200</v>
      </c>
      <c r="F30" s="270">
        <f t="shared" si="1"/>
        <v>2400</v>
      </c>
      <c r="G30" s="270">
        <f t="shared" si="0"/>
        <v>3</v>
      </c>
      <c r="H30" s="270">
        <f t="shared" si="2"/>
        <v>800</v>
      </c>
      <c r="I30" s="270">
        <f t="shared" si="3"/>
        <v>58</v>
      </c>
      <c r="J30" s="286">
        <f t="shared" si="4"/>
        <v>1</v>
      </c>
      <c r="K30" s="286">
        <f t="shared" si="5"/>
        <v>21</v>
      </c>
      <c r="L30" s="286">
        <f t="shared" si="6"/>
        <v>29</v>
      </c>
      <c r="M30" s="270" t="s">
        <v>3</v>
      </c>
      <c r="Q30"/>
      <c r="S30"/>
    </row>
    <row r="31" spans="1:26" x14ac:dyDescent="0.2">
      <c r="A31" s="270" t="str">
        <f>'Current base situation'!$AN$19</f>
        <v xml:space="preserve">Germersheim  </v>
      </c>
      <c r="B31" s="270" t="s">
        <v>232</v>
      </c>
      <c r="C31" s="270">
        <v>1.25</v>
      </c>
      <c r="D31" s="278">
        <f>1-SUM(D32:D34)</f>
        <v>0.25</v>
      </c>
      <c r="E31" s="270">
        <f>D31*HLOOKUP(A31,'Current base situation'!$19:$22,4,0)</f>
        <v>1500</v>
      </c>
      <c r="F31" s="270">
        <f t="shared" si="1"/>
        <v>1200</v>
      </c>
      <c r="G31" s="270">
        <f t="shared" si="0"/>
        <v>1</v>
      </c>
      <c r="H31" s="270">
        <f t="shared" si="2"/>
        <v>1200</v>
      </c>
      <c r="I31" s="270">
        <f t="shared" si="3"/>
        <v>86</v>
      </c>
      <c r="J31" s="286">
        <f t="shared" si="4"/>
        <v>1</v>
      </c>
      <c r="K31" s="286">
        <f t="shared" si="5"/>
        <v>17.5</v>
      </c>
      <c r="L31" s="286">
        <f t="shared" si="6"/>
        <v>43</v>
      </c>
      <c r="M31" s="270" t="s">
        <v>3</v>
      </c>
      <c r="P31"/>
      <c r="Q31"/>
      <c r="S31"/>
    </row>
    <row r="32" spans="1:26" x14ac:dyDescent="0.2">
      <c r="A32" s="270" t="str">
        <f>'Current base situation'!$AN$19</f>
        <v xml:space="preserve">Germersheim  </v>
      </c>
      <c r="B32" s="270" t="s">
        <v>233</v>
      </c>
      <c r="C32" s="270">
        <v>1.25</v>
      </c>
      <c r="D32" s="273">
        <v>0.45</v>
      </c>
      <c r="E32" s="270">
        <f>D32*HLOOKUP(A32,'Current base situation'!$19:$22,4,0)</f>
        <v>2700</v>
      </c>
      <c r="F32" s="270">
        <f t="shared" si="1"/>
        <v>2160</v>
      </c>
      <c r="G32" s="270">
        <f t="shared" si="0"/>
        <v>1</v>
      </c>
      <c r="H32" s="270">
        <f t="shared" si="2"/>
        <v>2160</v>
      </c>
      <c r="I32" s="270">
        <f t="shared" si="3"/>
        <v>155</v>
      </c>
      <c r="J32" s="286">
        <f t="shared" si="4"/>
        <v>1</v>
      </c>
      <c r="K32" s="286">
        <f t="shared" si="5"/>
        <v>17.5</v>
      </c>
      <c r="L32" s="286">
        <f t="shared" si="6"/>
        <v>78</v>
      </c>
      <c r="M32" s="270" t="s">
        <v>3</v>
      </c>
      <c r="P32"/>
      <c r="Q32"/>
      <c r="S32"/>
    </row>
    <row r="33" spans="1:19" x14ac:dyDescent="0.2">
      <c r="A33" s="270" t="str">
        <f>'Current base situation'!$AN$19</f>
        <v xml:space="preserve">Germersheim  </v>
      </c>
      <c r="B33" s="270" t="s">
        <v>234</v>
      </c>
      <c r="C33" s="270">
        <v>1.5</v>
      </c>
      <c r="D33" s="273">
        <v>0.2</v>
      </c>
      <c r="E33" s="270">
        <f>D33*HLOOKUP(A33,'Current base situation'!$19:$22,4,0)</f>
        <v>1200</v>
      </c>
      <c r="F33" s="270">
        <f t="shared" si="1"/>
        <v>800</v>
      </c>
      <c r="G33" s="270">
        <f t="shared" si="0"/>
        <v>1</v>
      </c>
      <c r="H33" s="270">
        <f t="shared" si="2"/>
        <v>800</v>
      </c>
      <c r="I33" s="270">
        <f t="shared" si="3"/>
        <v>58</v>
      </c>
      <c r="J33" s="286">
        <f t="shared" si="4"/>
        <v>1</v>
      </c>
      <c r="K33" s="286">
        <f t="shared" si="5"/>
        <v>21</v>
      </c>
      <c r="L33" s="286">
        <f t="shared" si="6"/>
        <v>29</v>
      </c>
      <c r="M33" s="270" t="s">
        <v>3</v>
      </c>
      <c r="P33"/>
      <c r="Q33"/>
      <c r="S33"/>
    </row>
    <row r="34" spans="1:19" x14ac:dyDescent="0.2">
      <c r="A34" s="270" t="str">
        <f>'Current base situation'!$AN$19</f>
        <v xml:space="preserve">Germersheim  </v>
      </c>
      <c r="B34" s="270" t="s">
        <v>235</v>
      </c>
      <c r="C34" s="270">
        <v>0.5</v>
      </c>
      <c r="D34" s="273">
        <v>0.1</v>
      </c>
      <c r="E34" s="270">
        <f>D34*HLOOKUP(A34,'Current base situation'!$19:$22,4,0)</f>
        <v>600</v>
      </c>
      <c r="F34" s="270">
        <f t="shared" si="1"/>
        <v>1200</v>
      </c>
      <c r="G34" s="270">
        <f t="shared" si="0"/>
        <v>3</v>
      </c>
      <c r="H34" s="270">
        <f t="shared" si="2"/>
        <v>400</v>
      </c>
      <c r="I34" s="270">
        <f t="shared" si="3"/>
        <v>29</v>
      </c>
      <c r="J34" s="286">
        <f t="shared" si="4"/>
        <v>1</v>
      </c>
      <c r="K34" s="286">
        <f t="shared" si="5"/>
        <v>21</v>
      </c>
      <c r="L34" s="286">
        <f t="shared" si="6"/>
        <v>15</v>
      </c>
      <c r="M34" s="270" t="s">
        <v>3</v>
      </c>
      <c r="P34"/>
      <c r="Q34"/>
      <c r="S34"/>
    </row>
    <row r="35" spans="1:19" x14ac:dyDescent="0.2">
      <c r="A35" s="270" t="str">
        <f>'Current base situation'!$AV$19</f>
        <v xml:space="preserve">Torino  It. </v>
      </c>
      <c r="B35" s="270" t="s">
        <v>232</v>
      </c>
      <c r="C35" s="270">
        <v>1.25</v>
      </c>
      <c r="D35" s="278">
        <f>1-SUM(D36:D38)</f>
        <v>0.30000000000000004</v>
      </c>
      <c r="E35" s="270">
        <f>D35*HLOOKUP(A35,'Current base situation'!$19:$22,4,0)</f>
        <v>900.00000000000011</v>
      </c>
      <c r="F35" s="270">
        <f t="shared" si="1"/>
        <v>720.00000000000011</v>
      </c>
      <c r="G35" s="270">
        <f t="shared" si="0"/>
        <v>1</v>
      </c>
      <c r="H35" s="270">
        <f t="shared" si="2"/>
        <v>720.00000000000011</v>
      </c>
      <c r="I35" s="270">
        <f t="shared" si="3"/>
        <v>52</v>
      </c>
      <c r="J35" s="286">
        <f t="shared" si="4"/>
        <v>1</v>
      </c>
      <c r="K35" s="286">
        <f t="shared" si="5"/>
        <v>17.5</v>
      </c>
      <c r="L35" s="286">
        <f t="shared" si="6"/>
        <v>26</v>
      </c>
      <c r="M35" s="270" t="s">
        <v>3</v>
      </c>
      <c r="P35"/>
      <c r="Q35"/>
      <c r="S35"/>
    </row>
    <row r="36" spans="1:19" x14ac:dyDescent="0.2">
      <c r="A36" s="270" t="str">
        <f>'Current base situation'!$AV$19</f>
        <v xml:space="preserve">Torino  It. </v>
      </c>
      <c r="B36" s="270" t="s">
        <v>233</v>
      </c>
      <c r="C36" s="270">
        <v>1.25</v>
      </c>
      <c r="D36" s="273">
        <v>0.3</v>
      </c>
      <c r="E36" s="270">
        <f>D36*HLOOKUP(A36,'Current base situation'!$19:$22,4,0)</f>
        <v>900</v>
      </c>
      <c r="F36" s="270">
        <f t="shared" si="1"/>
        <v>720</v>
      </c>
      <c r="G36" s="270">
        <f t="shared" si="0"/>
        <v>1</v>
      </c>
      <c r="H36" s="270">
        <f t="shared" si="2"/>
        <v>720</v>
      </c>
      <c r="I36" s="270">
        <f t="shared" si="3"/>
        <v>52</v>
      </c>
      <c r="J36" s="286">
        <f t="shared" si="4"/>
        <v>1</v>
      </c>
      <c r="K36" s="286">
        <f t="shared" si="5"/>
        <v>17.5</v>
      </c>
      <c r="L36" s="286">
        <f t="shared" si="6"/>
        <v>26</v>
      </c>
      <c r="M36" s="270" t="s">
        <v>3</v>
      </c>
      <c r="P36"/>
      <c r="Q36"/>
    </row>
    <row r="37" spans="1:19" x14ac:dyDescent="0.2">
      <c r="A37" s="270" t="str">
        <f>'Current base situation'!$AV$19</f>
        <v xml:space="preserve">Torino  It. </v>
      </c>
      <c r="B37" s="270" t="s">
        <v>234</v>
      </c>
      <c r="C37" s="270">
        <v>1.5</v>
      </c>
      <c r="D37" s="273">
        <v>0.3</v>
      </c>
      <c r="E37" s="270">
        <f>D37*HLOOKUP(A37,'Current base situation'!$19:$22,4,0)</f>
        <v>900</v>
      </c>
      <c r="F37" s="270">
        <f t="shared" si="1"/>
        <v>600</v>
      </c>
      <c r="G37" s="270">
        <f t="shared" si="0"/>
        <v>1</v>
      </c>
      <c r="H37" s="270">
        <f t="shared" si="2"/>
        <v>600</v>
      </c>
      <c r="I37" s="270">
        <f t="shared" si="3"/>
        <v>43</v>
      </c>
      <c r="J37" s="286">
        <f t="shared" si="4"/>
        <v>1</v>
      </c>
      <c r="K37" s="286">
        <f t="shared" si="5"/>
        <v>21</v>
      </c>
      <c r="L37" s="286">
        <f t="shared" si="6"/>
        <v>22</v>
      </c>
      <c r="M37" s="270" t="s">
        <v>3</v>
      </c>
      <c r="P37"/>
      <c r="Q37"/>
    </row>
    <row r="38" spans="1:19" x14ac:dyDescent="0.2">
      <c r="A38" s="270" t="str">
        <f>'Current base situation'!$AV$19</f>
        <v xml:space="preserve">Torino  It. </v>
      </c>
      <c r="B38" s="270" t="s">
        <v>235</v>
      </c>
      <c r="C38" s="270">
        <v>0.5</v>
      </c>
      <c r="D38" s="273">
        <v>0.1</v>
      </c>
      <c r="E38" s="270">
        <f>D38*HLOOKUP(A38,'Current base situation'!$19:$22,4,0)</f>
        <v>300</v>
      </c>
      <c r="F38" s="270">
        <f t="shared" si="1"/>
        <v>600</v>
      </c>
      <c r="G38" s="270">
        <f t="shared" si="0"/>
        <v>3</v>
      </c>
      <c r="H38" s="270">
        <f t="shared" si="2"/>
        <v>200</v>
      </c>
      <c r="I38" s="270">
        <f t="shared" si="3"/>
        <v>15</v>
      </c>
      <c r="J38" s="286">
        <f t="shared" si="4"/>
        <v>1</v>
      </c>
      <c r="K38" s="286">
        <f t="shared" si="5"/>
        <v>21</v>
      </c>
      <c r="L38" s="286">
        <f t="shared" si="6"/>
        <v>8</v>
      </c>
      <c r="M38" s="270" t="s">
        <v>3</v>
      </c>
      <c r="P38"/>
      <c r="Q38"/>
    </row>
    <row r="39" spans="1:19" x14ac:dyDescent="0.2">
      <c r="A39" s="270" t="str">
        <f>'Current base situation'!$AT$19</f>
        <v xml:space="preserve">Paris </v>
      </c>
      <c r="B39" s="270" t="s">
        <v>232</v>
      </c>
      <c r="C39" s="270">
        <v>1.25</v>
      </c>
      <c r="D39" s="278">
        <f>1-SUM(D40:D42)</f>
        <v>0.7</v>
      </c>
      <c r="E39" s="270">
        <f>D39*HLOOKUP(A39,'Current base situation'!$19:$22,4,0)</f>
        <v>4200</v>
      </c>
      <c r="F39" s="270">
        <f t="shared" si="1"/>
        <v>3360</v>
      </c>
      <c r="G39" s="270">
        <f t="shared" si="0"/>
        <v>1</v>
      </c>
      <c r="H39" s="270">
        <f t="shared" si="2"/>
        <v>3360</v>
      </c>
      <c r="I39" s="270">
        <f t="shared" si="3"/>
        <v>240</v>
      </c>
      <c r="J39" s="286">
        <f t="shared" si="4"/>
        <v>1</v>
      </c>
      <c r="K39" s="286">
        <f t="shared" si="5"/>
        <v>17.5</v>
      </c>
      <c r="L39" s="286">
        <f t="shared" si="6"/>
        <v>120</v>
      </c>
      <c r="M39" s="270" t="s">
        <v>3</v>
      </c>
      <c r="P39"/>
      <c r="Q39"/>
    </row>
    <row r="40" spans="1:19" x14ac:dyDescent="0.2">
      <c r="A40" s="270" t="str">
        <f>'Current base situation'!$AT$19</f>
        <v xml:space="preserve">Paris </v>
      </c>
      <c r="B40" s="270" t="s">
        <v>233</v>
      </c>
      <c r="C40" s="270">
        <v>1.25</v>
      </c>
      <c r="D40" s="273">
        <v>0.1</v>
      </c>
      <c r="E40" s="270">
        <f>D40*HLOOKUP(A40,'Current base situation'!$19:$22,4,0)</f>
        <v>600</v>
      </c>
      <c r="F40" s="270">
        <f t="shared" si="1"/>
        <v>480</v>
      </c>
      <c r="G40" s="270">
        <f t="shared" si="0"/>
        <v>1</v>
      </c>
      <c r="H40" s="270">
        <f t="shared" si="2"/>
        <v>480</v>
      </c>
      <c r="I40" s="270">
        <f t="shared" si="3"/>
        <v>35</v>
      </c>
      <c r="J40" s="286">
        <f t="shared" si="4"/>
        <v>1</v>
      </c>
      <c r="K40" s="286">
        <f t="shared" si="5"/>
        <v>17.5</v>
      </c>
      <c r="L40" s="286">
        <f t="shared" si="6"/>
        <v>18</v>
      </c>
      <c r="M40" s="270" t="s">
        <v>3</v>
      </c>
      <c r="P40"/>
      <c r="Q40"/>
    </row>
    <row r="41" spans="1:19" x14ac:dyDescent="0.2">
      <c r="A41" s="270" t="str">
        <f>'Current base situation'!$AT$19</f>
        <v xml:space="preserve">Paris </v>
      </c>
      <c r="B41" s="270" t="s">
        <v>234</v>
      </c>
      <c r="C41" s="270">
        <v>1.5</v>
      </c>
      <c r="D41" s="273">
        <v>0.05</v>
      </c>
      <c r="E41" s="270">
        <f>D41*HLOOKUP(A41,'Current base situation'!$19:$22,4,0)</f>
        <v>300</v>
      </c>
      <c r="F41" s="270">
        <f t="shared" si="1"/>
        <v>200</v>
      </c>
      <c r="G41" s="270">
        <f t="shared" si="0"/>
        <v>1</v>
      </c>
      <c r="H41" s="270">
        <f t="shared" si="2"/>
        <v>200</v>
      </c>
      <c r="I41" s="270">
        <f t="shared" si="3"/>
        <v>15</v>
      </c>
      <c r="J41" s="286">
        <f t="shared" si="4"/>
        <v>1</v>
      </c>
      <c r="K41" s="286">
        <f t="shared" si="5"/>
        <v>21</v>
      </c>
      <c r="L41" s="286">
        <f t="shared" si="6"/>
        <v>8</v>
      </c>
      <c r="M41" s="270" t="s">
        <v>3</v>
      </c>
      <c r="Q41"/>
    </row>
    <row r="42" spans="1:19" x14ac:dyDescent="0.2">
      <c r="A42" s="270" t="str">
        <f>'Current base situation'!$AT$19</f>
        <v xml:space="preserve">Paris </v>
      </c>
      <c r="B42" s="270" t="s">
        <v>235</v>
      </c>
      <c r="C42" s="270">
        <v>0.5</v>
      </c>
      <c r="D42" s="273">
        <v>0.15</v>
      </c>
      <c r="E42" s="270">
        <f>D42*HLOOKUP(A42,'Current base situation'!$19:$22,4,0)</f>
        <v>900</v>
      </c>
      <c r="F42" s="270">
        <f t="shared" si="1"/>
        <v>1800</v>
      </c>
      <c r="G42" s="270">
        <f t="shared" si="0"/>
        <v>3</v>
      </c>
      <c r="H42" s="270">
        <f t="shared" si="2"/>
        <v>600</v>
      </c>
      <c r="I42" s="270">
        <f t="shared" si="3"/>
        <v>43</v>
      </c>
      <c r="J42" s="286">
        <f t="shared" si="4"/>
        <v>1</v>
      </c>
      <c r="K42" s="286">
        <f t="shared" si="5"/>
        <v>21</v>
      </c>
      <c r="L42" s="286">
        <f t="shared" si="6"/>
        <v>22</v>
      </c>
      <c r="M42" s="270" t="s">
        <v>3</v>
      </c>
      <c r="P42"/>
      <c r="Q42"/>
    </row>
    <row r="43" spans="1:19" x14ac:dyDescent="0.2">
      <c r="A43" s="270" t="str">
        <f>'Current base situation'!$AZ$19</f>
        <v xml:space="preserve">Genua  </v>
      </c>
      <c r="B43" s="270" t="s">
        <v>232</v>
      </c>
      <c r="C43" s="270">
        <v>1.25</v>
      </c>
      <c r="D43" s="278">
        <f>1-SUM(D44:D46)</f>
        <v>0.19999999999999996</v>
      </c>
      <c r="E43" s="270">
        <f>D43*HLOOKUP(A43,'Current base situation'!$19:$22,4,0)</f>
        <v>1199.9999999999998</v>
      </c>
      <c r="F43" s="270">
        <f t="shared" si="1"/>
        <v>959.99999999999977</v>
      </c>
      <c r="G43" s="270">
        <f t="shared" si="0"/>
        <v>1</v>
      </c>
      <c r="H43" s="270">
        <f t="shared" si="2"/>
        <v>959.99999999999977</v>
      </c>
      <c r="I43" s="270">
        <f t="shared" si="3"/>
        <v>69</v>
      </c>
      <c r="J43" s="286">
        <f t="shared" si="4"/>
        <v>1</v>
      </c>
      <c r="K43" s="286">
        <f t="shared" si="5"/>
        <v>17.5</v>
      </c>
      <c r="L43" s="286">
        <f t="shared" si="6"/>
        <v>35</v>
      </c>
      <c r="M43" s="270" t="s">
        <v>3</v>
      </c>
      <c r="P43"/>
      <c r="Q43"/>
    </row>
    <row r="44" spans="1:19" x14ac:dyDescent="0.2">
      <c r="A44" s="270" t="str">
        <f>'Current base situation'!$AZ$19</f>
        <v xml:space="preserve">Genua  </v>
      </c>
      <c r="B44" s="270" t="s">
        <v>233</v>
      </c>
      <c r="C44" s="270">
        <v>1.25</v>
      </c>
      <c r="D44" s="273">
        <v>0.35</v>
      </c>
      <c r="E44" s="270">
        <f>D44*HLOOKUP(A44,'Current base situation'!$19:$22,4,0)</f>
        <v>2100</v>
      </c>
      <c r="F44" s="270">
        <f t="shared" si="1"/>
        <v>1680</v>
      </c>
      <c r="G44" s="270">
        <f t="shared" si="0"/>
        <v>1</v>
      </c>
      <c r="H44" s="270">
        <f t="shared" si="2"/>
        <v>1680</v>
      </c>
      <c r="I44" s="270">
        <f t="shared" si="3"/>
        <v>120</v>
      </c>
      <c r="J44" s="286">
        <f t="shared" si="4"/>
        <v>1</v>
      </c>
      <c r="K44" s="286">
        <f t="shared" si="5"/>
        <v>17.5</v>
      </c>
      <c r="L44" s="286">
        <f t="shared" si="6"/>
        <v>60</v>
      </c>
      <c r="M44" s="270" t="s">
        <v>3</v>
      </c>
      <c r="P44"/>
      <c r="Q44"/>
    </row>
    <row r="45" spans="1:19" x14ac:dyDescent="0.2">
      <c r="A45" s="270" t="str">
        <f>'Current base situation'!$AZ$19</f>
        <v xml:space="preserve">Genua  </v>
      </c>
      <c r="B45" s="270" t="s">
        <v>234</v>
      </c>
      <c r="C45" s="270">
        <v>1.5</v>
      </c>
      <c r="D45" s="273">
        <v>0.15</v>
      </c>
      <c r="E45" s="270">
        <f>D45*HLOOKUP(A45,'Current base situation'!$19:$22,4,0)</f>
        <v>900</v>
      </c>
      <c r="F45" s="270">
        <f t="shared" si="1"/>
        <v>600</v>
      </c>
      <c r="G45" s="270">
        <f t="shared" si="0"/>
        <v>1</v>
      </c>
      <c r="H45" s="270">
        <f t="shared" si="2"/>
        <v>600</v>
      </c>
      <c r="I45" s="270">
        <f t="shared" si="3"/>
        <v>43</v>
      </c>
      <c r="J45" s="286">
        <f t="shared" si="4"/>
        <v>1</v>
      </c>
      <c r="K45" s="286">
        <f t="shared" si="5"/>
        <v>21</v>
      </c>
      <c r="L45" s="286">
        <f t="shared" si="6"/>
        <v>22</v>
      </c>
      <c r="M45" s="270" t="s">
        <v>3</v>
      </c>
      <c r="P45"/>
      <c r="Q45"/>
    </row>
    <row r="46" spans="1:19" x14ac:dyDescent="0.2">
      <c r="A46" s="270" t="str">
        <f>'Current base situation'!$AZ$19</f>
        <v xml:space="preserve">Genua  </v>
      </c>
      <c r="B46" s="270" t="s">
        <v>235</v>
      </c>
      <c r="C46" s="270">
        <v>0.5</v>
      </c>
      <c r="D46" s="273">
        <v>0.3</v>
      </c>
      <c r="E46" s="270">
        <f>D46*HLOOKUP(A46,'Current base situation'!$19:$22,4,0)</f>
        <v>1800</v>
      </c>
      <c r="F46" s="270">
        <f t="shared" si="1"/>
        <v>3600</v>
      </c>
      <c r="G46" s="270">
        <f t="shared" si="0"/>
        <v>3</v>
      </c>
      <c r="H46" s="270">
        <f t="shared" si="2"/>
        <v>1200</v>
      </c>
      <c r="I46" s="270">
        <f t="shared" si="3"/>
        <v>86</v>
      </c>
      <c r="J46" s="286">
        <f t="shared" si="4"/>
        <v>1</v>
      </c>
      <c r="K46" s="286">
        <f t="shared" si="5"/>
        <v>21</v>
      </c>
      <c r="L46" s="286">
        <f t="shared" si="6"/>
        <v>43</v>
      </c>
      <c r="M46" s="270" t="s">
        <v>3</v>
      </c>
      <c r="P46"/>
      <c r="Q46"/>
    </row>
    <row r="47" spans="1:19" x14ac:dyDescent="0.2">
      <c r="A47" s="270" t="str">
        <f>'Current base situation'!$BD$19</f>
        <v>Munich</v>
      </c>
      <c r="B47" s="270" t="s">
        <v>232</v>
      </c>
      <c r="C47" s="270">
        <v>1.25</v>
      </c>
      <c r="D47" s="278">
        <f>1-SUM(D48:D50)</f>
        <v>0.8</v>
      </c>
      <c r="E47" s="270">
        <f>D47*HLOOKUP(A47,'Current base situation'!$19:$22,4,0)</f>
        <v>2400</v>
      </c>
      <c r="F47" s="270">
        <f t="shared" si="1"/>
        <v>1920</v>
      </c>
      <c r="G47" s="270">
        <f t="shared" si="0"/>
        <v>1</v>
      </c>
      <c r="H47" s="270">
        <f t="shared" si="2"/>
        <v>1920</v>
      </c>
      <c r="I47" s="270">
        <f t="shared" si="3"/>
        <v>138</v>
      </c>
      <c r="J47" s="286">
        <f t="shared" si="4"/>
        <v>1</v>
      </c>
      <c r="K47" s="286">
        <f t="shared" si="5"/>
        <v>17.5</v>
      </c>
      <c r="L47" s="286">
        <f t="shared" si="6"/>
        <v>69</v>
      </c>
      <c r="M47" s="270" t="s">
        <v>3</v>
      </c>
      <c r="P47"/>
      <c r="Q47"/>
    </row>
    <row r="48" spans="1:19" x14ac:dyDescent="0.2">
      <c r="A48" s="270" t="str">
        <f>'Current base situation'!$BD$19</f>
        <v>Munich</v>
      </c>
      <c r="B48" s="270" t="s">
        <v>233</v>
      </c>
      <c r="C48" s="270">
        <v>1.25</v>
      </c>
      <c r="D48" s="273">
        <v>0.05</v>
      </c>
      <c r="E48" s="270">
        <f>D48*HLOOKUP(A48,'Current base situation'!$19:$22,4,0)</f>
        <v>150</v>
      </c>
      <c r="F48" s="270">
        <f t="shared" si="1"/>
        <v>120</v>
      </c>
      <c r="G48" s="270">
        <f t="shared" si="0"/>
        <v>1</v>
      </c>
      <c r="H48" s="270">
        <f t="shared" si="2"/>
        <v>120</v>
      </c>
      <c r="I48" s="270">
        <f t="shared" si="3"/>
        <v>9</v>
      </c>
      <c r="J48" s="286">
        <f t="shared" si="4"/>
        <v>1</v>
      </c>
      <c r="K48" s="286">
        <f t="shared" si="5"/>
        <v>17.5</v>
      </c>
      <c r="L48" s="286">
        <f t="shared" si="6"/>
        <v>5</v>
      </c>
      <c r="M48" s="270" t="s">
        <v>3</v>
      </c>
      <c r="P48"/>
      <c r="Q48"/>
    </row>
    <row r="49" spans="1:17" x14ac:dyDescent="0.2">
      <c r="A49" s="270" t="str">
        <f>'Current base situation'!$BD$19</f>
        <v>Munich</v>
      </c>
      <c r="B49" s="270" t="s">
        <v>234</v>
      </c>
      <c r="C49" s="270">
        <v>1.5</v>
      </c>
      <c r="D49" s="273">
        <v>0.05</v>
      </c>
      <c r="E49" s="270">
        <f>D49*HLOOKUP(A49,'Current base situation'!$19:$22,4,0)</f>
        <v>150</v>
      </c>
      <c r="F49" s="270">
        <f t="shared" si="1"/>
        <v>100</v>
      </c>
      <c r="G49" s="270">
        <f t="shared" si="0"/>
        <v>1</v>
      </c>
      <c r="H49" s="270">
        <f t="shared" si="2"/>
        <v>100</v>
      </c>
      <c r="I49" s="270">
        <f t="shared" si="3"/>
        <v>8</v>
      </c>
      <c r="J49" s="286">
        <f t="shared" si="4"/>
        <v>1</v>
      </c>
      <c r="K49" s="286">
        <f t="shared" si="5"/>
        <v>21</v>
      </c>
      <c r="L49" s="286">
        <f t="shared" si="6"/>
        <v>4</v>
      </c>
      <c r="M49" s="270" t="s">
        <v>3</v>
      </c>
      <c r="P49"/>
      <c r="Q49"/>
    </row>
    <row r="50" spans="1:17" x14ac:dyDescent="0.2">
      <c r="A50" s="270" t="str">
        <f>'Current base situation'!$BD$19</f>
        <v>Munich</v>
      </c>
      <c r="B50" s="270" t="s">
        <v>235</v>
      </c>
      <c r="C50" s="270">
        <v>0.5</v>
      </c>
      <c r="D50" s="273">
        <v>0.1</v>
      </c>
      <c r="E50" s="270">
        <f>D50*HLOOKUP(A50,'Current base situation'!$19:$22,4,0)</f>
        <v>300</v>
      </c>
      <c r="F50" s="270">
        <f t="shared" si="1"/>
        <v>600</v>
      </c>
      <c r="G50" s="270">
        <f t="shared" si="0"/>
        <v>3</v>
      </c>
      <c r="H50" s="270">
        <f t="shared" si="2"/>
        <v>200</v>
      </c>
      <c r="I50" s="270">
        <f t="shared" si="3"/>
        <v>15</v>
      </c>
      <c r="J50" s="286">
        <f t="shared" si="4"/>
        <v>1</v>
      </c>
      <c r="K50" s="286">
        <f t="shared" si="5"/>
        <v>21</v>
      </c>
      <c r="L50" s="286">
        <f t="shared" si="6"/>
        <v>8</v>
      </c>
      <c r="M50" s="270" t="s">
        <v>3</v>
      </c>
      <c r="P50"/>
      <c r="Q50"/>
    </row>
    <row r="51" spans="1:17" x14ac:dyDescent="0.2">
      <c r="A51" s="270" t="str">
        <f>'Current base situation'!$AL$19</f>
        <v>Venlo</v>
      </c>
      <c r="B51" s="270" t="s">
        <v>232</v>
      </c>
      <c r="C51" s="270">
        <v>1.25</v>
      </c>
      <c r="D51" s="278">
        <f>1-SUM(D52:D54)</f>
        <v>0.20000000000000007</v>
      </c>
      <c r="E51" s="270">
        <f>D51*HLOOKUP(A51,'Current base situation'!$19:$25,5,0)</f>
        <v>3000.0000000000009</v>
      </c>
      <c r="F51" s="270">
        <f>E51/C51</f>
        <v>2400.0000000000009</v>
      </c>
      <c r="G51" s="270">
        <f t="shared" ref="G51:G90" si="7">ROUNDDOWN($B$1/C51,0)</f>
        <v>1</v>
      </c>
      <c r="H51" s="270">
        <f>F51/G51</f>
        <v>2400.0000000000009</v>
      </c>
      <c r="I51" s="270">
        <f t="shared" si="3"/>
        <v>172</v>
      </c>
      <c r="J51" s="286"/>
      <c r="K51" s="286"/>
      <c r="L51" s="286"/>
      <c r="M51" s="270" t="s">
        <v>263</v>
      </c>
      <c r="P51"/>
      <c r="Q51"/>
    </row>
    <row r="52" spans="1:17" x14ac:dyDescent="0.2">
      <c r="A52" s="270" t="str">
        <f>'Current base situation'!$AL$19</f>
        <v>Venlo</v>
      </c>
      <c r="B52" s="270" t="s">
        <v>233</v>
      </c>
      <c r="C52" s="270">
        <v>1</v>
      </c>
      <c r="D52" s="273">
        <v>0.6</v>
      </c>
      <c r="E52" s="270">
        <f>D52*HLOOKUP(A52,'Current base situation'!$19:$25,5,0)</f>
        <v>9000</v>
      </c>
      <c r="F52" s="270">
        <f t="shared" ref="F52:F90" si="8">E52/C52</f>
        <v>9000</v>
      </c>
      <c r="G52" s="270">
        <f t="shared" si="7"/>
        <v>1</v>
      </c>
      <c r="H52" s="270">
        <f t="shared" ref="H52:H90" si="9">F52/G52</f>
        <v>9000</v>
      </c>
      <c r="I52" s="270">
        <f t="shared" si="3"/>
        <v>643</v>
      </c>
      <c r="M52" s="270" t="s">
        <v>263</v>
      </c>
    </row>
    <row r="53" spans="1:17" x14ac:dyDescent="0.2">
      <c r="A53" s="270" t="str">
        <f>'Current base situation'!$AL$19</f>
        <v>Venlo</v>
      </c>
      <c r="B53" s="270" t="s">
        <v>234</v>
      </c>
      <c r="C53" s="270">
        <v>1.5</v>
      </c>
      <c r="D53" s="273">
        <v>0.1</v>
      </c>
      <c r="E53" s="270">
        <f>D53*HLOOKUP(A53,'Current base situation'!$19:$25,5,0)</f>
        <v>1500</v>
      </c>
      <c r="F53" s="270">
        <f t="shared" si="8"/>
        <v>1000</v>
      </c>
      <c r="G53" s="270">
        <f t="shared" si="7"/>
        <v>1</v>
      </c>
      <c r="H53" s="270">
        <f t="shared" si="9"/>
        <v>1000</v>
      </c>
      <c r="I53" s="270">
        <f t="shared" si="3"/>
        <v>72</v>
      </c>
      <c r="M53" s="270" t="s">
        <v>263</v>
      </c>
      <c r="P53"/>
      <c r="Q53"/>
    </row>
    <row r="54" spans="1:17" x14ac:dyDescent="0.2">
      <c r="A54" s="270" t="str">
        <f>'Current base situation'!$AL$19</f>
        <v>Venlo</v>
      </c>
      <c r="B54" s="270" t="s">
        <v>235</v>
      </c>
      <c r="C54" s="270">
        <v>0.5</v>
      </c>
      <c r="D54" s="273">
        <v>0.1</v>
      </c>
      <c r="E54" s="270">
        <f>D54*HLOOKUP(A54,'Current base situation'!$19:$25,5,0)</f>
        <v>1500</v>
      </c>
      <c r="F54" s="270">
        <f t="shared" si="8"/>
        <v>3000</v>
      </c>
      <c r="G54" s="270">
        <f t="shared" si="7"/>
        <v>3</v>
      </c>
      <c r="H54" s="270">
        <f t="shared" si="9"/>
        <v>1000</v>
      </c>
      <c r="I54" s="270">
        <f t="shared" si="3"/>
        <v>72</v>
      </c>
      <c r="M54" s="270" t="s">
        <v>263</v>
      </c>
      <c r="P54"/>
      <c r="Q54"/>
    </row>
    <row r="55" spans="1:17" x14ac:dyDescent="0.2">
      <c r="A55" s="270" t="str">
        <f>'Current base situation'!$AP$19</f>
        <v>Wolfsburg</v>
      </c>
      <c r="B55" s="270" t="s">
        <v>232</v>
      </c>
      <c r="C55" s="270">
        <v>1.25</v>
      </c>
      <c r="D55" s="278">
        <f>1-SUM(D56:D58)</f>
        <v>0.29999999999999993</v>
      </c>
      <c r="E55" s="270">
        <f>D55*HLOOKUP(A55,'Current base situation'!$19:$25,5,0)</f>
        <v>8999.9999999999982</v>
      </c>
      <c r="F55" s="270">
        <f t="shared" si="8"/>
        <v>7199.9999999999982</v>
      </c>
      <c r="G55" s="270">
        <f t="shared" si="7"/>
        <v>1</v>
      </c>
      <c r="H55" s="270">
        <f t="shared" si="9"/>
        <v>7199.9999999999982</v>
      </c>
      <c r="I55" s="270">
        <f t="shared" si="3"/>
        <v>515</v>
      </c>
      <c r="M55" s="270" t="s">
        <v>263</v>
      </c>
      <c r="P55"/>
      <c r="Q55"/>
    </row>
    <row r="56" spans="1:17" x14ac:dyDescent="0.2">
      <c r="A56" s="270" t="str">
        <f>'Current base situation'!$AP$19</f>
        <v>Wolfsburg</v>
      </c>
      <c r="B56" s="270" t="s">
        <v>233</v>
      </c>
      <c r="C56" s="270">
        <v>1.25</v>
      </c>
      <c r="D56" s="273">
        <v>0.4</v>
      </c>
      <c r="E56" s="270">
        <f>D56*HLOOKUP(A56,'Current base situation'!$19:$25,5,0)</f>
        <v>12000</v>
      </c>
      <c r="F56" s="270">
        <f t="shared" si="8"/>
        <v>9600</v>
      </c>
      <c r="G56" s="270">
        <f t="shared" si="7"/>
        <v>1</v>
      </c>
      <c r="H56" s="270">
        <f t="shared" si="9"/>
        <v>9600</v>
      </c>
      <c r="I56" s="270">
        <f t="shared" si="3"/>
        <v>686</v>
      </c>
      <c r="M56" s="270" t="s">
        <v>263</v>
      </c>
      <c r="P56"/>
      <c r="Q56"/>
    </row>
    <row r="57" spans="1:17" x14ac:dyDescent="0.2">
      <c r="A57" s="270" t="str">
        <f>'Current base situation'!$AP$19</f>
        <v>Wolfsburg</v>
      </c>
      <c r="B57" s="270" t="s">
        <v>234</v>
      </c>
      <c r="C57" s="270">
        <v>1.5</v>
      </c>
      <c r="D57" s="273">
        <v>0.2</v>
      </c>
      <c r="E57" s="270">
        <f>D57*HLOOKUP(A57,'Current base situation'!$19:$25,5,0)</f>
        <v>6000</v>
      </c>
      <c r="F57" s="270">
        <f t="shared" si="8"/>
        <v>4000</v>
      </c>
      <c r="G57" s="270">
        <f t="shared" si="7"/>
        <v>1</v>
      </c>
      <c r="H57" s="270">
        <f t="shared" si="9"/>
        <v>4000</v>
      </c>
      <c r="I57" s="270">
        <f t="shared" si="3"/>
        <v>286</v>
      </c>
      <c r="J57" s="286"/>
      <c r="K57" s="286"/>
      <c r="L57" s="286"/>
      <c r="M57" s="270" t="s">
        <v>263</v>
      </c>
      <c r="P57"/>
      <c r="Q57"/>
    </row>
    <row r="58" spans="1:17" x14ac:dyDescent="0.2">
      <c r="A58" s="270" t="str">
        <f>'Current base situation'!$AP$19</f>
        <v>Wolfsburg</v>
      </c>
      <c r="B58" s="270" t="s">
        <v>235</v>
      </c>
      <c r="C58" s="270">
        <v>0.5</v>
      </c>
      <c r="D58" s="273">
        <v>0.1</v>
      </c>
      <c r="E58" s="270">
        <f>D58*HLOOKUP(A58,'Current base situation'!$19:$25,5,0)</f>
        <v>3000</v>
      </c>
      <c r="F58" s="270">
        <f t="shared" si="8"/>
        <v>6000</v>
      </c>
      <c r="G58" s="270">
        <f t="shared" si="7"/>
        <v>3</v>
      </c>
      <c r="H58" s="270">
        <f t="shared" si="9"/>
        <v>2000</v>
      </c>
      <c r="I58" s="270">
        <f t="shared" si="3"/>
        <v>143</v>
      </c>
      <c r="M58" s="270" t="s">
        <v>263</v>
      </c>
      <c r="P58"/>
      <c r="Q58"/>
    </row>
    <row r="59" spans="1:17" x14ac:dyDescent="0.2">
      <c r="A59" s="270" t="str">
        <f>'Current base situation'!$AR$19</f>
        <v>Saarbrucke</v>
      </c>
      <c r="B59" s="270" t="s">
        <v>232</v>
      </c>
      <c r="C59" s="270">
        <v>1.25</v>
      </c>
      <c r="D59" s="278">
        <f>1-SUM(D60:D62)</f>
        <v>0.20000000000000007</v>
      </c>
      <c r="E59" s="270">
        <f>D59*HLOOKUP(A59,'Current base situation'!$19:$25,5,0)</f>
        <v>3000.0000000000009</v>
      </c>
      <c r="F59" s="270">
        <f t="shared" si="8"/>
        <v>2400.0000000000009</v>
      </c>
      <c r="G59" s="270">
        <f t="shared" si="7"/>
        <v>1</v>
      </c>
      <c r="H59" s="270">
        <f t="shared" si="9"/>
        <v>2400.0000000000009</v>
      </c>
      <c r="I59" s="270">
        <f t="shared" si="3"/>
        <v>172</v>
      </c>
      <c r="J59" s="286"/>
      <c r="K59" s="286"/>
      <c r="L59" s="286"/>
      <c r="M59" s="270" t="s">
        <v>263</v>
      </c>
      <c r="P59"/>
      <c r="Q59"/>
    </row>
    <row r="60" spans="1:17" x14ac:dyDescent="0.2">
      <c r="A60" s="270" t="str">
        <f>'Current base situation'!$AR$19</f>
        <v>Saarbrucke</v>
      </c>
      <c r="B60" s="270" t="s">
        <v>233</v>
      </c>
      <c r="C60" s="270">
        <v>1.25</v>
      </c>
      <c r="D60" s="273">
        <v>0.3</v>
      </c>
      <c r="E60" s="270">
        <f>D60*HLOOKUP(A60,'Current base situation'!$19:$25,5,0)</f>
        <v>4500</v>
      </c>
      <c r="F60" s="270">
        <f t="shared" si="8"/>
        <v>3600</v>
      </c>
      <c r="G60" s="270">
        <f t="shared" si="7"/>
        <v>1</v>
      </c>
      <c r="H60" s="270">
        <f t="shared" si="9"/>
        <v>3600</v>
      </c>
      <c r="I60" s="270">
        <f t="shared" si="3"/>
        <v>258</v>
      </c>
      <c r="M60" s="270" t="s">
        <v>263</v>
      </c>
      <c r="P60"/>
      <c r="Q60"/>
    </row>
    <row r="61" spans="1:17" x14ac:dyDescent="0.2">
      <c r="A61" s="270" t="str">
        <f>'Current base situation'!$AR$19</f>
        <v>Saarbrucke</v>
      </c>
      <c r="B61" s="270" t="s">
        <v>234</v>
      </c>
      <c r="C61" s="270">
        <v>1.5</v>
      </c>
      <c r="D61" s="273">
        <v>0.35</v>
      </c>
      <c r="E61" s="270">
        <f>D61*HLOOKUP(A61,'Current base situation'!$19:$25,5,0)</f>
        <v>5250</v>
      </c>
      <c r="F61" s="270">
        <f t="shared" si="8"/>
        <v>3500</v>
      </c>
      <c r="G61" s="270">
        <f t="shared" si="7"/>
        <v>1</v>
      </c>
      <c r="H61" s="270">
        <f t="shared" si="9"/>
        <v>3500</v>
      </c>
      <c r="I61" s="270">
        <f t="shared" si="3"/>
        <v>250</v>
      </c>
      <c r="J61" s="286"/>
      <c r="K61" s="286"/>
      <c r="L61" s="286"/>
      <c r="M61" s="270" t="s">
        <v>263</v>
      </c>
      <c r="P61"/>
      <c r="Q61"/>
    </row>
    <row r="62" spans="1:17" x14ac:dyDescent="0.2">
      <c r="A62" s="270" t="str">
        <f>'Current base situation'!$AR$19</f>
        <v>Saarbrucke</v>
      </c>
      <c r="B62" s="270" t="s">
        <v>235</v>
      </c>
      <c r="C62" s="270">
        <v>0.5</v>
      </c>
      <c r="D62" s="273">
        <v>0.15</v>
      </c>
      <c r="E62" s="270">
        <f>D62*HLOOKUP(A62,'Current base situation'!$19:$25,5,0)</f>
        <v>2250</v>
      </c>
      <c r="F62" s="270">
        <f t="shared" si="8"/>
        <v>4500</v>
      </c>
      <c r="G62" s="270">
        <f t="shared" si="7"/>
        <v>3</v>
      </c>
      <c r="H62" s="270">
        <f t="shared" si="9"/>
        <v>1500</v>
      </c>
      <c r="I62" s="270">
        <f t="shared" si="3"/>
        <v>108</v>
      </c>
      <c r="M62" s="270" t="s">
        <v>263</v>
      </c>
      <c r="P62"/>
      <c r="Q62"/>
    </row>
    <row r="63" spans="1:17" x14ac:dyDescent="0.2">
      <c r="A63" s="270" t="str">
        <f>'Current base situation'!$AX$19</f>
        <v>Praha CZ</v>
      </c>
      <c r="B63" s="270" t="s">
        <v>232</v>
      </c>
      <c r="C63" s="270">
        <v>1.25</v>
      </c>
      <c r="D63" s="278">
        <f>1-SUM(D64:D66)</f>
        <v>0.4</v>
      </c>
      <c r="E63" s="270">
        <f>D63*HLOOKUP(A63,'Current base situation'!$19:$25,5,0)</f>
        <v>6000</v>
      </c>
      <c r="F63" s="270">
        <f t="shared" si="8"/>
        <v>4800</v>
      </c>
      <c r="G63" s="270">
        <f t="shared" si="7"/>
        <v>1</v>
      </c>
      <c r="H63" s="270">
        <f t="shared" si="9"/>
        <v>4800</v>
      </c>
      <c r="I63" s="270">
        <f t="shared" si="3"/>
        <v>343</v>
      </c>
      <c r="M63" s="270" t="s">
        <v>263</v>
      </c>
    </row>
    <row r="64" spans="1:17" x14ac:dyDescent="0.2">
      <c r="A64" s="270" t="str">
        <f>'Current base situation'!$AX$19</f>
        <v>Praha CZ</v>
      </c>
      <c r="B64" s="270" t="s">
        <v>233</v>
      </c>
      <c r="C64" s="270">
        <v>1.25</v>
      </c>
      <c r="D64" s="273">
        <v>0.1</v>
      </c>
      <c r="E64" s="270">
        <f>D64*HLOOKUP(A64,'Current base situation'!$19:$25,5,0)</f>
        <v>1500</v>
      </c>
      <c r="F64" s="270">
        <f t="shared" si="8"/>
        <v>1200</v>
      </c>
      <c r="G64" s="270">
        <f t="shared" si="7"/>
        <v>1</v>
      </c>
      <c r="H64" s="270">
        <f t="shared" si="9"/>
        <v>1200</v>
      </c>
      <c r="I64" s="270">
        <f t="shared" si="3"/>
        <v>86</v>
      </c>
      <c r="J64" s="286"/>
      <c r="K64" s="286"/>
      <c r="L64" s="286"/>
      <c r="M64" s="270" t="s">
        <v>263</v>
      </c>
      <c r="P64"/>
      <c r="Q64"/>
    </row>
    <row r="65" spans="1:17" x14ac:dyDescent="0.2">
      <c r="A65" s="270" t="str">
        <f>'Current base situation'!$AX$19</f>
        <v>Praha CZ</v>
      </c>
      <c r="B65" s="270" t="s">
        <v>234</v>
      </c>
      <c r="C65" s="270">
        <v>1.5</v>
      </c>
      <c r="D65" s="273">
        <v>0.4</v>
      </c>
      <c r="E65" s="270">
        <f>D65*HLOOKUP(A65,'Current base situation'!$19:$25,5,0)</f>
        <v>6000</v>
      </c>
      <c r="F65" s="270">
        <f t="shared" si="8"/>
        <v>4000</v>
      </c>
      <c r="G65" s="270">
        <f t="shared" si="7"/>
        <v>1</v>
      </c>
      <c r="H65" s="270">
        <f t="shared" si="9"/>
        <v>4000</v>
      </c>
      <c r="I65" s="270">
        <f t="shared" si="3"/>
        <v>286</v>
      </c>
      <c r="J65" s="286"/>
      <c r="K65" s="286"/>
      <c r="L65" s="286"/>
      <c r="M65" s="270" t="s">
        <v>263</v>
      </c>
      <c r="P65"/>
      <c r="Q65"/>
    </row>
    <row r="66" spans="1:17" x14ac:dyDescent="0.2">
      <c r="A66" s="270" t="str">
        <f>'Current base situation'!$AX$19</f>
        <v>Praha CZ</v>
      </c>
      <c r="B66" s="270" t="s">
        <v>235</v>
      </c>
      <c r="C66" s="270">
        <v>0.5</v>
      </c>
      <c r="D66" s="273">
        <v>0.1</v>
      </c>
      <c r="E66" s="270">
        <f>D66*HLOOKUP(A66,'Current base situation'!$19:$25,5,0)</f>
        <v>1500</v>
      </c>
      <c r="F66" s="270">
        <f t="shared" si="8"/>
        <v>3000</v>
      </c>
      <c r="G66" s="270">
        <f t="shared" si="7"/>
        <v>3</v>
      </c>
      <c r="H66" s="270">
        <f t="shared" si="9"/>
        <v>1000</v>
      </c>
      <c r="I66" s="270">
        <f t="shared" si="3"/>
        <v>72</v>
      </c>
      <c r="M66" s="270" t="s">
        <v>263</v>
      </c>
      <c r="P66"/>
      <c r="Q66"/>
    </row>
    <row r="67" spans="1:17" x14ac:dyDescent="0.2">
      <c r="A67" s="270" t="str">
        <f>'Current base situation'!$BB$19</f>
        <v>Bilbao It.</v>
      </c>
      <c r="B67" s="270" t="s">
        <v>232</v>
      </c>
      <c r="C67" s="270">
        <v>1.25</v>
      </c>
      <c r="D67" s="278">
        <f>1-SUM(D68:D70)</f>
        <v>0.5</v>
      </c>
      <c r="E67" s="270">
        <f>D67*HLOOKUP(A67,'Current base situation'!$19:$25,5,0)</f>
        <v>6000</v>
      </c>
      <c r="F67" s="270">
        <f t="shared" si="8"/>
        <v>4800</v>
      </c>
      <c r="G67" s="270">
        <f t="shared" si="7"/>
        <v>1</v>
      </c>
      <c r="H67" s="270">
        <f t="shared" si="9"/>
        <v>4800</v>
      </c>
      <c r="I67" s="270">
        <f t="shared" si="3"/>
        <v>343</v>
      </c>
      <c r="M67" s="270" t="s">
        <v>263</v>
      </c>
      <c r="P67"/>
      <c r="Q67"/>
    </row>
    <row r="68" spans="1:17" x14ac:dyDescent="0.2">
      <c r="A68" s="270" t="str">
        <f>'Current base situation'!$BB$19</f>
        <v>Bilbao It.</v>
      </c>
      <c r="B68" s="270" t="s">
        <v>233</v>
      </c>
      <c r="C68" s="270">
        <v>1.25</v>
      </c>
      <c r="D68" s="273">
        <v>0.2</v>
      </c>
      <c r="E68" s="270">
        <f>D68*HLOOKUP(A68,'Current base situation'!$19:$25,5,0)</f>
        <v>2400</v>
      </c>
      <c r="F68" s="270">
        <f t="shared" si="8"/>
        <v>1920</v>
      </c>
      <c r="G68" s="270">
        <f t="shared" si="7"/>
        <v>1</v>
      </c>
      <c r="H68" s="270">
        <f t="shared" si="9"/>
        <v>1920</v>
      </c>
      <c r="I68" s="270">
        <f t="shared" si="3"/>
        <v>138</v>
      </c>
      <c r="M68" s="270" t="s">
        <v>263</v>
      </c>
      <c r="P68"/>
      <c r="Q68"/>
    </row>
    <row r="69" spans="1:17" x14ac:dyDescent="0.2">
      <c r="A69" s="270" t="str">
        <f>'Current base situation'!$BB$19</f>
        <v>Bilbao It.</v>
      </c>
      <c r="B69" s="270" t="s">
        <v>234</v>
      </c>
      <c r="C69" s="270">
        <v>1.5</v>
      </c>
      <c r="D69" s="273">
        <v>0.1</v>
      </c>
      <c r="E69" s="270">
        <f>D69*HLOOKUP(A69,'Current base situation'!$19:$25,5,0)</f>
        <v>1200</v>
      </c>
      <c r="F69" s="270">
        <f t="shared" si="8"/>
        <v>800</v>
      </c>
      <c r="G69" s="270">
        <f t="shared" si="7"/>
        <v>1</v>
      </c>
      <c r="H69" s="270">
        <f t="shared" si="9"/>
        <v>800</v>
      </c>
      <c r="I69" s="270">
        <f t="shared" si="3"/>
        <v>58</v>
      </c>
      <c r="M69" s="270" t="s">
        <v>263</v>
      </c>
      <c r="P69"/>
      <c r="Q69"/>
    </row>
    <row r="70" spans="1:17" x14ac:dyDescent="0.2">
      <c r="A70" s="270" t="str">
        <f>'Current base situation'!$BB$19</f>
        <v>Bilbao It.</v>
      </c>
      <c r="B70" s="270" t="s">
        <v>235</v>
      </c>
      <c r="C70" s="270">
        <v>0.5</v>
      </c>
      <c r="D70" s="273">
        <v>0.2</v>
      </c>
      <c r="E70" s="270">
        <f>D70*HLOOKUP(A70,'Current base situation'!$19:$25,5,0)</f>
        <v>2400</v>
      </c>
      <c r="F70" s="270">
        <f t="shared" si="8"/>
        <v>4800</v>
      </c>
      <c r="G70" s="270">
        <f t="shared" si="7"/>
        <v>3</v>
      </c>
      <c r="H70" s="270">
        <f t="shared" si="9"/>
        <v>1600</v>
      </c>
      <c r="I70" s="270">
        <f t="shared" si="3"/>
        <v>115</v>
      </c>
      <c r="M70" s="270" t="s">
        <v>263</v>
      </c>
      <c r="P70"/>
      <c r="Q70"/>
    </row>
    <row r="71" spans="1:17" x14ac:dyDescent="0.2">
      <c r="A71" s="270" t="str">
        <f>'Current base situation'!$AN$19</f>
        <v xml:space="preserve">Germersheim  </v>
      </c>
      <c r="B71" s="270" t="s">
        <v>232</v>
      </c>
      <c r="C71" s="270">
        <v>1.25</v>
      </c>
      <c r="D71" s="278">
        <f>1-SUM(D72:D74)</f>
        <v>0.25</v>
      </c>
      <c r="E71" s="270">
        <f>D71*HLOOKUP(A71,'Current base situation'!$19:$25,5,0)</f>
        <v>3750</v>
      </c>
      <c r="F71" s="270">
        <f t="shared" si="8"/>
        <v>3000</v>
      </c>
      <c r="G71" s="270">
        <f t="shared" si="7"/>
        <v>1</v>
      </c>
      <c r="H71" s="270">
        <f t="shared" si="9"/>
        <v>3000</v>
      </c>
      <c r="I71" s="270">
        <f t="shared" si="3"/>
        <v>215</v>
      </c>
      <c r="J71" s="286"/>
      <c r="K71" s="286"/>
      <c r="L71" s="286"/>
      <c r="M71" s="270" t="s">
        <v>263</v>
      </c>
      <c r="P71"/>
      <c r="Q71"/>
    </row>
    <row r="72" spans="1:17" x14ac:dyDescent="0.2">
      <c r="A72" s="270" t="str">
        <f>'Current base situation'!$AN$19</f>
        <v xml:space="preserve">Germersheim  </v>
      </c>
      <c r="B72" s="270" t="s">
        <v>233</v>
      </c>
      <c r="C72" s="270">
        <v>1.25</v>
      </c>
      <c r="D72" s="273">
        <v>0.45</v>
      </c>
      <c r="E72" s="270">
        <f>D72*HLOOKUP(A72,'Current base situation'!$19:$25,5,0)</f>
        <v>6750</v>
      </c>
      <c r="F72" s="270">
        <f t="shared" si="8"/>
        <v>5400</v>
      </c>
      <c r="G72" s="270">
        <f t="shared" si="7"/>
        <v>1</v>
      </c>
      <c r="H72" s="270">
        <f t="shared" si="9"/>
        <v>5400</v>
      </c>
      <c r="I72" s="270">
        <f t="shared" si="3"/>
        <v>386</v>
      </c>
      <c r="M72" s="270" t="s">
        <v>263</v>
      </c>
      <c r="P72"/>
      <c r="Q72"/>
    </row>
    <row r="73" spans="1:17" x14ac:dyDescent="0.2">
      <c r="A73" s="270" t="str">
        <f>'Current base situation'!$AN$19</f>
        <v xml:space="preserve">Germersheim  </v>
      </c>
      <c r="B73" s="270" t="s">
        <v>234</v>
      </c>
      <c r="C73" s="270">
        <v>1.5</v>
      </c>
      <c r="D73" s="273">
        <v>0.2</v>
      </c>
      <c r="E73" s="270">
        <f>D73*HLOOKUP(A73,'Current base situation'!$19:$25,5,0)</f>
        <v>3000</v>
      </c>
      <c r="F73" s="270">
        <f t="shared" si="8"/>
        <v>2000</v>
      </c>
      <c r="G73" s="270">
        <f t="shared" si="7"/>
        <v>1</v>
      </c>
      <c r="H73" s="270">
        <f t="shared" si="9"/>
        <v>2000</v>
      </c>
      <c r="I73" s="270">
        <f t="shared" si="3"/>
        <v>143</v>
      </c>
      <c r="M73" s="270" t="s">
        <v>263</v>
      </c>
      <c r="P73"/>
      <c r="Q73"/>
    </row>
    <row r="74" spans="1:17" x14ac:dyDescent="0.2">
      <c r="A74" s="270" t="str">
        <f>'Current base situation'!$AN$19</f>
        <v xml:space="preserve">Germersheim  </v>
      </c>
      <c r="B74" s="270" t="s">
        <v>235</v>
      </c>
      <c r="C74" s="270">
        <v>0.5</v>
      </c>
      <c r="D74" s="273">
        <v>0.1</v>
      </c>
      <c r="E74" s="270">
        <f>D74*HLOOKUP(A74,'Current base situation'!$19:$25,5,0)</f>
        <v>1500</v>
      </c>
      <c r="F74" s="270">
        <f t="shared" si="8"/>
        <v>3000</v>
      </c>
      <c r="G74" s="270">
        <f t="shared" si="7"/>
        <v>3</v>
      </c>
      <c r="H74" s="270">
        <f t="shared" si="9"/>
        <v>1000</v>
      </c>
      <c r="I74" s="270">
        <f t="shared" si="3"/>
        <v>72</v>
      </c>
      <c r="M74" s="270" t="s">
        <v>263</v>
      </c>
    </row>
    <row r="75" spans="1:17" x14ac:dyDescent="0.2">
      <c r="A75" s="270" t="str">
        <f>'Current base situation'!$AV$19</f>
        <v xml:space="preserve">Torino  It. </v>
      </c>
      <c r="B75" s="270" t="s">
        <v>232</v>
      </c>
      <c r="C75" s="270">
        <v>1.25</v>
      </c>
      <c r="D75" s="278">
        <f>1-SUM(D76:D78)</f>
        <v>0.30000000000000004</v>
      </c>
      <c r="E75" s="270">
        <f>D75*HLOOKUP(A75,'Current base situation'!$19:$25,5,0)</f>
        <v>2250.0000000000005</v>
      </c>
      <c r="F75" s="270">
        <f t="shared" si="8"/>
        <v>1800.0000000000005</v>
      </c>
      <c r="G75" s="270">
        <f t="shared" si="7"/>
        <v>1</v>
      </c>
      <c r="H75" s="270">
        <f t="shared" si="9"/>
        <v>1800.0000000000005</v>
      </c>
      <c r="I75" s="270">
        <f t="shared" si="3"/>
        <v>129</v>
      </c>
      <c r="J75" s="286"/>
      <c r="K75" s="286"/>
      <c r="L75" s="286"/>
      <c r="M75" s="270" t="s">
        <v>263</v>
      </c>
      <c r="P75"/>
      <c r="Q75"/>
    </row>
    <row r="76" spans="1:17" x14ac:dyDescent="0.2">
      <c r="A76" s="270" t="str">
        <f>'Current base situation'!$AV$19</f>
        <v xml:space="preserve">Torino  It. </v>
      </c>
      <c r="B76" s="270" t="s">
        <v>233</v>
      </c>
      <c r="C76" s="270">
        <v>1.25</v>
      </c>
      <c r="D76" s="273">
        <v>0.3</v>
      </c>
      <c r="E76" s="270">
        <f>D76*HLOOKUP(A76,'Current base situation'!$19:$25,5,0)</f>
        <v>2250</v>
      </c>
      <c r="F76" s="270">
        <f t="shared" si="8"/>
        <v>1800</v>
      </c>
      <c r="G76" s="270">
        <f t="shared" si="7"/>
        <v>1</v>
      </c>
      <c r="H76" s="270">
        <f t="shared" si="9"/>
        <v>1800</v>
      </c>
      <c r="I76" s="270">
        <f t="shared" ref="I76:I138" si="10">ROUNDUP(H76/14,0)</f>
        <v>129</v>
      </c>
      <c r="J76" s="286"/>
      <c r="K76" s="286"/>
      <c r="L76" s="286"/>
      <c r="M76" s="270" t="s">
        <v>263</v>
      </c>
      <c r="P76"/>
      <c r="Q76"/>
    </row>
    <row r="77" spans="1:17" x14ac:dyDescent="0.2">
      <c r="A77" s="270" t="str">
        <f>'Current base situation'!$AV$19</f>
        <v xml:space="preserve">Torino  It. </v>
      </c>
      <c r="B77" s="270" t="s">
        <v>234</v>
      </c>
      <c r="C77" s="270">
        <v>1.5</v>
      </c>
      <c r="D77" s="273">
        <v>0.3</v>
      </c>
      <c r="E77" s="270">
        <f>D77*HLOOKUP(A77,'Current base situation'!$19:$25,5,0)</f>
        <v>2250</v>
      </c>
      <c r="F77" s="270">
        <f t="shared" si="8"/>
        <v>1500</v>
      </c>
      <c r="G77" s="270">
        <f t="shared" si="7"/>
        <v>1</v>
      </c>
      <c r="H77" s="270">
        <f t="shared" si="9"/>
        <v>1500</v>
      </c>
      <c r="I77" s="270">
        <f t="shared" si="10"/>
        <v>108</v>
      </c>
      <c r="M77" s="270" t="s">
        <v>263</v>
      </c>
      <c r="P77"/>
      <c r="Q77"/>
    </row>
    <row r="78" spans="1:17" x14ac:dyDescent="0.2">
      <c r="A78" s="270" t="str">
        <f>'Current base situation'!$AV$19</f>
        <v xml:space="preserve">Torino  It. </v>
      </c>
      <c r="B78" s="270" t="s">
        <v>235</v>
      </c>
      <c r="C78" s="270">
        <v>0.5</v>
      </c>
      <c r="D78" s="273">
        <v>0.1</v>
      </c>
      <c r="E78" s="270">
        <f>D78*HLOOKUP(A78,'Current base situation'!$19:$25,5,0)</f>
        <v>750</v>
      </c>
      <c r="F78" s="270">
        <f t="shared" si="8"/>
        <v>1500</v>
      </c>
      <c r="G78" s="270">
        <f t="shared" si="7"/>
        <v>3</v>
      </c>
      <c r="H78" s="270">
        <f t="shared" si="9"/>
        <v>500</v>
      </c>
      <c r="I78" s="270">
        <f t="shared" si="10"/>
        <v>36</v>
      </c>
      <c r="M78" s="270" t="s">
        <v>263</v>
      </c>
      <c r="P78"/>
      <c r="Q78"/>
    </row>
    <row r="79" spans="1:17" x14ac:dyDescent="0.2">
      <c r="A79" s="270" t="str">
        <f>'Current base situation'!$AT$19</f>
        <v xml:space="preserve">Paris </v>
      </c>
      <c r="B79" s="270" t="s">
        <v>232</v>
      </c>
      <c r="C79" s="270">
        <v>1.25</v>
      </c>
      <c r="D79" s="278">
        <f>1-SUM(D80:D82)</f>
        <v>0.7</v>
      </c>
      <c r="E79" s="270">
        <f>D79*HLOOKUP(A79,'Current base situation'!$19:$25,5,0)</f>
        <v>10500</v>
      </c>
      <c r="F79" s="270">
        <f t="shared" si="8"/>
        <v>8400</v>
      </c>
      <c r="G79" s="270">
        <f t="shared" si="7"/>
        <v>1</v>
      </c>
      <c r="H79" s="270">
        <f t="shared" si="9"/>
        <v>8400</v>
      </c>
      <c r="I79" s="270">
        <f t="shared" si="10"/>
        <v>600</v>
      </c>
      <c r="M79" s="270" t="s">
        <v>263</v>
      </c>
      <c r="P79"/>
      <c r="Q79"/>
    </row>
    <row r="80" spans="1:17" x14ac:dyDescent="0.2">
      <c r="A80" s="270" t="str">
        <f>'Current base situation'!$AT$19</f>
        <v xml:space="preserve">Paris </v>
      </c>
      <c r="B80" s="270" t="s">
        <v>233</v>
      </c>
      <c r="C80" s="270">
        <v>1.25</v>
      </c>
      <c r="D80" s="273">
        <v>0.1</v>
      </c>
      <c r="E80" s="270">
        <f>D80*HLOOKUP(A80,'Current base situation'!$19:$25,5,0)</f>
        <v>1500</v>
      </c>
      <c r="F80" s="270">
        <f t="shared" si="8"/>
        <v>1200</v>
      </c>
      <c r="G80" s="270">
        <f t="shared" si="7"/>
        <v>1</v>
      </c>
      <c r="H80" s="270">
        <f t="shared" si="9"/>
        <v>1200</v>
      </c>
      <c r="I80" s="270">
        <f t="shared" si="10"/>
        <v>86</v>
      </c>
      <c r="J80" s="286"/>
      <c r="K80" s="286"/>
      <c r="L80" s="286"/>
      <c r="M80" s="270" t="s">
        <v>263</v>
      </c>
      <c r="P80"/>
      <c r="Q80"/>
    </row>
    <row r="81" spans="1:17" x14ac:dyDescent="0.2">
      <c r="A81" s="270" t="str">
        <f>'Current base situation'!$AT$19</f>
        <v xml:space="preserve">Paris </v>
      </c>
      <c r="B81" s="270" t="s">
        <v>234</v>
      </c>
      <c r="C81" s="270">
        <v>1.5</v>
      </c>
      <c r="D81" s="273">
        <v>0.05</v>
      </c>
      <c r="E81" s="270">
        <f>D81*HLOOKUP(A81,'Current base situation'!$19:$25,5,0)</f>
        <v>750</v>
      </c>
      <c r="F81" s="270">
        <f t="shared" si="8"/>
        <v>500</v>
      </c>
      <c r="G81" s="270">
        <f t="shared" si="7"/>
        <v>1</v>
      </c>
      <c r="H81" s="270">
        <f t="shared" si="9"/>
        <v>500</v>
      </c>
      <c r="I81" s="270">
        <f t="shared" si="10"/>
        <v>36</v>
      </c>
      <c r="M81" s="270" t="s">
        <v>263</v>
      </c>
      <c r="P81"/>
      <c r="Q81"/>
    </row>
    <row r="82" spans="1:17" x14ac:dyDescent="0.2">
      <c r="A82" s="270" t="str">
        <f>'Current base situation'!$AT$19</f>
        <v xml:space="preserve">Paris </v>
      </c>
      <c r="B82" s="270" t="s">
        <v>235</v>
      </c>
      <c r="C82" s="270">
        <v>0.5</v>
      </c>
      <c r="D82" s="273">
        <v>0.15</v>
      </c>
      <c r="E82" s="270">
        <f>D82*HLOOKUP(A82,'Current base situation'!$19:$25,5,0)</f>
        <v>2250</v>
      </c>
      <c r="F82" s="270">
        <f t="shared" si="8"/>
        <v>4500</v>
      </c>
      <c r="G82" s="270">
        <f t="shared" si="7"/>
        <v>3</v>
      </c>
      <c r="H82" s="270">
        <f t="shared" si="9"/>
        <v>1500</v>
      </c>
      <c r="I82" s="270">
        <f t="shared" si="10"/>
        <v>108</v>
      </c>
      <c r="M82" s="270" t="s">
        <v>263</v>
      </c>
      <c r="P82"/>
      <c r="Q82"/>
    </row>
    <row r="83" spans="1:17" x14ac:dyDescent="0.2">
      <c r="A83" s="270" t="str">
        <f>'Current base situation'!$AZ$19</f>
        <v xml:space="preserve">Genua  </v>
      </c>
      <c r="B83" s="270" t="s">
        <v>232</v>
      </c>
      <c r="C83" s="270">
        <v>1.25</v>
      </c>
      <c r="D83" s="278">
        <f>1-SUM(D84:D86)</f>
        <v>0.19999999999999996</v>
      </c>
      <c r="E83" s="270">
        <f>D83*HLOOKUP(A83,'Current base situation'!$19:$25,5,0)</f>
        <v>2399.9999999999995</v>
      </c>
      <c r="F83" s="270">
        <f t="shared" si="8"/>
        <v>1919.9999999999995</v>
      </c>
      <c r="G83" s="270">
        <f t="shared" si="7"/>
        <v>1</v>
      </c>
      <c r="H83" s="270">
        <f t="shared" si="9"/>
        <v>1919.9999999999995</v>
      </c>
      <c r="I83" s="270">
        <f t="shared" si="10"/>
        <v>138</v>
      </c>
      <c r="M83" s="270" t="s">
        <v>263</v>
      </c>
      <c r="P83"/>
      <c r="Q83"/>
    </row>
    <row r="84" spans="1:17" x14ac:dyDescent="0.2">
      <c r="A84" s="270" t="str">
        <f>'Current base situation'!$AZ$19</f>
        <v xml:space="preserve">Genua  </v>
      </c>
      <c r="B84" s="270" t="s">
        <v>233</v>
      </c>
      <c r="C84" s="270">
        <v>1.25</v>
      </c>
      <c r="D84" s="273">
        <v>0.35</v>
      </c>
      <c r="E84" s="270">
        <f>D84*HLOOKUP(A84,'Current base situation'!$19:$25,5,0)</f>
        <v>4200</v>
      </c>
      <c r="F84" s="270">
        <f t="shared" si="8"/>
        <v>3360</v>
      </c>
      <c r="G84" s="270">
        <f t="shared" si="7"/>
        <v>1</v>
      </c>
      <c r="H84" s="270">
        <f t="shared" si="9"/>
        <v>3360</v>
      </c>
      <c r="I84" s="270">
        <f t="shared" si="10"/>
        <v>240</v>
      </c>
      <c r="M84" s="270" t="s">
        <v>263</v>
      </c>
      <c r="P84"/>
      <c r="Q84"/>
    </row>
    <row r="85" spans="1:17" x14ac:dyDescent="0.2">
      <c r="A85" s="270" t="str">
        <f>'Current base situation'!$AZ$19</f>
        <v xml:space="preserve">Genua  </v>
      </c>
      <c r="B85" s="270" t="s">
        <v>234</v>
      </c>
      <c r="C85" s="270">
        <v>1.5</v>
      </c>
      <c r="D85" s="273">
        <v>0.15</v>
      </c>
      <c r="E85" s="270">
        <f>D85*HLOOKUP(A85,'Current base situation'!$19:$25,5,0)</f>
        <v>1800</v>
      </c>
      <c r="F85" s="270">
        <f t="shared" si="8"/>
        <v>1200</v>
      </c>
      <c r="G85" s="270">
        <f t="shared" si="7"/>
        <v>1</v>
      </c>
      <c r="H85" s="270">
        <f t="shared" si="9"/>
        <v>1200</v>
      </c>
      <c r="I85" s="270">
        <f t="shared" si="10"/>
        <v>86</v>
      </c>
      <c r="J85" s="286"/>
      <c r="K85" s="286"/>
      <c r="L85" s="286"/>
      <c r="M85" s="270" t="s">
        <v>263</v>
      </c>
    </row>
    <row r="86" spans="1:17" x14ac:dyDescent="0.2">
      <c r="A86" s="270" t="str">
        <f>'Current base situation'!$AZ$19</f>
        <v xml:space="preserve">Genua  </v>
      </c>
      <c r="B86" s="270" t="s">
        <v>235</v>
      </c>
      <c r="C86" s="270">
        <v>0.5</v>
      </c>
      <c r="D86" s="273">
        <v>0.3</v>
      </c>
      <c r="E86" s="270">
        <f>D86*HLOOKUP(A86,'Current base situation'!$19:$25,5,0)</f>
        <v>3600</v>
      </c>
      <c r="F86" s="270">
        <f t="shared" si="8"/>
        <v>7200</v>
      </c>
      <c r="G86" s="270">
        <f t="shared" si="7"/>
        <v>3</v>
      </c>
      <c r="H86" s="270">
        <f t="shared" si="9"/>
        <v>2400</v>
      </c>
      <c r="I86" s="270">
        <f t="shared" si="10"/>
        <v>172</v>
      </c>
      <c r="J86" s="286"/>
      <c r="K86" s="286"/>
      <c r="L86" s="286"/>
      <c r="M86" s="270" t="s">
        <v>263</v>
      </c>
      <c r="P86"/>
      <c r="Q86"/>
    </row>
    <row r="87" spans="1:17" x14ac:dyDescent="0.2">
      <c r="A87" s="270" t="str">
        <f>'Current base situation'!$BD$19</f>
        <v>Munich</v>
      </c>
      <c r="B87" s="270" t="s">
        <v>232</v>
      </c>
      <c r="C87" s="270">
        <v>1.25</v>
      </c>
      <c r="D87" s="278">
        <f>1-SUM(D88:D90)</f>
        <v>0.8</v>
      </c>
      <c r="E87" s="270">
        <f>D87*HLOOKUP(A87,'Current base situation'!$19:$25,5,0)</f>
        <v>6000</v>
      </c>
      <c r="F87" s="270">
        <f t="shared" si="8"/>
        <v>4800</v>
      </c>
      <c r="G87" s="270">
        <f t="shared" si="7"/>
        <v>1</v>
      </c>
      <c r="H87" s="270">
        <f t="shared" si="9"/>
        <v>4800</v>
      </c>
      <c r="I87" s="270">
        <f t="shared" si="10"/>
        <v>343</v>
      </c>
      <c r="M87" s="270" t="s">
        <v>263</v>
      </c>
      <c r="P87"/>
      <c r="Q87"/>
    </row>
    <row r="88" spans="1:17" x14ac:dyDescent="0.2">
      <c r="A88" s="270" t="str">
        <f>'Current base situation'!$BD$19</f>
        <v>Munich</v>
      </c>
      <c r="B88" s="270" t="s">
        <v>233</v>
      </c>
      <c r="C88" s="270">
        <v>1.25</v>
      </c>
      <c r="D88" s="273">
        <v>0.05</v>
      </c>
      <c r="E88" s="270">
        <f>D88*HLOOKUP(A88,'Current base situation'!$19:$25,5,0)</f>
        <v>375</v>
      </c>
      <c r="F88" s="270">
        <f t="shared" si="8"/>
        <v>300</v>
      </c>
      <c r="G88" s="270">
        <f t="shared" si="7"/>
        <v>1</v>
      </c>
      <c r="H88" s="270">
        <f t="shared" si="9"/>
        <v>300</v>
      </c>
      <c r="I88" s="270">
        <f t="shared" si="10"/>
        <v>22</v>
      </c>
      <c r="M88" s="270" t="s">
        <v>263</v>
      </c>
      <c r="P88"/>
      <c r="Q88"/>
    </row>
    <row r="89" spans="1:17" x14ac:dyDescent="0.2">
      <c r="A89" s="270" t="str">
        <f>'Current base situation'!$BD$19</f>
        <v>Munich</v>
      </c>
      <c r="B89" s="270" t="s">
        <v>234</v>
      </c>
      <c r="C89" s="270">
        <v>1.5</v>
      </c>
      <c r="D89" s="273">
        <v>0.05</v>
      </c>
      <c r="E89" s="270">
        <f>D89*HLOOKUP(A89,'Current base situation'!$19:$25,5,0)</f>
        <v>375</v>
      </c>
      <c r="F89" s="270">
        <f t="shared" si="8"/>
        <v>250</v>
      </c>
      <c r="G89" s="270">
        <f t="shared" si="7"/>
        <v>1</v>
      </c>
      <c r="H89" s="270">
        <f t="shared" si="9"/>
        <v>250</v>
      </c>
      <c r="I89" s="270">
        <f t="shared" si="10"/>
        <v>18</v>
      </c>
      <c r="M89" s="270" t="s">
        <v>263</v>
      </c>
      <c r="P89"/>
      <c r="Q89"/>
    </row>
    <row r="90" spans="1:17" x14ac:dyDescent="0.2">
      <c r="A90" s="270" t="str">
        <f>'Current base situation'!$BD$19</f>
        <v>Munich</v>
      </c>
      <c r="B90" s="270" t="s">
        <v>235</v>
      </c>
      <c r="C90" s="270">
        <v>0.5</v>
      </c>
      <c r="D90" s="273">
        <v>0.1</v>
      </c>
      <c r="E90" s="270">
        <f>D90*HLOOKUP(A90,'Current base situation'!$19:$25,5,0)</f>
        <v>750</v>
      </c>
      <c r="F90" s="270">
        <f t="shared" si="8"/>
        <v>1500</v>
      </c>
      <c r="G90" s="270">
        <f t="shared" si="7"/>
        <v>3</v>
      </c>
      <c r="H90" s="270">
        <f t="shared" si="9"/>
        <v>500</v>
      </c>
      <c r="I90" s="270">
        <f t="shared" si="10"/>
        <v>36</v>
      </c>
      <c r="M90" s="270" t="s">
        <v>263</v>
      </c>
      <c r="P90"/>
      <c r="Q90"/>
    </row>
    <row r="91" spans="1:17" x14ac:dyDescent="0.2">
      <c r="A91" s="270" t="str">
        <f>'Current base situation'!$AL$19</f>
        <v>Venlo</v>
      </c>
      <c r="B91" s="270" t="s">
        <v>232</v>
      </c>
      <c r="C91" s="270">
        <v>1.25</v>
      </c>
      <c r="D91" s="278">
        <f>1-SUM(D92:D94)</f>
        <v>0.20000000000000007</v>
      </c>
      <c r="E91" s="270">
        <f>D91*HLOOKUP(A91,'Current base situation'!$19:$25,6,0)</f>
        <v>1800.0000000000007</v>
      </c>
      <c r="F91" s="270">
        <f>E91/C91</f>
        <v>1440.0000000000005</v>
      </c>
      <c r="G91" s="270">
        <f t="shared" ref="G91:G130" si="11">ROUNDDOWN($B$1/C91,0)</f>
        <v>1</v>
      </c>
      <c r="H91" s="270">
        <f>F91/G91</f>
        <v>1440.0000000000005</v>
      </c>
      <c r="I91" s="270">
        <f t="shared" si="10"/>
        <v>103</v>
      </c>
      <c r="M91" s="270" t="s">
        <v>264</v>
      </c>
      <c r="P91"/>
      <c r="Q91"/>
    </row>
    <row r="92" spans="1:17" x14ac:dyDescent="0.2">
      <c r="A92" s="270" t="str">
        <f>'Current base situation'!$AL$19</f>
        <v>Venlo</v>
      </c>
      <c r="B92" s="270" t="s">
        <v>233</v>
      </c>
      <c r="C92" s="270">
        <v>1</v>
      </c>
      <c r="D92" s="273">
        <v>0.6</v>
      </c>
      <c r="E92" s="270">
        <f>D92*HLOOKUP(A92,'Current base situation'!$19:$25,6,0)</f>
        <v>5400</v>
      </c>
      <c r="F92" s="270">
        <f t="shared" ref="F92:F130" si="12">E92/C92</f>
        <v>5400</v>
      </c>
      <c r="G92" s="270">
        <f t="shared" si="11"/>
        <v>1</v>
      </c>
      <c r="H92" s="270">
        <f t="shared" ref="H92:H130" si="13">F92/G92</f>
        <v>5400</v>
      </c>
      <c r="I92" s="270">
        <f t="shared" si="10"/>
        <v>386</v>
      </c>
      <c r="M92" s="270" t="s">
        <v>264</v>
      </c>
      <c r="P92"/>
      <c r="Q92"/>
    </row>
    <row r="93" spans="1:17" x14ac:dyDescent="0.2">
      <c r="A93" s="270" t="str">
        <f>'Current base situation'!$AL$19</f>
        <v>Venlo</v>
      </c>
      <c r="B93" s="270" t="s">
        <v>234</v>
      </c>
      <c r="C93" s="270">
        <v>1.5</v>
      </c>
      <c r="D93" s="273">
        <v>0.1</v>
      </c>
      <c r="E93" s="270">
        <f>D93*HLOOKUP(A93,'Current base situation'!$19:$25,6,0)</f>
        <v>900</v>
      </c>
      <c r="F93" s="270">
        <f t="shared" si="12"/>
        <v>600</v>
      </c>
      <c r="G93" s="270">
        <f t="shared" si="11"/>
        <v>1</v>
      </c>
      <c r="H93" s="270">
        <f t="shared" si="13"/>
        <v>600</v>
      </c>
      <c r="I93" s="270">
        <f t="shared" si="10"/>
        <v>43</v>
      </c>
      <c r="J93" s="286"/>
      <c r="K93" s="286"/>
      <c r="L93" s="286"/>
      <c r="M93" s="270" t="s">
        <v>264</v>
      </c>
      <c r="P93"/>
      <c r="Q93"/>
    </row>
    <row r="94" spans="1:17" x14ac:dyDescent="0.2">
      <c r="A94" s="270" t="str">
        <f>'Current base situation'!$AL$19</f>
        <v>Venlo</v>
      </c>
      <c r="B94" s="270" t="s">
        <v>235</v>
      </c>
      <c r="C94" s="270">
        <v>0.5</v>
      </c>
      <c r="D94" s="273">
        <v>0.1</v>
      </c>
      <c r="E94" s="270">
        <f>D94*HLOOKUP(A94,'Current base situation'!$19:$25,6,0)</f>
        <v>900</v>
      </c>
      <c r="F94" s="270">
        <f t="shared" si="12"/>
        <v>1800</v>
      </c>
      <c r="G94" s="270">
        <f t="shared" si="11"/>
        <v>3</v>
      </c>
      <c r="H94" s="270">
        <f t="shared" si="13"/>
        <v>600</v>
      </c>
      <c r="I94" s="270">
        <f t="shared" si="10"/>
        <v>43</v>
      </c>
      <c r="J94" s="286"/>
      <c r="K94" s="286"/>
      <c r="L94" s="286"/>
      <c r="M94" s="270" t="s">
        <v>264</v>
      </c>
      <c r="P94"/>
      <c r="Q94"/>
    </row>
    <row r="95" spans="1:17" x14ac:dyDescent="0.2">
      <c r="A95" s="270" t="str">
        <f>'Current base situation'!$AP$19</f>
        <v>Wolfsburg</v>
      </c>
      <c r="B95" s="270" t="s">
        <v>232</v>
      </c>
      <c r="C95" s="270">
        <v>1.25</v>
      </c>
      <c r="D95" s="278">
        <f>1-SUM(D96:D98)</f>
        <v>0.29999999999999993</v>
      </c>
      <c r="E95" s="270">
        <f>D95*HLOOKUP(A95,'Current base situation'!$19:$25,6,0)</f>
        <v>5399.9999999999991</v>
      </c>
      <c r="F95" s="270">
        <f t="shared" si="12"/>
        <v>4319.9999999999991</v>
      </c>
      <c r="G95" s="270">
        <f t="shared" si="11"/>
        <v>1</v>
      </c>
      <c r="H95" s="270">
        <f t="shared" si="13"/>
        <v>4319.9999999999991</v>
      </c>
      <c r="I95" s="270">
        <f t="shared" si="10"/>
        <v>309</v>
      </c>
      <c r="M95" s="270" t="s">
        <v>264</v>
      </c>
      <c r="P95"/>
      <c r="Q95"/>
    </row>
    <row r="96" spans="1:17" x14ac:dyDescent="0.2">
      <c r="A96" s="270" t="str">
        <f>'Current base situation'!$AP$19</f>
        <v>Wolfsburg</v>
      </c>
      <c r="B96" s="270" t="s">
        <v>233</v>
      </c>
      <c r="C96" s="270">
        <v>1.25</v>
      </c>
      <c r="D96" s="273">
        <v>0.4</v>
      </c>
      <c r="E96" s="270">
        <f>D96*HLOOKUP(A96,'Current base situation'!$19:$25,6,0)</f>
        <v>7200</v>
      </c>
      <c r="F96" s="270">
        <f t="shared" si="12"/>
        <v>5760</v>
      </c>
      <c r="G96" s="270">
        <f t="shared" si="11"/>
        <v>1</v>
      </c>
      <c r="H96" s="270">
        <f t="shared" si="13"/>
        <v>5760</v>
      </c>
      <c r="I96" s="270">
        <f t="shared" si="10"/>
        <v>412</v>
      </c>
      <c r="M96" s="270" t="s">
        <v>264</v>
      </c>
    </row>
    <row r="97" spans="1:18" x14ac:dyDescent="0.2">
      <c r="A97" s="270" t="str">
        <f>'Current base situation'!$AP$19</f>
        <v>Wolfsburg</v>
      </c>
      <c r="B97" s="270" t="s">
        <v>234</v>
      </c>
      <c r="C97" s="270">
        <v>1.5</v>
      </c>
      <c r="D97" s="273">
        <v>0.2</v>
      </c>
      <c r="E97" s="270">
        <f>D97*HLOOKUP(A97,'Current base situation'!$19:$25,6,0)</f>
        <v>3600</v>
      </c>
      <c r="F97" s="270">
        <f t="shared" si="12"/>
        <v>2400</v>
      </c>
      <c r="G97" s="270">
        <f t="shared" si="11"/>
        <v>1</v>
      </c>
      <c r="H97" s="270">
        <f t="shared" si="13"/>
        <v>2400</v>
      </c>
      <c r="I97" s="270">
        <f t="shared" si="10"/>
        <v>172</v>
      </c>
      <c r="J97" s="286"/>
      <c r="K97" s="286"/>
      <c r="L97" s="286"/>
      <c r="M97" s="270" t="s">
        <v>264</v>
      </c>
      <c r="P97"/>
      <c r="Q97"/>
    </row>
    <row r="98" spans="1:18" x14ac:dyDescent="0.2">
      <c r="A98" s="270" t="str">
        <f>'Current base situation'!$AP$19</f>
        <v>Wolfsburg</v>
      </c>
      <c r="B98" s="270" t="s">
        <v>235</v>
      </c>
      <c r="C98" s="270">
        <v>0.5</v>
      </c>
      <c r="D98" s="273">
        <v>0.1</v>
      </c>
      <c r="E98" s="270">
        <f>D98*HLOOKUP(A98,'Current base situation'!$19:$25,6,0)</f>
        <v>1800</v>
      </c>
      <c r="F98" s="270">
        <f t="shared" si="12"/>
        <v>3600</v>
      </c>
      <c r="G98" s="270">
        <f t="shared" si="11"/>
        <v>3</v>
      </c>
      <c r="H98" s="270">
        <f t="shared" si="13"/>
        <v>1200</v>
      </c>
      <c r="I98" s="270">
        <f t="shared" si="10"/>
        <v>86</v>
      </c>
      <c r="J98" s="286"/>
      <c r="K98" s="286"/>
      <c r="L98" s="286"/>
      <c r="M98" s="270" t="s">
        <v>264</v>
      </c>
      <c r="P98"/>
      <c r="Q98"/>
    </row>
    <row r="99" spans="1:18" x14ac:dyDescent="0.2">
      <c r="A99" s="270" t="str">
        <f>'Current base situation'!$AR$19</f>
        <v>Saarbrucke</v>
      </c>
      <c r="B99" s="270" t="s">
        <v>232</v>
      </c>
      <c r="C99" s="270">
        <v>1.25</v>
      </c>
      <c r="D99" s="278">
        <f>1-SUM(D100:D102)</f>
        <v>0.20000000000000007</v>
      </c>
      <c r="E99" s="270">
        <f>D99*HLOOKUP(A99,'Current base situation'!$19:$25,6,0)</f>
        <v>1800.0000000000007</v>
      </c>
      <c r="F99" s="270">
        <f t="shared" si="12"/>
        <v>1440.0000000000005</v>
      </c>
      <c r="G99" s="270">
        <f t="shared" si="11"/>
        <v>1</v>
      </c>
      <c r="H99" s="270">
        <f t="shared" si="13"/>
        <v>1440.0000000000005</v>
      </c>
      <c r="I99" s="270">
        <f t="shared" si="10"/>
        <v>103</v>
      </c>
      <c r="M99" s="270" t="s">
        <v>264</v>
      </c>
      <c r="P99"/>
      <c r="Q99"/>
    </row>
    <row r="100" spans="1:18" x14ac:dyDescent="0.2">
      <c r="A100" s="270" t="str">
        <f>'Current base situation'!$AR$19</f>
        <v>Saarbrucke</v>
      </c>
      <c r="B100" s="270" t="s">
        <v>233</v>
      </c>
      <c r="C100" s="270">
        <v>1.25</v>
      </c>
      <c r="D100" s="273">
        <v>0.3</v>
      </c>
      <c r="E100" s="270">
        <f>D100*HLOOKUP(A100,'Current base situation'!$19:$25,6,0)</f>
        <v>2700</v>
      </c>
      <c r="F100" s="270">
        <f t="shared" si="12"/>
        <v>2160</v>
      </c>
      <c r="G100" s="270">
        <f t="shared" si="11"/>
        <v>1</v>
      </c>
      <c r="H100" s="270">
        <f t="shared" si="13"/>
        <v>2160</v>
      </c>
      <c r="I100" s="270">
        <f t="shared" si="10"/>
        <v>155</v>
      </c>
      <c r="M100" s="270" t="s">
        <v>264</v>
      </c>
      <c r="P100"/>
      <c r="Q100"/>
    </row>
    <row r="101" spans="1:18" x14ac:dyDescent="0.2">
      <c r="A101" s="270" t="str">
        <f>'Current base situation'!$AR$19</f>
        <v>Saarbrucke</v>
      </c>
      <c r="B101" s="270" t="s">
        <v>234</v>
      </c>
      <c r="C101" s="270">
        <v>1.5</v>
      </c>
      <c r="D101" s="273">
        <v>0.35</v>
      </c>
      <c r="E101" s="270">
        <f>D101*HLOOKUP(A101,'Current base situation'!$19:$25,6,0)</f>
        <v>3150</v>
      </c>
      <c r="F101" s="270">
        <f t="shared" si="12"/>
        <v>2100</v>
      </c>
      <c r="G101" s="270">
        <f t="shared" si="11"/>
        <v>1</v>
      </c>
      <c r="H101" s="270">
        <f t="shared" si="13"/>
        <v>2100</v>
      </c>
      <c r="I101" s="270">
        <f t="shared" si="10"/>
        <v>150</v>
      </c>
      <c r="M101" s="270" t="s">
        <v>264</v>
      </c>
      <c r="P101"/>
      <c r="Q101"/>
    </row>
    <row r="102" spans="1:18" x14ac:dyDescent="0.2">
      <c r="A102" s="270" t="str">
        <f>'Current base situation'!$AR$19</f>
        <v>Saarbrucke</v>
      </c>
      <c r="B102" s="270" t="s">
        <v>235</v>
      </c>
      <c r="C102" s="270">
        <v>0.5</v>
      </c>
      <c r="D102" s="273">
        <v>0.15</v>
      </c>
      <c r="E102" s="270">
        <f>D102*HLOOKUP(A102,'Current base situation'!$19:$25,6,0)</f>
        <v>1350</v>
      </c>
      <c r="F102" s="270">
        <f t="shared" si="12"/>
        <v>2700</v>
      </c>
      <c r="G102" s="270">
        <f t="shared" si="11"/>
        <v>3</v>
      </c>
      <c r="H102" s="270">
        <f t="shared" si="13"/>
        <v>900</v>
      </c>
      <c r="I102" s="270">
        <f t="shared" si="10"/>
        <v>65</v>
      </c>
      <c r="M102" s="270" t="s">
        <v>264</v>
      </c>
      <c r="P102"/>
      <c r="Q102"/>
    </row>
    <row r="103" spans="1:18" x14ac:dyDescent="0.2">
      <c r="A103" s="270" t="str">
        <f>'Current base situation'!$AX$19</f>
        <v>Praha CZ</v>
      </c>
      <c r="B103" s="270" t="s">
        <v>232</v>
      </c>
      <c r="C103" s="270">
        <v>1.25</v>
      </c>
      <c r="D103" s="278">
        <f>1-SUM(D104:D106)</f>
        <v>0.4</v>
      </c>
      <c r="E103" s="270">
        <f>D103*HLOOKUP(A103,'Current base situation'!$19:$25,6,0)</f>
        <v>3600</v>
      </c>
      <c r="F103" s="270">
        <f t="shared" si="12"/>
        <v>2880</v>
      </c>
      <c r="G103" s="270">
        <f t="shared" si="11"/>
        <v>1</v>
      </c>
      <c r="H103" s="270">
        <f t="shared" si="13"/>
        <v>2880</v>
      </c>
      <c r="I103" s="270">
        <f t="shared" si="10"/>
        <v>206</v>
      </c>
      <c r="M103" s="270" t="s">
        <v>264</v>
      </c>
      <c r="P103"/>
      <c r="Q103"/>
    </row>
    <row r="104" spans="1:18" x14ac:dyDescent="0.2">
      <c r="A104" s="270" t="str">
        <f>'Current base situation'!$AX$19</f>
        <v>Praha CZ</v>
      </c>
      <c r="B104" s="270" t="s">
        <v>233</v>
      </c>
      <c r="C104" s="270">
        <v>1.25</v>
      </c>
      <c r="D104" s="273">
        <v>0.1</v>
      </c>
      <c r="E104" s="270">
        <f>D104*HLOOKUP(A104,'Current base situation'!$19:$25,6,0)</f>
        <v>900</v>
      </c>
      <c r="F104" s="270">
        <f t="shared" si="12"/>
        <v>720</v>
      </c>
      <c r="G104" s="270">
        <f t="shared" si="11"/>
        <v>1</v>
      </c>
      <c r="H104" s="270">
        <f t="shared" si="13"/>
        <v>720</v>
      </c>
      <c r="I104" s="270">
        <f t="shared" si="10"/>
        <v>52</v>
      </c>
      <c r="M104" s="270" t="s">
        <v>264</v>
      </c>
      <c r="P104"/>
      <c r="Q104"/>
    </row>
    <row r="105" spans="1:18" x14ac:dyDescent="0.2">
      <c r="A105" s="270" t="str">
        <f>'Current base situation'!$AX$19</f>
        <v>Praha CZ</v>
      </c>
      <c r="B105" s="270" t="s">
        <v>234</v>
      </c>
      <c r="C105" s="270">
        <v>1.5</v>
      </c>
      <c r="D105" s="273">
        <v>0.4</v>
      </c>
      <c r="E105" s="270">
        <f>D105*HLOOKUP(A105,'Current base situation'!$19:$25,6,0)</f>
        <v>3600</v>
      </c>
      <c r="F105" s="270">
        <f t="shared" si="12"/>
        <v>2400</v>
      </c>
      <c r="G105" s="270">
        <f t="shared" si="11"/>
        <v>1</v>
      </c>
      <c r="H105" s="270">
        <f t="shared" si="13"/>
        <v>2400</v>
      </c>
      <c r="I105" s="270">
        <f t="shared" si="10"/>
        <v>172</v>
      </c>
      <c r="J105" s="286"/>
      <c r="K105" s="286"/>
      <c r="L105" s="286"/>
      <c r="M105" s="270" t="s">
        <v>264</v>
      </c>
      <c r="P105"/>
      <c r="Q105"/>
    </row>
    <row r="106" spans="1:18" x14ac:dyDescent="0.2">
      <c r="A106" s="270" t="str">
        <f>'Current base situation'!$AX$19</f>
        <v>Praha CZ</v>
      </c>
      <c r="B106" s="270" t="s">
        <v>235</v>
      </c>
      <c r="C106" s="270">
        <v>0.5</v>
      </c>
      <c r="D106" s="273">
        <v>0.1</v>
      </c>
      <c r="E106" s="270">
        <f>D106*HLOOKUP(A106,'Current base situation'!$19:$25,6,0)</f>
        <v>900</v>
      </c>
      <c r="F106" s="270">
        <f t="shared" si="12"/>
        <v>1800</v>
      </c>
      <c r="G106" s="270">
        <f t="shared" si="11"/>
        <v>3</v>
      </c>
      <c r="H106" s="270">
        <f t="shared" si="13"/>
        <v>600</v>
      </c>
      <c r="I106" s="270">
        <f t="shared" si="10"/>
        <v>43</v>
      </c>
      <c r="J106" s="286"/>
      <c r="K106" s="286"/>
      <c r="L106" s="286"/>
      <c r="M106" s="270" t="s">
        <v>264</v>
      </c>
      <c r="P106"/>
      <c r="Q106"/>
    </row>
    <row r="107" spans="1:18" x14ac:dyDescent="0.2">
      <c r="A107" s="270" t="str">
        <f>'Current base situation'!$BB$19</f>
        <v>Bilbao It.</v>
      </c>
      <c r="B107" s="270" t="s">
        <v>232</v>
      </c>
      <c r="C107" s="270">
        <v>1.25</v>
      </c>
      <c r="D107" s="278">
        <f>1-SUM(D108:D110)</f>
        <v>0.5</v>
      </c>
      <c r="E107" s="270">
        <f>D107*HLOOKUP(A107,'Current base situation'!$19:$25,6,0)</f>
        <v>4500</v>
      </c>
      <c r="F107" s="270">
        <f t="shared" si="12"/>
        <v>3600</v>
      </c>
      <c r="G107" s="270">
        <f t="shared" si="11"/>
        <v>1</v>
      </c>
      <c r="H107" s="270">
        <f t="shared" si="13"/>
        <v>3600</v>
      </c>
      <c r="I107" s="270">
        <f t="shared" si="10"/>
        <v>258</v>
      </c>
      <c r="M107" s="270" t="s">
        <v>264</v>
      </c>
    </row>
    <row r="108" spans="1:18" x14ac:dyDescent="0.2">
      <c r="A108" s="270" t="str">
        <f>'Current base situation'!$BB$19</f>
        <v>Bilbao It.</v>
      </c>
      <c r="B108" s="270" t="s">
        <v>233</v>
      </c>
      <c r="C108" s="270">
        <v>1.25</v>
      </c>
      <c r="D108" s="273">
        <v>0.2</v>
      </c>
      <c r="E108" s="270">
        <f>D108*HLOOKUP(A108,'Current base situation'!$19:$25,6,0)</f>
        <v>1800</v>
      </c>
      <c r="F108" s="270">
        <f t="shared" si="12"/>
        <v>1440</v>
      </c>
      <c r="G108" s="270">
        <f t="shared" si="11"/>
        <v>1</v>
      </c>
      <c r="H108" s="270">
        <f t="shared" si="13"/>
        <v>1440</v>
      </c>
      <c r="I108" s="270">
        <f t="shared" si="10"/>
        <v>103</v>
      </c>
      <c r="M108" s="270" t="s">
        <v>264</v>
      </c>
      <c r="P108"/>
      <c r="Q108"/>
    </row>
    <row r="109" spans="1:18" x14ac:dyDescent="0.2">
      <c r="A109" s="270" t="str">
        <f>'Current base situation'!$BB$19</f>
        <v>Bilbao It.</v>
      </c>
      <c r="B109" s="270" t="s">
        <v>234</v>
      </c>
      <c r="C109" s="270">
        <v>1.5</v>
      </c>
      <c r="D109" s="273">
        <v>0.1</v>
      </c>
      <c r="E109" s="270">
        <f>D109*HLOOKUP(A109,'Current base situation'!$19:$25,6,0)</f>
        <v>900</v>
      </c>
      <c r="F109" s="270">
        <f t="shared" si="12"/>
        <v>600</v>
      </c>
      <c r="G109" s="270">
        <f t="shared" si="11"/>
        <v>1</v>
      </c>
      <c r="H109" s="270">
        <f t="shared" si="13"/>
        <v>600</v>
      </c>
      <c r="I109" s="270">
        <f t="shared" si="10"/>
        <v>43</v>
      </c>
      <c r="J109" s="286"/>
      <c r="K109" s="286"/>
      <c r="L109" s="286"/>
      <c r="M109" s="270" t="s">
        <v>264</v>
      </c>
      <c r="P109"/>
      <c r="Q109"/>
    </row>
    <row r="110" spans="1:18" x14ac:dyDescent="0.2">
      <c r="A110" s="270" t="str">
        <f>'Current base situation'!$BB$19</f>
        <v>Bilbao It.</v>
      </c>
      <c r="B110" s="270" t="s">
        <v>235</v>
      </c>
      <c r="C110" s="270">
        <v>0.5</v>
      </c>
      <c r="D110" s="273">
        <v>0.2</v>
      </c>
      <c r="E110" s="270">
        <f>D110*HLOOKUP(A110,'Current base situation'!$19:$25,6,0)</f>
        <v>1800</v>
      </c>
      <c r="F110" s="270">
        <f t="shared" si="12"/>
        <v>3600</v>
      </c>
      <c r="G110" s="270">
        <f t="shared" si="11"/>
        <v>3</v>
      </c>
      <c r="H110" s="270">
        <f t="shared" si="13"/>
        <v>1200</v>
      </c>
      <c r="I110" s="270">
        <f t="shared" si="10"/>
        <v>86</v>
      </c>
      <c r="J110" s="286"/>
      <c r="K110" s="286"/>
      <c r="L110" s="286"/>
      <c r="M110" s="270" t="s">
        <v>264</v>
      </c>
      <c r="P110"/>
      <c r="Q110"/>
    </row>
    <row r="111" spans="1:18" x14ac:dyDescent="0.2">
      <c r="A111" s="270" t="str">
        <f>'Current base situation'!$AN$19</f>
        <v xml:space="preserve">Germersheim  </v>
      </c>
      <c r="B111" s="270" t="s">
        <v>232</v>
      </c>
      <c r="C111" s="270">
        <v>1.25</v>
      </c>
      <c r="D111" s="278">
        <f>1-SUM(D112:D114)</f>
        <v>0.25</v>
      </c>
      <c r="E111" s="270">
        <f>D111*HLOOKUP(A111,'Current base situation'!$19:$25,6,0)</f>
        <v>2250</v>
      </c>
      <c r="F111" s="270">
        <f t="shared" si="12"/>
        <v>1800</v>
      </c>
      <c r="G111" s="270">
        <f t="shared" si="11"/>
        <v>1</v>
      </c>
      <c r="H111" s="270">
        <f t="shared" si="13"/>
        <v>1800</v>
      </c>
      <c r="I111" s="270">
        <f t="shared" si="10"/>
        <v>129</v>
      </c>
      <c r="J111" s="286"/>
      <c r="K111" s="286"/>
      <c r="L111" s="286"/>
      <c r="M111" s="270" t="s">
        <v>264</v>
      </c>
      <c r="P111"/>
      <c r="Q111"/>
      <c r="R111"/>
    </row>
    <row r="112" spans="1:18" x14ac:dyDescent="0.2">
      <c r="A112" s="270" t="str">
        <f>'Current base situation'!$AN$19</f>
        <v xml:space="preserve">Germersheim  </v>
      </c>
      <c r="B112" s="270" t="s">
        <v>233</v>
      </c>
      <c r="C112" s="270">
        <v>1.25</v>
      </c>
      <c r="D112" s="273">
        <v>0.45</v>
      </c>
      <c r="E112" s="270">
        <f>D112*HLOOKUP(A112,'Current base situation'!$19:$25,6,0)</f>
        <v>4050</v>
      </c>
      <c r="F112" s="270">
        <f t="shared" si="12"/>
        <v>3240</v>
      </c>
      <c r="G112" s="270">
        <f t="shared" si="11"/>
        <v>1</v>
      </c>
      <c r="H112" s="270">
        <f t="shared" si="13"/>
        <v>3240</v>
      </c>
      <c r="I112" s="270">
        <f t="shared" si="10"/>
        <v>232</v>
      </c>
      <c r="J112" s="286"/>
      <c r="K112" s="286"/>
      <c r="L112" s="286"/>
      <c r="M112" s="270" t="s">
        <v>264</v>
      </c>
      <c r="P112"/>
      <c r="Q112"/>
      <c r="R112"/>
    </row>
    <row r="113" spans="1:18" x14ac:dyDescent="0.2">
      <c r="A113" s="270" t="str">
        <f>'Current base situation'!$AN$19</f>
        <v xml:space="preserve">Germersheim  </v>
      </c>
      <c r="B113" s="270" t="s">
        <v>234</v>
      </c>
      <c r="C113" s="270">
        <v>1.5</v>
      </c>
      <c r="D113" s="273">
        <v>0.2</v>
      </c>
      <c r="E113" s="270">
        <f>D113*HLOOKUP(A113,'Current base situation'!$19:$25,6,0)</f>
        <v>1800</v>
      </c>
      <c r="F113" s="270">
        <f t="shared" si="12"/>
        <v>1200</v>
      </c>
      <c r="G113" s="270">
        <f t="shared" si="11"/>
        <v>1</v>
      </c>
      <c r="H113" s="270">
        <f t="shared" si="13"/>
        <v>1200</v>
      </c>
      <c r="I113" s="270">
        <f t="shared" si="10"/>
        <v>86</v>
      </c>
      <c r="J113" s="286"/>
      <c r="K113" s="286"/>
      <c r="L113" s="286"/>
      <c r="M113" s="270" t="s">
        <v>264</v>
      </c>
      <c r="P113"/>
      <c r="Q113"/>
      <c r="R113"/>
    </row>
    <row r="114" spans="1:18" x14ac:dyDescent="0.2">
      <c r="A114" s="270" t="str">
        <f>'Current base situation'!$AN$19</f>
        <v xml:space="preserve">Germersheim  </v>
      </c>
      <c r="B114" s="270" t="s">
        <v>235</v>
      </c>
      <c r="C114" s="270">
        <v>0.5</v>
      </c>
      <c r="D114" s="273">
        <v>0.1</v>
      </c>
      <c r="E114" s="270">
        <f>D114*HLOOKUP(A114,'Current base situation'!$19:$25,6,0)</f>
        <v>900</v>
      </c>
      <c r="F114" s="270">
        <f t="shared" si="12"/>
        <v>1800</v>
      </c>
      <c r="G114" s="270">
        <f t="shared" si="11"/>
        <v>3</v>
      </c>
      <c r="H114" s="270">
        <f t="shared" si="13"/>
        <v>600</v>
      </c>
      <c r="I114" s="270">
        <f t="shared" si="10"/>
        <v>43</v>
      </c>
      <c r="J114" s="286"/>
      <c r="K114" s="286"/>
      <c r="L114" s="286"/>
      <c r="M114" s="270" t="s">
        <v>264</v>
      </c>
      <c r="P114"/>
      <c r="Q114"/>
      <c r="R114"/>
    </row>
    <row r="115" spans="1:18" x14ac:dyDescent="0.2">
      <c r="A115" s="270" t="str">
        <f>'Current base situation'!$AV$19</f>
        <v xml:space="preserve">Torino  It. </v>
      </c>
      <c r="B115" s="270" t="s">
        <v>232</v>
      </c>
      <c r="C115" s="270">
        <v>1.25</v>
      </c>
      <c r="D115" s="278">
        <f>1-SUM(D116:D118)</f>
        <v>0.30000000000000004</v>
      </c>
      <c r="E115" s="270">
        <f>D115*HLOOKUP(A115,'Current base situation'!$19:$25,6,0)</f>
        <v>1350.0000000000002</v>
      </c>
      <c r="F115" s="270">
        <f t="shared" si="12"/>
        <v>1080.0000000000002</v>
      </c>
      <c r="G115" s="270">
        <f t="shared" si="11"/>
        <v>1</v>
      </c>
      <c r="H115" s="270">
        <f t="shared" si="13"/>
        <v>1080.0000000000002</v>
      </c>
      <c r="I115" s="270">
        <f t="shared" si="10"/>
        <v>78</v>
      </c>
      <c r="M115" s="270" t="s">
        <v>264</v>
      </c>
      <c r="P115"/>
      <c r="Q115"/>
      <c r="R115"/>
    </row>
    <row r="116" spans="1:18" x14ac:dyDescent="0.2">
      <c r="A116" s="270" t="str">
        <f>'Current base situation'!$AV$19</f>
        <v xml:space="preserve">Torino  It. </v>
      </c>
      <c r="B116" s="270" t="s">
        <v>233</v>
      </c>
      <c r="C116" s="270">
        <v>1.25</v>
      </c>
      <c r="D116" s="273">
        <v>0.3</v>
      </c>
      <c r="E116" s="270">
        <f>D116*HLOOKUP(A116,'Current base situation'!$19:$25,6,0)</f>
        <v>1350</v>
      </c>
      <c r="F116" s="270">
        <f t="shared" si="12"/>
        <v>1080</v>
      </c>
      <c r="G116" s="270">
        <f t="shared" si="11"/>
        <v>1</v>
      </c>
      <c r="H116" s="270">
        <f t="shared" si="13"/>
        <v>1080</v>
      </c>
      <c r="I116" s="270">
        <f t="shared" si="10"/>
        <v>78</v>
      </c>
      <c r="M116" s="270" t="s">
        <v>264</v>
      </c>
      <c r="P116"/>
      <c r="Q116"/>
      <c r="R116"/>
    </row>
    <row r="117" spans="1:18" x14ac:dyDescent="0.2">
      <c r="A117" s="270" t="str">
        <f>'Current base situation'!$AV$19</f>
        <v xml:space="preserve">Torino  It. </v>
      </c>
      <c r="B117" s="270" t="s">
        <v>234</v>
      </c>
      <c r="C117" s="270">
        <v>1.5</v>
      </c>
      <c r="D117" s="273">
        <v>0.3</v>
      </c>
      <c r="E117" s="270">
        <f>D117*HLOOKUP(A117,'Current base situation'!$19:$25,6,0)</f>
        <v>1350</v>
      </c>
      <c r="F117" s="270">
        <f t="shared" si="12"/>
        <v>900</v>
      </c>
      <c r="G117" s="270">
        <f t="shared" si="11"/>
        <v>1</v>
      </c>
      <c r="H117" s="270">
        <f t="shared" si="13"/>
        <v>900</v>
      </c>
      <c r="I117" s="270">
        <f t="shared" si="10"/>
        <v>65</v>
      </c>
      <c r="M117" s="270" t="s">
        <v>264</v>
      </c>
      <c r="P117"/>
      <c r="Q117"/>
      <c r="R117"/>
    </row>
    <row r="118" spans="1:18" x14ac:dyDescent="0.2">
      <c r="A118" s="270" t="str">
        <f>'Current base situation'!$AV$19</f>
        <v xml:space="preserve">Torino  It. </v>
      </c>
      <c r="B118" s="270" t="s">
        <v>235</v>
      </c>
      <c r="C118" s="270">
        <v>0.5</v>
      </c>
      <c r="D118" s="273">
        <v>0.1</v>
      </c>
      <c r="E118" s="270">
        <f>D118*HLOOKUP(A118,'Current base situation'!$19:$25,6,0)</f>
        <v>450</v>
      </c>
      <c r="F118" s="270">
        <f t="shared" si="12"/>
        <v>900</v>
      </c>
      <c r="G118" s="270">
        <f t="shared" si="11"/>
        <v>3</v>
      </c>
      <c r="H118" s="270">
        <f t="shared" si="13"/>
        <v>300</v>
      </c>
      <c r="I118" s="270">
        <f t="shared" si="10"/>
        <v>22</v>
      </c>
      <c r="M118" s="270" t="s">
        <v>264</v>
      </c>
      <c r="P118"/>
      <c r="Q118"/>
      <c r="R118"/>
    </row>
    <row r="119" spans="1:18" x14ac:dyDescent="0.2">
      <c r="A119" s="270" t="str">
        <f>'Current base situation'!$AT$19</f>
        <v xml:space="preserve">Paris </v>
      </c>
      <c r="B119" s="270" t="s">
        <v>232</v>
      </c>
      <c r="C119" s="270">
        <v>1.25</v>
      </c>
      <c r="D119" s="278">
        <f>1-SUM(D120:D122)</f>
        <v>0.7</v>
      </c>
      <c r="E119" s="270">
        <f>D119*HLOOKUP(A119,'Current base situation'!$19:$25,6,0)</f>
        <v>6300</v>
      </c>
      <c r="F119" s="270">
        <f t="shared" si="12"/>
        <v>5040</v>
      </c>
      <c r="G119" s="270">
        <f t="shared" si="11"/>
        <v>1</v>
      </c>
      <c r="H119" s="270">
        <f t="shared" si="13"/>
        <v>5040</v>
      </c>
      <c r="I119" s="270">
        <f t="shared" si="10"/>
        <v>360</v>
      </c>
      <c r="J119" s="286"/>
      <c r="K119" s="286"/>
      <c r="L119" s="286"/>
      <c r="M119" s="270" t="s">
        <v>264</v>
      </c>
      <c r="P119"/>
      <c r="Q119"/>
      <c r="R119"/>
    </row>
    <row r="120" spans="1:18" x14ac:dyDescent="0.2">
      <c r="A120" s="270" t="str">
        <f>'Current base situation'!$AT$19</f>
        <v xml:space="preserve">Paris </v>
      </c>
      <c r="B120" s="270" t="s">
        <v>233</v>
      </c>
      <c r="C120" s="270">
        <v>1.25</v>
      </c>
      <c r="D120" s="273">
        <v>0.1</v>
      </c>
      <c r="E120" s="270">
        <f>D120*HLOOKUP(A120,'Current base situation'!$19:$25,6,0)</f>
        <v>900</v>
      </c>
      <c r="F120" s="270">
        <f t="shared" si="12"/>
        <v>720</v>
      </c>
      <c r="G120" s="270">
        <f t="shared" si="11"/>
        <v>1</v>
      </c>
      <c r="H120" s="270">
        <f t="shared" si="13"/>
        <v>720</v>
      </c>
      <c r="I120" s="270">
        <f t="shared" si="10"/>
        <v>52</v>
      </c>
      <c r="M120" s="270" t="s">
        <v>264</v>
      </c>
      <c r="P120"/>
      <c r="Q120"/>
      <c r="R120"/>
    </row>
    <row r="121" spans="1:18" x14ac:dyDescent="0.2">
      <c r="A121" s="270" t="str">
        <f>'Current base situation'!$AT$19</f>
        <v xml:space="preserve">Paris </v>
      </c>
      <c r="B121" s="270" t="s">
        <v>234</v>
      </c>
      <c r="C121" s="270">
        <v>1.5</v>
      </c>
      <c r="D121" s="273">
        <v>0.05</v>
      </c>
      <c r="E121" s="270">
        <f>D121*HLOOKUP(A121,'Current base situation'!$19:$25,6,0)</f>
        <v>450</v>
      </c>
      <c r="F121" s="270">
        <f t="shared" si="12"/>
        <v>300</v>
      </c>
      <c r="G121" s="270">
        <f t="shared" si="11"/>
        <v>1</v>
      </c>
      <c r="H121" s="270">
        <f t="shared" si="13"/>
        <v>300</v>
      </c>
      <c r="I121" s="270">
        <f t="shared" si="10"/>
        <v>22</v>
      </c>
      <c r="M121" s="270" t="s">
        <v>264</v>
      </c>
      <c r="P121"/>
      <c r="Q121"/>
      <c r="R121"/>
    </row>
    <row r="122" spans="1:18" x14ac:dyDescent="0.2">
      <c r="A122" s="270" t="str">
        <f>'Current base situation'!$AT$19</f>
        <v xml:space="preserve">Paris </v>
      </c>
      <c r="B122" s="270" t="s">
        <v>235</v>
      </c>
      <c r="C122" s="270">
        <v>0.5</v>
      </c>
      <c r="D122" s="273">
        <v>0.15</v>
      </c>
      <c r="E122" s="270">
        <f>D122*HLOOKUP(A122,'Current base situation'!$19:$25,6,0)</f>
        <v>1350</v>
      </c>
      <c r="F122" s="270">
        <f t="shared" si="12"/>
        <v>2700</v>
      </c>
      <c r="G122" s="270">
        <f t="shared" si="11"/>
        <v>3</v>
      </c>
      <c r="H122" s="270">
        <f t="shared" si="13"/>
        <v>900</v>
      </c>
      <c r="I122" s="270">
        <f t="shared" si="10"/>
        <v>65</v>
      </c>
      <c r="M122" s="270" t="s">
        <v>264</v>
      </c>
      <c r="P122"/>
      <c r="Q122"/>
      <c r="R122"/>
    </row>
    <row r="123" spans="1:18" x14ac:dyDescent="0.2">
      <c r="A123" s="270" t="str">
        <f>'Current base situation'!$AZ$19</f>
        <v xml:space="preserve">Genua  </v>
      </c>
      <c r="B123" s="270" t="s">
        <v>232</v>
      </c>
      <c r="C123" s="270">
        <v>1.25</v>
      </c>
      <c r="D123" s="278">
        <f>1-SUM(D124:D126)</f>
        <v>0.19999999999999996</v>
      </c>
      <c r="E123" s="270">
        <f>D123*HLOOKUP(A123,'Current base situation'!$19:$25,6,0)</f>
        <v>1799.9999999999995</v>
      </c>
      <c r="F123" s="270">
        <f t="shared" si="12"/>
        <v>1439.9999999999995</v>
      </c>
      <c r="G123" s="270">
        <f t="shared" si="11"/>
        <v>1</v>
      </c>
      <c r="H123" s="270">
        <f t="shared" si="13"/>
        <v>1439.9999999999995</v>
      </c>
      <c r="I123" s="270">
        <f t="shared" si="10"/>
        <v>103</v>
      </c>
      <c r="M123" s="270" t="s">
        <v>264</v>
      </c>
      <c r="P123"/>
      <c r="Q123"/>
      <c r="R123"/>
    </row>
    <row r="124" spans="1:18" x14ac:dyDescent="0.2">
      <c r="A124" s="270" t="str">
        <f>'Current base situation'!$AZ$19</f>
        <v xml:space="preserve">Genua  </v>
      </c>
      <c r="B124" s="270" t="s">
        <v>233</v>
      </c>
      <c r="C124" s="270">
        <v>1.25</v>
      </c>
      <c r="D124" s="273">
        <v>0.35</v>
      </c>
      <c r="E124" s="270">
        <f>D124*HLOOKUP(A124,'Current base situation'!$19:$25,6,0)</f>
        <v>3150</v>
      </c>
      <c r="F124" s="270">
        <f t="shared" si="12"/>
        <v>2520</v>
      </c>
      <c r="G124" s="270">
        <f t="shared" si="11"/>
        <v>1</v>
      </c>
      <c r="H124" s="270">
        <f t="shared" si="13"/>
        <v>2520</v>
      </c>
      <c r="I124" s="270">
        <f t="shared" si="10"/>
        <v>180</v>
      </c>
      <c r="M124" s="270" t="s">
        <v>264</v>
      </c>
      <c r="P124"/>
      <c r="Q124"/>
      <c r="R124"/>
    </row>
    <row r="125" spans="1:18" x14ac:dyDescent="0.2">
      <c r="A125" s="270" t="str">
        <f>'Current base situation'!$AZ$19</f>
        <v xml:space="preserve">Genua  </v>
      </c>
      <c r="B125" s="270" t="s">
        <v>234</v>
      </c>
      <c r="C125" s="270">
        <v>1.5</v>
      </c>
      <c r="D125" s="273">
        <v>0.15</v>
      </c>
      <c r="E125" s="270">
        <f>D125*HLOOKUP(A125,'Current base situation'!$19:$25,6,0)</f>
        <v>1350</v>
      </c>
      <c r="F125" s="270">
        <f t="shared" si="12"/>
        <v>900</v>
      </c>
      <c r="G125" s="270">
        <f t="shared" si="11"/>
        <v>1</v>
      </c>
      <c r="H125" s="270">
        <f t="shared" si="13"/>
        <v>900</v>
      </c>
      <c r="I125" s="270">
        <f t="shared" si="10"/>
        <v>65</v>
      </c>
      <c r="M125" s="270" t="s">
        <v>264</v>
      </c>
      <c r="P125"/>
      <c r="Q125"/>
      <c r="R125"/>
    </row>
    <row r="126" spans="1:18" x14ac:dyDescent="0.2">
      <c r="A126" s="270" t="str">
        <f>'Current base situation'!$AZ$19</f>
        <v xml:space="preserve">Genua  </v>
      </c>
      <c r="B126" s="270" t="s">
        <v>235</v>
      </c>
      <c r="C126" s="270">
        <v>0.5</v>
      </c>
      <c r="D126" s="273">
        <v>0.3</v>
      </c>
      <c r="E126" s="270">
        <f>D126*HLOOKUP(A126,'Current base situation'!$19:$25,6,0)</f>
        <v>2700</v>
      </c>
      <c r="F126" s="270">
        <f t="shared" si="12"/>
        <v>5400</v>
      </c>
      <c r="G126" s="270">
        <f t="shared" si="11"/>
        <v>3</v>
      </c>
      <c r="H126" s="270">
        <f t="shared" si="13"/>
        <v>1800</v>
      </c>
      <c r="I126" s="270">
        <f t="shared" si="10"/>
        <v>129</v>
      </c>
      <c r="J126" s="286"/>
      <c r="K126" s="286"/>
      <c r="L126" s="286"/>
      <c r="M126" s="270" t="s">
        <v>264</v>
      </c>
      <c r="P126"/>
      <c r="Q126"/>
      <c r="R126"/>
    </row>
    <row r="127" spans="1:18" x14ac:dyDescent="0.2">
      <c r="A127" s="270" t="str">
        <f>'Current base situation'!$BD$19</f>
        <v>Munich</v>
      </c>
      <c r="B127" s="270" t="s">
        <v>232</v>
      </c>
      <c r="C127" s="270">
        <v>1.25</v>
      </c>
      <c r="D127" s="278">
        <f>1-SUM(D128:D130)</f>
        <v>0.8</v>
      </c>
      <c r="E127" s="270">
        <f>D127*HLOOKUP(A127,'Current base situation'!$19:$25,6,0)</f>
        <v>3600</v>
      </c>
      <c r="F127" s="270">
        <f t="shared" si="12"/>
        <v>2880</v>
      </c>
      <c r="G127" s="270">
        <f t="shared" si="11"/>
        <v>1</v>
      </c>
      <c r="H127" s="270">
        <f t="shared" si="13"/>
        <v>2880</v>
      </c>
      <c r="I127" s="270">
        <f t="shared" si="10"/>
        <v>206</v>
      </c>
      <c r="M127" s="270" t="s">
        <v>264</v>
      </c>
      <c r="P127"/>
      <c r="Q127"/>
      <c r="R127"/>
    </row>
    <row r="128" spans="1:18" x14ac:dyDescent="0.2">
      <c r="A128" s="270" t="str">
        <f>'Current base situation'!$BD$19</f>
        <v>Munich</v>
      </c>
      <c r="B128" s="270" t="s">
        <v>233</v>
      </c>
      <c r="C128" s="270">
        <v>1.25</v>
      </c>
      <c r="D128" s="273">
        <v>0.05</v>
      </c>
      <c r="E128" s="270">
        <f>D128*HLOOKUP(A128,'Current base situation'!$19:$25,6,0)</f>
        <v>225</v>
      </c>
      <c r="F128" s="270">
        <f t="shared" si="12"/>
        <v>180</v>
      </c>
      <c r="G128" s="270">
        <f t="shared" si="11"/>
        <v>1</v>
      </c>
      <c r="H128" s="270">
        <f t="shared" si="13"/>
        <v>180</v>
      </c>
      <c r="I128" s="270">
        <f t="shared" si="10"/>
        <v>13</v>
      </c>
      <c r="J128" s="286"/>
      <c r="K128" s="286"/>
      <c r="L128" s="286"/>
      <c r="M128" s="270" t="s">
        <v>264</v>
      </c>
      <c r="P128"/>
      <c r="Q128"/>
      <c r="R128"/>
    </row>
    <row r="129" spans="1:21" x14ac:dyDescent="0.2">
      <c r="A129" s="270" t="str">
        <f>'Current base situation'!$BD$19</f>
        <v>Munich</v>
      </c>
      <c r="B129" s="270" t="s">
        <v>234</v>
      </c>
      <c r="C129" s="270">
        <v>1.5</v>
      </c>
      <c r="D129" s="273">
        <v>0.05</v>
      </c>
      <c r="E129" s="270">
        <f>D129*HLOOKUP(A129,'Current base situation'!$19:$25,6,0)</f>
        <v>225</v>
      </c>
      <c r="F129" s="270">
        <f t="shared" si="12"/>
        <v>150</v>
      </c>
      <c r="G129" s="270">
        <f t="shared" si="11"/>
        <v>1</v>
      </c>
      <c r="H129" s="270">
        <f t="shared" si="13"/>
        <v>150</v>
      </c>
      <c r="I129" s="270">
        <f t="shared" si="10"/>
        <v>11</v>
      </c>
      <c r="M129" s="270" t="s">
        <v>264</v>
      </c>
      <c r="P129"/>
      <c r="Q129"/>
      <c r="R129"/>
    </row>
    <row r="130" spans="1:21" x14ac:dyDescent="0.2">
      <c r="A130" s="270" t="str">
        <f>'Current base situation'!$BD$19</f>
        <v>Munich</v>
      </c>
      <c r="B130" s="270" t="s">
        <v>235</v>
      </c>
      <c r="C130" s="270">
        <v>0.5</v>
      </c>
      <c r="D130" s="273">
        <v>0.1</v>
      </c>
      <c r="E130" s="270">
        <f>D130*HLOOKUP(A130,'Current base situation'!$19:$25,6,0)</f>
        <v>450</v>
      </c>
      <c r="F130" s="270">
        <f t="shared" si="12"/>
        <v>900</v>
      </c>
      <c r="G130" s="270">
        <f t="shared" si="11"/>
        <v>3</v>
      </c>
      <c r="H130" s="270">
        <f t="shared" si="13"/>
        <v>300</v>
      </c>
      <c r="I130" s="270">
        <f t="shared" si="10"/>
        <v>22</v>
      </c>
      <c r="M130" s="270" t="s">
        <v>264</v>
      </c>
      <c r="P130"/>
      <c r="Q130"/>
      <c r="R130"/>
    </row>
    <row r="131" spans="1:21" x14ac:dyDescent="0.2">
      <c r="A131" s="270" t="str">
        <f>'Current base situation'!$BB$19</f>
        <v>Bilbao It.</v>
      </c>
      <c r="B131" s="270" t="s">
        <v>232</v>
      </c>
      <c r="C131" s="270">
        <v>1.25</v>
      </c>
      <c r="D131" s="278">
        <f>1-SUM(D132:D134)</f>
        <v>0.5</v>
      </c>
      <c r="E131" s="270">
        <f>D131*HLOOKUP(A131,'Current base situation'!$19:$25,7,0)</f>
        <v>1500</v>
      </c>
      <c r="F131" s="270">
        <f t="shared" ref="F131:F138" si="14">E131/C131</f>
        <v>1200</v>
      </c>
      <c r="G131" s="270">
        <f t="shared" ref="G131:G138" si="15">ROUNDDOWN($B$1/C131,0)</f>
        <v>1</v>
      </c>
      <c r="H131" s="270">
        <f t="shared" ref="H131:H138" si="16">F131/G131</f>
        <v>1200</v>
      </c>
      <c r="I131" s="270">
        <f t="shared" si="10"/>
        <v>86</v>
      </c>
      <c r="J131" s="286"/>
      <c r="K131" s="286"/>
      <c r="L131" s="286"/>
      <c r="M131" s="270" t="s">
        <v>265</v>
      </c>
      <c r="P131"/>
      <c r="Q131"/>
      <c r="R131"/>
    </row>
    <row r="132" spans="1:21" x14ac:dyDescent="0.2">
      <c r="A132" s="270" t="str">
        <f>'Current base situation'!$BB$19</f>
        <v>Bilbao It.</v>
      </c>
      <c r="B132" s="270" t="s">
        <v>233</v>
      </c>
      <c r="C132" s="270">
        <v>1.25</v>
      </c>
      <c r="D132" s="273">
        <v>0.2</v>
      </c>
      <c r="E132" s="270">
        <f>D132*HLOOKUP(A132,'Current base situation'!$19:$25,7,0)</f>
        <v>600</v>
      </c>
      <c r="F132" s="270">
        <f t="shared" si="14"/>
        <v>480</v>
      </c>
      <c r="G132" s="270">
        <f t="shared" si="15"/>
        <v>1</v>
      </c>
      <c r="H132" s="270">
        <f t="shared" si="16"/>
        <v>480</v>
      </c>
      <c r="I132" s="270">
        <f t="shared" si="10"/>
        <v>35</v>
      </c>
      <c r="M132" s="270" t="s">
        <v>265</v>
      </c>
      <c r="P132"/>
      <c r="Q132"/>
      <c r="R132"/>
    </row>
    <row r="133" spans="1:21" x14ac:dyDescent="0.2">
      <c r="A133" s="270" t="str">
        <f>'Current base situation'!$BB$19</f>
        <v>Bilbao It.</v>
      </c>
      <c r="B133" s="270" t="s">
        <v>234</v>
      </c>
      <c r="C133" s="270">
        <v>1.5</v>
      </c>
      <c r="D133" s="273">
        <v>0.1</v>
      </c>
      <c r="E133" s="270">
        <f>D133*HLOOKUP(A133,'Current base situation'!$19:$25,7,0)</f>
        <v>300</v>
      </c>
      <c r="F133" s="270">
        <f t="shared" si="14"/>
        <v>200</v>
      </c>
      <c r="G133" s="270">
        <f t="shared" si="15"/>
        <v>1</v>
      </c>
      <c r="H133" s="270">
        <f t="shared" si="16"/>
        <v>200</v>
      </c>
      <c r="I133" s="270">
        <f t="shared" si="10"/>
        <v>15</v>
      </c>
      <c r="M133" s="270" t="s">
        <v>265</v>
      </c>
      <c r="P133"/>
      <c r="Q133"/>
      <c r="R133"/>
    </row>
    <row r="134" spans="1:21" x14ac:dyDescent="0.2">
      <c r="A134" s="270" t="str">
        <f>'Current base situation'!$BB$19</f>
        <v>Bilbao It.</v>
      </c>
      <c r="B134" s="270" t="s">
        <v>235</v>
      </c>
      <c r="C134" s="270">
        <v>0.5</v>
      </c>
      <c r="D134" s="273">
        <v>0.2</v>
      </c>
      <c r="E134" s="270">
        <f>D134*HLOOKUP(A134,'Current base situation'!$19:$25,7,0)</f>
        <v>600</v>
      </c>
      <c r="F134" s="270">
        <f t="shared" si="14"/>
        <v>1200</v>
      </c>
      <c r="G134" s="270">
        <f t="shared" si="15"/>
        <v>3</v>
      </c>
      <c r="H134" s="270">
        <f t="shared" si="16"/>
        <v>400</v>
      </c>
      <c r="I134" s="270">
        <f t="shared" si="10"/>
        <v>29</v>
      </c>
      <c r="M134" s="270" t="s">
        <v>265</v>
      </c>
      <c r="P134"/>
      <c r="Q134"/>
      <c r="R134"/>
    </row>
    <row r="135" spans="1:21" x14ac:dyDescent="0.2">
      <c r="A135" s="270" t="str">
        <f>'Current base situation'!$AZ$19</f>
        <v xml:space="preserve">Genua  </v>
      </c>
      <c r="B135" s="270" t="s">
        <v>232</v>
      </c>
      <c r="C135" s="270">
        <v>1.25</v>
      </c>
      <c r="D135" s="278">
        <f>1-SUM(D136:D138)</f>
        <v>0.19999999999999996</v>
      </c>
      <c r="E135" s="270">
        <f>D135*HLOOKUP(A135,'Current base situation'!$19:$25,7,0)</f>
        <v>599.99999999999989</v>
      </c>
      <c r="F135" s="270">
        <f t="shared" si="14"/>
        <v>479.99999999999989</v>
      </c>
      <c r="G135" s="270">
        <f t="shared" si="15"/>
        <v>1</v>
      </c>
      <c r="H135" s="270">
        <f t="shared" si="16"/>
        <v>479.99999999999989</v>
      </c>
      <c r="I135" s="270">
        <f t="shared" si="10"/>
        <v>35</v>
      </c>
      <c r="M135" s="270" t="s">
        <v>265</v>
      </c>
      <c r="P135"/>
      <c r="Q135"/>
      <c r="R135"/>
    </row>
    <row r="136" spans="1:21" x14ac:dyDescent="0.2">
      <c r="A136" s="270" t="str">
        <f>'Current base situation'!$AZ$19</f>
        <v xml:space="preserve">Genua  </v>
      </c>
      <c r="B136" s="270" t="s">
        <v>233</v>
      </c>
      <c r="C136" s="270">
        <v>1.25</v>
      </c>
      <c r="D136" s="273">
        <v>0.35</v>
      </c>
      <c r="E136" s="270">
        <f>D136*HLOOKUP(A136,'Current base situation'!$19:$25,7,0)</f>
        <v>1050</v>
      </c>
      <c r="F136" s="270">
        <f t="shared" si="14"/>
        <v>840</v>
      </c>
      <c r="G136" s="270">
        <f t="shared" si="15"/>
        <v>1</v>
      </c>
      <c r="H136" s="270">
        <f t="shared" si="16"/>
        <v>840</v>
      </c>
      <c r="I136" s="270">
        <f t="shared" si="10"/>
        <v>60</v>
      </c>
      <c r="M136" s="270" t="s">
        <v>265</v>
      </c>
      <c r="P136"/>
      <c r="Q136"/>
      <c r="R136"/>
    </row>
    <row r="137" spans="1:21" x14ac:dyDescent="0.2">
      <c r="A137" s="270" t="str">
        <f>'Current base situation'!$AZ$19</f>
        <v xml:space="preserve">Genua  </v>
      </c>
      <c r="B137" s="270" t="s">
        <v>234</v>
      </c>
      <c r="C137" s="270">
        <v>1.5</v>
      </c>
      <c r="D137" s="273">
        <v>0.15</v>
      </c>
      <c r="E137" s="270">
        <f>D137*HLOOKUP(A137,'Current base situation'!$19:$25,7,0)</f>
        <v>450</v>
      </c>
      <c r="F137" s="270">
        <f t="shared" si="14"/>
        <v>300</v>
      </c>
      <c r="G137" s="270">
        <f t="shared" si="15"/>
        <v>1</v>
      </c>
      <c r="H137" s="270">
        <f t="shared" si="16"/>
        <v>300</v>
      </c>
      <c r="I137" s="270">
        <f t="shared" si="10"/>
        <v>22</v>
      </c>
      <c r="M137" s="270" t="s">
        <v>265</v>
      </c>
      <c r="P137"/>
      <c r="Q137"/>
      <c r="R137"/>
    </row>
    <row r="138" spans="1:21" x14ac:dyDescent="0.2">
      <c r="A138" s="270" t="str">
        <f>'Current base situation'!$AZ$19</f>
        <v xml:space="preserve">Genua  </v>
      </c>
      <c r="B138" s="270" t="s">
        <v>235</v>
      </c>
      <c r="C138" s="270">
        <v>0.5</v>
      </c>
      <c r="D138" s="273">
        <v>0.3</v>
      </c>
      <c r="E138" s="270">
        <f>D138*HLOOKUP(A138,'Current base situation'!$19:$25,7,0)</f>
        <v>900</v>
      </c>
      <c r="F138" s="270">
        <f t="shared" si="14"/>
        <v>1800</v>
      </c>
      <c r="G138" s="270">
        <f t="shared" si="15"/>
        <v>3</v>
      </c>
      <c r="H138" s="270">
        <f t="shared" si="16"/>
        <v>600</v>
      </c>
      <c r="I138" s="270">
        <f t="shared" si="10"/>
        <v>43</v>
      </c>
      <c r="J138" s="286"/>
      <c r="K138" s="286"/>
      <c r="L138" s="286"/>
      <c r="M138" s="270" t="s">
        <v>265</v>
      </c>
      <c r="P138"/>
      <c r="Q138"/>
      <c r="R138"/>
    </row>
    <row r="139" spans="1:21" x14ac:dyDescent="0.2">
      <c r="R139"/>
      <c r="S139"/>
      <c r="T139"/>
    </row>
    <row r="140" spans="1:21" x14ac:dyDescent="0.2">
      <c r="R140"/>
      <c r="S140"/>
      <c r="T140"/>
    </row>
    <row r="141" spans="1:21" x14ac:dyDescent="0.2">
      <c r="R141"/>
      <c r="S141"/>
      <c r="T141"/>
    </row>
    <row r="142" spans="1:21" x14ac:dyDescent="0.2">
      <c r="R142"/>
      <c r="S142"/>
      <c r="T142"/>
      <c r="U142" s="270">
        <f>1.5*17</f>
        <v>25.5</v>
      </c>
    </row>
    <row r="143" spans="1:21" x14ac:dyDescent="0.2">
      <c r="U143" s="270">
        <f>300000/25.5</f>
        <v>11764.705882352941</v>
      </c>
    </row>
  </sheetData>
  <autoFilter ref="A10:M138"/>
  <phoneticPr fontId="1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"/>
  <sheetViews>
    <sheetView workbookViewId="0">
      <selection activeCell="A9" sqref="A9"/>
    </sheetView>
  </sheetViews>
  <sheetFormatPr baseColWidth="10" defaultRowHeight="14" x14ac:dyDescent="0.2"/>
  <cols>
    <col min="1" max="1" width="14" bestFit="1" customWidth="1"/>
    <col min="2" max="2" width="24.59765625" bestFit="1" customWidth="1"/>
    <col min="3" max="3" width="24.3984375" bestFit="1" customWidth="1"/>
    <col min="4" max="4" width="23" bestFit="1" customWidth="1"/>
  </cols>
  <sheetData>
    <row r="1" spans="1:5" x14ac:dyDescent="0.2">
      <c r="A1" t="s">
        <v>216</v>
      </c>
      <c r="B1" t="s">
        <v>227</v>
      </c>
      <c r="C1" t="s">
        <v>254</v>
      </c>
      <c r="D1" t="s">
        <v>252</v>
      </c>
      <c r="E1" t="s">
        <v>253</v>
      </c>
    </row>
    <row r="2" spans="1:5" x14ac:dyDescent="0.2">
      <c r="A2" t="s">
        <v>217</v>
      </c>
      <c r="B2">
        <v>1500000</v>
      </c>
      <c r="C2">
        <f>B2/D2</f>
        <v>1800720.2881152462</v>
      </c>
      <c r="D2">
        <v>0.83299999999999996</v>
      </c>
    </row>
    <row r="3" spans="1:5" x14ac:dyDescent="0.2">
      <c r="A3" t="s">
        <v>218</v>
      </c>
      <c r="B3" s="268">
        <v>4300000</v>
      </c>
      <c r="C3">
        <f t="shared" ref="C3:C11" si="0">B3/D3</f>
        <v>1657032.7552986511</v>
      </c>
      <c r="D3">
        <v>2.5950000000000002</v>
      </c>
    </row>
    <row r="4" spans="1:5" x14ac:dyDescent="0.2">
      <c r="A4" t="s">
        <v>219</v>
      </c>
      <c r="B4">
        <v>200000</v>
      </c>
      <c r="C4">
        <f t="shared" si="0"/>
        <v>215285.25296017222</v>
      </c>
      <c r="D4">
        <v>0.92900000000000005</v>
      </c>
    </row>
    <row r="5" spans="1:5" x14ac:dyDescent="0.2">
      <c r="A5" t="s">
        <v>220</v>
      </c>
      <c r="B5">
        <v>600000</v>
      </c>
      <c r="C5">
        <f t="shared" si="0"/>
        <v>624349.63579604577</v>
      </c>
      <c r="D5">
        <v>0.96099999999999997</v>
      </c>
    </row>
    <row r="6" spans="1:5" x14ac:dyDescent="0.2">
      <c r="A6" t="s">
        <v>221</v>
      </c>
      <c r="B6">
        <v>200000</v>
      </c>
      <c r="C6">
        <f t="shared" si="0"/>
        <v>231213.87283236993</v>
      </c>
      <c r="D6">
        <v>0.86499999999999999</v>
      </c>
    </row>
    <row r="7" spans="1:5" x14ac:dyDescent="0.2">
      <c r="A7" t="s">
        <v>222</v>
      </c>
      <c r="B7">
        <v>100000</v>
      </c>
      <c r="C7">
        <f t="shared" si="0"/>
        <v>62500</v>
      </c>
      <c r="D7">
        <v>1.6</v>
      </c>
    </row>
    <row r="8" spans="1:5" x14ac:dyDescent="0.2">
      <c r="A8" t="s">
        <v>223</v>
      </c>
      <c r="B8">
        <v>1200000</v>
      </c>
      <c r="C8">
        <f t="shared" si="0"/>
        <v>2139037.4331550798</v>
      </c>
      <c r="D8">
        <v>0.56100000000000005</v>
      </c>
    </row>
    <row r="9" spans="1:5" x14ac:dyDescent="0.2">
      <c r="A9" t="s">
        <v>224</v>
      </c>
      <c r="B9">
        <v>2600000</v>
      </c>
      <c r="C9" t="e">
        <f t="shared" si="0"/>
        <v>#DIV/0!</v>
      </c>
    </row>
    <row r="10" spans="1:5" x14ac:dyDescent="0.2">
      <c r="A10" t="s">
        <v>225</v>
      </c>
      <c r="B10">
        <v>700000</v>
      </c>
      <c r="C10">
        <f t="shared" si="0"/>
        <v>582847.62697751867</v>
      </c>
      <c r="D10">
        <v>1.2010000000000001</v>
      </c>
    </row>
    <row r="11" spans="1:5" x14ac:dyDescent="0.2">
      <c r="A11" t="s">
        <v>226</v>
      </c>
      <c r="B11">
        <v>200000</v>
      </c>
      <c r="C11">
        <f t="shared" si="0"/>
        <v>356506.23885918001</v>
      </c>
      <c r="D11">
        <v>0.56100000000000005</v>
      </c>
    </row>
  </sheetData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PLANNING sheet</vt:lpstr>
      <vt:lpstr>Current base situation</vt:lpstr>
      <vt:lpstr>TRUCK COST help sheet</vt:lpstr>
      <vt:lpstr>RAIL COST help sheet</vt:lpstr>
      <vt:lpstr>BARGE cost help sheet </vt:lpstr>
      <vt:lpstr>Short sea  help sheet</vt:lpstr>
      <vt:lpstr>final product division</vt:lpstr>
      <vt:lpstr>Raw material info</vt:lpstr>
    </vt:vector>
  </TitlesOfParts>
  <Company>HZ University Of Applied Sciences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Boot</dc:creator>
  <cp:lastModifiedBy>李 文华</cp:lastModifiedBy>
  <dcterms:created xsi:type="dcterms:W3CDTF">2017-10-24T10:23:09Z</dcterms:created>
  <dcterms:modified xsi:type="dcterms:W3CDTF">2018-10-05T12:49:29Z</dcterms:modified>
</cp:coreProperties>
</file>