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hidePivotFieldList="1"/>
  <mc:AlternateContent xmlns:mc="http://schemas.openxmlformats.org/markup-compatibility/2006">
    <mc:Choice Requires="x15">
      <x15ac:absPath xmlns:x15ac="http://schemas.microsoft.com/office/spreadsheetml/2010/11/ac" url="C:\Users\xiaominyang\Documents\Xiaomin Yang METM\TCMT 612\2024 update\Semester Course\Simulation module\Tools\"/>
    </mc:Choice>
  </mc:AlternateContent>
  <xr:revisionPtr revIDLastSave="0" documentId="13_ncr:1_{AE364EC1-2975-48ED-A423-1578478C9834}" xr6:coauthVersionLast="47" xr6:coauthVersionMax="47" xr10:uidLastSave="{00000000-0000-0000-0000-000000000000}"/>
  <bookViews>
    <workbookView xWindow="-120" yWindow="-120" windowWidth="29040" windowHeight="15840" xr2:uid="{00000000-000D-0000-FFFF-FFFF00000000}"/>
  </bookViews>
  <sheets>
    <sheet name="Capital planning economic model" sheetId="8" r:id="rId1"/>
    <sheet name="Charts" sheetId="32" r:id="rId2"/>
  </sheets>
  <definedNames>
    <definedName name="solver_bigm" localSheetId="0" hidden="1">1000000</definedName>
    <definedName name="solver_bnd" localSheetId="0" hidden="1">1</definedName>
    <definedName name="solver_cha" localSheetId="0" hidden="1">0</definedName>
    <definedName name="solver_chn" localSheetId="0" hidden="1">4</definedName>
    <definedName name="solver_cht" localSheetId="0" hidden="1">0</definedName>
    <definedName name="solver_corr" hidden="1">1</definedName>
    <definedName name="solver_ctp1" hidden="1">0</definedName>
    <definedName name="solver_ctp2" hidden="1">0</definedName>
    <definedName name="solver_dimcalc" localSheetId="0" hidden="1">0</definedName>
    <definedName name="solver_disp" hidden="1">0</definedName>
    <definedName name="solver_eval" hidden="1">0</definedName>
    <definedName name="solver_glb" localSheetId="0" hidden="1">-1E+30</definedName>
    <definedName name="solver_gub" localSheetId="0" hidden="1">1E+30</definedName>
    <definedName name="solver_iao" localSheetId="0" hidden="1">0</definedName>
    <definedName name="solver_inc" localSheetId="0" hidden="1">0</definedName>
    <definedName name="solver_int" localSheetId="0" hidden="1">0</definedName>
    <definedName name="solver_ism" localSheetId="0" hidden="1">0</definedName>
    <definedName name="solver_lcens" hidden="1">-1E+30</definedName>
    <definedName name="solver_lcut" hidden="1">-1E+30</definedName>
    <definedName name="solver_log" localSheetId="0" hidden="1">1</definedName>
    <definedName name="solver_mda" localSheetId="0" hidden="1">4</definedName>
    <definedName name="solver_mod" localSheetId="0" hidden="1">1</definedName>
    <definedName name="solver_nopt" localSheetId="0" hidden="1">1</definedName>
    <definedName name="solver_nsim" hidden="1">6</definedName>
    <definedName name="solver_nsopt" localSheetId="0" hidden="1">-1</definedName>
    <definedName name="solver_nssim" hidden="1">-1</definedName>
    <definedName name="solver_ntr" localSheetId="0" hidden="1">0</definedName>
    <definedName name="solver_ntri" hidden="1">1000</definedName>
    <definedName name="solver_psi" localSheetId="0" hidden="1">0</definedName>
    <definedName name="solver_rgen" hidden="1">1</definedName>
    <definedName name="solver_rsmp" hidden="1">1</definedName>
    <definedName name="solver_sclt" hidden="1">100</definedName>
    <definedName name="solver_scs" localSheetId="0" hidden="1">0</definedName>
    <definedName name="solver_seed" hidden="1">0</definedName>
    <definedName name="solver_slv" localSheetId="0" hidden="1">0</definedName>
    <definedName name="solver_slvu" localSheetId="0" hidden="1">0</definedName>
    <definedName name="solver_strm" hidden="1">0</definedName>
    <definedName name="solver_tree_a" localSheetId="0" hidden="1">1</definedName>
    <definedName name="solver_tree_b" localSheetId="0" hidden="1">1</definedName>
    <definedName name="solver_tree_ce" localSheetId="0" hidden="1">1</definedName>
    <definedName name="solver_tree_dn" localSheetId="0" hidden="1">1</definedName>
    <definedName name="solver_tree_rt" localSheetId="0" hidden="1">1000000000000</definedName>
    <definedName name="solver_typ" localSheetId="0" hidden="1">2</definedName>
    <definedName name="solver_ucens" hidden="1">1E+30</definedName>
    <definedName name="solver_ucut" hidden="1">1E+30</definedName>
    <definedName name="solver_umod" localSheetId="0" hidden="1">1</definedName>
    <definedName name="solver_ver" localSheetId="0" hidden="1">17</definedName>
    <definedName name="solver_vol" localSheetId="0" hidden="1">0</definedName>
    <definedName name="solveri_ISpPars_B10" localSheetId="0" hidden="1">"RiskSolver.UI.Charts.InputDlgPars:-1000001;1;1;41;30;37;47;0;90;90;0;0;0;0;1;"</definedName>
    <definedName name="solveri_ISpPars_B11" localSheetId="0" hidden="1">"RiskSolver.UI.Charts.InputDlgPars:-1000001;1;1;38;24;37;47;0;90;90;0;0;0;0;1;"</definedName>
    <definedName name="solveri_ISpPars_B8" localSheetId="0" hidden="1">"RiskSolver.UI.Charts.InputDlgPars:-1000001;1;1;43;24;37;47;0;90;90;0;0;0;0;1;"</definedName>
    <definedName name="solveri_ISpPars_B9" localSheetId="0" hidden="1">"RiskSolver.UI.Charts.InputDlgPars:-1000001;1;1;40;25;37;47;0;90;90;0;0;0;0;1;"</definedName>
    <definedName name="solvero_CRMax_C47" localSheetId="0" hidden="1">"System.Double:1331.45667358179"</definedName>
    <definedName name="solvero_CRMin_C47" localSheetId="0" hidden="1">"System.Double:-643.905802557088"</definedName>
    <definedName name="solvero_OSpPars_C47" localSheetId="0" hidden="1">"RiskSolver.UI.Charts.OutDlgPars:-1000001;17;17;49;44;1;1;90;80;0;0;0;0;1;"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8" l="1"/>
  <c r="D22" i="8"/>
  <c r="C23" i="8"/>
  <c r="B24" i="8"/>
  <c r="B34" i="8"/>
  <c r="B36" i="8" s="1"/>
  <c r="B26" i="8"/>
  <c r="B30" i="8" s="1"/>
  <c r="B9" i="8"/>
  <c r="D52" i="8" a="1"/>
  <c r="B8" i="8"/>
  <c r="B11" i="8"/>
  <c r="D53" i="8" a="1"/>
  <c r="B10" i="8"/>
  <c r="C52" i="8" a="1"/>
  <c r="C53" i="8" a="1"/>
  <c r="C43" i="8"/>
  <c r="C45" i="8" l="1"/>
  <c r="C22" i="8"/>
  <c r="C24" i="8" s="1"/>
  <c r="C52" i="8"/>
  <c r="D53" i="8"/>
  <c r="C53" i="8"/>
  <c r="D52" i="8"/>
  <c r="C35" i="8"/>
  <c r="D35" i="8" s="1"/>
  <c r="D33" i="8"/>
  <c r="D34" i="8" s="1"/>
  <c r="C33" i="8"/>
  <c r="C29" i="8"/>
  <c r="D29" i="8"/>
  <c r="C18" i="8"/>
  <c r="D18" i="8"/>
  <c r="D16" i="8"/>
  <c r="C16" i="8"/>
  <c r="D24" i="8"/>
  <c r="B38" i="8"/>
  <c r="B17" i="8"/>
  <c r="B19" i="8" s="1"/>
  <c r="C34" i="8" l="1"/>
  <c r="C46" i="8" s="1"/>
  <c r="D26" i="8"/>
  <c r="D17" i="8" s="1"/>
  <c r="D19" i="8" s="1"/>
  <c r="D36" i="8"/>
  <c r="B39" i="8"/>
  <c r="C26" i="8"/>
  <c r="C17" i="8" s="1"/>
  <c r="C36" i="8" l="1"/>
  <c r="D30" i="8"/>
  <c r="D38" i="8" s="1"/>
  <c r="D39" i="8" s="1"/>
  <c r="C30" i="8"/>
  <c r="C19" i="8"/>
  <c r="C38" i="8" l="1"/>
  <c r="C39" i="8" s="1"/>
  <c r="C47" i="8"/>
  <c r="C4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<sst xmlns="http://schemas.openxmlformats.org/spreadsheetml/2006/main" count="57" uniqueCount="52">
  <si>
    <t>Production capacity</t>
  </si>
  <si>
    <t>Total cost</t>
  </si>
  <si>
    <t>Total profit</t>
  </si>
  <si>
    <t>Unit price</t>
  </si>
  <si>
    <t>Unit price growth</t>
  </si>
  <si>
    <t># of machines</t>
  </si>
  <si>
    <t>Variable cost per unit</t>
  </si>
  <si>
    <t>Fixed cost</t>
  </si>
  <si>
    <t>Total production</t>
  </si>
  <si>
    <t>Total capacity</t>
  </si>
  <si>
    <t>Total variable cost</t>
  </si>
  <si>
    <t>Material price growth</t>
  </si>
  <si>
    <t>Fixed cost price growth</t>
  </si>
  <si>
    <t>Annual revenue</t>
  </si>
  <si>
    <t>Annual sales demand</t>
  </si>
  <si>
    <t>Sales demand growth</t>
  </si>
  <si>
    <t>Capacity per machine</t>
  </si>
  <si>
    <t>Total fixed cost</t>
  </si>
  <si>
    <t>Additional machine #</t>
  </si>
  <si>
    <t>Current year</t>
  </si>
  <si>
    <t>Strong economy</t>
  </si>
  <si>
    <t xml:space="preserve">Recession </t>
  </si>
  <si>
    <t>Demand, delivery and revenue</t>
  </si>
  <si>
    <t>Annual delivery</t>
  </si>
  <si>
    <t>Machine and operating labor (per machine)</t>
  </si>
  <si>
    <t>Others</t>
  </si>
  <si>
    <t>Total machine and operating labor cost</t>
  </si>
  <si>
    <t>Likely case</t>
  </si>
  <si>
    <t>ROI</t>
  </si>
  <si>
    <t>Investment (machine and operating labor)</t>
  </si>
  <si>
    <t>Profit change</t>
  </si>
  <si>
    <t>Next year (additional machine)</t>
  </si>
  <si>
    <t>Next year (status quo)</t>
  </si>
  <si>
    <t>Likely-case summary</t>
  </si>
  <si>
    <t>Variable cost</t>
  </si>
  <si>
    <t>Based on demand forecast</t>
  </si>
  <si>
    <t>Based on unit price forecast</t>
  </si>
  <si>
    <t>There are 70 machines at the end of the current year</t>
  </si>
  <si>
    <t>The amount of product delivery is bounded by the production capacity and market demand</t>
  </si>
  <si>
    <t>Based on procurement and HR forecast</t>
  </si>
  <si>
    <t>Decision and Impact</t>
  </si>
  <si>
    <t xml:space="preserve">Description: As the chief operation officer a manufacturing company, you need to decide on the investment on additional machines and associated labor for the next year to meet growing market demand.  The sales &amp; marketing division of the company provided their forecast of sales demand and price for the next year, your procurement and HR divisions also provided guidance on materials price and labor cost forecast. Their forecast includes three possible scenarios (likely, best case and worst cases) which represent economic and market uncertainty. </t>
  </si>
  <si>
    <t>Simulation Case</t>
  </si>
  <si>
    <t>Mean</t>
  </si>
  <si>
    <t>Stdev</t>
  </si>
  <si>
    <t>Statistics results</t>
  </si>
  <si>
    <t>Triangle distribution of the key market, economic and operational inputs (variables) based on the three scenarios</t>
  </si>
  <si>
    <t>Simulation case</t>
  </si>
  <si>
    <t>Capital Investment Simulation Case Study</t>
  </si>
  <si>
    <t>Forecast of uncertain variables</t>
  </si>
  <si>
    <t>Range of additional machines</t>
  </si>
  <si>
    <t>The number of machines is a simulation parameter in this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</si>
</sst>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 #,##0.00_ ;_ * \-#,##0.00_ ;_ * &quot;-&quot;??_ ;_ @_ "/>
    <numFmt numFmtId="165" formatCode="_ * #,##0_ ;_ * \-#,##0_ ;_ * &quot;-&quot;??_ ;_ @_ "/>
    <numFmt numFmtId="166" formatCode="_(&quot;$&quot;* #,##0_);_(&quot;$&quot;* \(#,##0\);_(&quot;$&quot;* &quot;-&quot;??_);_(@_)"/>
    <numFmt numFmtId="167"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
      <b/>
      <sz val="11"/>
      <color rgb="FF0070C0"/>
      <name val="Calibri"/>
      <family val="2"/>
      <scheme val="minor"/>
    </font>
    <font>
      <sz val="11"/>
      <name val="Calibri"/>
      <family val="2"/>
      <scheme val="minor"/>
    </font>
    <font>
      <b/>
      <sz val="11"/>
      <color theme="0" tint="-0.34998626667073579"/>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bgColor indexed="64"/>
      </patternFill>
    </fill>
    <fill>
      <patternFill patternType="solid">
        <fgColor theme="1"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0" fontId="0" fillId="0" borderId="1" xfId="0" applyBorder="1"/>
    <xf numFmtId="0" fontId="0" fillId="6" borderId="1" xfId="0" applyFill="1" applyBorder="1"/>
    <xf numFmtId="44" fontId="0" fillId="0" borderId="1" xfId="2" applyFont="1" applyBorder="1"/>
    <xf numFmtId="44" fontId="0" fillId="0" borderId="0" xfId="2" applyFont="1" applyFill="1" applyBorder="1"/>
    <xf numFmtId="0" fontId="0" fillId="0" borderId="0" xfId="0" applyAlignment="1">
      <alignment horizontal="center"/>
    </xf>
    <xf numFmtId="9" fontId="0" fillId="6" borderId="1" xfId="0" applyNumberFormat="1" applyFill="1" applyBorder="1" applyAlignment="1">
      <alignment horizontal="center"/>
    </xf>
    <xf numFmtId="9" fontId="0" fillId="6" borderId="1" xfId="3" applyFont="1" applyFill="1" applyBorder="1" applyAlignment="1">
      <alignment horizontal="center"/>
    </xf>
    <xf numFmtId="9" fontId="0" fillId="0" borderId="0" xfId="3" applyFont="1" applyAlignment="1">
      <alignment horizontal="center"/>
    </xf>
    <xf numFmtId="165" fontId="0" fillId="0" borderId="1" xfId="1" applyNumberFormat="1" applyFont="1" applyBorder="1" applyAlignment="1">
      <alignment horizontal="center"/>
    </xf>
    <xf numFmtId="165" fontId="0" fillId="0" borderId="1" xfId="0" applyNumberFormat="1" applyBorder="1" applyAlignment="1">
      <alignment horizontal="center"/>
    </xf>
    <xf numFmtId="44" fontId="0" fillId="0" borderId="1" xfId="2" applyFont="1" applyBorder="1" applyAlignment="1">
      <alignment horizontal="center"/>
    </xf>
    <xf numFmtId="165" fontId="0" fillId="0" borderId="0" xfId="1" applyNumberFormat="1" applyFont="1" applyAlignment="1">
      <alignment horizontal="center"/>
    </xf>
    <xf numFmtId="44" fontId="0" fillId="0" borderId="0" xfId="0" applyNumberFormat="1" applyAlignment="1">
      <alignment horizontal="center"/>
    </xf>
    <xf numFmtId="43" fontId="0" fillId="0" borderId="1" xfId="0" applyNumberFormat="1" applyBorder="1" applyAlignment="1">
      <alignment horizontal="center"/>
    </xf>
    <xf numFmtId="0" fontId="2" fillId="9" borderId="0" xfId="0" applyFont="1" applyFill="1"/>
    <xf numFmtId="0" fontId="2" fillId="8" borderId="1" xfId="0" applyFont="1" applyFill="1" applyBorder="1"/>
    <xf numFmtId="43" fontId="2" fillId="8" borderId="1" xfId="0" applyNumberFormat="1" applyFont="1" applyFill="1" applyBorder="1" applyAlignment="1">
      <alignment horizontal="center"/>
    </xf>
    <xf numFmtId="0" fontId="0" fillId="0" borderId="1" xfId="0" applyBorder="1" applyAlignment="1">
      <alignment horizontal="center"/>
    </xf>
    <xf numFmtId="9" fontId="0" fillId="0" borderId="1" xfId="0" applyNumberFormat="1" applyBorder="1" applyAlignment="1">
      <alignment horizontal="center"/>
    </xf>
    <xf numFmtId="9" fontId="4" fillId="10" borderId="0" xfId="3" applyFont="1" applyFill="1" applyAlignment="1">
      <alignment horizontal="center"/>
    </xf>
    <xf numFmtId="0" fontId="2" fillId="0" borderId="1" xfId="0" applyFont="1" applyBorder="1" applyAlignment="1">
      <alignment horizontal="center" wrapText="1"/>
    </xf>
    <xf numFmtId="44" fontId="2" fillId="0" borderId="1" xfId="2" applyFont="1" applyBorder="1" applyAlignment="1">
      <alignment horizontal="center" wrapText="1"/>
    </xf>
    <xf numFmtId="165" fontId="0" fillId="0" borderId="2" xfId="0" applyNumberFormat="1" applyBorder="1" applyAlignment="1">
      <alignment horizontal="center"/>
    </xf>
    <xf numFmtId="0" fontId="4" fillId="0" borderId="0" xfId="0" applyFont="1" applyAlignment="1">
      <alignment horizontal="center"/>
    </xf>
    <xf numFmtId="165" fontId="0" fillId="0" borderId="0" xfId="0" applyNumberFormat="1" applyAlignment="1">
      <alignment horizontal="center"/>
    </xf>
    <xf numFmtId="44" fontId="0" fillId="0" borderId="0" xfId="2" applyFont="1" applyFill="1" applyBorder="1" applyAlignment="1">
      <alignment horizontal="center"/>
    </xf>
    <xf numFmtId="165" fontId="2" fillId="0" borderId="0" xfId="1" applyNumberFormat="1" applyFont="1" applyFill="1" applyBorder="1" applyAlignment="1">
      <alignment horizontal="center"/>
    </xf>
    <xf numFmtId="165" fontId="0" fillId="0" borderId="0" xfId="1" applyNumberFormat="1" applyFont="1" applyFill="1" applyBorder="1" applyAlignment="1">
      <alignment horizontal="center"/>
    </xf>
    <xf numFmtId="44" fontId="2" fillId="0" borderId="0" xfId="2" applyFont="1" applyFill="1" applyBorder="1" applyAlignment="1">
      <alignment horizontal="center"/>
    </xf>
    <xf numFmtId="44" fontId="2" fillId="0" borderId="0" xfId="0" applyNumberFormat="1" applyFont="1" applyAlignment="1">
      <alignment horizontal="center"/>
    </xf>
    <xf numFmtId="43" fontId="0" fillId="0" borderId="0" xfId="0" applyNumberFormat="1" applyAlignment="1">
      <alignment horizontal="center"/>
    </xf>
    <xf numFmtId="43" fontId="2" fillId="0" borderId="0" xfId="0" applyNumberFormat="1" applyFont="1" applyAlignment="1">
      <alignment horizontal="center"/>
    </xf>
    <xf numFmtId="0" fontId="5" fillId="0" borderId="0" xfId="0" applyFont="1" applyAlignment="1">
      <alignment horizontal="center"/>
    </xf>
    <xf numFmtId="165" fontId="2" fillId="4" borderId="1" xfId="1" applyNumberFormat="1" applyFont="1" applyFill="1" applyBorder="1" applyAlignment="1">
      <alignment horizontal="center"/>
    </xf>
    <xf numFmtId="44" fontId="2" fillId="7" borderId="1" xfId="2" applyFont="1" applyFill="1" applyBorder="1" applyAlignment="1">
      <alignment horizontal="center"/>
    </xf>
    <xf numFmtId="44" fontId="2" fillId="7" borderId="1" xfId="0" applyNumberFormat="1" applyFont="1" applyFill="1" applyBorder="1" applyAlignment="1">
      <alignment horizontal="center"/>
    </xf>
    <xf numFmtId="0" fontId="5" fillId="0" borderId="1" xfId="0" applyFont="1" applyBorder="1" applyAlignment="1">
      <alignment horizontal="center"/>
    </xf>
    <xf numFmtId="9" fontId="0" fillId="0" borderId="1" xfId="3" applyFont="1" applyBorder="1" applyAlignment="1">
      <alignment horizontal="center" wrapText="1"/>
    </xf>
    <xf numFmtId="9" fontId="0" fillId="0" borderId="0" xfId="3" applyFont="1" applyFill="1" applyBorder="1" applyAlignment="1">
      <alignment horizontal="center"/>
    </xf>
    <xf numFmtId="166" fontId="2" fillId="7" borderId="1" xfId="2" applyNumberFormat="1" applyFont="1" applyFill="1" applyBorder="1" applyAlignment="1">
      <alignment horizontal="center"/>
    </xf>
    <xf numFmtId="166" fontId="0" fillId="0" borderId="2" xfId="2" applyNumberFormat="1" applyFont="1" applyBorder="1" applyAlignment="1">
      <alignment horizontal="center"/>
    </xf>
    <xf numFmtId="166" fontId="0" fillId="0" borderId="1" xfId="2" applyNumberFormat="1" applyFont="1" applyBorder="1" applyAlignment="1">
      <alignment horizontal="center"/>
    </xf>
    <xf numFmtId="166" fontId="0" fillId="0" borderId="0" xfId="0" applyNumberFormat="1" applyAlignment="1">
      <alignment horizontal="center"/>
    </xf>
    <xf numFmtId="166" fontId="2" fillId="7" borderId="1" xfId="0" applyNumberFormat="1" applyFont="1" applyFill="1" applyBorder="1" applyAlignment="1">
      <alignment horizontal="center"/>
    </xf>
    <xf numFmtId="166" fontId="0" fillId="0" borderId="1" xfId="0" applyNumberFormat="1" applyBorder="1" applyAlignment="1">
      <alignment horizontal="center"/>
    </xf>
    <xf numFmtId="167" fontId="2" fillId="8" borderId="1" xfId="0" applyNumberFormat="1" applyFont="1" applyFill="1" applyBorder="1" applyAlignment="1">
      <alignment horizontal="center"/>
    </xf>
    <xf numFmtId="44" fontId="2" fillId="7" borderId="1" xfId="2" applyFont="1" applyFill="1" applyBorder="1"/>
    <xf numFmtId="0" fontId="2" fillId="4" borderId="1" xfId="0" applyFont="1" applyFill="1" applyBorder="1"/>
    <xf numFmtId="0" fontId="4" fillId="10" borderId="0" xfId="0" applyFont="1" applyFill="1" applyAlignment="1">
      <alignment horizontal="center" wrapText="1"/>
    </xf>
    <xf numFmtId="0" fontId="0" fillId="3" borderId="0" xfId="0" applyFill="1" applyAlignment="1">
      <alignment horizontal="left" vertical="center" wrapText="1"/>
    </xf>
    <xf numFmtId="0" fontId="0" fillId="3" borderId="0" xfId="0" applyFill="1"/>
    <xf numFmtId="0" fontId="2" fillId="3" borderId="0" xfId="0" applyFont="1" applyFill="1" applyAlignment="1">
      <alignment horizontal="center"/>
    </xf>
    <xf numFmtId="165" fontId="0" fillId="6" borderId="1" xfId="0" applyNumberFormat="1" applyFill="1" applyBorder="1" applyAlignment="1">
      <alignment horizontal="center"/>
    </xf>
    <xf numFmtId="0" fontId="6" fillId="6" borderId="1" xfId="0" applyFont="1" applyFill="1" applyBorder="1" applyAlignment="1">
      <alignment horizontal="center" wrapText="1"/>
    </xf>
    <xf numFmtId="44" fontId="0" fillId="6" borderId="1" xfId="2" applyFont="1" applyFill="1" applyBorder="1" applyAlignment="1">
      <alignment horizontal="center"/>
    </xf>
    <xf numFmtId="44" fontId="0" fillId="6" borderId="1" xfId="2" applyFont="1" applyFill="1" applyBorder="1" applyAlignment="1">
      <alignment horizontal="center" wrapText="1"/>
    </xf>
    <xf numFmtId="0" fontId="3" fillId="5" borderId="0" xfId="0" applyFont="1" applyFill="1" applyAlignment="1">
      <alignment horizontal="center"/>
    </xf>
    <xf numFmtId="166" fontId="0" fillId="0" borderId="1" xfId="2" applyNumberFormat="1" applyFont="1" applyBorder="1" applyAlignment="1">
      <alignment vertical="center" wrapText="1"/>
    </xf>
    <xf numFmtId="9" fontId="0" fillId="0" borderId="0" xfId="0" applyNumberFormat="1" applyAlignment="1">
      <alignment horizontal="center"/>
    </xf>
    <xf numFmtId="0" fontId="0" fillId="6" borderId="1" xfId="0" applyFill="1" applyBorder="1" applyAlignment="1">
      <alignment horizontal="center"/>
    </xf>
    <xf numFmtId="0" fontId="2" fillId="0" borderId="1" xfId="0" applyFont="1" applyBorder="1" applyAlignment="1">
      <alignment horizontal="center"/>
    </xf>
    <xf numFmtId="9" fontId="0" fillId="0" borderId="1" xfId="3" applyFont="1" applyBorder="1" applyAlignment="1">
      <alignment horizontal="center"/>
    </xf>
    <xf numFmtId="9" fontId="0" fillId="0" borderId="1" xfId="3" applyFont="1" applyBorder="1"/>
    <xf numFmtId="9" fontId="0" fillId="0" borderId="0" xfId="3" applyFont="1" applyBorder="1" applyAlignment="1">
      <alignment horizontal="center"/>
    </xf>
    <xf numFmtId="0" fontId="7" fillId="0" borderId="2" xfId="0" applyFont="1" applyBorder="1" applyAlignment="1">
      <alignment horizontal="center"/>
    </xf>
    <xf numFmtId="0" fontId="2" fillId="2" borderId="0" xfId="0" applyFont="1" applyFill="1" applyAlignment="1">
      <alignment horizontal="center" vertical="center"/>
    </xf>
    <xf numFmtId="0" fontId="0" fillId="2" borderId="0" xfId="0" applyFill="1" applyAlignment="1">
      <alignment horizontal="left" vertical="center" wrapText="1"/>
    </xf>
    <xf numFmtId="0" fontId="2" fillId="6" borderId="0" xfId="0" applyFont="1" applyFill="1" applyAlignment="1">
      <alignment horizontal="center" vertical="center"/>
    </xf>
    <xf numFmtId="165" fontId="0" fillId="6" borderId="3" xfId="0" applyNumberFormat="1" applyFill="1" applyBorder="1" applyAlignment="1">
      <alignment horizontal="center" vertical="center" wrapText="1"/>
    </xf>
    <xf numFmtId="165" fontId="0" fillId="6" borderId="4" xfId="0" applyNumberFormat="1" applyFill="1" applyBorder="1" applyAlignment="1">
      <alignment horizontal="center" vertical="center" wrapText="1"/>
    </xf>
    <xf numFmtId="165" fontId="0" fillId="6" borderId="5" xfId="0" applyNumberFormat="1" applyFill="1" applyBorder="1" applyAlignment="1">
      <alignment horizontal="center" vertical="center"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380979</xdr:colOff>
      <xdr:row>2</xdr:row>
      <xdr:rowOff>180975</xdr:rowOff>
    </xdr:from>
    <xdr:to>
      <xdr:col>10</xdr:col>
      <xdr:colOff>373794</xdr:colOff>
      <xdr:row>24</xdr:row>
      <xdr:rowOff>104775</xdr:rowOff>
    </xdr:to>
    <xdr:pic>
      <xdr:nvPicPr>
        <xdr:cNvPr id="2" name="Picture 1">
          <a:extLst>
            <a:ext uri="{FF2B5EF4-FFF2-40B4-BE49-F238E27FC236}">
              <a16:creationId xmlns:a16="http://schemas.microsoft.com/office/drawing/2014/main" id="{1B1E0A70-4ECC-D6D4-EA45-0B000917E438}"/>
            </a:ext>
          </a:extLst>
        </xdr:cNvPr>
        <xdr:cNvPicPr>
          <a:picLocks noChangeAspect="1"/>
        </xdr:cNvPicPr>
      </xdr:nvPicPr>
      <xdr:blipFill>
        <a:blip xmlns:r="http://schemas.openxmlformats.org/officeDocument/2006/relationships" r:embed="rId1"/>
        <a:stretch>
          <a:fillRect/>
        </a:stretch>
      </xdr:blipFill>
      <xdr:spPr>
        <a:xfrm>
          <a:off x="380979" y="561975"/>
          <a:ext cx="6088815" cy="4114800"/>
        </a:xfrm>
        <a:prstGeom prst="rect">
          <a:avLst/>
        </a:prstGeom>
      </xdr:spPr>
    </xdr:pic>
    <xdr:clientData/>
  </xdr:twoCellAnchor>
  <xdr:twoCellAnchor editAs="oneCell">
    <xdr:from>
      <xdr:col>0</xdr:col>
      <xdr:colOff>380980</xdr:colOff>
      <xdr:row>24</xdr:row>
      <xdr:rowOff>104775</xdr:rowOff>
    </xdr:from>
    <xdr:to>
      <xdr:col>10</xdr:col>
      <xdr:colOff>319165</xdr:colOff>
      <xdr:row>46</xdr:row>
      <xdr:rowOff>28575</xdr:rowOff>
    </xdr:to>
    <xdr:pic>
      <xdr:nvPicPr>
        <xdr:cNvPr id="4" name="Picture 3">
          <a:extLst>
            <a:ext uri="{FF2B5EF4-FFF2-40B4-BE49-F238E27FC236}">
              <a16:creationId xmlns:a16="http://schemas.microsoft.com/office/drawing/2014/main" id="{B46AD9D9-DCC1-9F0B-98A5-28E36C7CFF74}"/>
            </a:ext>
          </a:extLst>
        </xdr:cNvPr>
        <xdr:cNvPicPr>
          <a:picLocks noChangeAspect="1"/>
        </xdr:cNvPicPr>
      </xdr:nvPicPr>
      <xdr:blipFill>
        <a:blip xmlns:r="http://schemas.openxmlformats.org/officeDocument/2006/relationships" r:embed="rId2"/>
        <a:stretch>
          <a:fillRect/>
        </a:stretch>
      </xdr:blipFill>
      <xdr:spPr>
        <a:xfrm>
          <a:off x="380980" y="4676775"/>
          <a:ext cx="6034185" cy="411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A8FA-D4C2-4681-87E2-68D7960CEB29}">
  <dimension ref="A2:K53"/>
  <sheetViews>
    <sheetView tabSelected="1" topLeftCell="A17" zoomScale="80" zoomScaleNormal="80" workbookViewId="0">
      <selection activeCell="D58" sqref="D58"/>
    </sheetView>
  </sheetViews>
  <sheetFormatPr defaultRowHeight="15" x14ac:dyDescent="0.25"/>
  <cols>
    <col min="1" max="1" width="40.28515625" customWidth="1"/>
    <col min="2" max="2" width="25.140625" style="5" customWidth="1"/>
    <col min="3" max="3" width="26.140625" style="5" customWidth="1"/>
    <col min="4" max="4" width="26.28515625" bestFit="1" customWidth="1"/>
    <col min="5" max="5" width="31.5703125" customWidth="1"/>
    <col min="6" max="6" width="4" customWidth="1"/>
    <col min="7" max="7" width="68" customWidth="1"/>
    <col min="8" max="8" width="3.85546875" customWidth="1"/>
    <col min="9" max="9" width="40.28515625" customWidth="1"/>
    <col min="10" max="10" width="17.140625" customWidth="1"/>
    <col min="11" max="11" width="12.28515625" customWidth="1"/>
    <col min="12" max="12" width="15.42578125" bestFit="1" customWidth="1"/>
  </cols>
  <sheetData>
    <row r="2" spans="1:11" ht="20.25" customHeight="1" x14ac:dyDescent="0.25">
      <c r="A2" s="66" t="s">
        <v>48</v>
      </c>
      <c r="B2" s="66"/>
      <c r="C2" s="66"/>
      <c r="D2" s="66"/>
    </row>
    <row r="3" spans="1:11" x14ac:dyDescent="0.25">
      <c r="A3" s="52"/>
      <c r="B3" s="52"/>
      <c r="C3" s="52"/>
      <c r="D3" s="52"/>
    </row>
    <row r="4" spans="1:11" x14ac:dyDescent="0.25">
      <c r="A4" s="67" t="s">
        <v>41</v>
      </c>
      <c r="B4" s="67"/>
      <c r="C4" s="67"/>
      <c r="D4" s="67"/>
    </row>
    <row r="5" spans="1:11" ht="115.5" customHeight="1" x14ac:dyDescent="0.25">
      <c r="A5" s="67"/>
      <c r="B5" s="67"/>
      <c r="C5" s="67"/>
      <c r="D5" s="67"/>
    </row>
    <row r="6" spans="1:11" ht="15" customHeight="1" x14ac:dyDescent="0.25">
      <c r="A6" s="50"/>
      <c r="B6" s="50"/>
      <c r="C6" s="50"/>
      <c r="D6" s="50"/>
      <c r="E6" s="51"/>
      <c r="F6" s="51"/>
      <c r="G6" s="51"/>
    </row>
    <row r="7" spans="1:11" x14ac:dyDescent="0.25">
      <c r="A7" s="15" t="s">
        <v>49</v>
      </c>
      <c r="B7" s="60" t="s">
        <v>42</v>
      </c>
      <c r="C7" s="18" t="s">
        <v>21</v>
      </c>
      <c r="D7" s="18" t="s">
        <v>20</v>
      </c>
      <c r="E7" s="18" t="s">
        <v>27</v>
      </c>
      <c r="G7" s="69" t="s">
        <v>46</v>
      </c>
      <c r="K7" s="5"/>
    </row>
    <row r="8" spans="1:11" x14ac:dyDescent="0.25">
      <c r="A8" s="2" t="s">
        <v>15</v>
      </c>
      <c r="B8" s="6">
        <f ca="1">_xll.PsiTriangular(C8,E8,D8,_xll.PsiBaseCase(0.06))</f>
        <v>5.1536561219431204E-2</v>
      </c>
      <c r="C8" s="19">
        <v>0.02</v>
      </c>
      <c r="D8" s="19">
        <v>0.08</v>
      </c>
      <c r="E8" s="62">
        <v>0.06</v>
      </c>
      <c r="F8" s="64"/>
      <c r="G8" s="70"/>
      <c r="K8" s="59"/>
    </row>
    <row r="9" spans="1:11" x14ac:dyDescent="0.25">
      <c r="A9" s="2" t="s">
        <v>4</v>
      </c>
      <c r="B9" s="7">
        <f ca="1">_xll.PsiTriangular(C9,E9,D9,_xll.PsiBaseCase(0.02))</f>
        <v>1.8386751894867361E-2</v>
      </c>
      <c r="C9" s="19">
        <v>0.01</v>
      </c>
      <c r="D9" s="19">
        <v>0.04</v>
      </c>
      <c r="E9" s="62">
        <v>0.02</v>
      </c>
      <c r="F9" s="64"/>
      <c r="G9" s="70"/>
      <c r="K9" s="59"/>
    </row>
    <row r="10" spans="1:11" x14ac:dyDescent="0.25">
      <c r="A10" s="2" t="s">
        <v>11</v>
      </c>
      <c r="B10" s="7">
        <f ca="1">_xll.PsiTriangular(C10,E10,D10,_xll.PsiBaseCase(0.02))</f>
        <v>2.3729011388923457E-2</v>
      </c>
      <c r="C10" s="19">
        <v>0.01</v>
      </c>
      <c r="D10" s="19">
        <v>0.04</v>
      </c>
      <c r="E10" s="62">
        <v>0.02</v>
      </c>
      <c r="F10" s="64"/>
      <c r="G10" s="70"/>
      <c r="K10" s="59"/>
    </row>
    <row r="11" spans="1:11" x14ac:dyDescent="0.25">
      <c r="A11" s="2" t="s">
        <v>12</v>
      </c>
      <c r="B11" s="7">
        <f ca="1">_xll.PsiTriangular(C11,E11,D11,_xll.PsiBaseCase(0.02))</f>
        <v>2.7439770311818386E-2</v>
      </c>
      <c r="C11" s="19">
        <v>0.01</v>
      </c>
      <c r="D11" s="19">
        <v>0.04</v>
      </c>
      <c r="E11" s="62">
        <v>0.02</v>
      </c>
      <c r="F11" s="64"/>
      <c r="G11" s="71"/>
      <c r="K11" s="59"/>
    </row>
    <row r="12" spans="1:11" x14ac:dyDescent="0.25">
      <c r="B12" s="39"/>
    </row>
    <row r="13" spans="1:11" x14ac:dyDescent="0.25">
      <c r="A13" s="68" t="s">
        <v>47</v>
      </c>
      <c r="B13" s="68"/>
      <c r="C13" s="68"/>
      <c r="D13" s="68"/>
    </row>
    <row r="14" spans="1:11" x14ac:dyDescent="0.25">
      <c r="B14" s="8"/>
      <c r="E14" s="24"/>
      <c r="F14" s="24"/>
      <c r="G14" s="24"/>
      <c r="H14" s="24"/>
    </row>
    <row r="15" spans="1:11" ht="30" x14ac:dyDescent="0.25">
      <c r="A15" s="15" t="s">
        <v>22</v>
      </c>
      <c r="B15" s="20" t="s">
        <v>19</v>
      </c>
      <c r="C15" s="49" t="s">
        <v>31</v>
      </c>
      <c r="D15" s="49" t="s">
        <v>32</v>
      </c>
      <c r="E15" s="5"/>
      <c r="F15" s="5"/>
      <c r="G15" s="5"/>
      <c r="H15" s="5"/>
    </row>
    <row r="16" spans="1:11" x14ac:dyDescent="0.25">
      <c r="A16" s="1" t="s">
        <v>14</v>
      </c>
      <c r="B16" s="9">
        <v>700000</v>
      </c>
      <c r="C16" s="23">
        <f ca="1">$B16*(1+$B8)</f>
        <v>736075.59285360179</v>
      </c>
      <c r="D16" s="10">
        <f ca="1">$B16*(1+$B8)</f>
        <v>736075.59285360179</v>
      </c>
      <c r="E16" s="25"/>
      <c r="F16" s="25"/>
      <c r="G16" s="53" t="s">
        <v>35</v>
      </c>
      <c r="H16" s="25"/>
    </row>
    <row r="17" spans="1:8" ht="30" x14ac:dyDescent="0.25">
      <c r="A17" s="1" t="s">
        <v>23</v>
      </c>
      <c r="B17" s="10">
        <f>B26</f>
        <v>700000</v>
      </c>
      <c r="C17" s="23">
        <f ca="1">C26</f>
        <v>736075.59285360179</v>
      </c>
      <c r="D17" s="10">
        <f ca="1">D26</f>
        <v>700000</v>
      </c>
      <c r="E17" s="25"/>
      <c r="F17" s="25"/>
      <c r="G17" s="54" t="s">
        <v>38</v>
      </c>
      <c r="H17" s="25"/>
    </row>
    <row r="18" spans="1:8" x14ac:dyDescent="0.25">
      <c r="A18" s="1" t="s">
        <v>3</v>
      </c>
      <c r="B18" s="11">
        <v>250</v>
      </c>
      <c r="C18" s="41">
        <f ca="1">$B18*(1+$B9)</f>
        <v>254.59668797371683</v>
      </c>
      <c r="D18" s="42">
        <f ca="1">$B18*(1+$B9)</f>
        <v>254.59668797371683</v>
      </c>
      <c r="E18" s="26"/>
      <c r="F18" s="26"/>
      <c r="G18" s="55" t="s">
        <v>36</v>
      </c>
      <c r="H18" s="26"/>
    </row>
    <row r="19" spans="1:8" x14ac:dyDescent="0.25">
      <c r="A19" s="48" t="s">
        <v>13</v>
      </c>
      <c r="B19" s="34">
        <f>B17*B18</f>
        <v>175000000</v>
      </c>
      <c r="C19" s="34">
        <f ca="1">C17*C18</f>
        <v>187402408.03881708</v>
      </c>
      <c r="D19" s="34">
        <f ca="1">D17*D18</f>
        <v>178217681.58160177</v>
      </c>
      <c r="E19" s="27"/>
      <c r="F19" s="27"/>
      <c r="G19" s="27"/>
      <c r="H19" s="27"/>
    </row>
    <row r="20" spans="1:8" x14ac:dyDescent="0.25">
      <c r="B20" s="12"/>
      <c r="D20" s="5"/>
      <c r="E20" s="5"/>
      <c r="F20" s="5"/>
      <c r="G20" s="5"/>
      <c r="H20" s="5"/>
    </row>
    <row r="21" spans="1:8" x14ac:dyDescent="0.25">
      <c r="A21" s="15" t="s">
        <v>0</v>
      </c>
      <c r="B21" s="12"/>
      <c r="D21" s="5"/>
      <c r="E21" s="5"/>
      <c r="F21" s="5"/>
      <c r="G21" s="5"/>
      <c r="H21" s="5"/>
    </row>
    <row r="22" spans="1:8" x14ac:dyDescent="0.25">
      <c r="A22" s="1" t="s">
        <v>5</v>
      </c>
      <c r="B22" s="9">
        <v>70</v>
      </c>
      <c r="C22" s="10">
        <f ca="1">$B22+C43</f>
        <v>76</v>
      </c>
      <c r="D22" s="10">
        <f>$B22+D43</f>
        <v>70</v>
      </c>
      <c r="E22" s="25"/>
      <c r="F22" s="25"/>
      <c r="G22" s="56" t="s">
        <v>37</v>
      </c>
      <c r="H22" s="25"/>
    </row>
    <row r="23" spans="1:8" x14ac:dyDescent="0.25">
      <c r="A23" s="1" t="s">
        <v>16</v>
      </c>
      <c r="B23" s="9">
        <v>10000</v>
      </c>
      <c r="C23" s="10">
        <f>$B23</f>
        <v>10000</v>
      </c>
      <c r="D23" s="10">
        <f>$B23</f>
        <v>10000</v>
      </c>
      <c r="E23" s="25"/>
      <c r="F23" s="25"/>
      <c r="G23" s="25"/>
      <c r="H23" s="25"/>
    </row>
    <row r="24" spans="1:8" x14ac:dyDescent="0.25">
      <c r="A24" s="1" t="s">
        <v>9</v>
      </c>
      <c r="B24" s="9">
        <f>B23*B22</f>
        <v>700000</v>
      </c>
      <c r="C24" s="9">
        <f ca="1">C23*C22</f>
        <v>760000</v>
      </c>
      <c r="D24" s="9">
        <f>D23*D22</f>
        <v>700000</v>
      </c>
      <c r="E24" s="28"/>
      <c r="F24" s="28"/>
      <c r="G24" s="28"/>
      <c r="H24" s="28"/>
    </row>
    <row r="25" spans="1:8" x14ac:dyDescent="0.25">
      <c r="D25" s="5"/>
      <c r="E25" s="5"/>
      <c r="F25" s="5"/>
      <c r="G25" s="5"/>
      <c r="H25" s="5"/>
    </row>
    <row r="26" spans="1:8" ht="30" x14ac:dyDescent="0.25">
      <c r="A26" s="1" t="s">
        <v>8</v>
      </c>
      <c r="B26" s="9">
        <f>MIN(B24,B16)</f>
        <v>700000</v>
      </c>
      <c r="C26" s="9">
        <f ca="1">MIN(C24,C16)</f>
        <v>736075.59285360179</v>
      </c>
      <c r="D26" s="9">
        <f ca="1">MIN(D24,D16)</f>
        <v>700000</v>
      </c>
      <c r="E26" s="28"/>
      <c r="F26" s="28"/>
      <c r="G26" s="54" t="s">
        <v>38</v>
      </c>
      <c r="H26" s="28"/>
    </row>
    <row r="27" spans="1:8" x14ac:dyDescent="0.25">
      <c r="D27" s="5"/>
      <c r="E27" s="5"/>
      <c r="F27" s="5"/>
      <c r="G27" s="5"/>
      <c r="H27" s="5"/>
    </row>
    <row r="28" spans="1:8" x14ac:dyDescent="0.25">
      <c r="A28" s="15" t="s">
        <v>34</v>
      </c>
      <c r="D28" s="5"/>
      <c r="E28" s="5"/>
      <c r="F28" s="5"/>
      <c r="G28" s="5"/>
      <c r="H28" s="5"/>
    </row>
    <row r="29" spans="1:8" x14ac:dyDescent="0.25">
      <c r="A29" s="3" t="s">
        <v>6</v>
      </c>
      <c r="B29" s="11">
        <v>150</v>
      </c>
      <c r="C29" s="42">
        <f ca="1">$B29*(1+$B10)</f>
        <v>153.55935170833851</v>
      </c>
      <c r="D29" s="42">
        <f ca="1">$B29*(1+$B10)</f>
        <v>153.55935170833851</v>
      </c>
      <c r="E29" s="26"/>
      <c r="F29" s="26"/>
      <c r="G29" s="56" t="s">
        <v>39</v>
      </c>
      <c r="H29" s="26"/>
    </row>
    <row r="30" spans="1:8" x14ac:dyDescent="0.25">
      <c r="A30" s="47" t="s">
        <v>10</v>
      </c>
      <c r="B30" s="35">
        <f>B26*B29</f>
        <v>105000000</v>
      </c>
      <c r="C30" s="40">
        <f ca="1">C26*C29</f>
        <v>113031290.84693001</v>
      </c>
      <c r="D30" s="40">
        <f ca="1">D26*D29</f>
        <v>107491546.19583696</v>
      </c>
      <c r="E30" s="29"/>
      <c r="F30" s="29"/>
      <c r="G30" s="29"/>
      <c r="H30" s="29"/>
    </row>
    <row r="31" spans="1:8" x14ac:dyDescent="0.25">
      <c r="B31" s="12"/>
      <c r="C31" s="43"/>
      <c r="D31" s="43"/>
      <c r="E31" s="5"/>
      <c r="F31" s="5"/>
      <c r="G31" s="5"/>
      <c r="H31" s="5"/>
    </row>
    <row r="32" spans="1:8" x14ac:dyDescent="0.25">
      <c r="A32" s="15" t="s">
        <v>7</v>
      </c>
      <c r="B32" s="12"/>
      <c r="C32" s="43"/>
      <c r="D32" s="43"/>
      <c r="E32" s="5"/>
      <c r="F32" s="5"/>
      <c r="G32" s="5"/>
      <c r="H32" s="5"/>
    </row>
    <row r="33" spans="1:8" x14ac:dyDescent="0.25">
      <c r="A33" s="3" t="s">
        <v>24</v>
      </c>
      <c r="B33" s="11">
        <v>720000</v>
      </c>
      <c r="C33" s="42">
        <f ca="1">B33*(1+$B11)</f>
        <v>739756.63462450914</v>
      </c>
      <c r="D33" s="42">
        <f ca="1">$B33*(1+$B11)</f>
        <v>739756.63462450914</v>
      </c>
      <c r="E33" s="26"/>
      <c r="F33" s="26"/>
      <c r="G33" s="56" t="s">
        <v>39</v>
      </c>
      <c r="H33" s="26"/>
    </row>
    <row r="34" spans="1:8" x14ac:dyDescent="0.25">
      <c r="A34" s="3" t="s">
        <v>26</v>
      </c>
      <c r="B34" s="11">
        <f>B22*B33</f>
        <v>50400000</v>
      </c>
      <c r="C34" s="42">
        <f ca="1">C22*C33</f>
        <v>56221504.231462695</v>
      </c>
      <c r="D34" s="42">
        <f ca="1">D22*D33</f>
        <v>51782964.423715636</v>
      </c>
      <c r="E34" s="26"/>
      <c r="F34" s="26"/>
      <c r="G34" s="26"/>
      <c r="H34" s="26"/>
    </row>
    <row r="35" spans="1:8" x14ac:dyDescent="0.25">
      <c r="A35" s="3" t="s">
        <v>25</v>
      </c>
      <c r="B35" s="11">
        <v>4000000</v>
      </c>
      <c r="C35" s="42">
        <f ca="1">B35*(1+$B11)</f>
        <v>4109759.0812472734</v>
      </c>
      <c r="D35" s="42">
        <f ca="1">C35*(1+$B11)</f>
        <v>4222529.9264736082</v>
      </c>
      <c r="E35" s="26"/>
      <c r="F35" s="26"/>
      <c r="G35" s="26"/>
      <c r="H35" s="26"/>
    </row>
    <row r="36" spans="1:8" x14ac:dyDescent="0.25">
      <c r="A36" s="47" t="s">
        <v>17</v>
      </c>
      <c r="B36" s="36">
        <f>SUM(B34:B35)</f>
        <v>54400000</v>
      </c>
      <c r="C36" s="44">
        <f ca="1">SUM(C34:C35)</f>
        <v>60331263.312709965</v>
      </c>
      <c r="D36" s="44">
        <f ca="1">SUM(D34:D35)</f>
        <v>56005494.350189246</v>
      </c>
      <c r="E36" s="30"/>
      <c r="F36" s="30"/>
      <c r="G36" s="30"/>
      <c r="H36" s="30"/>
    </row>
    <row r="37" spans="1:8" x14ac:dyDescent="0.25">
      <c r="A37" s="4"/>
      <c r="B37" s="13"/>
      <c r="C37" s="43"/>
      <c r="D37" s="43"/>
      <c r="E37" s="13"/>
      <c r="F37" s="13"/>
      <c r="G37" s="13"/>
      <c r="H37" s="13"/>
    </row>
    <row r="38" spans="1:8" x14ac:dyDescent="0.25">
      <c r="A38" s="1" t="s">
        <v>1</v>
      </c>
      <c r="B38" s="14">
        <f>B36+B30</f>
        <v>159400000</v>
      </c>
      <c r="C38" s="45">
        <f ca="1">C36+C30</f>
        <v>173362554.15963998</v>
      </c>
      <c r="D38" s="45">
        <f ca="1">D36+D30</f>
        <v>163497040.5460262</v>
      </c>
      <c r="E38" s="31"/>
      <c r="F38" s="31"/>
      <c r="G38" s="31"/>
      <c r="H38" s="31"/>
    </row>
    <row r="39" spans="1:8" x14ac:dyDescent="0.25">
      <c r="A39" s="16" t="s">
        <v>2</v>
      </c>
      <c r="B39" s="17">
        <f>B19-B38</f>
        <v>15600000</v>
      </c>
      <c r="C39" s="46">
        <f ca="1">C19-C38</f>
        <v>14039853.879177094</v>
      </c>
      <c r="D39" s="46">
        <f ca="1">D19-D38</f>
        <v>14720641.035575569</v>
      </c>
      <c r="E39" s="32"/>
      <c r="F39" s="32"/>
      <c r="G39" s="32"/>
      <c r="H39" s="32"/>
    </row>
    <row r="41" spans="1:8" x14ac:dyDescent="0.25">
      <c r="D41" s="5"/>
      <c r="E41" s="18" t="s">
        <v>50</v>
      </c>
      <c r="F41" s="5"/>
      <c r="G41" s="5"/>
      <c r="H41" s="5"/>
    </row>
    <row r="42" spans="1:8" ht="24" customHeight="1" x14ac:dyDescent="0.25">
      <c r="A42" s="57" t="s">
        <v>40</v>
      </c>
      <c r="C42" s="61" t="s">
        <v>18</v>
      </c>
      <c r="D42" s="65" t="s">
        <v>18</v>
      </c>
      <c r="E42" s="37">
        <v>1</v>
      </c>
      <c r="F42" s="33"/>
      <c r="G42" s="33"/>
      <c r="H42" s="33"/>
    </row>
    <row r="43" spans="1:8" x14ac:dyDescent="0.25">
      <c r="C43" s="37">
        <f ca="1">_xll.PsiSimParam(E42,E43)</f>
        <v>6</v>
      </c>
      <c r="D43" s="65">
        <v>0</v>
      </c>
      <c r="E43" s="37">
        <v>6</v>
      </c>
      <c r="F43" s="33"/>
      <c r="G43" s="54" t="s">
        <v>51</v>
      </c>
      <c r="H43" s="33"/>
    </row>
    <row r="45" spans="1:8" x14ac:dyDescent="0.25">
      <c r="B45" s="21" t="s">
        <v>33</v>
      </c>
      <c r="C45" s="21" t="str">
        <f ca="1">C43&amp; " additional machines"</f>
        <v>6 additional machines</v>
      </c>
    </row>
    <row r="46" spans="1:8" ht="30" x14ac:dyDescent="0.25">
      <c r="B46" s="22" t="s">
        <v>29</v>
      </c>
      <c r="C46" s="58">
        <f ca="1">C34-D34</f>
        <v>4438539.8077470586</v>
      </c>
    </row>
    <row r="47" spans="1:8" x14ac:dyDescent="0.25">
      <c r="B47" s="21" t="s">
        <v>30</v>
      </c>
      <c r="C47" s="58">
        <f ca="1">C39-D39 + _xll.PsiOutput()</f>
        <v>-680787.15639847517</v>
      </c>
    </row>
    <row r="48" spans="1:8" x14ac:dyDescent="0.25">
      <c r="B48" s="21" t="s">
        <v>28</v>
      </c>
      <c r="C48" s="38">
        <f ca="1">C47/C46 + _xll.PsiOutput()</f>
        <v>-0.15338088332794142</v>
      </c>
    </row>
    <row r="51" spans="2:4" x14ac:dyDescent="0.25">
      <c r="B51" s="18" t="s">
        <v>45</v>
      </c>
      <c r="C51" s="18" t="s">
        <v>43</v>
      </c>
      <c r="D51" s="1" t="s">
        <v>44</v>
      </c>
    </row>
    <row r="52" spans="2:4" x14ac:dyDescent="0.25">
      <c r="B52" s="21" t="s">
        <v>30</v>
      </c>
      <c r="C52" s="11" cm="1">
        <f t="array" aca="1" ref="C52" ca="1">_xll.PsiMean(C47)</f>
        <v>-501283.54943250341</v>
      </c>
      <c r="D52" s="3" cm="1">
        <f t="array" aca="1" ref="D52" ca="1">_xll.PsiStdDev(C47)</f>
        <v>888093.6799614965</v>
      </c>
    </row>
    <row r="53" spans="2:4" x14ac:dyDescent="0.25">
      <c r="B53" s="21" t="s">
        <v>28</v>
      </c>
      <c r="C53" s="62" cm="1">
        <f t="array" aca="1" ref="C53" ca="1">_xll.PsiMean(C48)</f>
        <v>-0.11343381572574232</v>
      </c>
      <c r="D53" s="63" cm="1">
        <f t="array" aca="1" ref="D53" ca="1">_xll.PsiStdDev(C48)</f>
        <v>0.20093137636358244</v>
      </c>
    </row>
  </sheetData>
  <scenarios current="2" show="2" sqref="C48">
    <scenario name="Likely case" locked="1" count="4" user="Yang, Xiaomin" comment="Likely_x000a_Modified by Yang, Xiaomin on 3/20/2024">
      <inputCells r="B8" val="0.06" numFmtId="9"/>
      <inputCells r="B9" val="0.02" numFmtId="9"/>
      <inputCells r="B10" val="0.02" numFmtId="9"/>
      <inputCells r="B11" val="0.02" numFmtId="9"/>
    </scenario>
    <scenario name="Worst" locked="1" count="4" user="Yang, Xiaomin" comment="Created by Yang, Xiaomin on 3/19/2024_x000a_Modified by Yang, Xiaomin on 3/20/2024">
      <inputCells r="B8" val="0.02" numFmtId="9"/>
      <inputCells r="B9" val="0.01" numFmtId="9"/>
      <inputCells r="B10" val="0.01" numFmtId="9"/>
      <inputCells r="B11" val="0.01" numFmtId="9"/>
    </scenario>
    <scenario name="Best" locked="1" count="4" user="Yang, Xiaomin" comment="Best_x000a_Modified by Yang, Xiaomin on 3/20/2024">
      <inputCells r="B8" val="0.08" numFmtId="9"/>
      <inputCells r="B9" val="0.04" numFmtId="9"/>
      <inputCells r="B10" val="0.04" numFmtId="9"/>
      <inputCells r="B11" val="0.04" numFmtId="9"/>
    </scenario>
  </scenarios>
  <mergeCells count="4">
    <mergeCell ref="A2:D2"/>
    <mergeCell ref="A4:D5"/>
    <mergeCell ref="A13:D13"/>
    <mergeCell ref="G7: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A857D-5FB4-44C4-AC45-C99EA2CA84D4}">
  <dimension ref="A1"/>
  <sheetViews>
    <sheetView topLeftCell="A10" workbookViewId="0">
      <selection activeCell="L27" sqref="L27"/>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82CA55C0791E4A870CD524C2110D7A" ma:contentTypeVersion="7" ma:contentTypeDescription="Create a new document." ma:contentTypeScope="" ma:versionID="3c7054f9824d8578b51a869cecbf4eb2">
  <xsd:schema xmlns:xsd="http://www.w3.org/2001/XMLSchema" xmlns:xs="http://www.w3.org/2001/XMLSchema" xmlns:p="http://schemas.microsoft.com/office/2006/metadata/properties" xmlns:ns3="b601a2d9-bc88-484b-b998-960360b06e60" targetNamespace="http://schemas.microsoft.com/office/2006/metadata/properties" ma:root="true" ma:fieldsID="954990ca0509d5a22bde37301a369d0f" ns3:_="">
    <xsd:import namespace="b601a2d9-bc88-484b-b998-960360b06e60"/>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1a2d9-bc88-484b-b998-960360b06e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399CAB-88EA-4E41-8175-E6ED815CD3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1a2d9-bc88-484b-b998-960360b06e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A56B3F-2ADA-4E4D-AEA3-3DC4B6EF2325}">
  <ds:schemaRefs>
    <ds:schemaRef ds:uri="http://schemas.microsoft.com/sharepoint/v3/contenttype/forms"/>
  </ds:schemaRefs>
</ds:datastoreItem>
</file>

<file path=customXml/itemProps3.xml><?xml version="1.0" encoding="utf-8"?>
<ds:datastoreItem xmlns:ds="http://schemas.openxmlformats.org/officeDocument/2006/customXml" ds:itemID="{F269DA07-3019-4D74-B78B-60DAFA8DAAF3}">
  <ds:schemaRef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b601a2d9-bc88-484b-b998-960360b06e60"/>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Capital planning economic model</vt:lpstr>
      <vt:lpstr>Charts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Xiaomin</dc:creator>
  <cp:lastModifiedBy>Yang, Xiaomin</cp:lastModifiedBy>
  <dcterms:created xsi:type="dcterms:W3CDTF">2017-11-27T14:24:44Z</dcterms:created>
  <dcterms:modified xsi:type="dcterms:W3CDTF">2024-04-16T03:06:34Z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0x010100B782CA55C0791E4A870CD524C2110D7A</vt:lpwstr>
  </property>
</Properties>
</file>