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xq\7660\"/>
    </mc:Choice>
  </mc:AlternateContent>
  <bookViews>
    <workbookView xWindow="0" yWindow="0" windowWidth="12930" windowHeight="4095" activeTab="1"/>
  </bookViews>
  <sheets>
    <sheet name="Issue_Log" sheetId="1" r:id="rId1"/>
    <sheet name="Sheet1" sheetId="5" r:id="rId2"/>
    <sheet name="Template" sheetId="4" r:id="rId3"/>
    <sheet name="Score" sheetId="2" r:id="rId4"/>
    <sheet name="D%$&amp;01_DevSheet" sheetId="3" state="veryHidden" r:id="rId5"/>
  </sheets>
  <definedNames>
    <definedName name="_xlnm._FilterDatabase" localSheetId="0" hidden="1">Issue_Log!$A$1:$G$451</definedName>
    <definedName name="_xlnm._FilterDatabase" localSheetId="3" hidden="1">Score!$A$1:$D$1</definedName>
    <definedName name="Z_9E2A0CCA_28BE_49D5_AE3C_40A338E97142_.wvu.FilterData" localSheetId="0" hidden="1">Issue_Log!$A$1:$G$1</definedName>
  </definedNames>
  <calcPr calcId="152511"/>
</workbook>
</file>

<file path=xl/calcChain.xml><?xml version="1.0" encoding="utf-8"?>
<calcChain xmlns="http://schemas.openxmlformats.org/spreadsheetml/2006/main">
  <c r="F18" i="3" l="1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EC17" i="3" l="1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</calcChain>
</file>

<file path=xl/sharedStrings.xml><?xml version="1.0" encoding="utf-8"?>
<sst xmlns="http://schemas.openxmlformats.org/spreadsheetml/2006/main" count="375" uniqueCount="97">
  <si>
    <t>ID</t>
  </si>
  <si>
    <t>Date</t>
  </si>
  <si>
    <t>SETUP</t>
  </si>
  <si>
    <t>ISSUE</t>
  </si>
  <si>
    <t>TESTER</t>
  </si>
  <si>
    <t>STATUS</t>
  </si>
  <si>
    <t>COMMENT</t>
  </si>
  <si>
    <t>Issue_Type</t>
  </si>
  <si>
    <t>D%$&amp;01_6c84c5e29b4745159d0c673fb6530844</t>
  </si>
  <si>
    <t>Wang, Jianwei_5059_Intel Corporation_Windows (32-bit) NT :.00_JWANG115-MOBL_jwang115$$$14092018</t>
  </si>
  <si>
    <t>"67\!4145"</t>
  </si>
  <si>
    <t>Caliberation</t>
  </si>
  <si>
    <t>Attach issue</t>
  </si>
  <si>
    <t>PDP failure</t>
  </si>
  <si>
    <t>GNSS Paire</t>
  </si>
  <si>
    <t>Reboot</t>
  </si>
  <si>
    <t>Score</t>
  </si>
  <si>
    <t>MAC OS update</t>
  </si>
  <si>
    <t>need comments and summary</t>
  </si>
  <si>
    <t>IP lost</t>
  </si>
  <si>
    <t>Replace NVM</t>
  </si>
  <si>
    <t>Log analyse</t>
  </si>
  <si>
    <t>T32 debug</t>
  </si>
  <si>
    <t>Comments</t>
  </si>
  <si>
    <t>Debug Catergory</t>
  </si>
  <si>
    <t>Congtac reinstall</t>
  </si>
  <si>
    <t>UTT configure</t>
  </si>
  <si>
    <t>BB/PON/PERSIT Reset</t>
  </si>
  <si>
    <t>SIM  issue</t>
  </si>
  <si>
    <t>SUS specilal debug</t>
  </si>
  <si>
    <t>NEWReaserch</t>
  </si>
  <si>
    <t>NEW  setups</t>
  </si>
  <si>
    <t>Tickets tracking</t>
  </si>
  <si>
    <t>need comments and summary,e.g railse ticket to confiure and dry run status</t>
  </si>
  <si>
    <t>Others</t>
  </si>
  <si>
    <t>LAB maintenance</t>
  </si>
  <si>
    <t>e.g.clean up, workshop,door assemble…</t>
  </si>
  <si>
    <t>Hu, WenyingX_5059_Intel Corporation_Windows (32-bit) NT 6.02_HUWENYIX-MOBL_huwenyix$$$17092018</t>
  </si>
  <si>
    <t>"zo~!371"</t>
  </si>
  <si>
    <t>Shift lead/Wenying</t>
  </si>
  <si>
    <t>Checking Owner</t>
  </si>
  <si>
    <t>BEJSRTL647</t>
  </si>
  <si>
    <t>BEJSRTL648</t>
  </si>
  <si>
    <t>BEJSRTL649</t>
  </si>
  <si>
    <t>BEJSRTL650</t>
  </si>
  <si>
    <t>BEJSRTL651</t>
  </si>
  <si>
    <r>
      <t>z</t>
    </r>
    <r>
      <rPr>
        <sz val="11"/>
        <color theme="1"/>
        <rFont val="宋体"/>
        <family val="3"/>
        <charset val="134"/>
        <scheme val="minor"/>
      </rPr>
      <t>hangxiaoqing</t>
    </r>
    <phoneticPr fontId="7" type="noConversion"/>
  </si>
  <si>
    <r>
      <t>D</t>
    </r>
    <r>
      <rPr>
        <sz val="11"/>
        <color theme="1"/>
        <rFont val="宋体"/>
        <family val="3"/>
        <charset val="134"/>
        <scheme val="minor"/>
      </rPr>
      <t>one</t>
    </r>
    <phoneticPr fontId="7" type="noConversion"/>
  </si>
  <si>
    <t>Done</t>
  </si>
  <si>
    <r>
      <t>N</t>
    </r>
    <r>
      <rPr>
        <sz val="11"/>
        <color theme="1"/>
        <rFont val="宋体"/>
        <family val="3"/>
        <charset val="134"/>
        <scheme val="minor"/>
      </rPr>
      <t>ew setups,flash manually and check modem,dry run and check logs to confirm attach,MT/MO call an so on can work.</t>
    </r>
    <phoneticPr fontId="7" type="noConversion"/>
  </si>
  <si>
    <t xml:space="preserve"> </t>
    <phoneticPr fontId="7" type="noConversion"/>
  </si>
  <si>
    <r>
      <t>B</t>
    </r>
    <r>
      <rPr>
        <sz val="11"/>
        <color theme="1"/>
        <rFont val="宋体"/>
        <family val="3"/>
        <charset val="134"/>
        <scheme val="minor"/>
      </rPr>
      <t>EJSRTL628</t>
    </r>
    <phoneticPr fontId="7" type="noConversion"/>
  </si>
  <si>
    <t>modem always core dump after flashing from logs(key word:TCEVENT), change a build to check is ok</t>
    <phoneticPr fontId="7" type="noConversion"/>
  </si>
  <si>
    <t>BEJSRTL657</t>
    <phoneticPr fontId="7" type="noConversion"/>
  </si>
  <si>
    <t xml:space="preserve">2018/09/25 11:20:24,112|INFO|RSAIdentityFile: /harts/.ssh/id_rsa                                                                                                             [Remote:289]
2018/09/25 11:20:24,824|INFO|SSH connection check failed with exception: com.jcraft.jsch.JSchException: Auth fail   </t>
    <phoneticPr fontId="7" type="noConversion"/>
  </si>
  <si>
    <t>BEJSRTL643</t>
    <phoneticPr fontId="7" type="noConversion"/>
  </si>
  <si>
    <t>flash failed via HMT,need to re-flash hil borad</t>
    <phoneticPr fontId="7" type="noConversion"/>
  </si>
  <si>
    <t>zhangxiaoqing</t>
  </si>
  <si>
    <t>BEJSRTL641</t>
    <phoneticPr fontId="7" type="noConversion"/>
  </si>
  <si>
    <t>INCOMPLETE</t>
    <phoneticPr fontId="7" type="noConversion"/>
  </si>
  <si>
    <t>modem not ready after flashing</t>
    <phoneticPr fontId="7" type="noConversion"/>
  </si>
  <si>
    <t>BEJSRTL633</t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</si>
  <si>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ew setup</t>
    </r>
    <phoneticPr fontId="7" type="noConversion"/>
  </si>
  <si>
    <r>
      <t>f</t>
    </r>
    <r>
      <rPr>
        <sz val="11"/>
        <color theme="1"/>
        <rFont val="宋体"/>
        <family val="3"/>
        <charset val="134"/>
        <scheme val="minor"/>
      </rPr>
      <t>or new setup</t>
    </r>
    <phoneticPr fontId="7" type="noConversion"/>
  </si>
  <si>
    <r>
      <t>f</t>
    </r>
    <r>
      <rPr>
        <sz val="11"/>
        <color theme="1"/>
        <rFont val="宋体"/>
        <family val="3"/>
        <charset val="134"/>
        <scheme val="minor"/>
      </rPr>
      <t>or old setup</t>
    </r>
    <phoneticPr fontId="7" type="noConversion"/>
  </si>
  <si>
    <r>
      <t>f</t>
    </r>
    <r>
      <rPr>
        <sz val="11"/>
        <color theme="1"/>
        <rFont val="宋体"/>
        <family val="3"/>
        <charset val="134"/>
        <scheme val="minor"/>
      </rPr>
      <t>or 766 test</t>
    </r>
    <phoneticPr fontId="7" type="noConversion"/>
  </si>
  <si>
    <r>
      <t>B</t>
    </r>
    <r>
      <rPr>
        <sz val="11"/>
        <color theme="1"/>
        <rFont val="宋体"/>
        <family val="3"/>
        <charset val="134"/>
        <scheme val="minor"/>
      </rPr>
      <t>EJSRTL659</t>
    </r>
    <phoneticPr fontId="7" type="noConversion"/>
  </si>
  <si>
    <r>
      <t>B</t>
    </r>
    <r>
      <rPr>
        <sz val="11"/>
        <color theme="1"/>
        <rFont val="宋体"/>
        <family val="3"/>
        <charset val="134"/>
        <scheme val="minor"/>
      </rPr>
      <t>EJSRTL660</t>
    </r>
    <r>
      <rPr>
        <sz val="11"/>
        <color theme="1"/>
        <rFont val="宋体"/>
        <family val="2"/>
        <scheme val="minor"/>
      </rPr>
      <t/>
    </r>
  </si>
  <si>
    <t>BEJSRTL663</t>
    <phoneticPr fontId="7" type="noConversion"/>
  </si>
  <si>
    <t>BEJSRTL664</t>
  </si>
  <si>
    <t>BEJSRTL656</t>
    <phoneticPr fontId="7" type="noConversion"/>
  </si>
  <si>
    <t>initial failed due to SSH issue,tool team fix it</t>
    <phoneticPr fontId="7" type="noConversion"/>
  </si>
  <si>
    <r>
      <t>B</t>
    </r>
    <r>
      <rPr>
        <sz val="11"/>
        <color theme="1"/>
        <rFont val="宋体"/>
        <family val="3"/>
        <charset val="134"/>
        <scheme val="minor"/>
      </rPr>
      <t>EJSRTL645</t>
    </r>
    <phoneticPr fontId="7" type="noConversion"/>
  </si>
  <si>
    <t>BEJSRTL642</t>
    <phoneticPr fontId="7" type="noConversion"/>
  </si>
  <si>
    <t>BEJSRTL647</t>
    <phoneticPr fontId="7" type="noConversion"/>
  </si>
  <si>
    <t>BEJSRTL648</t>
    <phoneticPr fontId="7" type="noConversion"/>
  </si>
  <si>
    <r>
      <t>r</t>
    </r>
    <r>
      <rPr>
        <sz val="11"/>
        <color theme="1"/>
        <rFont val="宋体"/>
        <family val="3"/>
        <charset val="134"/>
        <scheme val="minor"/>
      </rPr>
      <t>eboot</t>
    </r>
    <phoneticPr fontId="7" type="noConversion"/>
  </si>
  <si>
    <r>
      <t>r</t>
    </r>
    <r>
      <rPr>
        <sz val="11"/>
        <color theme="1"/>
        <rFont val="宋体"/>
        <family val="3"/>
        <charset val="134"/>
        <scheme val="minor"/>
      </rPr>
      <t>e-calibration</t>
    </r>
    <phoneticPr fontId="7" type="noConversion"/>
  </si>
  <si>
    <t>campagin error, recalibration</t>
    <phoneticPr fontId="7" type="noConversion"/>
  </si>
  <si>
    <t>BEJSRTL645</t>
    <phoneticPr fontId="7" type="noConversion"/>
  </si>
  <si>
    <t>BEJSRTL661.BJ.INTEL.COM</t>
  </si>
  <si>
    <t>completed</t>
  </si>
  <si>
    <t>BEJSRTL619.BJ.INTEL.COM</t>
  </si>
  <si>
    <t>BEJSRTL660.BJ.INTEL.COM</t>
  </si>
  <si>
    <t>BEJSRTL658.BJ.INTEL.COM</t>
  </si>
  <si>
    <t>BEJSRTL643.BJ.INTEL.COM</t>
  </si>
  <si>
    <t>BEJSRTL659.BJ.INTEL.COM</t>
  </si>
  <si>
    <t>BEJSRTL663.BJ.INTEL.COM</t>
  </si>
  <si>
    <t>BEJSRTL614.BJ.INTEL.COM</t>
    <phoneticPr fontId="7" type="noConversion"/>
  </si>
  <si>
    <t>BEJSRTL644.BJ.INTEL.COM</t>
    <phoneticPr fontId="7" type="noConversion"/>
  </si>
  <si>
    <t>BEJSRTL662.BJ.INTEL.COM</t>
    <phoneticPr fontId="7" type="noConversion"/>
  </si>
  <si>
    <r>
      <t>CMCC</t>
    </r>
    <r>
      <rPr>
        <sz val="11"/>
        <color theme="1"/>
        <rFont val="宋体"/>
        <family val="3"/>
        <charset val="134"/>
        <scheme val="minor"/>
      </rPr>
      <t>+CUC</t>
    </r>
    <phoneticPr fontId="7" type="noConversion"/>
  </si>
  <si>
    <t>WCDMA + 2G (SM_2G)</t>
  </si>
  <si>
    <t>CUC + CMCC</t>
  </si>
  <si>
    <t xml:space="preserve">TDD (TM_4G3G2G) + 2G </t>
  </si>
  <si>
    <t>CMCC + CUC</t>
  </si>
  <si>
    <t>PC down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</si>
</sst>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222222"/>
      <name val="Intel Clear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B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0" xfId="0" applyFont="1"/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4" fontId="8" fillId="0" borderId="1" xfId="0" applyNumberFormat="1" applyFont="1" applyBorder="1"/>
    <xf numFmtId="0" fontId="8" fillId="0" borderId="1" xfId="0" applyFont="1" applyBorder="1"/>
    <xf numFmtId="0" fontId="8" fillId="0" borderId="3" xfId="0" applyFont="1" applyFill="1" applyBorder="1"/>
    <xf numFmtId="0" fontId="8" fillId="0" borderId="1" xfId="0" applyFont="1" applyBorder="1" applyAlignment="1">
      <alignment wrapText="1"/>
    </xf>
    <xf numFmtId="0" fontId="8" fillId="0" borderId="4" xfId="0" applyFont="1" applyFill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20" fontId="9" fillId="5" borderId="5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20" fontId="9" fillId="4" borderId="5" xfId="0" applyNumberFormat="1" applyFont="1" applyFill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6" borderId="5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0" fillId="6" borderId="0" xfId="0" applyFill="1"/>
    <xf numFmtId="0" fontId="10" fillId="6" borderId="6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20" fontId="9" fillId="6" borderId="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1"/>
  <sheetViews>
    <sheetView topLeftCell="A20" workbookViewId="0">
      <selection activeCell="E61" sqref="E61"/>
    </sheetView>
  </sheetViews>
  <sheetFormatPr defaultColWidth="9" defaultRowHeight="13.5" x14ac:dyDescent="0.15"/>
  <cols>
    <col min="2" max="2" width="9.625" customWidth="1"/>
    <col min="3" max="3" width="12.125" customWidth="1"/>
    <col min="4" max="4" width="44" customWidth="1"/>
    <col min="5" max="5" width="15.5" customWidth="1"/>
    <col min="7" max="7" width="55.5" customWidth="1"/>
  </cols>
  <sheetData>
    <row r="1" spans="1:7" ht="2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/>
      <c r="B2" s="4"/>
      <c r="C2" s="3"/>
      <c r="D2" s="3"/>
      <c r="E2" s="3"/>
      <c r="F2" s="3"/>
      <c r="G2" s="3"/>
    </row>
    <row r="3" spans="1:7" x14ac:dyDescent="0.15">
      <c r="A3" s="3"/>
      <c r="B3" s="4"/>
      <c r="C3" s="3"/>
      <c r="D3" s="3"/>
      <c r="E3" s="3"/>
      <c r="F3" s="3"/>
      <c r="G3" s="3"/>
    </row>
    <row r="4" spans="1:7" x14ac:dyDescent="0.15">
      <c r="A4" s="3"/>
      <c r="B4" s="4"/>
      <c r="C4" s="3"/>
      <c r="D4" s="3"/>
      <c r="E4" s="3"/>
      <c r="F4" s="3"/>
      <c r="G4" s="3"/>
    </row>
    <row r="5" spans="1:7" x14ac:dyDescent="0.15">
      <c r="A5" s="3"/>
      <c r="B5" s="4"/>
      <c r="C5" s="3"/>
      <c r="D5" s="3"/>
      <c r="E5" s="3"/>
      <c r="F5" s="3"/>
      <c r="G5" s="3"/>
    </row>
    <row r="6" spans="1:7" x14ac:dyDescent="0.15">
      <c r="A6" s="3"/>
      <c r="B6" s="4"/>
      <c r="C6" s="3"/>
      <c r="D6" s="3"/>
      <c r="E6" s="3"/>
      <c r="F6" s="3"/>
      <c r="G6" s="3"/>
    </row>
    <row r="7" spans="1:7" x14ac:dyDescent="0.15">
      <c r="A7" s="3"/>
      <c r="B7" s="20">
        <v>43369</v>
      </c>
      <c r="C7" s="3"/>
      <c r="D7" s="3" t="s">
        <v>27</v>
      </c>
      <c r="E7" s="3" t="s">
        <v>57</v>
      </c>
      <c r="F7" s="3" t="s">
        <v>48</v>
      </c>
      <c r="G7" s="26" t="s">
        <v>65</v>
      </c>
    </row>
    <row r="8" spans="1:7" x14ac:dyDescent="0.15">
      <c r="A8" s="3"/>
      <c r="B8" s="20">
        <v>43369</v>
      </c>
      <c r="C8" s="3"/>
      <c r="D8" s="3" t="s">
        <v>27</v>
      </c>
      <c r="E8" s="3" t="s">
        <v>57</v>
      </c>
      <c r="F8" s="3" t="s">
        <v>48</v>
      </c>
      <c r="G8" s="26" t="s">
        <v>65</v>
      </c>
    </row>
    <row r="9" spans="1:7" x14ac:dyDescent="0.15">
      <c r="A9" s="3"/>
      <c r="B9" s="20">
        <v>43369</v>
      </c>
      <c r="C9" s="3"/>
      <c r="D9" s="3" t="s">
        <v>27</v>
      </c>
      <c r="E9" s="3" t="s">
        <v>57</v>
      </c>
      <c r="F9" s="3" t="s">
        <v>48</v>
      </c>
      <c r="G9" s="26" t="s">
        <v>65</v>
      </c>
    </row>
    <row r="10" spans="1:7" x14ac:dyDescent="0.15">
      <c r="A10" s="3"/>
      <c r="B10" s="20">
        <v>43369</v>
      </c>
      <c r="C10" s="3"/>
      <c r="D10" s="3" t="s">
        <v>27</v>
      </c>
      <c r="E10" s="3" t="s">
        <v>57</v>
      </c>
      <c r="F10" s="3" t="s">
        <v>48</v>
      </c>
      <c r="G10" s="26" t="s">
        <v>65</v>
      </c>
    </row>
    <row r="11" spans="1:7" x14ac:dyDescent="0.15">
      <c r="A11" s="3"/>
      <c r="B11" s="20">
        <v>43369</v>
      </c>
      <c r="C11" s="3"/>
      <c r="D11" s="3" t="s">
        <v>27</v>
      </c>
      <c r="E11" s="3" t="s">
        <v>57</v>
      </c>
      <c r="F11" s="3" t="s">
        <v>48</v>
      </c>
      <c r="G11" s="26" t="s">
        <v>65</v>
      </c>
    </row>
    <row r="12" spans="1:7" x14ac:dyDescent="0.15">
      <c r="A12" s="3"/>
      <c r="B12" s="20">
        <v>43369</v>
      </c>
      <c r="C12" s="3"/>
      <c r="D12" s="3" t="s">
        <v>27</v>
      </c>
      <c r="E12" s="3" t="s">
        <v>57</v>
      </c>
      <c r="F12" s="3" t="s">
        <v>48</v>
      </c>
      <c r="G12" s="26" t="s">
        <v>65</v>
      </c>
    </row>
    <row r="13" spans="1:7" x14ac:dyDescent="0.15">
      <c r="A13" s="3"/>
      <c r="B13" s="20">
        <v>43369</v>
      </c>
      <c r="C13" s="3"/>
      <c r="D13" s="3" t="s">
        <v>27</v>
      </c>
      <c r="E13" s="3" t="s">
        <v>57</v>
      </c>
      <c r="F13" s="3" t="s">
        <v>48</v>
      </c>
      <c r="G13" s="26" t="s">
        <v>65</v>
      </c>
    </row>
    <row r="14" spans="1:7" x14ac:dyDescent="0.15">
      <c r="A14" s="3"/>
      <c r="B14" s="20">
        <v>43369</v>
      </c>
      <c r="C14" s="3"/>
      <c r="D14" s="3" t="s">
        <v>27</v>
      </c>
      <c r="E14" s="3" t="s">
        <v>57</v>
      </c>
      <c r="F14" s="3" t="s">
        <v>48</v>
      </c>
      <c r="G14" s="26" t="s">
        <v>65</v>
      </c>
    </row>
    <row r="15" spans="1:7" x14ac:dyDescent="0.15">
      <c r="A15" s="3"/>
      <c r="B15" s="20">
        <v>43369</v>
      </c>
      <c r="C15" s="3"/>
      <c r="D15" s="3" t="s">
        <v>27</v>
      </c>
      <c r="E15" s="3" t="s">
        <v>57</v>
      </c>
      <c r="F15" s="3" t="s">
        <v>48</v>
      </c>
      <c r="G15" s="26" t="s">
        <v>65</v>
      </c>
    </row>
    <row r="16" spans="1:7" x14ac:dyDescent="0.15">
      <c r="A16" s="3"/>
      <c r="B16" s="20">
        <v>43369</v>
      </c>
      <c r="C16" s="3"/>
      <c r="D16" s="3" t="s">
        <v>27</v>
      </c>
      <c r="E16" s="3" t="s">
        <v>57</v>
      </c>
      <c r="F16" s="3" t="s">
        <v>48</v>
      </c>
      <c r="G16" s="26" t="s">
        <v>65</v>
      </c>
    </row>
    <row r="17" spans="1:7" x14ac:dyDescent="0.15">
      <c r="A17" s="3"/>
      <c r="B17" s="20">
        <v>43369</v>
      </c>
      <c r="C17" s="3"/>
      <c r="D17" s="3" t="s">
        <v>27</v>
      </c>
      <c r="E17" s="3" t="s">
        <v>57</v>
      </c>
      <c r="F17" s="3" t="s">
        <v>48</v>
      </c>
      <c r="G17" s="26" t="s">
        <v>65</v>
      </c>
    </row>
    <row r="18" spans="1:7" x14ac:dyDescent="0.15">
      <c r="A18" s="3"/>
      <c r="B18" s="20">
        <v>43369</v>
      </c>
      <c r="C18" s="3"/>
      <c r="D18" s="3" t="s">
        <v>27</v>
      </c>
      <c r="E18" s="3" t="s">
        <v>57</v>
      </c>
      <c r="F18" s="3" t="s">
        <v>48</v>
      </c>
      <c r="G18" s="26" t="s">
        <v>65</v>
      </c>
    </row>
    <row r="19" spans="1:7" x14ac:dyDescent="0.15">
      <c r="A19" s="3"/>
      <c r="B19" s="20">
        <v>43369</v>
      </c>
      <c r="C19" s="3"/>
      <c r="D19" s="3" t="s">
        <v>27</v>
      </c>
      <c r="E19" s="3" t="s">
        <v>57</v>
      </c>
      <c r="F19" s="3" t="s">
        <v>48</v>
      </c>
      <c r="G19" s="26" t="s">
        <v>65</v>
      </c>
    </row>
    <row r="20" spans="1:7" x14ac:dyDescent="0.15">
      <c r="A20" s="3"/>
      <c r="B20" s="20">
        <v>43369</v>
      </c>
      <c r="C20" s="3"/>
      <c r="D20" s="3" t="s">
        <v>27</v>
      </c>
      <c r="E20" s="3" t="s">
        <v>57</v>
      </c>
      <c r="F20" s="3" t="s">
        <v>48</v>
      </c>
      <c r="G20" s="26" t="s">
        <v>65</v>
      </c>
    </row>
    <row r="21" spans="1:7" x14ac:dyDescent="0.15">
      <c r="A21" s="3"/>
      <c r="B21" s="20">
        <v>43369</v>
      </c>
      <c r="C21" s="3"/>
      <c r="D21" s="3" t="s">
        <v>27</v>
      </c>
      <c r="E21" s="3" t="s">
        <v>57</v>
      </c>
      <c r="F21" s="3" t="s">
        <v>48</v>
      </c>
      <c r="G21" s="26" t="s">
        <v>65</v>
      </c>
    </row>
    <row r="22" spans="1:7" x14ac:dyDescent="0.15">
      <c r="A22" s="3"/>
      <c r="B22" s="20">
        <v>43369</v>
      </c>
      <c r="C22" s="3"/>
      <c r="D22" s="3" t="s">
        <v>11</v>
      </c>
      <c r="E22" s="21" t="s">
        <v>46</v>
      </c>
      <c r="F22" s="21" t="s">
        <v>47</v>
      </c>
      <c r="G22" s="26" t="s">
        <v>63</v>
      </c>
    </row>
    <row r="23" spans="1:7" x14ac:dyDescent="0.15">
      <c r="A23" s="3"/>
      <c r="B23" s="20">
        <v>43369</v>
      </c>
      <c r="C23" s="3"/>
      <c r="D23" s="3" t="s">
        <v>11</v>
      </c>
      <c r="E23" s="21" t="s">
        <v>46</v>
      </c>
      <c r="F23" s="21" t="s">
        <v>47</v>
      </c>
      <c r="G23" s="26" t="s">
        <v>63</v>
      </c>
    </row>
    <row r="24" spans="1:7" x14ac:dyDescent="0.15">
      <c r="A24" s="3"/>
      <c r="B24" s="20">
        <v>43369</v>
      </c>
      <c r="C24" s="3"/>
      <c r="D24" s="3" t="s">
        <v>11</v>
      </c>
      <c r="E24" s="21" t="s">
        <v>46</v>
      </c>
      <c r="F24" s="21" t="s">
        <v>47</v>
      </c>
      <c r="G24" s="26" t="s">
        <v>63</v>
      </c>
    </row>
    <row r="25" spans="1:7" x14ac:dyDescent="0.15">
      <c r="A25" s="3"/>
      <c r="B25" s="20">
        <v>43369</v>
      </c>
      <c r="C25" s="3"/>
      <c r="D25" s="3" t="s">
        <v>11</v>
      </c>
      <c r="E25" s="21" t="s">
        <v>46</v>
      </c>
      <c r="F25" s="21" t="s">
        <v>47</v>
      </c>
      <c r="G25" s="26" t="s">
        <v>63</v>
      </c>
    </row>
    <row r="26" spans="1:7" x14ac:dyDescent="0.15">
      <c r="A26" s="3"/>
      <c r="B26" s="20">
        <v>43369</v>
      </c>
      <c r="C26" s="3"/>
      <c r="D26" s="3" t="s">
        <v>11</v>
      </c>
      <c r="E26" s="21" t="s">
        <v>46</v>
      </c>
      <c r="F26" s="21" t="s">
        <v>47</v>
      </c>
      <c r="G26" s="26" t="s">
        <v>64</v>
      </c>
    </row>
    <row r="27" spans="1:7" x14ac:dyDescent="0.15">
      <c r="A27" s="3"/>
      <c r="B27" s="20">
        <v>43369</v>
      </c>
      <c r="C27" s="3"/>
      <c r="D27" s="3" t="s">
        <v>11</v>
      </c>
      <c r="E27" s="21" t="s">
        <v>46</v>
      </c>
      <c r="F27" s="21" t="s">
        <v>47</v>
      </c>
      <c r="G27" s="26" t="s">
        <v>64</v>
      </c>
    </row>
    <row r="28" spans="1:7" x14ac:dyDescent="0.15">
      <c r="A28" s="3"/>
      <c r="B28" s="20">
        <v>43369</v>
      </c>
      <c r="C28" s="3"/>
      <c r="D28" s="3" t="s">
        <v>11</v>
      </c>
      <c r="E28" s="21" t="s">
        <v>46</v>
      </c>
      <c r="F28" s="21" t="s">
        <v>47</v>
      </c>
      <c r="G28" s="26" t="s">
        <v>64</v>
      </c>
    </row>
    <row r="29" spans="1:7" x14ac:dyDescent="0.15">
      <c r="A29" s="3"/>
      <c r="B29" s="20">
        <v>43369</v>
      </c>
      <c r="C29" s="3"/>
      <c r="D29" s="3" t="s">
        <v>11</v>
      </c>
      <c r="E29" s="21" t="s">
        <v>46</v>
      </c>
      <c r="F29" s="21" t="s">
        <v>47</v>
      </c>
      <c r="G29" s="26" t="s">
        <v>64</v>
      </c>
    </row>
    <row r="30" spans="1:7" x14ac:dyDescent="0.15">
      <c r="A30" s="3"/>
      <c r="B30" s="20">
        <v>43369</v>
      </c>
      <c r="C30" s="3"/>
      <c r="D30" s="3" t="s">
        <v>11</v>
      </c>
      <c r="E30" s="21" t="s">
        <v>46</v>
      </c>
      <c r="F30" s="21" t="s">
        <v>47</v>
      </c>
      <c r="G30" s="26" t="s">
        <v>64</v>
      </c>
    </row>
    <row r="31" spans="1:7" x14ac:dyDescent="0.15">
      <c r="A31" s="3"/>
      <c r="B31" s="20">
        <v>43369</v>
      </c>
      <c r="C31" s="3"/>
      <c r="D31" s="3" t="s">
        <v>11</v>
      </c>
      <c r="E31" s="21" t="s">
        <v>46</v>
      </c>
      <c r="F31" s="21" t="s">
        <v>47</v>
      </c>
      <c r="G31" s="26" t="s">
        <v>64</v>
      </c>
    </row>
    <row r="32" spans="1:7" x14ac:dyDescent="0.15">
      <c r="A32" s="3"/>
      <c r="B32" s="20">
        <v>43369</v>
      </c>
      <c r="C32" s="21" t="s">
        <v>66</v>
      </c>
      <c r="D32" s="3" t="s">
        <v>21</v>
      </c>
      <c r="E32" s="21" t="s">
        <v>46</v>
      </c>
      <c r="F32" s="21" t="s">
        <v>47</v>
      </c>
      <c r="G32" s="26" t="s">
        <v>71</v>
      </c>
    </row>
    <row r="33" spans="1:7" x14ac:dyDescent="0.15">
      <c r="A33" s="3"/>
      <c r="B33" s="20">
        <v>43369</v>
      </c>
      <c r="C33" s="21" t="s">
        <v>67</v>
      </c>
      <c r="D33" s="3" t="s">
        <v>21</v>
      </c>
      <c r="E33" s="21" t="s">
        <v>46</v>
      </c>
      <c r="F33" s="21" t="s">
        <v>47</v>
      </c>
      <c r="G33" s="26" t="s">
        <v>71</v>
      </c>
    </row>
    <row r="34" spans="1:7" x14ac:dyDescent="0.15">
      <c r="A34" s="3"/>
      <c r="B34" s="20">
        <v>43369</v>
      </c>
      <c r="C34" s="21" t="s">
        <v>68</v>
      </c>
      <c r="D34" s="3" t="s">
        <v>21</v>
      </c>
      <c r="E34" s="21" t="s">
        <v>46</v>
      </c>
      <c r="F34" s="21" t="s">
        <v>47</v>
      </c>
      <c r="G34" s="26" t="s">
        <v>71</v>
      </c>
    </row>
    <row r="35" spans="1:7" x14ac:dyDescent="0.15">
      <c r="A35" s="3"/>
      <c r="B35" s="20">
        <v>43369</v>
      </c>
      <c r="C35" s="21" t="s">
        <v>69</v>
      </c>
      <c r="D35" s="3" t="s">
        <v>21</v>
      </c>
      <c r="E35" s="21" t="s">
        <v>46</v>
      </c>
      <c r="F35" s="21" t="s">
        <v>47</v>
      </c>
      <c r="G35" s="26" t="s">
        <v>71</v>
      </c>
    </row>
    <row r="36" spans="1:7" x14ac:dyDescent="0.15">
      <c r="A36" s="3"/>
      <c r="B36" s="20">
        <v>43369</v>
      </c>
      <c r="C36" s="21" t="s">
        <v>70</v>
      </c>
      <c r="D36" s="3" t="s">
        <v>21</v>
      </c>
      <c r="E36" s="21" t="s">
        <v>46</v>
      </c>
      <c r="F36" s="21" t="s">
        <v>47</v>
      </c>
      <c r="G36" s="26" t="s">
        <v>71</v>
      </c>
    </row>
    <row r="37" spans="1:7" x14ac:dyDescent="0.15">
      <c r="A37" s="3"/>
      <c r="B37" s="20">
        <v>43369</v>
      </c>
      <c r="C37" s="21" t="s">
        <v>79</v>
      </c>
      <c r="D37" s="3" t="s">
        <v>21</v>
      </c>
      <c r="E37" s="21" t="s">
        <v>46</v>
      </c>
      <c r="F37" s="21" t="s">
        <v>47</v>
      </c>
      <c r="G37" s="26" t="s">
        <v>78</v>
      </c>
    </row>
    <row r="38" spans="1:7" x14ac:dyDescent="0.15">
      <c r="A38" s="3"/>
      <c r="B38" s="20">
        <v>43369</v>
      </c>
      <c r="C38" s="21" t="s">
        <v>72</v>
      </c>
      <c r="D38" s="21" t="s">
        <v>76</v>
      </c>
      <c r="E38" s="21" t="s">
        <v>46</v>
      </c>
      <c r="F38" s="21" t="s">
        <v>47</v>
      </c>
      <c r="G38" s="5"/>
    </row>
    <row r="39" spans="1:7" x14ac:dyDescent="0.15">
      <c r="A39" s="3"/>
      <c r="B39" s="20">
        <v>43369</v>
      </c>
      <c r="C39" s="21" t="s">
        <v>73</v>
      </c>
      <c r="D39" s="21" t="s">
        <v>76</v>
      </c>
      <c r="E39" s="21" t="s">
        <v>46</v>
      </c>
      <c r="F39" s="21" t="s">
        <v>47</v>
      </c>
      <c r="G39" s="5"/>
    </row>
    <row r="40" spans="1:7" x14ac:dyDescent="0.15">
      <c r="A40" s="3"/>
      <c r="B40" s="20">
        <v>43369</v>
      </c>
      <c r="C40" s="21" t="s">
        <v>74</v>
      </c>
      <c r="D40" s="21" t="s">
        <v>76</v>
      </c>
      <c r="E40" s="21" t="s">
        <v>46</v>
      </c>
      <c r="F40" s="21" t="s">
        <v>47</v>
      </c>
      <c r="G40" s="3"/>
    </row>
    <row r="41" spans="1:7" x14ac:dyDescent="0.15">
      <c r="A41" s="3"/>
      <c r="B41" s="20">
        <v>43369</v>
      </c>
      <c r="C41" s="21" t="s">
        <v>75</v>
      </c>
      <c r="D41" s="21" t="s">
        <v>76</v>
      </c>
      <c r="E41" s="21" t="s">
        <v>46</v>
      </c>
      <c r="F41" s="21" t="s">
        <v>47</v>
      </c>
      <c r="G41" s="3"/>
    </row>
    <row r="42" spans="1:7" x14ac:dyDescent="0.15">
      <c r="A42" s="3"/>
      <c r="B42" s="20">
        <v>43369</v>
      </c>
      <c r="C42" s="21" t="s">
        <v>72</v>
      </c>
      <c r="D42" s="11" t="s">
        <v>20</v>
      </c>
      <c r="E42" s="21" t="s">
        <v>46</v>
      </c>
      <c r="F42" s="21" t="s">
        <v>47</v>
      </c>
      <c r="G42" s="21" t="s">
        <v>77</v>
      </c>
    </row>
    <row r="43" spans="1:7" x14ac:dyDescent="0.15">
      <c r="A43" s="3"/>
      <c r="B43" s="20">
        <v>43369</v>
      </c>
      <c r="C43" s="21" t="s">
        <v>73</v>
      </c>
      <c r="D43" s="11" t="s">
        <v>20</v>
      </c>
      <c r="E43" s="21" t="s">
        <v>46</v>
      </c>
      <c r="F43" s="21" t="s">
        <v>47</v>
      </c>
      <c r="G43" s="21" t="s">
        <v>77</v>
      </c>
    </row>
    <row r="44" spans="1:7" x14ac:dyDescent="0.15">
      <c r="A44" s="3"/>
      <c r="B44" s="20">
        <v>43369</v>
      </c>
      <c r="C44" s="21" t="s">
        <v>74</v>
      </c>
      <c r="D44" s="11" t="s">
        <v>20</v>
      </c>
      <c r="E44" s="21" t="s">
        <v>46</v>
      </c>
      <c r="F44" s="21" t="s">
        <v>47</v>
      </c>
      <c r="G44" s="21" t="s">
        <v>77</v>
      </c>
    </row>
    <row r="45" spans="1:7" x14ac:dyDescent="0.15">
      <c r="A45" s="3"/>
      <c r="B45" s="20">
        <v>43369</v>
      </c>
      <c r="C45" s="21" t="s">
        <v>75</v>
      </c>
      <c r="D45" s="11" t="s">
        <v>20</v>
      </c>
      <c r="E45" s="21" t="s">
        <v>46</v>
      </c>
      <c r="F45" s="21" t="s">
        <v>47</v>
      </c>
      <c r="G45" s="21" t="s">
        <v>77</v>
      </c>
    </row>
    <row r="46" spans="1:7" x14ac:dyDescent="0.15">
      <c r="A46" s="3"/>
      <c r="B46" s="20">
        <v>43369</v>
      </c>
      <c r="C46" s="3"/>
      <c r="D46" s="3"/>
      <c r="E46" s="3"/>
      <c r="F46" s="3"/>
      <c r="G46" s="3"/>
    </row>
    <row r="47" spans="1:7" x14ac:dyDescent="0.15">
      <c r="A47" s="3"/>
      <c r="B47" s="20">
        <v>43369</v>
      </c>
      <c r="C47" s="3"/>
      <c r="D47" s="3"/>
      <c r="E47" s="3"/>
      <c r="F47" s="3"/>
      <c r="G47" s="3"/>
    </row>
    <row r="48" spans="1:7" x14ac:dyDescent="0.15">
      <c r="A48" s="3"/>
      <c r="B48" s="20">
        <v>43369</v>
      </c>
      <c r="C48" s="3"/>
      <c r="D48" s="3"/>
      <c r="E48" s="3"/>
      <c r="F48" s="3"/>
      <c r="G48" s="3"/>
    </row>
    <row r="49" spans="1:7" x14ac:dyDescent="0.15">
      <c r="A49" s="3"/>
      <c r="B49" s="6"/>
      <c r="C49" s="3"/>
      <c r="D49" s="3"/>
      <c r="E49" s="3"/>
      <c r="F49" s="3"/>
      <c r="G49" s="3"/>
    </row>
    <row r="50" spans="1:7" x14ac:dyDescent="0.15">
      <c r="A50" s="3"/>
      <c r="B50" s="6"/>
      <c r="C50" s="3"/>
      <c r="D50" s="3"/>
      <c r="E50" s="3"/>
      <c r="F50" s="3"/>
      <c r="G50" s="3"/>
    </row>
    <row r="51" spans="1:7" x14ac:dyDescent="0.15">
      <c r="A51" s="3"/>
      <c r="B51" s="4"/>
      <c r="C51" s="3"/>
      <c r="D51" s="3"/>
      <c r="E51" s="3"/>
      <c r="F51" s="3"/>
      <c r="G51" s="3"/>
    </row>
    <row r="52" spans="1:7" x14ac:dyDescent="0.15">
      <c r="A52" s="3"/>
      <c r="B52" s="4"/>
      <c r="C52" s="3"/>
      <c r="D52" s="3"/>
      <c r="E52" s="3"/>
      <c r="F52" s="3"/>
      <c r="G52" s="3"/>
    </row>
    <row r="53" spans="1:7" x14ac:dyDescent="0.15">
      <c r="A53" s="3"/>
      <c r="B53" s="4"/>
      <c r="C53" s="3"/>
      <c r="D53" s="3"/>
      <c r="E53" s="3"/>
      <c r="F53" s="3"/>
      <c r="G53" s="3"/>
    </row>
    <row r="54" spans="1:7" x14ac:dyDescent="0.15">
      <c r="A54" s="3"/>
      <c r="B54" s="4"/>
      <c r="C54" s="3"/>
      <c r="D54" s="3"/>
      <c r="E54" s="3"/>
      <c r="F54" s="3"/>
      <c r="G54" s="3"/>
    </row>
    <row r="55" spans="1:7" x14ac:dyDescent="0.15">
      <c r="A55" s="3"/>
      <c r="B55" s="4"/>
      <c r="C55" s="3"/>
      <c r="D55" s="3"/>
      <c r="E55" s="3"/>
      <c r="F55" s="3"/>
      <c r="G55" s="3"/>
    </row>
    <row r="56" spans="1:7" x14ac:dyDescent="0.15">
      <c r="A56" s="3"/>
      <c r="B56" s="4"/>
      <c r="C56" s="3"/>
      <c r="D56" s="3"/>
      <c r="E56" s="3"/>
      <c r="F56" s="3"/>
      <c r="G56" s="3"/>
    </row>
    <row r="57" spans="1:7" x14ac:dyDescent="0.15">
      <c r="A57" s="3"/>
      <c r="B57" s="4"/>
      <c r="C57" s="3"/>
      <c r="D57" s="3"/>
      <c r="E57" s="3"/>
      <c r="F57" s="3"/>
      <c r="G57" s="3"/>
    </row>
    <row r="58" spans="1:7" x14ac:dyDescent="0.15">
      <c r="A58" s="3"/>
      <c r="B58" s="4"/>
      <c r="C58" s="3"/>
      <c r="D58" s="3"/>
      <c r="E58" s="3"/>
      <c r="F58" s="3"/>
      <c r="G58" s="3"/>
    </row>
    <row r="59" spans="1:7" x14ac:dyDescent="0.15">
      <c r="A59" s="3"/>
      <c r="B59" s="4"/>
      <c r="C59" s="3"/>
      <c r="D59" s="3"/>
      <c r="E59" s="3"/>
      <c r="F59" s="3"/>
      <c r="G59" s="3"/>
    </row>
    <row r="60" spans="1:7" x14ac:dyDescent="0.15">
      <c r="A60" s="3"/>
      <c r="B60" s="4"/>
      <c r="C60" s="3"/>
      <c r="D60" s="3"/>
      <c r="E60" s="3"/>
      <c r="F60" s="3"/>
      <c r="G60" s="3"/>
    </row>
    <row r="61" spans="1:7" x14ac:dyDescent="0.15">
      <c r="A61" s="3"/>
      <c r="B61" s="4"/>
      <c r="C61" s="3"/>
      <c r="D61" s="3"/>
      <c r="E61" s="3"/>
      <c r="F61" s="3"/>
      <c r="G61" s="3"/>
    </row>
    <row r="62" spans="1:7" x14ac:dyDescent="0.15">
      <c r="A62" s="3"/>
      <c r="B62" s="4"/>
      <c r="C62" s="3"/>
      <c r="D62" s="3"/>
      <c r="E62" s="3"/>
      <c r="F62" s="3"/>
      <c r="G62" s="3"/>
    </row>
    <row r="63" spans="1:7" x14ac:dyDescent="0.15">
      <c r="A63" s="3"/>
      <c r="B63" s="4"/>
      <c r="C63" s="3"/>
      <c r="D63" s="3"/>
      <c r="E63" s="3"/>
      <c r="F63" s="3"/>
      <c r="G63" s="3"/>
    </row>
    <row r="64" spans="1:7" x14ac:dyDescent="0.15">
      <c r="A64" s="3"/>
      <c r="B64" s="4"/>
      <c r="C64" s="3"/>
      <c r="D64" s="3"/>
      <c r="E64" s="3"/>
      <c r="F64" s="3"/>
      <c r="G64" s="3"/>
    </row>
    <row r="65" spans="1:7" x14ac:dyDescent="0.15">
      <c r="A65" s="3"/>
      <c r="B65" s="4"/>
      <c r="C65" s="3"/>
      <c r="D65" s="3"/>
      <c r="E65" s="3"/>
      <c r="F65" s="3"/>
      <c r="G65" s="3"/>
    </row>
    <row r="66" spans="1:7" x14ac:dyDescent="0.15">
      <c r="A66" s="3"/>
      <c r="B66" s="4"/>
      <c r="C66" s="3"/>
      <c r="D66" s="3"/>
      <c r="E66" s="3"/>
      <c r="F66" s="3"/>
      <c r="G66" s="3"/>
    </row>
    <row r="67" spans="1:7" x14ac:dyDescent="0.15">
      <c r="A67" s="3"/>
      <c r="B67" s="4"/>
      <c r="C67" s="3"/>
      <c r="D67" s="3"/>
      <c r="E67" s="3"/>
      <c r="F67" s="3"/>
      <c r="G67" s="3"/>
    </row>
    <row r="68" spans="1:7" x14ac:dyDescent="0.15">
      <c r="A68" s="3"/>
      <c r="B68" s="4"/>
      <c r="C68" s="3"/>
      <c r="D68" s="3"/>
      <c r="E68" s="3"/>
      <c r="F68" s="3"/>
      <c r="G68" s="5"/>
    </row>
    <row r="69" spans="1:7" x14ac:dyDescent="0.15">
      <c r="A69" s="3"/>
      <c r="B69" s="4"/>
      <c r="C69" s="3"/>
      <c r="D69" s="3"/>
      <c r="E69" s="3"/>
      <c r="F69" s="3"/>
      <c r="G69" s="5"/>
    </row>
    <row r="70" spans="1:7" x14ac:dyDescent="0.15">
      <c r="A70" s="3"/>
      <c r="B70" s="4"/>
      <c r="C70" s="3"/>
      <c r="D70" s="3"/>
      <c r="E70" s="3"/>
      <c r="F70" s="3"/>
      <c r="G70" s="5"/>
    </row>
    <row r="71" spans="1:7" x14ac:dyDescent="0.15">
      <c r="A71" s="3"/>
      <c r="B71" s="4"/>
      <c r="C71" s="3"/>
      <c r="D71" s="3"/>
      <c r="E71" s="3"/>
      <c r="F71" s="3"/>
      <c r="G71" s="5"/>
    </row>
    <row r="72" spans="1:7" x14ac:dyDescent="0.15">
      <c r="A72" s="3"/>
      <c r="B72" s="4"/>
      <c r="C72" s="3"/>
      <c r="D72" s="3"/>
      <c r="E72" s="3"/>
      <c r="F72" s="3"/>
      <c r="G72" s="5"/>
    </row>
    <row r="73" spans="1:7" x14ac:dyDescent="0.15">
      <c r="A73" s="3"/>
      <c r="B73" s="4"/>
      <c r="C73" s="3"/>
      <c r="D73" s="3"/>
      <c r="E73" s="3"/>
      <c r="F73" s="3"/>
      <c r="G73" s="5"/>
    </row>
    <row r="74" spans="1:7" x14ac:dyDescent="0.15">
      <c r="A74" s="3"/>
      <c r="B74" s="4"/>
      <c r="C74" s="3"/>
      <c r="D74" s="3"/>
      <c r="E74" s="3"/>
      <c r="F74" s="3"/>
      <c r="G74" s="5"/>
    </row>
    <row r="75" spans="1:7" x14ac:dyDescent="0.15">
      <c r="A75" s="3"/>
      <c r="B75" s="4"/>
      <c r="C75" s="3"/>
      <c r="D75" s="3"/>
      <c r="E75" s="3"/>
      <c r="F75" s="3"/>
      <c r="G75" s="5"/>
    </row>
    <row r="76" spans="1:7" x14ac:dyDescent="0.15">
      <c r="A76" s="3"/>
      <c r="B76" s="4"/>
      <c r="C76" s="3"/>
      <c r="D76" s="3"/>
      <c r="E76" s="3"/>
      <c r="F76" s="3"/>
      <c r="G76" s="5"/>
    </row>
    <row r="77" spans="1:7" x14ac:dyDescent="0.15">
      <c r="A77" s="3"/>
      <c r="B77" s="4"/>
      <c r="C77" s="3"/>
      <c r="D77" s="7"/>
      <c r="E77" s="3"/>
      <c r="F77" s="3"/>
      <c r="G77" s="3"/>
    </row>
    <row r="78" spans="1:7" x14ac:dyDescent="0.15">
      <c r="A78" s="3"/>
      <c r="B78" s="4"/>
      <c r="C78" s="3"/>
      <c r="D78" s="7"/>
      <c r="E78" s="3"/>
      <c r="F78" s="3"/>
      <c r="G78" s="3"/>
    </row>
    <row r="79" spans="1:7" x14ac:dyDescent="0.15">
      <c r="A79" s="3"/>
      <c r="B79" s="4"/>
      <c r="C79" s="3"/>
      <c r="D79" s="3"/>
      <c r="E79" s="3"/>
      <c r="F79" s="3"/>
      <c r="G79" s="5"/>
    </row>
    <row r="80" spans="1:7" x14ac:dyDescent="0.15">
      <c r="A80" s="3"/>
      <c r="B80" s="4"/>
      <c r="C80" s="3"/>
      <c r="D80" s="3"/>
      <c r="E80" s="3"/>
      <c r="F80" s="3"/>
      <c r="G80" s="3"/>
    </row>
    <row r="81" spans="1:7" x14ac:dyDescent="0.15">
      <c r="A81" s="3"/>
      <c r="B81" s="4"/>
      <c r="C81" s="3"/>
      <c r="D81" s="3"/>
      <c r="E81" s="3"/>
      <c r="F81" s="3"/>
      <c r="G81" s="3"/>
    </row>
    <row r="82" spans="1:7" x14ac:dyDescent="0.15">
      <c r="A82" s="3"/>
      <c r="B82" s="4"/>
      <c r="C82" s="3"/>
      <c r="D82" s="3"/>
      <c r="E82" s="3"/>
      <c r="F82" s="3"/>
      <c r="G82" s="3"/>
    </row>
    <row r="83" spans="1:7" x14ac:dyDescent="0.15">
      <c r="A83" s="3"/>
      <c r="B83" s="4"/>
      <c r="C83" s="3"/>
      <c r="D83" s="3"/>
      <c r="E83" s="3"/>
      <c r="F83" s="3"/>
      <c r="G83" s="3"/>
    </row>
    <row r="84" spans="1:7" x14ac:dyDescent="0.15">
      <c r="A84" s="3"/>
      <c r="B84" s="4"/>
      <c r="C84" s="3"/>
      <c r="D84" s="3"/>
      <c r="E84" s="3"/>
      <c r="F84" s="3"/>
      <c r="G84" s="3"/>
    </row>
    <row r="85" spans="1:7" x14ac:dyDescent="0.15">
      <c r="A85" s="3"/>
      <c r="B85" s="4"/>
      <c r="C85" s="3"/>
      <c r="D85" s="3"/>
      <c r="E85" s="3"/>
      <c r="F85" s="3"/>
      <c r="G85" s="3"/>
    </row>
    <row r="86" spans="1:7" x14ac:dyDescent="0.15">
      <c r="A86" s="3"/>
      <c r="B86" s="4"/>
      <c r="C86" s="3"/>
      <c r="D86" s="3"/>
      <c r="E86" s="3"/>
      <c r="F86" s="3"/>
      <c r="G86" s="3"/>
    </row>
    <row r="87" spans="1:7" x14ac:dyDescent="0.15">
      <c r="A87" s="3"/>
      <c r="B87" s="4"/>
      <c r="C87" s="3"/>
      <c r="D87" s="3"/>
      <c r="E87" s="3"/>
      <c r="F87" s="3"/>
      <c r="G87" s="5"/>
    </row>
    <row r="88" spans="1:7" x14ac:dyDescent="0.15">
      <c r="A88" s="3"/>
      <c r="B88" s="4"/>
      <c r="C88" s="3"/>
      <c r="D88" s="3"/>
      <c r="E88" s="3"/>
      <c r="F88" s="3"/>
      <c r="G88" s="5"/>
    </row>
    <row r="89" spans="1:7" x14ac:dyDescent="0.15">
      <c r="A89" s="3"/>
      <c r="B89" s="4"/>
      <c r="C89" s="3"/>
      <c r="D89" s="3"/>
      <c r="E89" s="3"/>
      <c r="F89" s="3"/>
      <c r="G89" s="5"/>
    </row>
    <row r="90" spans="1:7" x14ac:dyDescent="0.15">
      <c r="A90" s="3"/>
      <c r="B90" s="4"/>
      <c r="C90" s="3"/>
      <c r="D90" s="3"/>
      <c r="E90" s="3"/>
      <c r="F90" s="3"/>
      <c r="G90" s="3"/>
    </row>
    <row r="91" spans="1:7" x14ac:dyDescent="0.15">
      <c r="A91" s="3"/>
      <c r="B91" s="4"/>
      <c r="C91" s="3"/>
      <c r="D91" s="3"/>
      <c r="E91" s="3"/>
      <c r="F91" s="3"/>
      <c r="G91" s="3"/>
    </row>
    <row r="92" spans="1:7" x14ac:dyDescent="0.15">
      <c r="A92" s="3"/>
      <c r="B92" s="4"/>
      <c r="C92" s="3"/>
      <c r="D92" s="3"/>
      <c r="E92" s="3"/>
      <c r="F92" s="3"/>
      <c r="G92" s="5"/>
    </row>
    <row r="93" spans="1:7" x14ac:dyDescent="0.15">
      <c r="A93" s="3"/>
      <c r="B93" s="4"/>
      <c r="C93" s="3"/>
      <c r="D93" s="3"/>
      <c r="E93" s="3"/>
      <c r="F93" s="3"/>
      <c r="G93" s="3"/>
    </row>
    <row r="94" spans="1:7" x14ac:dyDescent="0.15">
      <c r="A94" s="3"/>
      <c r="B94" s="4"/>
      <c r="C94" s="3"/>
      <c r="D94" s="3"/>
      <c r="E94" s="3"/>
      <c r="F94" s="3"/>
      <c r="G94" s="3"/>
    </row>
    <row r="95" spans="1:7" x14ac:dyDescent="0.15">
      <c r="A95" s="3"/>
      <c r="B95" s="4"/>
      <c r="C95" s="3"/>
      <c r="D95" s="3"/>
      <c r="E95" s="3"/>
      <c r="F95" s="3"/>
      <c r="G95" s="3"/>
    </row>
    <row r="96" spans="1:7" x14ac:dyDescent="0.15">
      <c r="A96" s="3"/>
      <c r="B96" s="4"/>
      <c r="C96" s="3"/>
      <c r="D96" s="3"/>
      <c r="E96" s="3"/>
      <c r="F96" s="3"/>
      <c r="G96" s="3"/>
    </row>
    <row r="97" spans="1:7" x14ac:dyDescent="0.15">
      <c r="A97" s="3"/>
      <c r="B97" s="4"/>
      <c r="C97" s="3"/>
      <c r="D97" s="3"/>
      <c r="E97" s="3"/>
      <c r="F97" s="3"/>
      <c r="G97" s="3"/>
    </row>
    <row r="98" spans="1:7" x14ac:dyDescent="0.15">
      <c r="A98" s="3"/>
      <c r="B98" s="4"/>
      <c r="C98" s="3"/>
      <c r="D98" s="3"/>
      <c r="E98" s="3"/>
      <c r="F98" s="3"/>
      <c r="G98" s="3"/>
    </row>
    <row r="99" spans="1:7" x14ac:dyDescent="0.15">
      <c r="A99" s="3"/>
      <c r="B99" s="4"/>
      <c r="C99" s="3"/>
      <c r="D99" s="3"/>
      <c r="E99" s="3"/>
      <c r="F99" s="3"/>
      <c r="G99" s="3"/>
    </row>
    <row r="100" spans="1:7" x14ac:dyDescent="0.15">
      <c r="A100" s="3"/>
      <c r="B100" s="4"/>
      <c r="C100" s="3"/>
      <c r="D100" s="3"/>
      <c r="E100" s="3"/>
      <c r="F100" s="3"/>
      <c r="G100" s="3"/>
    </row>
    <row r="101" spans="1:7" x14ac:dyDescent="0.15">
      <c r="A101" s="3"/>
      <c r="B101" s="4"/>
      <c r="C101" s="3"/>
      <c r="D101" s="3"/>
      <c r="E101" s="3"/>
      <c r="F101" s="3"/>
      <c r="G101" s="3"/>
    </row>
    <row r="102" spans="1:7" x14ac:dyDescent="0.15">
      <c r="A102" s="3"/>
      <c r="B102" s="4"/>
      <c r="C102" s="3"/>
      <c r="D102" s="3"/>
      <c r="E102" s="3"/>
      <c r="F102" s="3"/>
      <c r="G102" s="3"/>
    </row>
    <row r="103" spans="1:7" x14ac:dyDescent="0.15">
      <c r="A103" s="3"/>
      <c r="B103" s="4"/>
      <c r="C103" s="3"/>
      <c r="D103" s="3"/>
      <c r="E103" s="3"/>
      <c r="F103" s="3"/>
      <c r="G103" s="3"/>
    </row>
    <row r="104" spans="1:7" x14ac:dyDescent="0.15">
      <c r="A104" s="3"/>
      <c r="B104" s="4"/>
      <c r="C104" s="3"/>
      <c r="D104" s="3"/>
      <c r="E104" s="3"/>
      <c r="F104" s="3"/>
      <c r="G104" s="3"/>
    </row>
    <row r="105" spans="1:7" x14ac:dyDescent="0.15">
      <c r="A105" s="3"/>
      <c r="B105" s="4"/>
      <c r="C105" s="3"/>
      <c r="D105" s="3"/>
      <c r="E105" s="3"/>
      <c r="F105" s="3"/>
      <c r="G105" s="3"/>
    </row>
    <row r="106" spans="1:7" x14ac:dyDescent="0.15">
      <c r="A106" s="3"/>
      <c r="B106" s="4"/>
      <c r="C106" s="3"/>
      <c r="D106" s="3"/>
      <c r="E106" s="3"/>
      <c r="F106" s="3"/>
      <c r="G106" s="3"/>
    </row>
    <row r="107" spans="1:7" x14ac:dyDescent="0.15">
      <c r="A107" s="3"/>
      <c r="B107" s="4"/>
      <c r="C107" s="3"/>
      <c r="D107" s="3"/>
      <c r="E107" s="3"/>
      <c r="F107" s="3"/>
      <c r="G107" s="3"/>
    </row>
    <row r="108" spans="1:7" x14ac:dyDescent="0.15">
      <c r="A108" s="3"/>
      <c r="B108" s="4"/>
      <c r="C108" s="3"/>
      <c r="D108" s="3"/>
      <c r="E108" s="3"/>
      <c r="F108" s="3"/>
      <c r="G108" s="3"/>
    </row>
    <row r="109" spans="1:7" x14ac:dyDescent="0.15">
      <c r="A109" s="3"/>
      <c r="B109" s="4"/>
      <c r="C109" s="3"/>
      <c r="D109" s="3"/>
      <c r="E109" s="3"/>
      <c r="F109" s="3"/>
      <c r="G109" s="3"/>
    </row>
    <row r="110" spans="1:7" x14ac:dyDescent="0.15">
      <c r="A110" s="3"/>
      <c r="B110" s="4"/>
      <c r="C110" s="3"/>
      <c r="D110" s="3"/>
      <c r="E110" s="3"/>
      <c r="F110" s="3"/>
      <c r="G110" s="3"/>
    </row>
    <row r="111" spans="1:7" x14ac:dyDescent="0.15">
      <c r="A111" s="3"/>
      <c r="B111" s="4"/>
      <c r="C111" s="3"/>
      <c r="D111" s="3"/>
      <c r="E111" s="3"/>
      <c r="F111" s="3"/>
      <c r="G111" s="3"/>
    </row>
    <row r="112" spans="1:7" x14ac:dyDescent="0.15">
      <c r="A112" s="3"/>
      <c r="B112" s="4"/>
      <c r="C112" s="3"/>
      <c r="D112" s="3"/>
      <c r="E112" s="3"/>
      <c r="F112" s="3"/>
      <c r="G112" s="3"/>
    </row>
    <row r="113" spans="1:7" x14ac:dyDescent="0.15">
      <c r="A113" s="3"/>
      <c r="B113" s="4"/>
      <c r="C113" s="3"/>
      <c r="D113" s="3"/>
      <c r="E113" s="3"/>
      <c r="F113" s="3"/>
      <c r="G113" s="3"/>
    </row>
    <row r="114" spans="1:7" x14ac:dyDescent="0.15">
      <c r="A114" s="3"/>
      <c r="B114" s="4"/>
      <c r="C114" s="3"/>
      <c r="D114" s="3"/>
      <c r="E114" s="3"/>
      <c r="F114" s="3"/>
      <c r="G114" s="3"/>
    </row>
    <row r="115" spans="1:7" x14ac:dyDescent="0.15">
      <c r="A115" s="3"/>
      <c r="B115" s="4"/>
      <c r="C115" s="3"/>
      <c r="D115" s="3"/>
      <c r="E115" s="3"/>
      <c r="F115" s="3"/>
      <c r="G115" s="3"/>
    </row>
    <row r="116" spans="1:7" x14ac:dyDescent="0.15">
      <c r="A116" s="3"/>
      <c r="B116" s="4"/>
      <c r="C116" s="3"/>
      <c r="D116" s="3"/>
      <c r="E116" s="3"/>
      <c r="F116" s="3"/>
      <c r="G116" s="3"/>
    </row>
    <row r="117" spans="1:7" x14ac:dyDescent="0.15">
      <c r="A117" s="3"/>
      <c r="B117" s="4"/>
      <c r="C117" s="3"/>
      <c r="D117" s="3"/>
      <c r="E117" s="3"/>
      <c r="F117" s="3"/>
      <c r="G117" s="3"/>
    </row>
    <row r="118" spans="1:7" x14ac:dyDescent="0.15">
      <c r="A118" s="3"/>
      <c r="B118" s="4"/>
      <c r="C118" s="3"/>
      <c r="D118" s="3"/>
      <c r="E118" s="3"/>
      <c r="F118" s="3"/>
      <c r="G118" s="3"/>
    </row>
    <row r="119" spans="1:7" x14ac:dyDescent="0.15">
      <c r="A119" s="3"/>
      <c r="B119" s="4"/>
      <c r="C119" s="3"/>
      <c r="D119" s="3"/>
      <c r="E119" s="3"/>
      <c r="F119" s="3"/>
      <c r="G119" s="3"/>
    </row>
    <row r="120" spans="1:7" x14ac:dyDescent="0.15">
      <c r="A120" s="3"/>
      <c r="B120" s="4"/>
      <c r="C120" s="3"/>
      <c r="D120" s="3"/>
      <c r="E120" s="3"/>
      <c r="F120" s="3"/>
      <c r="G120" s="3"/>
    </row>
    <row r="121" spans="1:7" x14ac:dyDescent="0.15">
      <c r="A121" s="3"/>
      <c r="B121" s="4"/>
      <c r="C121" s="3"/>
      <c r="D121" s="3"/>
      <c r="E121" s="3"/>
      <c r="F121" s="3"/>
      <c r="G121" s="3"/>
    </row>
    <row r="122" spans="1:7" x14ac:dyDescent="0.15">
      <c r="A122" s="3"/>
      <c r="B122" s="4"/>
      <c r="C122" s="3"/>
      <c r="D122" s="3"/>
      <c r="E122" s="3"/>
      <c r="F122" s="3"/>
      <c r="G122" s="3"/>
    </row>
    <row r="123" spans="1:7" x14ac:dyDescent="0.15">
      <c r="A123" s="3"/>
      <c r="B123" s="4"/>
      <c r="C123" s="3"/>
      <c r="D123" s="3"/>
      <c r="E123" s="3"/>
      <c r="F123" s="3"/>
      <c r="G123" s="3"/>
    </row>
    <row r="124" spans="1:7" x14ac:dyDescent="0.15">
      <c r="A124" s="3"/>
      <c r="B124" s="4"/>
      <c r="C124" s="3"/>
      <c r="D124" s="3"/>
      <c r="E124" s="3"/>
      <c r="F124" s="3"/>
      <c r="G124" s="3"/>
    </row>
    <row r="125" spans="1:7" x14ac:dyDescent="0.15">
      <c r="A125" s="3"/>
      <c r="B125" s="4"/>
      <c r="C125" s="3"/>
      <c r="D125" s="3"/>
      <c r="E125" s="3"/>
      <c r="F125" s="3"/>
      <c r="G125" s="3"/>
    </row>
    <row r="126" spans="1:7" x14ac:dyDescent="0.15">
      <c r="A126" s="3"/>
      <c r="B126" s="4"/>
      <c r="C126" s="3"/>
      <c r="D126" s="3"/>
      <c r="E126" s="3"/>
      <c r="F126" s="3"/>
      <c r="G126" s="3"/>
    </row>
    <row r="127" spans="1:7" x14ac:dyDescent="0.15">
      <c r="A127" s="3"/>
      <c r="B127" s="4"/>
      <c r="C127" s="3"/>
      <c r="D127" s="3"/>
      <c r="E127" s="3"/>
      <c r="F127" s="3"/>
      <c r="G127" s="3"/>
    </row>
    <row r="128" spans="1:7" x14ac:dyDescent="0.15">
      <c r="A128" s="3"/>
      <c r="B128" s="4"/>
      <c r="C128" s="3"/>
      <c r="D128" s="3"/>
      <c r="E128" s="3"/>
      <c r="F128" s="3"/>
      <c r="G128" s="3"/>
    </row>
    <row r="129" spans="1:7" x14ac:dyDescent="0.15">
      <c r="A129" s="3"/>
      <c r="B129" s="4"/>
      <c r="C129" s="8"/>
      <c r="D129" s="3"/>
      <c r="E129" s="3"/>
      <c r="F129" s="3"/>
      <c r="G129" s="3"/>
    </row>
    <row r="130" spans="1:7" x14ac:dyDescent="0.15">
      <c r="A130" s="3"/>
      <c r="B130" s="4"/>
      <c r="C130" s="8"/>
      <c r="D130" s="3"/>
      <c r="E130" s="3"/>
      <c r="F130" s="3"/>
      <c r="G130" s="3"/>
    </row>
    <row r="131" spans="1:7" x14ac:dyDescent="0.15">
      <c r="A131" s="3"/>
      <c r="B131" s="4"/>
      <c r="C131" s="8"/>
      <c r="D131" s="3"/>
      <c r="E131" s="3"/>
      <c r="F131" s="3"/>
      <c r="G131" s="3"/>
    </row>
    <row r="132" spans="1:7" x14ac:dyDescent="0.15">
      <c r="A132" s="3"/>
      <c r="B132" s="4"/>
      <c r="C132" s="3"/>
      <c r="D132" s="3"/>
      <c r="E132" s="3"/>
      <c r="F132" s="3"/>
      <c r="G132" s="3"/>
    </row>
    <row r="133" spans="1:7" x14ac:dyDescent="0.15">
      <c r="A133" s="3"/>
      <c r="B133" s="4"/>
      <c r="C133" s="3"/>
      <c r="D133" s="3"/>
      <c r="E133" s="3"/>
      <c r="F133" s="3"/>
      <c r="G133" s="3"/>
    </row>
    <row r="134" spans="1:7" x14ac:dyDescent="0.15">
      <c r="A134" s="3"/>
      <c r="B134" s="4"/>
      <c r="C134" s="3"/>
      <c r="D134" s="3"/>
      <c r="E134" s="3"/>
      <c r="F134" s="3"/>
      <c r="G134" s="3"/>
    </row>
    <row r="135" spans="1:7" x14ac:dyDescent="0.15">
      <c r="A135" s="3"/>
      <c r="B135" s="4"/>
      <c r="C135" s="3"/>
      <c r="D135" s="3"/>
      <c r="E135" s="3"/>
      <c r="F135" s="3"/>
      <c r="G135" s="3"/>
    </row>
    <row r="136" spans="1:7" x14ac:dyDescent="0.15">
      <c r="A136" s="3"/>
      <c r="B136" s="4"/>
      <c r="C136" s="3"/>
      <c r="D136" s="3"/>
      <c r="E136" s="3"/>
      <c r="F136" s="3"/>
      <c r="G136" s="3"/>
    </row>
    <row r="137" spans="1:7" x14ac:dyDescent="0.15">
      <c r="A137" s="3"/>
      <c r="B137" s="4"/>
      <c r="C137" s="3"/>
      <c r="D137" s="3"/>
      <c r="E137" s="3"/>
      <c r="F137" s="3"/>
      <c r="G137" s="3"/>
    </row>
    <row r="138" spans="1:7" x14ac:dyDescent="0.15">
      <c r="A138" s="3"/>
      <c r="B138" s="4"/>
      <c r="C138" s="3"/>
      <c r="D138" s="3"/>
      <c r="E138" s="3"/>
      <c r="F138" s="3"/>
      <c r="G138" s="3"/>
    </row>
    <row r="139" spans="1:7" x14ac:dyDescent="0.15">
      <c r="A139" s="3"/>
      <c r="B139" s="4"/>
      <c r="C139" s="3"/>
      <c r="D139" s="3"/>
      <c r="E139" s="3"/>
      <c r="F139" s="3"/>
      <c r="G139" s="3"/>
    </row>
    <row r="140" spans="1:7" x14ac:dyDescent="0.15">
      <c r="A140" s="3"/>
      <c r="B140" s="4"/>
      <c r="C140" s="3"/>
      <c r="D140" s="3"/>
      <c r="E140" s="3"/>
      <c r="F140" s="3"/>
      <c r="G140" s="3"/>
    </row>
    <row r="141" spans="1:7" x14ac:dyDescent="0.15">
      <c r="A141" s="3"/>
      <c r="B141" s="4"/>
      <c r="C141" s="3"/>
      <c r="D141" s="3"/>
      <c r="E141" s="3"/>
      <c r="F141" s="3"/>
      <c r="G141" s="3"/>
    </row>
    <row r="142" spans="1:7" x14ac:dyDescent="0.15">
      <c r="A142" s="3"/>
      <c r="B142" s="4"/>
      <c r="C142" s="3"/>
      <c r="D142" s="3"/>
      <c r="E142" s="3"/>
      <c r="F142" s="3"/>
      <c r="G142" s="3"/>
    </row>
    <row r="143" spans="1:7" x14ac:dyDescent="0.15">
      <c r="A143" s="3"/>
      <c r="B143" s="4"/>
      <c r="C143" s="3"/>
      <c r="D143" s="3"/>
      <c r="E143" s="3"/>
      <c r="F143" s="3"/>
      <c r="G143" s="3"/>
    </row>
    <row r="144" spans="1:7" x14ac:dyDescent="0.15">
      <c r="A144" s="3"/>
      <c r="B144" s="4"/>
      <c r="C144" s="3"/>
      <c r="D144" s="3"/>
      <c r="E144" s="3"/>
      <c r="F144" s="3"/>
    </row>
    <row r="145" spans="1:7" x14ac:dyDescent="0.15">
      <c r="A145" s="3"/>
      <c r="B145" s="3"/>
      <c r="C145" s="9"/>
      <c r="D145" s="3"/>
      <c r="E145" s="9"/>
      <c r="F145" s="9"/>
      <c r="G145" s="9"/>
    </row>
    <row r="146" spans="1:7" x14ac:dyDescent="0.15">
      <c r="A146" s="3"/>
      <c r="B146" s="3"/>
      <c r="C146" s="9"/>
      <c r="D146" s="9"/>
      <c r="E146" s="9"/>
      <c r="F146" s="9"/>
      <c r="G146" s="9"/>
    </row>
    <row r="147" spans="1:7" x14ac:dyDescent="0.15">
      <c r="A147" s="3"/>
      <c r="B147" s="4"/>
      <c r="C147" s="3"/>
      <c r="D147" s="3"/>
      <c r="E147" s="9"/>
      <c r="F147" s="9"/>
      <c r="G147" s="9"/>
    </row>
    <row r="148" spans="1:7" x14ac:dyDescent="0.15">
      <c r="A148" s="3"/>
      <c r="B148" s="4"/>
      <c r="C148" s="3"/>
      <c r="D148" s="3"/>
      <c r="E148" s="9"/>
      <c r="F148" s="9"/>
      <c r="G148" s="3"/>
    </row>
    <row r="149" spans="1:7" x14ac:dyDescent="0.15">
      <c r="A149" s="3"/>
      <c r="B149" s="4"/>
      <c r="C149" s="3"/>
      <c r="D149" s="3"/>
      <c r="E149" s="3"/>
      <c r="F149" s="9"/>
      <c r="G149" s="3"/>
    </row>
    <row r="150" spans="1:7" x14ac:dyDescent="0.15">
      <c r="A150" s="3"/>
      <c r="B150" s="4"/>
      <c r="C150" s="3"/>
      <c r="D150" s="3"/>
      <c r="E150" s="3"/>
      <c r="F150" s="3"/>
      <c r="G150" s="3"/>
    </row>
    <row r="151" spans="1:7" x14ac:dyDescent="0.15">
      <c r="A151" s="3"/>
      <c r="B151" s="4"/>
      <c r="C151" s="3"/>
      <c r="D151" s="3"/>
      <c r="E151" s="3"/>
      <c r="F151" s="3"/>
      <c r="G151" s="3"/>
    </row>
    <row r="152" spans="1:7" x14ac:dyDescent="0.15">
      <c r="A152" s="3"/>
      <c r="B152" s="4"/>
      <c r="C152" s="3"/>
      <c r="D152" s="3"/>
      <c r="E152" s="3"/>
      <c r="F152" s="3"/>
      <c r="G152" s="3"/>
    </row>
    <row r="153" spans="1:7" x14ac:dyDescent="0.15">
      <c r="A153" s="3"/>
      <c r="B153" s="4"/>
      <c r="C153" s="10"/>
      <c r="E153" s="3"/>
      <c r="F153" s="3"/>
      <c r="G153" s="3"/>
    </row>
    <row r="154" spans="1:7" x14ac:dyDescent="0.15">
      <c r="A154" s="3"/>
      <c r="B154" s="4"/>
      <c r="C154" s="3"/>
      <c r="D154" s="3"/>
      <c r="E154" s="3"/>
      <c r="F154" s="3"/>
      <c r="G154" s="3"/>
    </row>
    <row r="155" spans="1:7" x14ac:dyDescent="0.15">
      <c r="A155" s="3"/>
      <c r="B155" s="4"/>
      <c r="C155" s="3"/>
      <c r="D155" s="3"/>
      <c r="E155" s="3"/>
      <c r="F155" s="3"/>
      <c r="G155" s="3"/>
    </row>
    <row r="156" spans="1:7" x14ac:dyDescent="0.15">
      <c r="A156" s="3"/>
      <c r="B156" s="4"/>
      <c r="C156" s="3"/>
      <c r="D156" s="3"/>
      <c r="E156" s="3"/>
      <c r="F156" s="3"/>
      <c r="G156" s="3"/>
    </row>
    <row r="157" spans="1:7" x14ac:dyDescent="0.15">
      <c r="A157" s="3"/>
      <c r="B157" s="4"/>
      <c r="C157" s="3"/>
      <c r="D157" s="3"/>
      <c r="E157" s="3"/>
      <c r="F157" s="3"/>
      <c r="G157" s="3"/>
    </row>
    <row r="158" spans="1:7" x14ac:dyDescent="0.15">
      <c r="A158" s="3"/>
      <c r="B158" s="4"/>
      <c r="C158" s="3"/>
      <c r="E158" s="3"/>
      <c r="F158" s="3"/>
    </row>
    <row r="159" spans="1:7" x14ac:dyDescent="0.15">
      <c r="A159" s="3"/>
      <c r="B159" s="4"/>
      <c r="C159" s="3"/>
      <c r="D159" s="3"/>
      <c r="E159" s="3"/>
      <c r="F159" s="3"/>
      <c r="G159" s="3"/>
    </row>
    <row r="160" spans="1:7" x14ac:dyDescent="0.15">
      <c r="A160" s="3"/>
      <c r="B160" s="3"/>
      <c r="C160" s="3"/>
      <c r="D160" s="3"/>
      <c r="E160" s="3"/>
      <c r="F160" s="3"/>
      <c r="G160" s="3"/>
    </row>
    <row r="161" spans="1:7" x14ac:dyDescent="0.15">
      <c r="A161" s="3"/>
      <c r="B161" s="3"/>
      <c r="C161" s="3"/>
      <c r="D161" s="3"/>
      <c r="E161" s="3"/>
      <c r="F161" s="3"/>
      <c r="G161" s="3"/>
    </row>
    <row r="162" spans="1:7" x14ac:dyDescent="0.15">
      <c r="A162" s="3"/>
      <c r="B162" s="3"/>
      <c r="C162" s="3"/>
      <c r="D162" s="3"/>
      <c r="E162" s="3"/>
      <c r="F162" s="3"/>
      <c r="G162" s="3"/>
    </row>
    <row r="163" spans="1:7" x14ac:dyDescent="0.15">
      <c r="A163" s="3"/>
      <c r="B163" s="3"/>
      <c r="C163" s="3"/>
      <c r="D163" s="3"/>
      <c r="E163" s="3"/>
      <c r="F163" s="3"/>
      <c r="G163" s="3"/>
    </row>
    <row r="164" spans="1:7" x14ac:dyDescent="0.15">
      <c r="A164" s="3"/>
      <c r="B164" s="3"/>
      <c r="C164" s="3"/>
      <c r="D164" s="3"/>
      <c r="E164" s="3"/>
      <c r="F164" s="3"/>
      <c r="G164" s="3"/>
    </row>
    <row r="165" spans="1:7" x14ac:dyDescent="0.15">
      <c r="A165" s="3"/>
      <c r="B165" s="3"/>
      <c r="C165" s="3"/>
      <c r="D165" s="3"/>
      <c r="E165" s="3"/>
      <c r="F165" s="3"/>
      <c r="G165" s="3"/>
    </row>
    <row r="166" spans="1:7" x14ac:dyDescent="0.15">
      <c r="A166" s="3"/>
      <c r="B166" s="3"/>
      <c r="C166" s="3"/>
      <c r="D166" s="3"/>
      <c r="E166" s="3"/>
      <c r="F166" s="3"/>
      <c r="G166" s="3"/>
    </row>
    <row r="167" spans="1:7" x14ac:dyDescent="0.15">
      <c r="A167" s="3">
        <v>168</v>
      </c>
      <c r="B167" s="3"/>
      <c r="C167" s="3"/>
      <c r="D167" s="3"/>
      <c r="E167" s="3"/>
      <c r="F167" s="3"/>
      <c r="G167" s="3"/>
    </row>
    <row r="168" spans="1:7" x14ac:dyDescent="0.15">
      <c r="A168" s="3">
        <v>169</v>
      </c>
      <c r="B168" s="3"/>
      <c r="C168" s="3"/>
      <c r="D168" s="3"/>
      <c r="E168" s="3"/>
      <c r="F168" s="3"/>
      <c r="G168" s="3"/>
    </row>
    <row r="169" spans="1:7" x14ac:dyDescent="0.15">
      <c r="A169" s="3">
        <v>170</v>
      </c>
      <c r="B169" s="3"/>
      <c r="C169" s="3"/>
      <c r="D169" s="3"/>
      <c r="E169" s="3"/>
      <c r="F169" s="3"/>
      <c r="G169" s="3"/>
    </row>
    <row r="170" spans="1:7" x14ac:dyDescent="0.15">
      <c r="A170" s="3">
        <v>171</v>
      </c>
      <c r="B170" s="3"/>
      <c r="C170" s="3"/>
      <c r="D170" s="3"/>
      <c r="E170" s="3"/>
      <c r="F170" s="3"/>
      <c r="G170" s="3"/>
    </row>
    <row r="171" spans="1:7" x14ac:dyDescent="0.15">
      <c r="A171" s="3">
        <v>172</v>
      </c>
      <c r="B171" s="3"/>
      <c r="C171" s="3"/>
      <c r="D171" s="3"/>
      <c r="E171" s="3"/>
      <c r="F171" s="3"/>
      <c r="G171" s="3"/>
    </row>
    <row r="172" spans="1:7" x14ac:dyDescent="0.15">
      <c r="A172" s="3">
        <v>173</v>
      </c>
      <c r="B172" s="3"/>
      <c r="C172" s="3"/>
      <c r="D172" s="3"/>
      <c r="E172" s="3"/>
      <c r="F172" s="3"/>
      <c r="G172" s="3"/>
    </row>
    <row r="173" spans="1:7" x14ac:dyDescent="0.15">
      <c r="A173" s="3">
        <v>174</v>
      </c>
      <c r="B173" s="3"/>
      <c r="C173" s="3"/>
      <c r="D173" s="3"/>
      <c r="E173" s="3"/>
      <c r="F173" s="3"/>
      <c r="G173" s="3"/>
    </row>
    <row r="174" spans="1:7" x14ac:dyDescent="0.15">
      <c r="A174" s="3">
        <v>175</v>
      </c>
      <c r="B174" s="3"/>
      <c r="C174" s="3"/>
      <c r="D174" s="3"/>
      <c r="E174" s="3"/>
      <c r="F174" s="3"/>
      <c r="G174" s="3"/>
    </row>
    <row r="175" spans="1:7" x14ac:dyDescent="0.15">
      <c r="A175" s="3">
        <v>176</v>
      </c>
      <c r="B175" s="3"/>
      <c r="C175" s="3"/>
      <c r="D175" s="3"/>
      <c r="E175" s="3"/>
      <c r="F175" s="3"/>
      <c r="G175" s="3"/>
    </row>
    <row r="176" spans="1:7" x14ac:dyDescent="0.15">
      <c r="A176" s="3">
        <v>177</v>
      </c>
      <c r="B176" s="3"/>
      <c r="C176" s="3"/>
      <c r="D176" s="3"/>
      <c r="E176" s="3"/>
      <c r="F176" s="3"/>
      <c r="G176" s="3"/>
    </row>
    <row r="177" spans="1:7" x14ac:dyDescent="0.15">
      <c r="A177" s="3">
        <v>178</v>
      </c>
      <c r="B177" s="3"/>
      <c r="C177" s="3"/>
      <c r="D177" s="3"/>
      <c r="E177" s="3"/>
      <c r="F177" s="3"/>
      <c r="G177" s="3"/>
    </row>
    <row r="178" spans="1:7" x14ac:dyDescent="0.15">
      <c r="A178" s="3">
        <v>179</v>
      </c>
      <c r="B178" s="3"/>
      <c r="C178" s="3"/>
      <c r="D178" s="3"/>
      <c r="E178" s="3"/>
      <c r="F178" s="3"/>
      <c r="G178" s="3"/>
    </row>
    <row r="179" spans="1:7" x14ac:dyDescent="0.15">
      <c r="A179" s="3">
        <v>180</v>
      </c>
      <c r="B179" s="3"/>
      <c r="C179" s="3"/>
      <c r="D179" s="3"/>
      <c r="E179" s="3"/>
      <c r="F179" s="3"/>
      <c r="G179" s="3"/>
    </row>
    <row r="180" spans="1:7" x14ac:dyDescent="0.15">
      <c r="A180" s="3">
        <v>181</v>
      </c>
      <c r="B180" s="3"/>
      <c r="C180" s="3"/>
      <c r="D180" s="3"/>
      <c r="E180" s="3"/>
      <c r="F180" s="3"/>
      <c r="G180" s="3"/>
    </row>
    <row r="181" spans="1:7" x14ac:dyDescent="0.15">
      <c r="A181" s="3">
        <v>182</v>
      </c>
      <c r="B181" s="3"/>
      <c r="C181" s="3"/>
      <c r="D181" s="3"/>
      <c r="E181" s="3"/>
      <c r="F181" s="3"/>
      <c r="G181" s="3"/>
    </row>
    <row r="182" spans="1:7" x14ac:dyDescent="0.15">
      <c r="A182" s="3">
        <v>183</v>
      </c>
      <c r="B182" s="3"/>
      <c r="C182" s="3"/>
      <c r="D182" s="3"/>
      <c r="E182" s="3"/>
      <c r="F182" s="3"/>
      <c r="G182" s="3"/>
    </row>
    <row r="183" spans="1:7" x14ac:dyDescent="0.15">
      <c r="A183" s="3">
        <v>184</v>
      </c>
      <c r="B183" s="3"/>
      <c r="C183" s="3"/>
      <c r="D183" s="3"/>
      <c r="E183" s="3"/>
      <c r="F183" s="3"/>
      <c r="G183" s="3"/>
    </row>
    <row r="184" spans="1:7" x14ac:dyDescent="0.15">
      <c r="A184" s="3">
        <v>185</v>
      </c>
      <c r="B184" s="3"/>
      <c r="C184" s="3"/>
      <c r="D184" s="3"/>
      <c r="E184" s="3"/>
      <c r="F184" s="3"/>
      <c r="G184" s="3"/>
    </row>
    <row r="185" spans="1:7" x14ac:dyDescent="0.15">
      <c r="A185" s="3">
        <v>186</v>
      </c>
      <c r="B185" s="3"/>
      <c r="C185" s="3"/>
      <c r="D185" s="3"/>
      <c r="E185" s="3"/>
      <c r="F185" s="3"/>
      <c r="G185" s="3"/>
    </row>
    <row r="186" spans="1:7" x14ac:dyDescent="0.15">
      <c r="A186" s="3">
        <v>187</v>
      </c>
      <c r="B186" s="3"/>
      <c r="C186" s="3"/>
      <c r="D186" s="3"/>
      <c r="E186" s="3"/>
      <c r="F186" s="3"/>
      <c r="G186" s="3"/>
    </row>
    <row r="187" spans="1:7" x14ac:dyDescent="0.15">
      <c r="A187" s="3">
        <v>188</v>
      </c>
      <c r="B187" s="3"/>
      <c r="C187" s="3"/>
      <c r="D187" s="3"/>
      <c r="E187" s="3"/>
      <c r="F187" s="3"/>
      <c r="G187" s="3"/>
    </row>
    <row r="188" spans="1:7" x14ac:dyDescent="0.15">
      <c r="A188" s="3">
        <v>189</v>
      </c>
      <c r="B188" s="3"/>
      <c r="C188" s="3"/>
      <c r="D188" s="3"/>
      <c r="E188" s="3"/>
      <c r="F188" s="3"/>
      <c r="G188" s="3"/>
    </row>
    <row r="189" spans="1:7" x14ac:dyDescent="0.15">
      <c r="A189" s="3">
        <v>190</v>
      </c>
      <c r="B189" s="3"/>
      <c r="C189" s="3"/>
      <c r="D189" s="3"/>
      <c r="E189" s="3"/>
      <c r="F189" s="3"/>
      <c r="G189" s="3"/>
    </row>
    <row r="190" spans="1:7" x14ac:dyDescent="0.15">
      <c r="A190" s="3">
        <v>191</v>
      </c>
      <c r="B190" s="3"/>
      <c r="C190" s="3"/>
      <c r="D190" s="3"/>
      <c r="E190" s="3"/>
      <c r="F190" s="3"/>
      <c r="G190" s="3"/>
    </row>
    <row r="191" spans="1:7" x14ac:dyDescent="0.15">
      <c r="A191" s="3">
        <v>192</v>
      </c>
      <c r="B191" s="3"/>
      <c r="C191" s="3"/>
      <c r="D191" s="3"/>
      <c r="E191" s="3"/>
      <c r="F191" s="3"/>
      <c r="G191" s="3"/>
    </row>
    <row r="192" spans="1:7" x14ac:dyDescent="0.15">
      <c r="A192" s="3">
        <v>193</v>
      </c>
      <c r="B192" s="3"/>
      <c r="C192" s="3"/>
      <c r="D192" s="3"/>
      <c r="E192" s="3"/>
      <c r="F192" s="3"/>
      <c r="G192" s="3"/>
    </row>
    <row r="193" spans="1:7" x14ac:dyDescent="0.15">
      <c r="A193" s="3">
        <v>194</v>
      </c>
      <c r="B193" s="3"/>
      <c r="C193" s="3"/>
      <c r="D193" s="3"/>
      <c r="E193" s="3"/>
      <c r="F193" s="3"/>
      <c r="G193" s="3"/>
    </row>
    <row r="194" spans="1:7" x14ac:dyDescent="0.15">
      <c r="A194" s="3">
        <v>195</v>
      </c>
      <c r="B194" s="3"/>
      <c r="C194" s="3"/>
      <c r="D194" s="3"/>
      <c r="E194" s="3"/>
      <c r="F194" s="3"/>
      <c r="G194" s="3"/>
    </row>
    <row r="195" spans="1:7" x14ac:dyDescent="0.15">
      <c r="A195" s="3">
        <v>196</v>
      </c>
      <c r="B195" s="3"/>
      <c r="C195" s="3"/>
      <c r="D195" s="3"/>
      <c r="E195" s="3"/>
      <c r="F195" s="3"/>
      <c r="G195" s="3"/>
    </row>
    <row r="196" spans="1:7" x14ac:dyDescent="0.15">
      <c r="A196" s="3">
        <v>197</v>
      </c>
      <c r="B196" s="3"/>
      <c r="C196" s="3"/>
      <c r="D196" s="3"/>
      <c r="E196" s="3"/>
      <c r="F196" s="3"/>
      <c r="G196" s="3"/>
    </row>
    <row r="197" spans="1:7" x14ac:dyDescent="0.15">
      <c r="A197" s="3">
        <v>198</v>
      </c>
      <c r="B197" s="3"/>
      <c r="C197" s="3"/>
      <c r="D197" s="3"/>
      <c r="E197" s="3"/>
      <c r="F197" s="3"/>
      <c r="G197" s="3"/>
    </row>
    <row r="198" spans="1:7" x14ac:dyDescent="0.15">
      <c r="A198" s="3">
        <v>199</v>
      </c>
      <c r="B198" s="3"/>
      <c r="C198" s="3"/>
      <c r="D198" s="3"/>
      <c r="E198" s="3"/>
      <c r="F198" s="3"/>
      <c r="G198" s="3"/>
    </row>
    <row r="199" spans="1:7" x14ac:dyDescent="0.15">
      <c r="A199" s="3">
        <v>200</v>
      </c>
      <c r="B199" s="3"/>
      <c r="C199" s="3"/>
      <c r="D199" s="3"/>
      <c r="E199" s="3"/>
      <c r="F199" s="3"/>
      <c r="G199" s="3"/>
    </row>
    <row r="200" spans="1:7" x14ac:dyDescent="0.15">
      <c r="A200" s="3">
        <v>201</v>
      </c>
      <c r="B200" s="3"/>
      <c r="C200" s="3"/>
      <c r="D200" s="3"/>
      <c r="E200" s="3"/>
      <c r="F200" s="3"/>
      <c r="G200" s="3"/>
    </row>
    <row r="201" spans="1:7" x14ac:dyDescent="0.15">
      <c r="A201" s="3">
        <v>202</v>
      </c>
      <c r="B201" s="3"/>
      <c r="C201" s="3"/>
      <c r="D201" s="3"/>
      <c r="E201" s="3"/>
      <c r="F201" s="3"/>
      <c r="G201" s="3"/>
    </row>
    <row r="202" spans="1:7" x14ac:dyDescent="0.15">
      <c r="A202" s="3">
        <v>203</v>
      </c>
      <c r="B202" s="3"/>
      <c r="C202" s="3"/>
      <c r="D202" s="3"/>
      <c r="E202" s="3"/>
      <c r="F202" s="3"/>
      <c r="G202" s="3"/>
    </row>
    <row r="203" spans="1:7" x14ac:dyDescent="0.15">
      <c r="A203" s="3">
        <v>204</v>
      </c>
      <c r="B203" s="3"/>
      <c r="C203" s="3"/>
      <c r="D203" s="3"/>
      <c r="E203" s="3"/>
      <c r="F203" s="3"/>
      <c r="G203" s="3"/>
    </row>
    <row r="204" spans="1:7" x14ac:dyDescent="0.15">
      <c r="A204" s="3">
        <v>205</v>
      </c>
      <c r="B204" s="3"/>
      <c r="C204" s="3"/>
      <c r="D204" s="3"/>
      <c r="E204" s="3"/>
      <c r="F204" s="3"/>
      <c r="G204" s="3"/>
    </row>
    <row r="205" spans="1:7" x14ac:dyDescent="0.15">
      <c r="A205" s="3">
        <v>206</v>
      </c>
      <c r="B205" s="3"/>
      <c r="C205" s="3"/>
      <c r="D205" s="3"/>
      <c r="E205" s="3"/>
      <c r="F205" s="3"/>
      <c r="G205" s="3"/>
    </row>
    <row r="206" spans="1:7" x14ac:dyDescent="0.15">
      <c r="A206" s="3">
        <v>207</v>
      </c>
      <c r="B206" s="3"/>
      <c r="C206" s="3"/>
      <c r="D206" s="3"/>
      <c r="E206" s="3"/>
      <c r="F206" s="3"/>
      <c r="G206" s="3"/>
    </row>
    <row r="207" spans="1:7" x14ac:dyDescent="0.15">
      <c r="A207" s="3">
        <v>208</v>
      </c>
      <c r="B207" s="3"/>
      <c r="C207" s="3"/>
      <c r="D207" s="3"/>
      <c r="E207" s="3"/>
      <c r="F207" s="3"/>
      <c r="G207" s="3"/>
    </row>
    <row r="208" spans="1:7" x14ac:dyDescent="0.15">
      <c r="A208" s="3">
        <v>209</v>
      </c>
      <c r="B208" s="3"/>
      <c r="C208" s="3"/>
      <c r="D208" s="3"/>
      <c r="E208" s="3"/>
      <c r="F208" s="3"/>
      <c r="G208" s="3"/>
    </row>
    <row r="209" spans="1:7" x14ac:dyDescent="0.15">
      <c r="A209" s="3">
        <v>210</v>
      </c>
      <c r="B209" s="3"/>
      <c r="C209" s="3"/>
      <c r="D209" s="3"/>
      <c r="E209" s="3"/>
      <c r="F209" s="3"/>
      <c r="G209" s="3"/>
    </row>
    <row r="210" spans="1:7" x14ac:dyDescent="0.15">
      <c r="A210" s="3">
        <v>211</v>
      </c>
      <c r="B210" s="3"/>
      <c r="C210" s="3"/>
      <c r="D210" s="3"/>
      <c r="E210" s="3"/>
      <c r="F210" s="3"/>
      <c r="G210" s="3"/>
    </row>
    <row r="211" spans="1:7" x14ac:dyDescent="0.15">
      <c r="A211" s="3">
        <v>212</v>
      </c>
      <c r="B211" s="3"/>
      <c r="C211" s="3"/>
      <c r="D211" s="3"/>
      <c r="E211" s="3"/>
      <c r="F211" s="3"/>
      <c r="G211" s="3"/>
    </row>
    <row r="212" spans="1:7" x14ac:dyDescent="0.15">
      <c r="A212" s="3">
        <v>213</v>
      </c>
      <c r="B212" s="3"/>
      <c r="C212" s="3"/>
      <c r="D212" s="3"/>
      <c r="E212" s="3"/>
      <c r="F212" s="3"/>
      <c r="G212" s="3"/>
    </row>
    <row r="213" spans="1:7" x14ac:dyDescent="0.15">
      <c r="A213" s="3">
        <v>214</v>
      </c>
      <c r="B213" s="3"/>
      <c r="C213" s="3"/>
      <c r="D213" s="3"/>
      <c r="E213" s="3"/>
      <c r="F213" s="3"/>
      <c r="G213" s="3"/>
    </row>
    <row r="214" spans="1:7" x14ac:dyDescent="0.15">
      <c r="A214" s="3">
        <v>215</v>
      </c>
      <c r="B214" s="3"/>
      <c r="C214" s="3"/>
      <c r="D214" s="3"/>
      <c r="E214" s="3"/>
      <c r="F214" s="3"/>
      <c r="G214" s="3"/>
    </row>
    <row r="215" spans="1:7" x14ac:dyDescent="0.15">
      <c r="A215" s="3">
        <v>216</v>
      </c>
      <c r="B215" s="3"/>
      <c r="C215" s="3"/>
      <c r="D215" s="3"/>
      <c r="E215" s="3"/>
      <c r="F215" s="3"/>
      <c r="G215" s="3"/>
    </row>
    <row r="216" spans="1:7" x14ac:dyDescent="0.15">
      <c r="A216" s="3">
        <v>217</v>
      </c>
      <c r="B216" s="3"/>
      <c r="C216" s="3"/>
      <c r="D216" s="3"/>
      <c r="E216" s="3"/>
      <c r="F216" s="3"/>
      <c r="G216" s="3"/>
    </row>
    <row r="217" spans="1:7" x14ac:dyDescent="0.15">
      <c r="A217" s="3">
        <v>218</v>
      </c>
      <c r="B217" s="3"/>
      <c r="C217" s="3"/>
      <c r="D217" s="3"/>
      <c r="E217" s="3"/>
      <c r="F217" s="3"/>
      <c r="G217" s="3"/>
    </row>
    <row r="218" spans="1:7" x14ac:dyDescent="0.15">
      <c r="A218" s="3">
        <v>219</v>
      </c>
      <c r="B218" s="3"/>
      <c r="C218" s="3"/>
      <c r="D218" s="3"/>
      <c r="E218" s="3"/>
      <c r="F218" s="3"/>
      <c r="G218" s="3"/>
    </row>
    <row r="219" spans="1:7" x14ac:dyDescent="0.15">
      <c r="A219" s="3">
        <v>220</v>
      </c>
      <c r="B219" s="3"/>
      <c r="C219" s="3"/>
      <c r="D219" s="3"/>
      <c r="E219" s="3"/>
      <c r="F219" s="3"/>
      <c r="G219" s="3"/>
    </row>
    <row r="220" spans="1:7" x14ac:dyDescent="0.15">
      <c r="A220" s="3">
        <v>221</v>
      </c>
      <c r="B220" s="3"/>
      <c r="C220" s="3"/>
      <c r="D220" s="3"/>
      <c r="E220" s="3"/>
      <c r="F220" s="3"/>
      <c r="G220" s="3"/>
    </row>
    <row r="221" spans="1:7" x14ac:dyDescent="0.15">
      <c r="A221" s="3">
        <v>222</v>
      </c>
      <c r="B221" s="3"/>
      <c r="C221" s="3"/>
      <c r="D221" s="3"/>
      <c r="E221" s="3"/>
      <c r="F221" s="3"/>
      <c r="G221" s="3"/>
    </row>
    <row r="222" spans="1:7" x14ac:dyDescent="0.15">
      <c r="A222" s="3">
        <v>223</v>
      </c>
      <c r="B222" s="3"/>
      <c r="C222" s="3"/>
      <c r="D222" s="3"/>
      <c r="E222" s="3"/>
      <c r="F222" s="3"/>
      <c r="G222" s="3"/>
    </row>
    <row r="223" spans="1:7" x14ac:dyDescent="0.15">
      <c r="A223" s="3">
        <v>224</v>
      </c>
      <c r="B223" s="3"/>
      <c r="C223" s="3"/>
      <c r="D223" s="3"/>
      <c r="E223" s="3"/>
      <c r="F223" s="3"/>
      <c r="G223" s="3"/>
    </row>
    <row r="224" spans="1:7" x14ac:dyDescent="0.15">
      <c r="A224" s="3">
        <v>225</v>
      </c>
      <c r="B224" s="3"/>
      <c r="C224" s="3"/>
      <c r="D224" s="3"/>
      <c r="E224" s="3"/>
      <c r="F224" s="3"/>
      <c r="G224" s="3"/>
    </row>
    <row r="225" spans="1:7" x14ac:dyDescent="0.15">
      <c r="A225" s="3">
        <v>226</v>
      </c>
      <c r="B225" s="3"/>
      <c r="C225" s="3"/>
      <c r="D225" s="3"/>
      <c r="E225" s="3"/>
      <c r="F225" s="3"/>
      <c r="G225" s="3"/>
    </row>
    <row r="226" spans="1:7" x14ac:dyDescent="0.15">
      <c r="A226" s="3">
        <v>227</v>
      </c>
      <c r="B226" s="3"/>
      <c r="C226" s="3"/>
      <c r="D226" s="3"/>
      <c r="E226" s="3"/>
      <c r="F226" s="3"/>
      <c r="G226" s="3"/>
    </row>
    <row r="227" spans="1:7" x14ac:dyDescent="0.15">
      <c r="A227" s="3">
        <v>228</v>
      </c>
      <c r="B227" s="3"/>
      <c r="C227" s="3"/>
      <c r="D227" s="3"/>
      <c r="E227" s="3"/>
      <c r="F227" s="3"/>
      <c r="G227" s="3"/>
    </row>
    <row r="228" spans="1:7" x14ac:dyDescent="0.15">
      <c r="A228" s="3">
        <v>229</v>
      </c>
      <c r="B228" s="3"/>
      <c r="C228" s="3"/>
      <c r="D228" s="3"/>
      <c r="E228" s="3"/>
      <c r="F228" s="3"/>
      <c r="G228" s="3"/>
    </row>
    <row r="229" spans="1:7" x14ac:dyDescent="0.15">
      <c r="A229" s="3">
        <v>230</v>
      </c>
      <c r="B229" s="3"/>
      <c r="C229" s="3"/>
      <c r="D229" s="3"/>
      <c r="E229" s="3"/>
      <c r="F229" s="3"/>
      <c r="G229" s="3"/>
    </row>
    <row r="230" spans="1:7" x14ac:dyDescent="0.15">
      <c r="A230" s="3">
        <v>231</v>
      </c>
      <c r="B230" s="3"/>
      <c r="C230" s="3"/>
      <c r="D230" s="3"/>
      <c r="E230" s="3"/>
      <c r="F230" s="3"/>
      <c r="G230" s="3"/>
    </row>
    <row r="231" spans="1:7" x14ac:dyDescent="0.15">
      <c r="A231" s="3">
        <v>232</v>
      </c>
      <c r="B231" s="3"/>
      <c r="C231" s="3"/>
      <c r="D231" s="3"/>
      <c r="E231" s="3"/>
      <c r="F231" s="3"/>
      <c r="G231" s="3"/>
    </row>
    <row r="232" spans="1:7" x14ac:dyDescent="0.15">
      <c r="A232" s="3">
        <v>233</v>
      </c>
      <c r="B232" s="3"/>
      <c r="C232" s="3"/>
      <c r="D232" s="3"/>
      <c r="E232" s="3"/>
      <c r="F232" s="3"/>
      <c r="G232" s="3"/>
    </row>
    <row r="233" spans="1:7" x14ac:dyDescent="0.15">
      <c r="A233" s="3">
        <v>234</v>
      </c>
      <c r="B233" s="3"/>
      <c r="C233" s="3"/>
      <c r="D233" s="3"/>
      <c r="E233" s="3"/>
      <c r="F233" s="3"/>
      <c r="G233" s="3"/>
    </row>
    <row r="234" spans="1:7" x14ac:dyDescent="0.15">
      <c r="A234" s="3">
        <v>235</v>
      </c>
      <c r="B234" s="3"/>
      <c r="C234" s="3"/>
      <c r="D234" s="3"/>
      <c r="E234" s="3"/>
      <c r="F234" s="3"/>
      <c r="G234" s="3"/>
    </row>
    <row r="235" spans="1:7" x14ac:dyDescent="0.15">
      <c r="A235" s="3">
        <v>236</v>
      </c>
      <c r="B235" s="3"/>
      <c r="C235" s="3"/>
      <c r="D235" s="3"/>
      <c r="E235" s="3"/>
      <c r="F235" s="3"/>
      <c r="G235" s="3"/>
    </row>
    <row r="236" spans="1:7" x14ac:dyDescent="0.15">
      <c r="A236" s="3">
        <v>237</v>
      </c>
      <c r="B236" s="3"/>
      <c r="C236" s="3"/>
      <c r="D236" s="3"/>
      <c r="E236" s="3"/>
      <c r="F236" s="3"/>
      <c r="G236" s="3"/>
    </row>
    <row r="237" spans="1:7" x14ac:dyDescent="0.15">
      <c r="A237" s="3">
        <v>238</v>
      </c>
      <c r="B237" s="3"/>
      <c r="C237" s="3"/>
      <c r="D237" s="3"/>
      <c r="E237" s="3"/>
      <c r="F237" s="3"/>
      <c r="G237" s="3"/>
    </row>
    <row r="238" spans="1:7" x14ac:dyDescent="0.15">
      <c r="A238" s="3">
        <v>239</v>
      </c>
      <c r="B238" s="3"/>
      <c r="C238" s="3"/>
      <c r="D238" s="3"/>
      <c r="E238" s="3"/>
      <c r="F238" s="3"/>
      <c r="G238" s="3"/>
    </row>
    <row r="239" spans="1:7" x14ac:dyDescent="0.15">
      <c r="A239" s="3">
        <v>240</v>
      </c>
      <c r="B239" s="3"/>
      <c r="C239" s="3"/>
      <c r="D239" s="3"/>
      <c r="E239" s="3"/>
      <c r="F239" s="3"/>
      <c r="G239" s="3"/>
    </row>
    <row r="240" spans="1:7" x14ac:dyDescent="0.15">
      <c r="A240" s="3">
        <v>241</v>
      </c>
      <c r="B240" s="3"/>
      <c r="C240" s="3"/>
      <c r="D240" s="3"/>
      <c r="E240" s="3"/>
      <c r="F240" s="3"/>
      <c r="G240" s="3"/>
    </row>
    <row r="241" spans="1:7" x14ac:dyDescent="0.15">
      <c r="A241" s="3">
        <v>242</v>
      </c>
      <c r="B241" s="3"/>
      <c r="C241" s="3"/>
      <c r="D241" s="3"/>
      <c r="E241" s="3"/>
      <c r="F241" s="3"/>
      <c r="G241" s="3"/>
    </row>
    <row r="242" spans="1:7" x14ac:dyDescent="0.15">
      <c r="A242" s="3">
        <v>243</v>
      </c>
      <c r="B242" s="3"/>
      <c r="C242" s="3"/>
      <c r="D242" s="3"/>
      <c r="E242" s="3"/>
      <c r="F242" s="3"/>
      <c r="G242" s="3"/>
    </row>
    <row r="243" spans="1:7" x14ac:dyDescent="0.15">
      <c r="A243" s="3">
        <v>244</v>
      </c>
      <c r="B243" s="3"/>
      <c r="C243" s="3"/>
      <c r="D243" s="3"/>
      <c r="E243" s="3"/>
      <c r="F243" s="3"/>
      <c r="G243" s="3"/>
    </row>
    <row r="244" spans="1:7" x14ac:dyDescent="0.15">
      <c r="A244" s="3">
        <v>245</v>
      </c>
      <c r="B244" s="3"/>
      <c r="C244" s="3"/>
      <c r="D244" s="3"/>
      <c r="E244" s="3"/>
      <c r="F244" s="3"/>
      <c r="G244" s="3"/>
    </row>
    <row r="245" spans="1:7" x14ac:dyDescent="0.15">
      <c r="A245" s="3">
        <v>246</v>
      </c>
      <c r="B245" s="3"/>
      <c r="C245" s="3"/>
      <c r="D245" s="3"/>
      <c r="E245" s="3"/>
      <c r="F245" s="3"/>
      <c r="G245" s="3"/>
    </row>
    <row r="246" spans="1:7" x14ac:dyDescent="0.15">
      <c r="A246" s="3">
        <v>247</v>
      </c>
      <c r="B246" s="3"/>
      <c r="C246" s="3"/>
      <c r="D246" s="3"/>
      <c r="E246" s="3"/>
      <c r="F246" s="3"/>
      <c r="G246" s="3"/>
    </row>
    <row r="247" spans="1:7" x14ac:dyDescent="0.15">
      <c r="A247" s="3">
        <v>248</v>
      </c>
      <c r="B247" s="3"/>
      <c r="C247" s="3"/>
      <c r="D247" s="3"/>
      <c r="E247" s="3"/>
      <c r="F247" s="3"/>
      <c r="G247" s="3"/>
    </row>
    <row r="248" spans="1:7" x14ac:dyDescent="0.15">
      <c r="A248" s="3">
        <v>249</v>
      </c>
      <c r="B248" s="3"/>
      <c r="C248" s="3"/>
      <c r="D248" s="3"/>
      <c r="E248" s="3"/>
      <c r="F248" s="3"/>
      <c r="G248" s="3"/>
    </row>
    <row r="249" spans="1:7" x14ac:dyDescent="0.15">
      <c r="A249" s="3">
        <v>250</v>
      </c>
      <c r="B249" s="3"/>
      <c r="C249" s="3"/>
      <c r="D249" s="3"/>
      <c r="E249" s="3"/>
      <c r="F249" s="3"/>
      <c r="G249" s="3"/>
    </row>
    <row r="250" spans="1:7" x14ac:dyDescent="0.15">
      <c r="A250" s="3">
        <v>251</v>
      </c>
      <c r="B250" s="3"/>
      <c r="C250" s="3"/>
      <c r="D250" s="3"/>
      <c r="E250" s="3"/>
      <c r="F250" s="3"/>
      <c r="G250" s="3"/>
    </row>
    <row r="251" spans="1:7" x14ac:dyDescent="0.15">
      <c r="A251" s="3">
        <v>252</v>
      </c>
      <c r="B251" s="3"/>
      <c r="C251" s="3"/>
      <c r="D251" s="3"/>
      <c r="E251" s="3"/>
      <c r="F251" s="3"/>
      <c r="G251" s="3"/>
    </row>
    <row r="252" spans="1:7" x14ac:dyDescent="0.15">
      <c r="A252" s="3">
        <v>253</v>
      </c>
      <c r="B252" s="3"/>
      <c r="C252" s="3"/>
      <c r="D252" s="3"/>
      <c r="E252" s="3"/>
      <c r="F252" s="3"/>
      <c r="G252" s="3"/>
    </row>
    <row r="253" spans="1:7" x14ac:dyDescent="0.15">
      <c r="A253" s="3">
        <v>254</v>
      </c>
      <c r="B253" s="3"/>
      <c r="C253" s="3"/>
      <c r="D253" s="3"/>
      <c r="E253" s="3"/>
      <c r="F253" s="3"/>
      <c r="G253" s="3"/>
    </row>
    <row r="254" spans="1:7" x14ac:dyDescent="0.15">
      <c r="A254" s="3">
        <v>255</v>
      </c>
      <c r="B254" s="3"/>
      <c r="C254" s="3"/>
      <c r="D254" s="3"/>
      <c r="E254" s="3"/>
      <c r="F254" s="3"/>
      <c r="G254" s="3"/>
    </row>
    <row r="255" spans="1:7" x14ac:dyDescent="0.15">
      <c r="A255" s="3">
        <v>256</v>
      </c>
      <c r="B255" s="3"/>
      <c r="C255" s="3"/>
      <c r="D255" s="3"/>
      <c r="E255" s="3"/>
      <c r="F255" s="3"/>
      <c r="G255" s="3"/>
    </row>
    <row r="256" spans="1:7" x14ac:dyDescent="0.15">
      <c r="A256" s="3">
        <v>257</v>
      </c>
      <c r="B256" s="3"/>
      <c r="C256" s="3"/>
      <c r="D256" s="3"/>
      <c r="E256" s="3"/>
      <c r="F256" s="3"/>
      <c r="G256" s="3"/>
    </row>
    <row r="257" spans="1:7" x14ac:dyDescent="0.15">
      <c r="A257" s="3">
        <v>258</v>
      </c>
      <c r="B257" s="3"/>
      <c r="C257" s="3"/>
      <c r="D257" s="3"/>
      <c r="E257" s="3"/>
      <c r="F257" s="3"/>
      <c r="G257" s="3"/>
    </row>
    <row r="258" spans="1:7" x14ac:dyDescent="0.15">
      <c r="A258" s="3">
        <v>259</v>
      </c>
      <c r="B258" s="3"/>
      <c r="C258" s="3"/>
      <c r="D258" s="3"/>
      <c r="E258" s="3"/>
      <c r="F258" s="3"/>
      <c r="G258" s="3"/>
    </row>
    <row r="259" spans="1:7" x14ac:dyDescent="0.15">
      <c r="A259" s="3">
        <v>260</v>
      </c>
      <c r="B259" s="3"/>
      <c r="C259" s="3"/>
      <c r="D259" s="3"/>
      <c r="E259" s="3"/>
      <c r="F259" s="3"/>
      <c r="G259" s="3"/>
    </row>
    <row r="260" spans="1:7" x14ac:dyDescent="0.15">
      <c r="A260" s="3">
        <v>261</v>
      </c>
      <c r="B260" s="3"/>
      <c r="C260" s="3"/>
      <c r="D260" s="3"/>
      <c r="E260" s="3"/>
      <c r="F260" s="3"/>
      <c r="G260" s="3"/>
    </row>
    <row r="261" spans="1:7" x14ac:dyDescent="0.15">
      <c r="A261" s="3">
        <v>262</v>
      </c>
      <c r="B261" s="3"/>
      <c r="C261" s="3"/>
      <c r="D261" s="3"/>
      <c r="E261" s="3"/>
      <c r="F261" s="3"/>
      <c r="G261" s="3"/>
    </row>
    <row r="262" spans="1:7" x14ac:dyDescent="0.15">
      <c r="A262" s="3">
        <v>263</v>
      </c>
      <c r="B262" s="3"/>
      <c r="C262" s="3"/>
      <c r="D262" s="3"/>
      <c r="E262" s="3"/>
      <c r="F262" s="3"/>
      <c r="G262" s="3"/>
    </row>
    <row r="263" spans="1:7" x14ac:dyDescent="0.15">
      <c r="A263" s="3">
        <v>264</v>
      </c>
      <c r="B263" s="3"/>
      <c r="C263" s="3"/>
      <c r="D263" s="3"/>
      <c r="E263" s="3"/>
      <c r="F263" s="3"/>
      <c r="G263" s="3"/>
    </row>
    <row r="264" spans="1:7" x14ac:dyDescent="0.15">
      <c r="A264" s="3">
        <v>265</v>
      </c>
      <c r="B264" s="3"/>
      <c r="C264" s="3"/>
      <c r="D264" s="3"/>
      <c r="E264" s="3"/>
      <c r="F264" s="3"/>
      <c r="G264" s="3"/>
    </row>
    <row r="265" spans="1:7" x14ac:dyDescent="0.15">
      <c r="A265" s="3">
        <v>266</v>
      </c>
      <c r="B265" s="3"/>
      <c r="C265" s="3"/>
      <c r="D265" s="3"/>
      <c r="E265" s="3"/>
      <c r="F265" s="3"/>
      <c r="G265" s="3"/>
    </row>
    <row r="266" spans="1:7" x14ac:dyDescent="0.15">
      <c r="A266" s="3">
        <v>267</v>
      </c>
      <c r="B266" s="3"/>
      <c r="C266" s="3"/>
      <c r="D266" s="3"/>
      <c r="E266" s="3"/>
      <c r="F266" s="3"/>
      <c r="G266" s="3"/>
    </row>
    <row r="267" spans="1:7" x14ac:dyDescent="0.15">
      <c r="A267" s="3">
        <v>268</v>
      </c>
      <c r="B267" s="3"/>
      <c r="C267" s="3"/>
      <c r="D267" s="3"/>
      <c r="E267" s="3"/>
      <c r="F267" s="3"/>
      <c r="G267" s="3"/>
    </row>
    <row r="268" spans="1:7" x14ac:dyDescent="0.15">
      <c r="A268" s="3">
        <v>269</v>
      </c>
      <c r="B268" s="3"/>
      <c r="C268" s="3"/>
      <c r="D268" s="3"/>
      <c r="E268" s="3"/>
      <c r="F268" s="3"/>
      <c r="G268" s="3"/>
    </row>
    <row r="269" spans="1:7" x14ac:dyDescent="0.15">
      <c r="A269" s="3">
        <v>270</v>
      </c>
      <c r="B269" s="3"/>
      <c r="C269" s="3"/>
      <c r="D269" s="3"/>
      <c r="E269" s="3"/>
      <c r="F269" s="3"/>
      <c r="G269" s="3"/>
    </row>
    <row r="270" spans="1:7" x14ac:dyDescent="0.15">
      <c r="A270" s="3">
        <v>271</v>
      </c>
      <c r="B270" s="3"/>
      <c r="C270" s="3"/>
      <c r="D270" s="3"/>
      <c r="E270" s="3"/>
      <c r="F270" s="3"/>
      <c r="G270" s="3"/>
    </row>
    <row r="271" spans="1:7" x14ac:dyDescent="0.15">
      <c r="A271" s="3">
        <v>272</v>
      </c>
      <c r="B271" s="3"/>
      <c r="C271" s="3"/>
      <c r="D271" s="3"/>
      <c r="E271" s="3"/>
      <c r="F271" s="3"/>
      <c r="G271" s="3"/>
    </row>
    <row r="272" spans="1:7" x14ac:dyDescent="0.15">
      <c r="A272" s="3">
        <v>273</v>
      </c>
      <c r="B272" s="3"/>
      <c r="C272" s="3"/>
      <c r="D272" s="3"/>
      <c r="E272" s="3"/>
      <c r="F272" s="3"/>
      <c r="G272" s="3"/>
    </row>
    <row r="273" spans="1:7" x14ac:dyDescent="0.15">
      <c r="A273" s="3">
        <v>274</v>
      </c>
      <c r="B273" s="3"/>
      <c r="C273" s="3"/>
      <c r="D273" s="3"/>
      <c r="E273" s="3"/>
      <c r="F273" s="3"/>
      <c r="G273" s="3"/>
    </row>
    <row r="274" spans="1:7" x14ac:dyDescent="0.15">
      <c r="A274" s="3">
        <v>275</v>
      </c>
      <c r="B274" s="3"/>
      <c r="C274" s="3"/>
      <c r="D274" s="3"/>
      <c r="E274" s="3"/>
      <c r="F274" s="3"/>
      <c r="G274" s="3"/>
    </row>
    <row r="275" spans="1:7" x14ac:dyDescent="0.15">
      <c r="A275" s="3">
        <v>276</v>
      </c>
      <c r="B275" s="3"/>
      <c r="C275" s="3"/>
      <c r="D275" s="3"/>
      <c r="E275" s="3"/>
      <c r="F275" s="3"/>
      <c r="G275" s="3"/>
    </row>
    <row r="276" spans="1:7" x14ac:dyDescent="0.15">
      <c r="A276" s="3">
        <v>277</v>
      </c>
      <c r="B276" s="3"/>
      <c r="C276" s="3"/>
      <c r="D276" s="3"/>
      <c r="E276" s="3"/>
      <c r="F276" s="3"/>
      <c r="G276" s="3"/>
    </row>
    <row r="277" spans="1:7" x14ac:dyDescent="0.15">
      <c r="A277" s="3">
        <v>278</v>
      </c>
      <c r="B277" s="3"/>
      <c r="C277" s="3"/>
      <c r="D277" s="3"/>
      <c r="E277" s="3"/>
      <c r="F277" s="3"/>
      <c r="G277" s="3"/>
    </row>
    <row r="278" spans="1:7" x14ac:dyDescent="0.15">
      <c r="A278" s="3">
        <v>279</v>
      </c>
      <c r="B278" s="3"/>
      <c r="C278" s="3"/>
      <c r="D278" s="3"/>
      <c r="E278" s="3"/>
      <c r="F278" s="3"/>
      <c r="G278" s="3"/>
    </row>
    <row r="279" spans="1:7" x14ac:dyDescent="0.15">
      <c r="A279" s="3">
        <v>280</v>
      </c>
      <c r="B279" s="3"/>
      <c r="C279" s="3"/>
      <c r="D279" s="3"/>
      <c r="E279" s="3"/>
      <c r="F279" s="3"/>
      <c r="G279" s="3"/>
    </row>
    <row r="280" spans="1:7" x14ac:dyDescent="0.15">
      <c r="A280" s="3">
        <v>281</v>
      </c>
      <c r="B280" s="3"/>
      <c r="C280" s="3"/>
      <c r="D280" s="3"/>
      <c r="E280" s="3"/>
      <c r="F280" s="3"/>
      <c r="G280" s="3"/>
    </row>
    <row r="281" spans="1:7" x14ac:dyDescent="0.15">
      <c r="A281" s="3">
        <v>282</v>
      </c>
      <c r="B281" s="3"/>
      <c r="C281" s="3"/>
      <c r="D281" s="3"/>
      <c r="E281" s="3"/>
      <c r="F281" s="3"/>
      <c r="G281" s="3"/>
    </row>
    <row r="282" spans="1:7" x14ac:dyDescent="0.15">
      <c r="A282" s="3">
        <v>283</v>
      </c>
      <c r="B282" s="3"/>
      <c r="C282" s="3"/>
      <c r="D282" s="3"/>
      <c r="E282" s="3"/>
      <c r="F282" s="3"/>
      <c r="G282" s="3"/>
    </row>
    <row r="283" spans="1:7" x14ac:dyDescent="0.15">
      <c r="A283" s="3">
        <v>284</v>
      </c>
      <c r="B283" s="3"/>
      <c r="C283" s="3"/>
      <c r="D283" s="3"/>
      <c r="E283" s="3"/>
      <c r="F283" s="3"/>
      <c r="G283" s="3"/>
    </row>
    <row r="284" spans="1:7" x14ac:dyDescent="0.15">
      <c r="A284" s="3">
        <v>285</v>
      </c>
      <c r="B284" s="3"/>
      <c r="C284" s="3"/>
      <c r="D284" s="3"/>
      <c r="E284" s="3"/>
      <c r="F284" s="3"/>
      <c r="G284" s="3"/>
    </row>
    <row r="285" spans="1:7" x14ac:dyDescent="0.15">
      <c r="A285" s="3">
        <v>286</v>
      </c>
      <c r="B285" s="3"/>
      <c r="C285" s="3"/>
      <c r="D285" s="3"/>
      <c r="E285" s="3"/>
      <c r="F285" s="3"/>
      <c r="G285" s="3"/>
    </row>
    <row r="286" spans="1:7" x14ac:dyDescent="0.15">
      <c r="A286" s="3">
        <v>287</v>
      </c>
      <c r="B286" s="3"/>
      <c r="C286" s="3"/>
      <c r="D286" s="3"/>
      <c r="E286" s="3"/>
      <c r="F286" s="3"/>
      <c r="G286" s="3"/>
    </row>
    <row r="287" spans="1:7" x14ac:dyDescent="0.15">
      <c r="A287" s="3">
        <v>288</v>
      </c>
      <c r="B287" s="3"/>
      <c r="C287" s="3"/>
      <c r="D287" s="3"/>
      <c r="E287" s="3"/>
      <c r="F287" s="3"/>
      <c r="G287" s="3"/>
    </row>
    <row r="288" spans="1:7" x14ac:dyDescent="0.15">
      <c r="A288" s="3">
        <v>289</v>
      </c>
      <c r="B288" s="3"/>
      <c r="C288" s="3"/>
      <c r="D288" s="3"/>
      <c r="E288" s="3"/>
      <c r="F288" s="3"/>
      <c r="G288" s="3"/>
    </row>
    <row r="289" spans="1:7" x14ac:dyDescent="0.15">
      <c r="A289" s="3">
        <v>290</v>
      </c>
      <c r="B289" s="3"/>
      <c r="C289" s="3"/>
      <c r="D289" s="3"/>
      <c r="E289" s="3"/>
      <c r="F289" s="3"/>
      <c r="G289" s="3"/>
    </row>
    <row r="290" spans="1:7" x14ac:dyDescent="0.15">
      <c r="A290" s="3">
        <v>291</v>
      </c>
      <c r="B290" s="3"/>
      <c r="C290" s="3"/>
      <c r="D290" s="3"/>
      <c r="E290" s="3"/>
      <c r="F290" s="3"/>
      <c r="G290" s="3"/>
    </row>
    <row r="291" spans="1:7" x14ac:dyDescent="0.15">
      <c r="A291" s="3">
        <v>292</v>
      </c>
      <c r="B291" s="3"/>
      <c r="C291" s="3"/>
      <c r="D291" s="3"/>
      <c r="E291" s="3"/>
      <c r="F291" s="3"/>
      <c r="G291" s="3"/>
    </row>
    <row r="292" spans="1:7" x14ac:dyDescent="0.15">
      <c r="A292" s="3">
        <v>293</v>
      </c>
      <c r="B292" s="3"/>
      <c r="C292" s="3"/>
      <c r="D292" s="3"/>
      <c r="E292" s="3"/>
      <c r="F292" s="3"/>
      <c r="G292" s="3"/>
    </row>
    <row r="293" spans="1:7" x14ac:dyDescent="0.15">
      <c r="A293" s="3">
        <v>294</v>
      </c>
      <c r="B293" s="3"/>
      <c r="C293" s="3"/>
      <c r="D293" s="3"/>
      <c r="E293" s="3"/>
      <c r="F293" s="3"/>
      <c r="G293" s="3"/>
    </row>
    <row r="294" spans="1:7" x14ac:dyDescent="0.15">
      <c r="A294" s="3">
        <v>295</v>
      </c>
      <c r="B294" s="3"/>
      <c r="C294" s="3"/>
      <c r="D294" s="3"/>
      <c r="E294" s="3"/>
      <c r="F294" s="3"/>
      <c r="G294" s="3"/>
    </row>
    <row r="295" spans="1:7" x14ac:dyDescent="0.15">
      <c r="A295" s="3">
        <v>296</v>
      </c>
      <c r="B295" s="3"/>
      <c r="C295" s="3"/>
      <c r="D295" s="3"/>
      <c r="E295" s="3"/>
      <c r="F295" s="3"/>
      <c r="G295" s="3"/>
    </row>
    <row r="296" spans="1:7" x14ac:dyDescent="0.15">
      <c r="A296" s="3">
        <v>297</v>
      </c>
      <c r="B296" s="3"/>
      <c r="C296" s="3"/>
      <c r="D296" s="3"/>
      <c r="E296" s="3"/>
      <c r="F296" s="3"/>
      <c r="G296" s="3"/>
    </row>
    <row r="297" spans="1:7" x14ac:dyDescent="0.15">
      <c r="A297" s="3">
        <v>298</v>
      </c>
      <c r="B297" s="3"/>
      <c r="C297" s="3"/>
      <c r="D297" s="3"/>
      <c r="E297" s="3"/>
      <c r="F297" s="3"/>
      <c r="G297" s="3"/>
    </row>
    <row r="298" spans="1:7" x14ac:dyDescent="0.15">
      <c r="A298" s="3">
        <v>299</v>
      </c>
      <c r="B298" s="3"/>
      <c r="C298" s="3"/>
      <c r="D298" s="3"/>
      <c r="E298" s="3"/>
      <c r="F298" s="3"/>
      <c r="G298" s="3"/>
    </row>
    <row r="299" spans="1:7" x14ac:dyDescent="0.15">
      <c r="A299" s="3">
        <v>300</v>
      </c>
      <c r="B299" s="3"/>
      <c r="C299" s="3"/>
      <c r="D299" s="3"/>
      <c r="E299" s="3"/>
      <c r="F299" s="3"/>
      <c r="G299" s="3"/>
    </row>
    <row r="300" spans="1:7" x14ac:dyDescent="0.15">
      <c r="A300" s="3">
        <v>301</v>
      </c>
      <c r="B300" s="3"/>
      <c r="C300" s="3"/>
      <c r="D300" s="3"/>
      <c r="E300" s="3"/>
      <c r="F300" s="3"/>
      <c r="G300" s="3"/>
    </row>
    <row r="301" spans="1:7" x14ac:dyDescent="0.15">
      <c r="A301" s="3">
        <v>302</v>
      </c>
      <c r="B301" s="3"/>
      <c r="C301" s="3"/>
      <c r="D301" s="3"/>
      <c r="E301" s="3"/>
      <c r="F301" s="3"/>
      <c r="G301" s="3"/>
    </row>
    <row r="302" spans="1:7" x14ac:dyDescent="0.15">
      <c r="A302" s="3">
        <v>303</v>
      </c>
      <c r="B302" s="3"/>
      <c r="C302" s="3"/>
      <c r="D302" s="3"/>
      <c r="E302" s="3"/>
      <c r="F302" s="3"/>
      <c r="G302" s="3"/>
    </row>
    <row r="303" spans="1:7" x14ac:dyDescent="0.15">
      <c r="A303" s="3">
        <v>304</v>
      </c>
      <c r="B303" s="3"/>
      <c r="C303" s="3"/>
      <c r="D303" s="3"/>
      <c r="E303" s="3"/>
      <c r="F303" s="3"/>
      <c r="G303" s="3"/>
    </row>
    <row r="304" spans="1:7" x14ac:dyDescent="0.15">
      <c r="A304" s="3">
        <v>305</v>
      </c>
      <c r="B304" s="3"/>
      <c r="C304" s="3"/>
      <c r="D304" s="3"/>
      <c r="E304" s="3"/>
      <c r="F304" s="3"/>
      <c r="G304" s="3"/>
    </row>
    <row r="305" spans="1:7" x14ac:dyDescent="0.15">
      <c r="A305" s="3">
        <v>306</v>
      </c>
      <c r="B305" s="3"/>
      <c r="C305" s="3"/>
      <c r="D305" s="3"/>
      <c r="E305" s="3"/>
      <c r="F305" s="3"/>
      <c r="G305" s="3"/>
    </row>
    <row r="306" spans="1:7" x14ac:dyDescent="0.15">
      <c r="A306" s="3">
        <v>307</v>
      </c>
      <c r="B306" s="3"/>
      <c r="C306" s="3"/>
      <c r="D306" s="3"/>
      <c r="E306" s="3"/>
      <c r="F306" s="3"/>
      <c r="G306" s="3"/>
    </row>
    <row r="307" spans="1:7" x14ac:dyDescent="0.15">
      <c r="A307" s="3">
        <v>308</v>
      </c>
      <c r="B307" s="3"/>
      <c r="C307" s="3"/>
      <c r="D307" s="3"/>
      <c r="E307" s="3"/>
      <c r="F307" s="3"/>
      <c r="G307" s="3"/>
    </row>
    <row r="308" spans="1:7" x14ac:dyDescent="0.15">
      <c r="A308" s="3">
        <v>309</v>
      </c>
      <c r="B308" s="3"/>
      <c r="C308" s="3"/>
      <c r="D308" s="3"/>
      <c r="E308" s="3"/>
      <c r="F308" s="3"/>
      <c r="G308" s="3"/>
    </row>
    <row r="309" spans="1:7" x14ac:dyDescent="0.15">
      <c r="A309" s="3">
        <v>310</v>
      </c>
      <c r="B309" s="3"/>
      <c r="C309" s="3"/>
      <c r="D309" s="3"/>
      <c r="E309" s="3"/>
      <c r="F309" s="3"/>
      <c r="G309" s="3"/>
    </row>
    <row r="310" spans="1:7" x14ac:dyDescent="0.15">
      <c r="A310" s="3">
        <v>311</v>
      </c>
      <c r="B310" s="3"/>
      <c r="C310" s="3"/>
      <c r="D310" s="3"/>
      <c r="E310" s="3"/>
      <c r="F310" s="3"/>
      <c r="G310" s="3"/>
    </row>
    <row r="311" spans="1:7" x14ac:dyDescent="0.15">
      <c r="A311" s="3">
        <v>312</v>
      </c>
      <c r="B311" s="3"/>
      <c r="C311" s="3"/>
      <c r="D311" s="3"/>
      <c r="E311" s="3"/>
      <c r="F311" s="3"/>
      <c r="G311" s="3"/>
    </row>
    <row r="312" spans="1:7" x14ac:dyDescent="0.15">
      <c r="A312" s="3">
        <v>313</v>
      </c>
      <c r="B312" s="3"/>
      <c r="C312" s="3"/>
      <c r="D312" s="3"/>
      <c r="E312" s="3"/>
      <c r="F312" s="3"/>
      <c r="G312" s="3"/>
    </row>
    <row r="313" spans="1:7" x14ac:dyDescent="0.15">
      <c r="A313" s="3">
        <v>314</v>
      </c>
      <c r="B313" s="3"/>
      <c r="C313" s="3"/>
      <c r="D313" s="3"/>
      <c r="E313" s="3"/>
      <c r="F313" s="3"/>
      <c r="G313" s="3"/>
    </row>
    <row r="314" spans="1:7" x14ac:dyDescent="0.15">
      <c r="A314" s="3">
        <v>315</v>
      </c>
      <c r="B314" s="3"/>
      <c r="C314" s="3"/>
      <c r="D314" s="3"/>
      <c r="E314" s="3"/>
      <c r="F314" s="3"/>
      <c r="G314" s="3"/>
    </row>
    <row r="315" spans="1:7" x14ac:dyDescent="0.15">
      <c r="A315" s="3">
        <v>316</v>
      </c>
      <c r="B315" s="3"/>
      <c r="C315" s="3"/>
      <c r="D315" s="3"/>
      <c r="E315" s="3"/>
      <c r="F315" s="3"/>
      <c r="G315" s="3"/>
    </row>
    <row r="316" spans="1:7" x14ac:dyDescent="0.15">
      <c r="A316" s="3">
        <v>317</v>
      </c>
      <c r="B316" s="3"/>
      <c r="C316" s="3"/>
      <c r="D316" s="3"/>
      <c r="E316" s="3"/>
      <c r="F316" s="3"/>
      <c r="G316" s="3"/>
    </row>
    <row r="317" spans="1:7" x14ac:dyDescent="0.15">
      <c r="A317" s="3">
        <v>318</v>
      </c>
      <c r="B317" s="3"/>
      <c r="C317" s="3"/>
      <c r="D317" s="3"/>
      <c r="E317" s="3"/>
      <c r="F317" s="3"/>
      <c r="G317" s="3"/>
    </row>
    <row r="318" spans="1:7" x14ac:dyDescent="0.15">
      <c r="A318" s="3">
        <v>319</v>
      </c>
      <c r="B318" s="3"/>
      <c r="C318" s="3"/>
      <c r="D318" s="3"/>
      <c r="E318" s="3"/>
      <c r="F318" s="3"/>
      <c r="G318" s="3"/>
    </row>
    <row r="319" spans="1:7" x14ac:dyDescent="0.15">
      <c r="A319" s="3">
        <v>320</v>
      </c>
      <c r="B319" s="3"/>
      <c r="C319" s="3"/>
      <c r="D319" s="3"/>
      <c r="E319" s="3"/>
      <c r="F319" s="3"/>
      <c r="G319" s="3"/>
    </row>
    <row r="320" spans="1:7" x14ac:dyDescent="0.15">
      <c r="A320" s="3">
        <v>321</v>
      </c>
      <c r="B320" s="3"/>
      <c r="C320" s="3"/>
      <c r="D320" s="3"/>
      <c r="E320" s="3"/>
      <c r="F320" s="3"/>
      <c r="G320" s="3"/>
    </row>
    <row r="321" spans="1:7" x14ac:dyDescent="0.15">
      <c r="A321" s="3">
        <v>322</v>
      </c>
      <c r="B321" s="3"/>
      <c r="C321" s="3"/>
      <c r="D321" s="3"/>
      <c r="E321" s="3"/>
      <c r="F321" s="3"/>
      <c r="G321" s="3"/>
    </row>
    <row r="322" spans="1:7" x14ac:dyDescent="0.15">
      <c r="A322" s="3">
        <v>323</v>
      </c>
      <c r="B322" s="3"/>
      <c r="C322" s="3"/>
      <c r="D322" s="3"/>
      <c r="E322" s="3"/>
      <c r="F322" s="3"/>
      <c r="G322" s="3"/>
    </row>
    <row r="323" spans="1:7" x14ac:dyDescent="0.15">
      <c r="A323" s="3">
        <v>324</v>
      </c>
      <c r="B323" s="3"/>
      <c r="C323" s="3"/>
      <c r="D323" s="3"/>
      <c r="E323" s="3"/>
      <c r="F323" s="3"/>
      <c r="G323" s="3"/>
    </row>
    <row r="324" spans="1:7" x14ac:dyDescent="0.15">
      <c r="A324" s="3">
        <v>325</v>
      </c>
      <c r="B324" s="3"/>
      <c r="C324" s="3"/>
      <c r="D324" s="3"/>
      <c r="E324" s="3"/>
      <c r="F324" s="3"/>
      <c r="G324" s="3"/>
    </row>
    <row r="325" spans="1:7" x14ac:dyDescent="0.15">
      <c r="A325" s="3">
        <v>326</v>
      </c>
      <c r="B325" s="3"/>
      <c r="C325" s="3"/>
      <c r="D325" s="3"/>
      <c r="E325" s="3"/>
      <c r="F325" s="3"/>
      <c r="G325" s="3"/>
    </row>
    <row r="326" spans="1:7" x14ac:dyDescent="0.15">
      <c r="A326" s="3">
        <v>327</v>
      </c>
      <c r="B326" s="3"/>
      <c r="C326" s="3"/>
      <c r="D326" s="3"/>
      <c r="E326" s="3"/>
      <c r="F326" s="3"/>
      <c r="G326" s="3"/>
    </row>
    <row r="327" spans="1:7" x14ac:dyDescent="0.15">
      <c r="A327" s="3">
        <v>328</v>
      </c>
      <c r="B327" s="3"/>
      <c r="C327" s="3"/>
      <c r="D327" s="3"/>
      <c r="E327" s="3"/>
      <c r="F327" s="3"/>
      <c r="G327" s="3"/>
    </row>
    <row r="328" spans="1:7" x14ac:dyDescent="0.15">
      <c r="A328" s="3">
        <v>329</v>
      </c>
      <c r="B328" s="3"/>
      <c r="C328" s="3"/>
      <c r="D328" s="3"/>
      <c r="E328" s="3"/>
      <c r="F328" s="3"/>
      <c r="G328" s="3"/>
    </row>
    <row r="329" spans="1:7" x14ac:dyDescent="0.15">
      <c r="A329" s="3">
        <v>330</v>
      </c>
      <c r="B329" s="3"/>
      <c r="C329" s="3"/>
      <c r="D329" s="3"/>
      <c r="E329" s="3"/>
      <c r="F329" s="3"/>
      <c r="G329" s="3"/>
    </row>
    <row r="330" spans="1:7" x14ac:dyDescent="0.15">
      <c r="A330" s="3">
        <v>331</v>
      </c>
      <c r="B330" s="3"/>
      <c r="C330" s="3"/>
      <c r="D330" s="3"/>
      <c r="E330" s="3"/>
      <c r="F330" s="3"/>
      <c r="G330" s="3"/>
    </row>
    <row r="331" spans="1:7" x14ac:dyDescent="0.15">
      <c r="A331" s="3">
        <v>332</v>
      </c>
      <c r="B331" s="3"/>
      <c r="C331" s="3"/>
      <c r="D331" s="3"/>
      <c r="E331" s="3"/>
      <c r="F331" s="3"/>
      <c r="G331" s="3"/>
    </row>
    <row r="332" spans="1:7" x14ac:dyDescent="0.15">
      <c r="A332" s="3">
        <v>333</v>
      </c>
      <c r="B332" s="3"/>
      <c r="C332" s="3"/>
      <c r="D332" s="3"/>
      <c r="E332" s="3"/>
      <c r="F332" s="3"/>
      <c r="G332" s="3"/>
    </row>
    <row r="333" spans="1:7" x14ac:dyDescent="0.15">
      <c r="A333" s="3">
        <v>334</v>
      </c>
      <c r="B333" s="3"/>
      <c r="C333" s="3"/>
      <c r="D333" s="3"/>
      <c r="E333" s="3"/>
      <c r="F333" s="3"/>
      <c r="G333" s="3"/>
    </row>
    <row r="334" spans="1:7" x14ac:dyDescent="0.15">
      <c r="A334" s="3">
        <v>335</v>
      </c>
      <c r="B334" s="3"/>
      <c r="C334" s="3"/>
      <c r="D334" s="3"/>
      <c r="E334" s="3"/>
      <c r="F334" s="3"/>
      <c r="G334" s="3"/>
    </row>
    <row r="335" spans="1:7" x14ac:dyDescent="0.15">
      <c r="A335" s="3">
        <v>336</v>
      </c>
      <c r="B335" s="3"/>
      <c r="C335" s="3"/>
      <c r="D335" s="3"/>
      <c r="E335" s="3"/>
      <c r="F335" s="3"/>
      <c r="G335" s="3"/>
    </row>
    <row r="336" spans="1:7" x14ac:dyDescent="0.15">
      <c r="A336" s="3">
        <v>337</v>
      </c>
      <c r="B336" s="3"/>
      <c r="C336" s="3"/>
      <c r="D336" s="3"/>
      <c r="E336" s="3"/>
      <c r="F336" s="3"/>
      <c r="G336" s="3"/>
    </row>
    <row r="337" spans="1:7" x14ac:dyDescent="0.15">
      <c r="A337" s="3">
        <v>338</v>
      </c>
      <c r="B337" s="3"/>
      <c r="C337" s="3"/>
      <c r="D337" s="3"/>
      <c r="E337" s="3"/>
      <c r="F337" s="3"/>
      <c r="G337" s="3"/>
    </row>
    <row r="338" spans="1:7" x14ac:dyDescent="0.15">
      <c r="A338" s="3">
        <v>339</v>
      </c>
      <c r="B338" s="3"/>
      <c r="C338" s="3"/>
      <c r="D338" s="3"/>
      <c r="E338" s="3"/>
      <c r="F338" s="3"/>
      <c r="G338" s="3"/>
    </row>
    <row r="339" spans="1:7" x14ac:dyDescent="0.15">
      <c r="A339" s="3">
        <v>340</v>
      </c>
      <c r="B339" s="3"/>
      <c r="C339" s="3"/>
      <c r="D339" s="3"/>
      <c r="E339" s="3"/>
      <c r="F339" s="3"/>
      <c r="G339" s="3"/>
    </row>
    <row r="340" spans="1:7" x14ac:dyDescent="0.15">
      <c r="A340" s="3">
        <v>341</v>
      </c>
      <c r="B340" s="3"/>
      <c r="C340" s="3"/>
      <c r="D340" s="3"/>
      <c r="E340" s="3"/>
      <c r="F340" s="3"/>
      <c r="G340" s="3"/>
    </row>
    <row r="341" spans="1:7" x14ac:dyDescent="0.15">
      <c r="A341" s="3">
        <v>342</v>
      </c>
      <c r="B341" s="3"/>
      <c r="C341" s="3"/>
      <c r="D341" s="3"/>
      <c r="E341" s="3"/>
      <c r="F341" s="3"/>
      <c r="G341" s="3"/>
    </row>
    <row r="342" spans="1:7" x14ac:dyDescent="0.15">
      <c r="A342" s="3">
        <v>343</v>
      </c>
      <c r="B342" s="3"/>
      <c r="C342" s="3"/>
      <c r="D342" s="3"/>
      <c r="E342" s="3"/>
      <c r="F342" s="3"/>
      <c r="G342" s="3"/>
    </row>
    <row r="343" spans="1:7" x14ac:dyDescent="0.15">
      <c r="A343" s="3">
        <v>344</v>
      </c>
      <c r="B343" s="3"/>
      <c r="C343" s="3"/>
      <c r="D343" s="3"/>
      <c r="E343" s="3"/>
      <c r="F343" s="3"/>
      <c r="G343" s="3"/>
    </row>
    <row r="344" spans="1:7" x14ac:dyDescent="0.15">
      <c r="A344" s="3">
        <v>345</v>
      </c>
      <c r="B344" s="3"/>
      <c r="C344" s="3"/>
      <c r="D344" s="3"/>
      <c r="E344" s="3"/>
      <c r="F344" s="3"/>
      <c r="G344" s="3"/>
    </row>
    <row r="345" spans="1:7" x14ac:dyDescent="0.15">
      <c r="A345" s="3">
        <v>346</v>
      </c>
      <c r="B345" s="3"/>
      <c r="C345" s="3"/>
      <c r="D345" s="3"/>
      <c r="E345" s="3"/>
      <c r="F345" s="3"/>
      <c r="G345" s="3"/>
    </row>
    <row r="346" spans="1:7" x14ac:dyDescent="0.15">
      <c r="A346" s="3">
        <v>347</v>
      </c>
      <c r="B346" s="3"/>
      <c r="C346" s="3"/>
      <c r="D346" s="3"/>
      <c r="E346" s="3"/>
      <c r="F346" s="3"/>
      <c r="G346" s="3"/>
    </row>
    <row r="347" spans="1:7" x14ac:dyDescent="0.15">
      <c r="A347" s="3">
        <v>348</v>
      </c>
      <c r="B347" s="3"/>
      <c r="C347" s="3"/>
      <c r="D347" s="3"/>
      <c r="E347" s="3"/>
      <c r="F347" s="3"/>
      <c r="G347" s="3"/>
    </row>
    <row r="348" spans="1:7" x14ac:dyDescent="0.15">
      <c r="A348" s="3">
        <v>349</v>
      </c>
      <c r="B348" s="3"/>
      <c r="C348" s="3"/>
      <c r="D348" s="3"/>
      <c r="E348" s="3"/>
      <c r="F348" s="3"/>
      <c r="G348" s="3"/>
    </row>
    <row r="349" spans="1:7" x14ac:dyDescent="0.15">
      <c r="A349" s="3">
        <v>350</v>
      </c>
      <c r="B349" s="3"/>
      <c r="C349" s="3"/>
      <c r="D349" s="3"/>
      <c r="E349" s="3"/>
      <c r="F349" s="3"/>
      <c r="G349" s="3"/>
    </row>
    <row r="350" spans="1:7" x14ac:dyDescent="0.15">
      <c r="A350" s="3">
        <v>351</v>
      </c>
      <c r="B350" s="3"/>
      <c r="C350" s="3"/>
      <c r="D350" s="3"/>
      <c r="E350" s="3"/>
      <c r="F350" s="3"/>
      <c r="G350" s="3"/>
    </row>
    <row r="351" spans="1:7" x14ac:dyDescent="0.15">
      <c r="A351" s="3">
        <v>352</v>
      </c>
      <c r="B351" s="3"/>
      <c r="C351" s="3"/>
      <c r="D351" s="3"/>
      <c r="E351" s="3"/>
      <c r="F351" s="3"/>
      <c r="G351" s="3"/>
    </row>
    <row r="352" spans="1:7" x14ac:dyDescent="0.15">
      <c r="A352" s="3">
        <v>353</v>
      </c>
      <c r="B352" s="3"/>
      <c r="C352" s="3"/>
      <c r="D352" s="3"/>
      <c r="E352" s="3"/>
      <c r="F352" s="3"/>
      <c r="G352" s="3"/>
    </row>
    <row r="353" spans="1:7" x14ac:dyDescent="0.15">
      <c r="A353" s="3">
        <v>354</v>
      </c>
      <c r="B353" s="3"/>
      <c r="C353" s="3"/>
      <c r="D353" s="3"/>
      <c r="E353" s="3"/>
      <c r="F353" s="3"/>
      <c r="G353" s="3"/>
    </row>
    <row r="354" spans="1:7" x14ac:dyDescent="0.15">
      <c r="A354" s="3">
        <v>355</v>
      </c>
      <c r="B354" s="3"/>
      <c r="C354" s="3"/>
      <c r="D354" s="3"/>
      <c r="E354" s="3"/>
      <c r="F354" s="3"/>
      <c r="G354" s="3"/>
    </row>
    <row r="355" spans="1:7" x14ac:dyDescent="0.15">
      <c r="A355" s="3">
        <v>356</v>
      </c>
      <c r="B355" s="3"/>
      <c r="C355" s="3"/>
      <c r="D355" s="3"/>
      <c r="E355" s="3"/>
      <c r="F355" s="3"/>
      <c r="G355" s="3"/>
    </row>
    <row r="356" spans="1:7" x14ac:dyDescent="0.15">
      <c r="A356" s="3">
        <v>357</v>
      </c>
      <c r="B356" s="3"/>
      <c r="C356" s="3"/>
      <c r="D356" s="3"/>
      <c r="E356" s="3"/>
      <c r="F356" s="3"/>
      <c r="G356" s="3"/>
    </row>
    <row r="357" spans="1:7" x14ac:dyDescent="0.15">
      <c r="A357" s="3">
        <v>358</v>
      </c>
      <c r="B357" s="3"/>
      <c r="C357" s="3"/>
      <c r="D357" s="3"/>
      <c r="E357" s="3"/>
      <c r="F357" s="3"/>
      <c r="G357" s="3"/>
    </row>
    <row r="358" spans="1:7" x14ac:dyDescent="0.15">
      <c r="A358" s="3">
        <v>359</v>
      </c>
      <c r="B358" s="3"/>
      <c r="C358" s="3"/>
      <c r="D358" s="3"/>
      <c r="E358" s="3"/>
      <c r="F358" s="3"/>
      <c r="G358" s="3"/>
    </row>
    <row r="359" spans="1:7" x14ac:dyDescent="0.15">
      <c r="A359" s="3">
        <v>360</v>
      </c>
      <c r="B359" s="3"/>
      <c r="C359" s="3"/>
      <c r="D359" s="3"/>
      <c r="E359" s="3"/>
      <c r="F359" s="3"/>
      <c r="G359" s="3"/>
    </row>
    <row r="360" spans="1:7" x14ac:dyDescent="0.15">
      <c r="A360" s="3">
        <v>361</v>
      </c>
      <c r="B360" s="3"/>
      <c r="C360" s="3"/>
      <c r="D360" s="3"/>
      <c r="E360" s="3"/>
      <c r="F360" s="3"/>
      <c r="G360" s="3"/>
    </row>
    <row r="361" spans="1:7" x14ac:dyDescent="0.15">
      <c r="A361" s="3">
        <v>362</v>
      </c>
      <c r="B361" s="3"/>
      <c r="C361" s="3"/>
      <c r="D361" s="3"/>
      <c r="E361" s="3"/>
      <c r="F361" s="3"/>
      <c r="G361" s="3"/>
    </row>
    <row r="362" spans="1:7" x14ac:dyDescent="0.15">
      <c r="A362" s="3">
        <v>363</v>
      </c>
      <c r="B362" s="3"/>
      <c r="C362" s="3"/>
      <c r="D362" s="3"/>
      <c r="E362" s="3"/>
      <c r="F362" s="3"/>
      <c r="G362" s="3"/>
    </row>
    <row r="363" spans="1:7" x14ac:dyDescent="0.15">
      <c r="A363" s="3">
        <v>364</v>
      </c>
      <c r="B363" s="3"/>
      <c r="C363" s="3"/>
      <c r="D363" s="3"/>
      <c r="E363" s="3"/>
      <c r="F363" s="3"/>
      <c r="G363" s="3"/>
    </row>
    <row r="364" spans="1:7" x14ac:dyDescent="0.15">
      <c r="A364" s="3">
        <v>365</v>
      </c>
      <c r="B364" s="3"/>
      <c r="C364" s="3"/>
      <c r="D364" s="3"/>
      <c r="E364" s="3"/>
      <c r="F364" s="3"/>
      <c r="G364" s="3"/>
    </row>
    <row r="365" spans="1:7" x14ac:dyDescent="0.15">
      <c r="A365" s="3">
        <v>366</v>
      </c>
      <c r="B365" s="3"/>
      <c r="C365" s="3"/>
      <c r="D365" s="3"/>
      <c r="E365" s="3"/>
      <c r="F365" s="3"/>
      <c r="G365" s="3"/>
    </row>
    <row r="366" spans="1:7" x14ac:dyDescent="0.15">
      <c r="A366" s="3">
        <v>367</v>
      </c>
      <c r="B366" s="3"/>
      <c r="C366" s="3"/>
      <c r="D366" s="3"/>
      <c r="E366" s="3"/>
      <c r="F366" s="3"/>
      <c r="G366" s="3"/>
    </row>
    <row r="367" spans="1:7" x14ac:dyDescent="0.15">
      <c r="A367" s="3">
        <v>368</v>
      </c>
      <c r="B367" s="3"/>
      <c r="C367" s="3"/>
      <c r="D367" s="3"/>
      <c r="E367" s="3"/>
      <c r="F367" s="3"/>
      <c r="G367" s="3"/>
    </row>
    <row r="368" spans="1:7" x14ac:dyDescent="0.15">
      <c r="A368" s="3">
        <v>369</v>
      </c>
      <c r="B368" s="3"/>
      <c r="C368" s="3"/>
      <c r="D368" s="3"/>
      <c r="E368" s="3"/>
      <c r="F368" s="3"/>
      <c r="G368" s="3"/>
    </row>
    <row r="369" spans="1:7" x14ac:dyDescent="0.15">
      <c r="A369" s="3">
        <v>370</v>
      </c>
      <c r="B369" s="3"/>
      <c r="C369" s="3"/>
      <c r="D369" s="3"/>
      <c r="E369" s="3"/>
      <c r="F369" s="3"/>
      <c r="G369" s="3"/>
    </row>
    <row r="370" spans="1:7" x14ac:dyDescent="0.15">
      <c r="A370" s="3">
        <v>371</v>
      </c>
      <c r="B370" s="3"/>
      <c r="C370" s="3"/>
      <c r="D370" s="3"/>
      <c r="E370" s="3"/>
      <c r="F370" s="3"/>
      <c r="G370" s="3"/>
    </row>
    <row r="371" spans="1:7" x14ac:dyDescent="0.15">
      <c r="A371" s="3">
        <v>372</v>
      </c>
      <c r="B371" s="3"/>
      <c r="C371" s="3"/>
      <c r="D371" s="3"/>
      <c r="E371" s="3"/>
      <c r="F371" s="3"/>
      <c r="G371" s="3"/>
    </row>
    <row r="372" spans="1:7" x14ac:dyDescent="0.15">
      <c r="A372" s="3">
        <v>373</v>
      </c>
      <c r="B372" s="3"/>
      <c r="C372" s="3"/>
      <c r="D372" s="3"/>
      <c r="E372" s="3"/>
      <c r="F372" s="3"/>
      <c r="G372" s="3"/>
    </row>
    <row r="373" spans="1:7" x14ac:dyDescent="0.15">
      <c r="A373" s="3">
        <v>374</v>
      </c>
      <c r="B373" s="3"/>
      <c r="C373" s="3"/>
      <c r="D373" s="3"/>
      <c r="E373" s="3"/>
      <c r="F373" s="3"/>
      <c r="G373" s="3"/>
    </row>
    <row r="374" spans="1:7" x14ac:dyDescent="0.15">
      <c r="A374" s="3">
        <v>375</v>
      </c>
      <c r="B374" s="3"/>
      <c r="C374" s="3"/>
      <c r="D374" s="3"/>
      <c r="E374" s="3"/>
      <c r="F374" s="3"/>
      <c r="G374" s="3"/>
    </row>
    <row r="375" spans="1:7" x14ac:dyDescent="0.15">
      <c r="A375" s="3">
        <v>376</v>
      </c>
      <c r="B375" s="3"/>
      <c r="C375" s="3"/>
      <c r="D375" s="3"/>
      <c r="E375" s="3"/>
      <c r="F375" s="3"/>
      <c r="G375" s="3"/>
    </row>
    <row r="376" spans="1:7" x14ac:dyDescent="0.15">
      <c r="A376" s="3">
        <v>377</v>
      </c>
      <c r="B376" s="3"/>
      <c r="C376" s="3"/>
      <c r="D376" s="3"/>
      <c r="E376" s="3"/>
      <c r="F376" s="3"/>
      <c r="G376" s="3"/>
    </row>
    <row r="377" spans="1:7" x14ac:dyDescent="0.15">
      <c r="A377" s="3">
        <v>378</v>
      </c>
      <c r="B377" s="3"/>
      <c r="C377" s="3"/>
      <c r="D377" s="3"/>
      <c r="E377" s="3"/>
      <c r="F377" s="3"/>
      <c r="G377" s="3"/>
    </row>
    <row r="378" spans="1:7" x14ac:dyDescent="0.15">
      <c r="A378" s="3">
        <v>379</v>
      </c>
      <c r="B378" s="3"/>
      <c r="C378" s="3"/>
      <c r="D378" s="3"/>
      <c r="E378" s="3"/>
      <c r="F378" s="3"/>
      <c r="G378" s="3"/>
    </row>
    <row r="379" spans="1:7" x14ac:dyDescent="0.15">
      <c r="A379" s="3">
        <v>380</v>
      </c>
      <c r="B379" s="3"/>
      <c r="C379" s="3"/>
      <c r="D379" s="3"/>
      <c r="E379" s="3"/>
      <c r="F379" s="3"/>
      <c r="G379" s="3"/>
    </row>
    <row r="380" spans="1:7" x14ac:dyDescent="0.15">
      <c r="A380" s="3">
        <v>381</v>
      </c>
      <c r="B380" s="3"/>
      <c r="C380" s="3"/>
      <c r="D380" s="3"/>
      <c r="E380" s="3"/>
      <c r="F380" s="3"/>
      <c r="G380" s="3"/>
    </row>
    <row r="381" spans="1:7" x14ac:dyDescent="0.15">
      <c r="A381" s="3">
        <v>382</v>
      </c>
      <c r="B381" s="3"/>
      <c r="C381" s="3"/>
      <c r="D381" s="3"/>
      <c r="E381" s="3"/>
      <c r="F381" s="3"/>
      <c r="G381" s="3"/>
    </row>
    <row r="382" spans="1:7" x14ac:dyDescent="0.15">
      <c r="A382" s="3">
        <v>383</v>
      </c>
      <c r="B382" s="3"/>
      <c r="C382" s="3"/>
      <c r="D382" s="3"/>
      <c r="E382" s="3"/>
      <c r="F382" s="3"/>
      <c r="G382" s="3"/>
    </row>
    <row r="383" spans="1:7" x14ac:dyDescent="0.15">
      <c r="A383" s="3">
        <v>384</v>
      </c>
      <c r="B383" s="3"/>
      <c r="C383" s="3"/>
      <c r="D383" s="3"/>
      <c r="E383" s="3"/>
      <c r="F383" s="3"/>
      <c r="G383" s="3"/>
    </row>
    <row r="384" spans="1:7" x14ac:dyDescent="0.15">
      <c r="A384" s="3">
        <v>385</v>
      </c>
      <c r="B384" s="3"/>
      <c r="C384" s="3"/>
      <c r="D384" s="3"/>
      <c r="E384" s="3"/>
      <c r="F384" s="3"/>
      <c r="G384" s="3"/>
    </row>
    <row r="385" spans="1:7" x14ac:dyDescent="0.15">
      <c r="A385" s="3">
        <v>386</v>
      </c>
      <c r="B385" s="3"/>
      <c r="C385" s="3"/>
      <c r="D385" s="3"/>
      <c r="E385" s="3"/>
      <c r="F385" s="3"/>
      <c r="G385" s="3"/>
    </row>
    <row r="386" spans="1:7" x14ac:dyDescent="0.15">
      <c r="A386" s="3">
        <v>387</v>
      </c>
      <c r="B386" s="3"/>
      <c r="C386" s="3"/>
      <c r="D386" s="3"/>
      <c r="E386" s="3"/>
      <c r="F386" s="3"/>
      <c r="G386" s="3"/>
    </row>
    <row r="387" spans="1:7" x14ac:dyDescent="0.15">
      <c r="A387" s="3">
        <v>388</v>
      </c>
      <c r="B387" s="3"/>
      <c r="C387" s="3"/>
      <c r="D387" s="3"/>
      <c r="E387" s="3"/>
      <c r="F387" s="3"/>
      <c r="G387" s="3"/>
    </row>
    <row r="388" spans="1:7" x14ac:dyDescent="0.15">
      <c r="A388" s="3">
        <v>389</v>
      </c>
      <c r="B388" s="3"/>
      <c r="C388" s="3"/>
      <c r="D388" s="3"/>
      <c r="E388" s="3"/>
      <c r="F388" s="3"/>
      <c r="G388" s="3"/>
    </row>
    <row r="389" spans="1:7" x14ac:dyDescent="0.15">
      <c r="A389" s="3">
        <v>390</v>
      </c>
      <c r="B389" s="3"/>
      <c r="C389" s="3"/>
      <c r="D389" s="3"/>
      <c r="E389" s="3"/>
      <c r="F389" s="3"/>
      <c r="G389" s="3"/>
    </row>
    <row r="390" spans="1:7" x14ac:dyDescent="0.15">
      <c r="A390" s="3">
        <v>391</v>
      </c>
      <c r="B390" s="3"/>
      <c r="C390" s="3"/>
      <c r="D390" s="3"/>
      <c r="E390" s="3"/>
      <c r="F390" s="3"/>
      <c r="G390" s="3"/>
    </row>
    <row r="391" spans="1:7" x14ac:dyDescent="0.15">
      <c r="A391" s="3">
        <v>392</v>
      </c>
      <c r="B391" s="3"/>
      <c r="C391" s="3"/>
      <c r="D391" s="3"/>
      <c r="E391" s="3"/>
      <c r="F391" s="3"/>
      <c r="G391" s="3"/>
    </row>
    <row r="392" spans="1:7" x14ac:dyDescent="0.15">
      <c r="A392" s="3">
        <v>393</v>
      </c>
      <c r="B392" s="3"/>
      <c r="C392" s="3"/>
      <c r="D392" s="3"/>
      <c r="E392" s="3"/>
      <c r="F392" s="3"/>
      <c r="G392" s="3"/>
    </row>
    <row r="393" spans="1:7" x14ac:dyDescent="0.15">
      <c r="A393" s="3">
        <v>394</v>
      </c>
      <c r="B393" s="3"/>
      <c r="C393" s="3"/>
      <c r="D393" s="3"/>
      <c r="E393" s="3"/>
      <c r="F393" s="3"/>
      <c r="G393" s="3"/>
    </row>
    <row r="394" spans="1:7" x14ac:dyDescent="0.15">
      <c r="A394" s="3">
        <v>395</v>
      </c>
      <c r="B394" s="3"/>
      <c r="C394" s="3"/>
      <c r="D394" s="3"/>
      <c r="E394" s="3"/>
      <c r="F394" s="3"/>
      <c r="G394" s="3"/>
    </row>
    <row r="395" spans="1:7" x14ac:dyDescent="0.15">
      <c r="A395" s="3">
        <v>396</v>
      </c>
      <c r="B395" s="3"/>
      <c r="C395" s="3"/>
      <c r="D395" s="3"/>
      <c r="E395" s="3"/>
      <c r="F395" s="3"/>
      <c r="G395" s="3"/>
    </row>
    <row r="396" spans="1:7" x14ac:dyDescent="0.15">
      <c r="A396" s="3">
        <v>397</v>
      </c>
      <c r="B396" s="3"/>
      <c r="C396" s="3"/>
      <c r="D396" s="3"/>
      <c r="E396" s="3"/>
      <c r="F396" s="3"/>
      <c r="G396" s="3"/>
    </row>
    <row r="397" spans="1:7" x14ac:dyDescent="0.15">
      <c r="A397" s="3">
        <v>398</v>
      </c>
      <c r="B397" s="3"/>
      <c r="C397" s="3"/>
      <c r="D397" s="3"/>
      <c r="E397" s="3"/>
      <c r="F397" s="3"/>
      <c r="G397" s="3"/>
    </row>
    <row r="398" spans="1:7" x14ac:dyDescent="0.15">
      <c r="A398" s="3">
        <v>399</v>
      </c>
      <c r="B398" s="3"/>
      <c r="C398" s="3"/>
      <c r="D398" s="3"/>
      <c r="E398" s="3"/>
      <c r="F398" s="3"/>
      <c r="G398" s="3"/>
    </row>
    <row r="399" spans="1:7" x14ac:dyDescent="0.15">
      <c r="A399" s="3">
        <v>400</v>
      </c>
      <c r="B399" s="3"/>
      <c r="C399" s="3"/>
      <c r="D399" s="3"/>
      <c r="E399" s="3"/>
      <c r="F399" s="3"/>
      <c r="G399" s="3"/>
    </row>
    <row r="400" spans="1:7" x14ac:dyDescent="0.15">
      <c r="A400" s="3">
        <v>401</v>
      </c>
      <c r="B400" s="3"/>
      <c r="C400" s="3"/>
      <c r="D400" s="3"/>
      <c r="E400" s="3"/>
      <c r="F400" s="3"/>
      <c r="G400" s="3"/>
    </row>
    <row r="401" spans="1:7" x14ac:dyDescent="0.15">
      <c r="A401" s="3">
        <v>402</v>
      </c>
      <c r="B401" s="3"/>
      <c r="C401" s="3"/>
      <c r="D401" s="3"/>
      <c r="E401" s="3"/>
      <c r="F401" s="3"/>
      <c r="G401" s="3"/>
    </row>
    <row r="402" spans="1:7" x14ac:dyDescent="0.15">
      <c r="A402" s="3">
        <v>403</v>
      </c>
      <c r="B402" s="3"/>
      <c r="C402" s="3"/>
      <c r="D402" s="3"/>
      <c r="E402" s="3"/>
      <c r="F402" s="3"/>
      <c r="G402" s="3"/>
    </row>
    <row r="403" spans="1:7" x14ac:dyDescent="0.15">
      <c r="A403" s="3">
        <v>404</v>
      </c>
      <c r="B403" s="3"/>
      <c r="C403" s="3"/>
      <c r="D403" s="3"/>
      <c r="E403" s="3"/>
      <c r="F403" s="3"/>
      <c r="G403" s="3"/>
    </row>
    <row r="404" spans="1:7" x14ac:dyDescent="0.15">
      <c r="A404" s="3">
        <v>405</v>
      </c>
      <c r="B404" s="3"/>
      <c r="C404" s="3"/>
      <c r="D404" s="3"/>
      <c r="E404" s="3"/>
      <c r="F404" s="3"/>
      <c r="G404" s="3"/>
    </row>
    <row r="405" spans="1:7" x14ac:dyDescent="0.15">
      <c r="A405" s="3">
        <v>406</v>
      </c>
      <c r="B405" s="3"/>
      <c r="C405" s="3"/>
      <c r="D405" s="3"/>
      <c r="E405" s="3"/>
      <c r="F405" s="3"/>
      <c r="G405" s="3"/>
    </row>
    <row r="406" spans="1:7" x14ac:dyDescent="0.15">
      <c r="A406" s="3">
        <v>407</v>
      </c>
      <c r="B406" s="3"/>
      <c r="C406" s="3"/>
      <c r="D406" s="3"/>
      <c r="E406" s="3"/>
      <c r="F406" s="3"/>
      <c r="G406" s="3"/>
    </row>
    <row r="407" spans="1:7" x14ac:dyDescent="0.15">
      <c r="A407" s="3">
        <v>408</v>
      </c>
      <c r="B407" s="3"/>
      <c r="C407" s="3"/>
      <c r="D407" s="3"/>
      <c r="E407" s="3"/>
      <c r="F407" s="3"/>
      <c r="G407" s="3"/>
    </row>
    <row r="408" spans="1:7" x14ac:dyDescent="0.15">
      <c r="A408" s="3">
        <v>409</v>
      </c>
      <c r="B408" s="3"/>
      <c r="C408" s="3"/>
      <c r="D408" s="3"/>
      <c r="E408" s="3"/>
      <c r="F408" s="3"/>
      <c r="G408" s="3"/>
    </row>
    <row r="409" spans="1:7" x14ac:dyDescent="0.15">
      <c r="A409" s="3">
        <v>410</v>
      </c>
      <c r="B409" s="3"/>
      <c r="C409" s="3"/>
      <c r="D409" s="3"/>
      <c r="E409" s="3"/>
      <c r="F409" s="3"/>
      <c r="G409" s="3"/>
    </row>
    <row r="410" spans="1:7" x14ac:dyDescent="0.15">
      <c r="A410" s="3">
        <v>411</v>
      </c>
      <c r="B410" s="3"/>
      <c r="C410" s="3"/>
      <c r="D410" s="3"/>
      <c r="E410" s="3"/>
      <c r="F410" s="3"/>
      <c r="G410" s="3"/>
    </row>
    <row r="411" spans="1:7" x14ac:dyDescent="0.15">
      <c r="A411" s="3">
        <v>412</v>
      </c>
      <c r="B411" s="3"/>
      <c r="C411" s="3"/>
      <c r="D411" s="3"/>
      <c r="E411" s="3"/>
      <c r="F411" s="3"/>
      <c r="G411" s="3"/>
    </row>
    <row r="412" spans="1:7" x14ac:dyDescent="0.15">
      <c r="A412" s="3">
        <v>413</v>
      </c>
      <c r="B412" s="3"/>
      <c r="C412" s="3"/>
      <c r="D412" s="3"/>
      <c r="E412" s="3"/>
      <c r="F412" s="3"/>
      <c r="G412" s="3"/>
    </row>
    <row r="413" spans="1:7" x14ac:dyDescent="0.15">
      <c r="A413" s="3">
        <v>414</v>
      </c>
      <c r="B413" s="3"/>
      <c r="C413" s="3"/>
      <c r="D413" s="3"/>
      <c r="E413" s="3"/>
      <c r="F413" s="3"/>
      <c r="G413" s="3"/>
    </row>
    <row r="414" spans="1:7" x14ac:dyDescent="0.15">
      <c r="A414" s="3">
        <v>415</v>
      </c>
      <c r="B414" s="3"/>
      <c r="C414" s="3"/>
      <c r="D414" s="3"/>
      <c r="E414" s="3"/>
      <c r="F414" s="3"/>
      <c r="G414" s="3"/>
    </row>
    <row r="415" spans="1:7" x14ac:dyDescent="0.15">
      <c r="A415" s="3">
        <v>416</v>
      </c>
      <c r="B415" s="3"/>
      <c r="C415" s="3"/>
      <c r="D415" s="3"/>
      <c r="E415" s="3"/>
      <c r="F415" s="3"/>
      <c r="G415" s="3"/>
    </row>
    <row r="416" spans="1:7" x14ac:dyDescent="0.15">
      <c r="A416" s="3">
        <v>417</v>
      </c>
      <c r="B416" s="3"/>
      <c r="C416" s="3"/>
      <c r="D416" s="3"/>
      <c r="E416" s="3"/>
      <c r="F416" s="3"/>
      <c r="G416" s="3"/>
    </row>
    <row r="417" spans="1:7" x14ac:dyDescent="0.15">
      <c r="A417" s="3">
        <v>418</v>
      </c>
      <c r="B417" s="3"/>
      <c r="C417" s="3"/>
      <c r="D417" s="3"/>
      <c r="E417" s="3"/>
      <c r="F417" s="3"/>
      <c r="G417" s="3"/>
    </row>
    <row r="418" spans="1:7" x14ac:dyDescent="0.15">
      <c r="A418" s="3">
        <v>419</v>
      </c>
      <c r="B418" s="3"/>
      <c r="C418" s="3"/>
      <c r="D418" s="3"/>
      <c r="E418" s="3"/>
      <c r="F418" s="3"/>
      <c r="G418" s="3"/>
    </row>
    <row r="419" spans="1:7" x14ac:dyDescent="0.15">
      <c r="A419" s="3">
        <v>420</v>
      </c>
      <c r="B419" s="3"/>
      <c r="C419" s="3"/>
      <c r="D419" s="3"/>
      <c r="E419" s="3"/>
      <c r="F419" s="3"/>
      <c r="G419" s="3"/>
    </row>
    <row r="420" spans="1:7" x14ac:dyDescent="0.15">
      <c r="A420" s="3">
        <v>421</v>
      </c>
      <c r="B420" s="3"/>
      <c r="C420" s="3"/>
      <c r="D420" s="3"/>
      <c r="E420" s="3"/>
      <c r="F420" s="3"/>
      <c r="G420" s="3"/>
    </row>
    <row r="421" spans="1:7" x14ac:dyDescent="0.15">
      <c r="A421" s="3">
        <v>422</v>
      </c>
      <c r="B421" s="3"/>
      <c r="C421" s="3"/>
      <c r="D421" s="3"/>
      <c r="E421" s="3"/>
      <c r="F421" s="3"/>
      <c r="G421" s="3"/>
    </row>
    <row r="422" spans="1:7" x14ac:dyDescent="0.15">
      <c r="A422" s="3">
        <v>423</v>
      </c>
      <c r="B422" s="3"/>
      <c r="C422" s="3"/>
      <c r="D422" s="3"/>
      <c r="E422" s="3"/>
      <c r="F422" s="3"/>
      <c r="G422" s="3"/>
    </row>
    <row r="423" spans="1:7" x14ac:dyDescent="0.15">
      <c r="A423" s="3">
        <v>424</v>
      </c>
      <c r="B423" s="3"/>
      <c r="C423" s="3"/>
      <c r="D423" s="3"/>
      <c r="E423" s="3"/>
      <c r="F423" s="3"/>
      <c r="G423" s="3"/>
    </row>
    <row r="424" spans="1:7" x14ac:dyDescent="0.15">
      <c r="A424" s="3">
        <v>425</v>
      </c>
      <c r="B424" s="3"/>
      <c r="C424" s="3"/>
      <c r="D424" s="3"/>
      <c r="E424" s="3"/>
      <c r="F424" s="3"/>
      <c r="G424" s="3"/>
    </row>
    <row r="425" spans="1:7" x14ac:dyDescent="0.15">
      <c r="A425" s="3">
        <v>426</v>
      </c>
      <c r="B425" s="3"/>
      <c r="C425" s="3"/>
      <c r="D425" s="3"/>
      <c r="E425" s="3"/>
      <c r="F425" s="3"/>
      <c r="G425" s="3"/>
    </row>
    <row r="426" spans="1:7" x14ac:dyDescent="0.15">
      <c r="A426" s="3">
        <v>427</v>
      </c>
      <c r="B426" s="3"/>
      <c r="C426" s="3"/>
      <c r="D426" s="3"/>
      <c r="E426" s="3"/>
      <c r="F426" s="3"/>
      <c r="G426" s="3"/>
    </row>
    <row r="427" spans="1:7" x14ac:dyDescent="0.15">
      <c r="A427" s="3">
        <v>428</v>
      </c>
      <c r="B427" s="3"/>
      <c r="C427" s="3"/>
      <c r="D427" s="3"/>
      <c r="E427" s="3"/>
      <c r="F427" s="3"/>
      <c r="G427" s="3"/>
    </row>
    <row r="428" spans="1:7" x14ac:dyDescent="0.15">
      <c r="A428" s="3">
        <v>429</v>
      </c>
      <c r="B428" s="3"/>
      <c r="C428" s="3"/>
      <c r="D428" s="3"/>
      <c r="E428" s="3"/>
      <c r="F428" s="3"/>
      <c r="G428" s="3"/>
    </row>
    <row r="429" spans="1:7" x14ac:dyDescent="0.15">
      <c r="A429" s="3">
        <v>430</v>
      </c>
      <c r="B429" s="3"/>
      <c r="C429" s="3"/>
      <c r="D429" s="3"/>
      <c r="E429" s="3"/>
      <c r="F429" s="3"/>
      <c r="G429" s="3"/>
    </row>
    <row r="430" spans="1:7" x14ac:dyDescent="0.15">
      <c r="A430" s="3">
        <v>431</v>
      </c>
      <c r="B430" s="3"/>
      <c r="C430" s="3"/>
      <c r="D430" s="3"/>
      <c r="E430" s="3"/>
      <c r="F430" s="3"/>
      <c r="G430" s="3"/>
    </row>
    <row r="431" spans="1:7" x14ac:dyDescent="0.15">
      <c r="A431" s="3">
        <v>432</v>
      </c>
      <c r="B431" s="3"/>
      <c r="C431" s="3"/>
      <c r="D431" s="3"/>
      <c r="E431" s="3"/>
      <c r="F431" s="3"/>
      <c r="G431" s="3"/>
    </row>
    <row r="432" spans="1:7" x14ac:dyDescent="0.15">
      <c r="A432" s="3">
        <v>433</v>
      </c>
      <c r="B432" s="3"/>
      <c r="C432" s="3"/>
      <c r="D432" s="3"/>
      <c r="E432" s="3"/>
      <c r="F432" s="3"/>
      <c r="G432" s="3"/>
    </row>
    <row r="433" spans="1:7" x14ac:dyDescent="0.15">
      <c r="A433" s="3">
        <v>434</v>
      </c>
      <c r="B433" s="3"/>
      <c r="C433" s="3"/>
      <c r="D433" s="3"/>
      <c r="E433" s="3"/>
      <c r="F433" s="3"/>
      <c r="G433" s="3"/>
    </row>
    <row r="434" spans="1:7" x14ac:dyDescent="0.15">
      <c r="A434" s="3">
        <v>435</v>
      </c>
      <c r="B434" s="3"/>
      <c r="C434" s="3"/>
      <c r="D434" s="3"/>
      <c r="E434" s="3"/>
      <c r="F434" s="3"/>
      <c r="G434" s="3"/>
    </row>
    <row r="435" spans="1:7" x14ac:dyDescent="0.15">
      <c r="A435" s="3">
        <v>436</v>
      </c>
      <c r="B435" s="3"/>
      <c r="C435" s="3"/>
      <c r="D435" s="3"/>
      <c r="E435" s="3"/>
      <c r="F435" s="3"/>
      <c r="G435" s="3"/>
    </row>
    <row r="436" spans="1:7" x14ac:dyDescent="0.15">
      <c r="A436" s="3">
        <v>437</v>
      </c>
      <c r="B436" s="3"/>
      <c r="C436" s="3"/>
      <c r="D436" s="3"/>
      <c r="E436" s="3"/>
      <c r="F436" s="3"/>
      <c r="G436" s="3"/>
    </row>
    <row r="437" spans="1:7" x14ac:dyDescent="0.15">
      <c r="A437" s="3">
        <v>438</v>
      </c>
      <c r="B437" s="3"/>
      <c r="C437" s="3"/>
      <c r="D437" s="3"/>
      <c r="E437" s="3"/>
      <c r="F437" s="3"/>
      <c r="G437" s="3"/>
    </row>
    <row r="438" spans="1:7" x14ac:dyDescent="0.15">
      <c r="A438" s="3">
        <v>439</v>
      </c>
      <c r="B438" s="3"/>
      <c r="C438" s="3"/>
      <c r="D438" s="3"/>
      <c r="E438" s="3"/>
      <c r="F438" s="3"/>
      <c r="G438" s="3"/>
    </row>
    <row r="439" spans="1:7" x14ac:dyDescent="0.15">
      <c r="A439" s="3">
        <v>440</v>
      </c>
      <c r="B439" s="3"/>
      <c r="C439" s="3"/>
      <c r="D439" s="3"/>
      <c r="E439" s="3"/>
      <c r="F439" s="3"/>
      <c r="G439" s="3"/>
    </row>
    <row r="440" spans="1:7" x14ac:dyDescent="0.15">
      <c r="A440" s="3">
        <v>441</v>
      </c>
      <c r="B440" s="3"/>
      <c r="C440" s="3"/>
      <c r="D440" s="3"/>
      <c r="E440" s="3"/>
      <c r="F440" s="3"/>
      <c r="G440" s="3"/>
    </row>
    <row r="441" spans="1:7" x14ac:dyDescent="0.15">
      <c r="A441" s="3">
        <v>442</v>
      </c>
      <c r="B441" s="3"/>
      <c r="C441" s="3"/>
      <c r="D441" s="3"/>
      <c r="E441" s="3"/>
      <c r="F441" s="3"/>
      <c r="G441" s="3"/>
    </row>
    <row r="442" spans="1:7" x14ac:dyDescent="0.15">
      <c r="A442" s="3">
        <v>443</v>
      </c>
      <c r="B442" s="3"/>
      <c r="C442" s="3"/>
      <c r="D442" s="3"/>
      <c r="E442" s="3"/>
      <c r="F442" s="3"/>
      <c r="G442" s="3"/>
    </row>
    <row r="443" spans="1:7" x14ac:dyDescent="0.15">
      <c r="A443" s="3">
        <v>444</v>
      </c>
      <c r="B443" s="3"/>
      <c r="C443" s="3"/>
      <c r="D443" s="3"/>
      <c r="E443" s="3"/>
      <c r="F443" s="3"/>
      <c r="G443" s="3"/>
    </row>
    <row r="444" spans="1:7" x14ac:dyDescent="0.15">
      <c r="A444" s="3">
        <v>445</v>
      </c>
      <c r="B444" s="3"/>
      <c r="C444" s="3"/>
      <c r="D444" s="3"/>
      <c r="E444" s="3"/>
      <c r="F444" s="3"/>
      <c r="G444" s="3"/>
    </row>
    <row r="445" spans="1:7" x14ac:dyDescent="0.15">
      <c r="A445" s="3">
        <v>446</v>
      </c>
      <c r="B445" s="3"/>
      <c r="C445" s="3"/>
      <c r="D445" s="3"/>
      <c r="E445" s="3"/>
      <c r="F445" s="3"/>
      <c r="G445" s="3"/>
    </row>
    <row r="446" spans="1:7" x14ac:dyDescent="0.15">
      <c r="A446" s="3">
        <v>447</v>
      </c>
      <c r="B446" s="3"/>
      <c r="C446" s="3"/>
      <c r="D446" s="3"/>
      <c r="E446" s="3"/>
      <c r="F446" s="3"/>
      <c r="G446" s="3"/>
    </row>
    <row r="447" spans="1:7" x14ac:dyDescent="0.15">
      <c r="A447" s="3">
        <v>448</v>
      </c>
      <c r="B447" s="3"/>
      <c r="C447" s="3"/>
      <c r="D447" s="3"/>
      <c r="E447" s="3"/>
      <c r="F447" s="3"/>
      <c r="G447" s="3"/>
    </row>
    <row r="448" spans="1:7" x14ac:dyDescent="0.15">
      <c r="A448" s="3">
        <v>449</v>
      </c>
      <c r="B448" s="3"/>
      <c r="C448" s="3"/>
      <c r="D448" s="3"/>
      <c r="E448" s="3"/>
      <c r="F448" s="3"/>
      <c r="G448" s="3"/>
    </row>
    <row r="449" spans="1:7" x14ac:dyDescent="0.15">
      <c r="A449" s="3">
        <v>450</v>
      </c>
      <c r="B449" s="3"/>
      <c r="C449" s="3"/>
      <c r="D449" s="3"/>
      <c r="E449" s="3"/>
      <c r="F449" s="3"/>
      <c r="G449" s="3"/>
    </row>
    <row r="450" spans="1:7" x14ac:dyDescent="0.15">
      <c r="A450" s="3">
        <v>451</v>
      </c>
      <c r="B450" s="3"/>
      <c r="C450" s="3"/>
      <c r="D450" s="3"/>
      <c r="E450" s="3"/>
      <c r="F450" s="3"/>
      <c r="G450" s="3"/>
    </row>
    <row r="451" spans="1:7" x14ac:dyDescent="0.15">
      <c r="A451" s="3">
        <v>452</v>
      </c>
      <c r="B451" s="3"/>
      <c r="C451" s="3"/>
      <c r="D451" s="3"/>
      <c r="E451" s="3"/>
      <c r="F451" s="3"/>
      <c r="G451" s="3"/>
    </row>
  </sheetData>
  <autoFilter ref="A1:G451"/>
  <phoneticPr fontId="7" type="noConversion"/>
  <dataValidations count="1">
    <dataValidation type="list" allowBlank="1" showInputMessage="1" showErrorMessage="1" sqref="D7:D37">
      <formula1>"BB/PON/PERSIT Reset,Reboot,SIM issue,MAC OS update,Attach issue,PDP failure,Replace NVM,Caliberation,IP lost,SUS special issue,GNSS paire,Log analyse,T32 debug,NEW research"</formula1>
    </dataValidation>
  </dataValidations>
  <pageMargins left="0.69930555555555596" right="0.69930555555555596" top="0.75" bottom="0.75" header="0.3" footer="0.3"/>
  <pageSetup paperSize="9" orientation="portrait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7" sqref="D17"/>
    </sheetView>
  </sheetViews>
  <sheetFormatPr defaultRowHeight="13.5" x14ac:dyDescent="0.15"/>
  <cols>
    <col min="1" max="1" width="31.125" customWidth="1"/>
    <col min="2" max="2" width="24.25" customWidth="1"/>
    <col min="3" max="3" width="17.875" customWidth="1"/>
    <col min="7" max="7" width="23.125" customWidth="1"/>
    <col min="8" max="8" width="19.125" customWidth="1"/>
  </cols>
  <sheetData>
    <row r="1" spans="1:9" ht="20.25" thickBot="1" x14ac:dyDescent="0.2">
      <c r="A1" s="27" t="s">
        <v>80</v>
      </c>
      <c r="B1" s="27" t="s">
        <v>81</v>
      </c>
      <c r="C1" s="27"/>
      <c r="D1" s="28">
        <v>0.36527777777777781</v>
      </c>
      <c r="E1" s="27">
        <v>15</v>
      </c>
      <c r="F1" s="27">
        <v>0</v>
      </c>
    </row>
    <row r="2" spans="1:9" ht="20.25" thickBot="1" x14ac:dyDescent="0.2">
      <c r="A2" s="29" t="s">
        <v>82</v>
      </c>
      <c r="B2" s="29" t="s">
        <v>81</v>
      </c>
      <c r="C2" s="29"/>
      <c r="D2" s="30">
        <v>0.35625000000000001</v>
      </c>
      <c r="E2" s="29">
        <v>13</v>
      </c>
      <c r="F2" s="29">
        <v>1</v>
      </c>
    </row>
    <row r="3" spans="1:9" ht="20.25" thickBot="1" x14ac:dyDescent="0.2">
      <c r="A3" s="29" t="s">
        <v>83</v>
      </c>
      <c r="B3" s="29" t="s">
        <v>81</v>
      </c>
      <c r="C3" s="29"/>
      <c r="D3" s="30">
        <v>0.8027777777777777</v>
      </c>
      <c r="E3" s="29">
        <v>6</v>
      </c>
      <c r="F3" s="29">
        <v>0</v>
      </c>
    </row>
    <row r="4" spans="1:9" ht="20.25" thickBot="1" x14ac:dyDescent="0.2">
      <c r="A4" s="27" t="s">
        <v>84</v>
      </c>
      <c r="B4" s="27" t="s">
        <v>81</v>
      </c>
      <c r="C4" s="27"/>
      <c r="D4" s="28">
        <v>0.37222222222222223</v>
      </c>
      <c r="E4" s="27">
        <v>12</v>
      </c>
      <c r="F4" s="27">
        <v>1</v>
      </c>
    </row>
    <row r="5" spans="1:9" ht="20.25" thickBot="1" x14ac:dyDescent="0.2">
      <c r="A5" s="27" t="s">
        <v>85</v>
      </c>
      <c r="B5" s="27" t="s">
        <v>81</v>
      </c>
      <c r="C5" s="27"/>
      <c r="D5" s="28">
        <v>0.53055555555555556</v>
      </c>
      <c r="E5" s="27">
        <v>6</v>
      </c>
      <c r="F5" s="27">
        <v>1</v>
      </c>
    </row>
    <row r="6" spans="1:9" ht="20.25" thickBot="1" x14ac:dyDescent="0.2">
      <c r="A6" s="29" t="s">
        <v>86</v>
      </c>
      <c r="B6" s="29" t="s">
        <v>81</v>
      </c>
      <c r="C6" s="29"/>
      <c r="D6" s="30">
        <v>0.48333333333333334</v>
      </c>
      <c r="E6" s="29">
        <v>8</v>
      </c>
      <c r="F6" s="29">
        <v>0</v>
      </c>
    </row>
    <row r="7" spans="1:9" ht="20.25" thickBot="1" x14ac:dyDescent="0.2">
      <c r="A7" s="33" t="s">
        <v>87</v>
      </c>
      <c r="B7" s="33" t="s">
        <v>81</v>
      </c>
      <c r="C7" s="33"/>
      <c r="D7" s="38">
        <v>0.11319444444444444</v>
      </c>
      <c r="E7" s="33">
        <v>2</v>
      </c>
      <c r="F7" s="33">
        <v>0</v>
      </c>
      <c r="G7" s="36" t="s">
        <v>91</v>
      </c>
    </row>
    <row r="8" spans="1:9" ht="20.25" thickBot="1" x14ac:dyDescent="0.2">
      <c r="A8" s="29" t="s">
        <v>88</v>
      </c>
      <c r="B8" s="29" t="s">
        <v>81</v>
      </c>
      <c r="C8" s="29"/>
      <c r="D8" s="30">
        <v>0.31805555555555554</v>
      </c>
      <c r="E8" s="29">
        <v>1</v>
      </c>
      <c r="F8" s="29">
        <v>1</v>
      </c>
    </row>
    <row r="9" spans="1:9" ht="20.25" thickBot="1" x14ac:dyDescent="0.2">
      <c r="A9" s="33" t="s">
        <v>90</v>
      </c>
      <c r="B9" s="34" t="s">
        <v>96</v>
      </c>
      <c r="C9" s="35"/>
      <c r="D9" s="35"/>
      <c r="E9" s="35"/>
      <c r="F9" s="35"/>
      <c r="G9" s="36" t="s">
        <v>92</v>
      </c>
      <c r="H9" s="36" t="s">
        <v>93</v>
      </c>
    </row>
    <row r="10" spans="1:9" ht="20.25" thickBot="1" x14ac:dyDescent="0.2">
      <c r="A10" s="33" t="s">
        <v>89</v>
      </c>
      <c r="B10" s="35"/>
      <c r="C10" s="35"/>
      <c r="D10" s="35"/>
      <c r="E10" s="35"/>
      <c r="F10" s="35"/>
      <c r="G10" s="37" t="s">
        <v>94</v>
      </c>
      <c r="H10" s="37" t="s">
        <v>95</v>
      </c>
      <c r="I10" s="31"/>
    </row>
    <row r="11" spans="1:9" ht="14.25" customHeight="1" thickBot="1" x14ac:dyDescent="0.2">
      <c r="G11" s="32"/>
      <c r="H11" s="32"/>
      <c r="I1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D2" sqref="D2"/>
    </sheetView>
  </sheetViews>
  <sheetFormatPr defaultRowHeight="13.5" x14ac:dyDescent="0.15"/>
  <cols>
    <col min="2" max="2" width="15.5" customWidth="1"/>
    <col min="3" max="3" width="14" customWidth="1"/>
    <col min="4" max="4" width="18.5" customWidth="1"/>
    <col min="5" max="5" width="12.375" customWidth="1"/>
    <col min="6" max="6" width="14.875" customWidth="1"/>
    <col min="7" max="7" width="72.625" customWidth="1"/>
  </cols>
  <sheetData>
    <row r="1" spans="1:8" ht="24" customHeight="1" x14ac:dyDescent="0.15">
      <c r="A1" s="18" t="s">
        <v>0</v>
      </c>
      <c r="B1" s="18" t="s">
        <v>1</v>
      </c>
      <c r="C1" s="18" t="s">
        <v>2</v>
      </c>
      <c r="D1" s="19" t="s">
        <v>24</v>
      </c>
      <c r="E1" s="18" t="s">
        <v>4</v>
      </c>
      <c r="F1" s="18" t="s">
        <v>5</v>
      </c>
      <c r="G1" s="18" t="s">
        <v>6</v>
      </c>
    </row>
    <row r="2" spans="1:8" ht="27" x14ac:dyDescent="0.15">
      <c r="A2" s="3">
        <v>1</v>
      </c>
      <c r="B2" s="20">
        <v>43368</v>
      </c>
      <c r="C2" s="3" t="s">
        <v>41</v>
      </c>
      <c r="D2" s="3" t="s">
        <v>21</v>
      </c>
      <c r="E2" s="21" t="s">
        <v>46</v>
      </c>
      <c r="F2" s="21" t="s">
        <v>47</v>
      </c>
      <c r="G2" s="23" t="s">
        <v>49</v>
      </c>
      <c r="H2" s="22" t="s">
        <v>50</v>
      </c>
    </row>
    <row r="3" spans="1:8" ht="27" x14ac:dyDescent="0.15">
      <c r="A3" s="3">
        <v>2</v>
      </c>
      <c r="B3" s="20">
        <v>43368</v>
      </c>
      <c r="C3" s="3" t="s">
        <v>42</v>
      </c>
      <c r="D3" s="3" t="s">
        <v>21</v>
      </c>
      <c r="E3" s="21" t="s">
        <v>46</v>
      </c>
      <c r="F3" s="21" t="s">
        <v>47</v>
      </c>
      <c r="G3" s="23" t="s">
        <v>49</v>
      </c>
      <c r="H3" s="22" t="s">
        <v>50</v>
      </c>
    </row>
    <row r="4" spans="1:8" ht="27" x14ac:dyDescent="0.15">
      <c r="A4" s="3">
        <v>3</v>
      </c>
      <c r="B4" s="20">
        <v>43368</v>
      </c>
      <c r="C4" s="3" t="s">
        <v>43</v>
      </c>
      <c r="D4" s="3" t="s">
        <v>21</v>
      </c>
      <c r="E4" s="21" t="s">
        <v>46</v>
      </c>
      <c r="F4" s="21" t="s">
        <v>47</v>
      </c>
      <c r="G4" s="23" t="s">
        <v>49</v>
      </c>
      <c r="H4" s="22" t="s">
        <v>50</v>
      </c>
    </row>
    <row r="5" spans="1:8" ht="27" x14ac:dyDescent="0.15">
      <c r="A5" s="3">
        <v>4</v>
      </c>
      <c r="B5" s="20">
        <v>43368</v>
      </c>
      <c r="C5" s="3" t="s">
        <v>44</v>
      </c>
      <c r="D5" s="3" t="s">
        <v>21</v>
      </c>
      <c r="E5" s="21" t="s">
        <v>46</v>
      </c>
      <c r="F5" s="21" t="s">
        <v>47</v>
      </c>
      <c r="G5" s="23" t="s">
        <v>49</v>
      </c>
      <c r="H5" s="22" t="s">
        <v>50</v>
      </c>
    </row>
    <row r="6" spans="1:8" ht="27" x14ac:dyDescent="0.15">
      <c r="A6" s="3">
        <v>5</v>
      </c>
      <c r="B6" s="20">
        <v>43368</v>
      </c>
      <c r="C6" s="3" t="s">
        <v>45</v>
      </c>
      <c r="D6" s="3" t="s">
        <v>21</v>
      </c>
      <c r="E6" s="21" t="s">
        <v>46</v>
      </c>
      <c r="F6" s="21" t="s">
        <v>47</v>
      </c>
      <c r="G6" s="23" t="s">
        <v>49</v>
      </c>
      <c r="H6" s="22" t="s">
        <v>50</v>
      </c>
    </row>
    <row r="7" spans="1:8" ht="27" x14ac:dyDescent="0.15">
      <c r="A7" s="3">
        <v>6</v>
      </c>
      <c r="B7" s="20">
        <v>43368</v>
      </c>
      <c r="C7" s="21" t="s">
        <v>51</v>
      </c>
      <c r="D7" s="3" t="s">
        <v>21</v>
      </c>
      <c r="E7" s="21" t="s">
        <v>46</v>
      </c>
      <c r="F7" s="21" t="s">
        <v>47</v>
      </c>
      <c r="G7" s="23" t="s">
        <v>52</v>
      </c>
      <c r="H7" s="24" t="s">
        <v>50</v>
      </c>
    </row>
    <row r="8" spans="1:8" ht="54" x14ac:dyDescent="0.15">
      <c r="A8" s="3">
        <v>7</v>
      </c>
      <c r="B8" s="20">
        <v>43368</v>
      </c>
      <c r="C8" s="21" t="s">
        <v>53</v>
      </c>
      <c r="D8" s="3" t="s">
        <v>21</v>
      </c>
      <c r="E8" s="21" t="s">
        <v>46</v>
      </c>
      <c r="F8" s="21" t="s">
        <v>47</v>
      </c>
      <c r="G8" s="23" t="s">
        <v>54</v>
      </c>
      <c r="H8" s="24" t="s">
        <v>50</v>
      </c>
    </row>
    <row r="9" spans="1:8" x14ac:dyDescent="0.15">
      <c r="A9" s="3">
        <v>8</v>
      </c>
      <c r="B9" s="20">
        <v>43368</v>
      </c>
      <c r="C9" s="3"/>
      <c r="D9" s="3" t="s">
        <v>11</v>
      </c>
      <c r="E9" s="21" t="s">
        <v>46</v>
      </c>
      <c r="F9" s="21" t="s">
        <v>47</v>
      </c>
      <c r="G9" s="21"/>
      <c r="H9" s="24" t="s">
        <v>50</v>
      </c>
    </row>
    <row r="10" spans="1:8" x14ac:dyDescent="0.15">
      <c r="A10" s="3">
        <v>9</v>
      </c>
      <c r="B10" s="20">
        <v>43368</v>
      </c>
      <c r="C10" s="3"/>
      <c r="D10" s="3" t="s">
        <v>11</v>
      </c>
      <c r="E10" s="21" t="s">
        <v>46</v>
      </c>
      <c r="F10" s="21" t="s">
        <v>47</v>
      </c>
      <c r="G10" s="21"/>
    </row>
    <row r="11" spans="1:8" x14ac:dyDescent="0.15">
      <c r="A11" s="3">
        <v>10</v>
      </c>
      <c r="B11" s="20">
        <v>43368</v>
      </c>
      <c r="C11" s="3"/>
      <c r="D11" s="3" t="s">
        <v>11</v>
      </c>
      <c r="E11" s="21" t="s">
        <v>46</v>
      </c>
      <c r="F11" s="21" t="s">
        <v>47</v>
      </c>
      <c r="G11" s="21"/>
      <c r="H11" s="24" t="s">
        <v>50</v>
      </c>
    </row>
    <row r="12" spans="1:8" x14ac:dyDescent="0.15">
      <c r="A12" s="3">
        <v>11</v>
      </c>
      <c r="B12" s="20">
        <v>43368</v>
      </c>
      <c r="C12" s="3"/>
      <c r="D12" s="3" t="s">
        <v>11</v>
      </c>
      <c r="E12" s="21" t="s">
        <v>46</v>
      </c>
      <c r="F12" s="21" t="s">
        <v>47</v>
      </c>
      <c r="G12" s="21"/>
    </row>
    <row r="13" spans="1:8" x14ac:dyDescent="0.15">
      <c r="A13" s="3">
        <v>12</v>
      </c>
      <c r="B13" s="20">
        <v>43368</v>
      </c>
      <c r="C13" s="3"/>
      <c r="D13" s="3" t="s">
        <v>11</v>
      </c>
      <c r="E13" s="21" t="s">
        <v>46</v>
      </c>
      <c r="F13" s="21" t="s">
        <v>47</v>
      </c>
      <c r="G13" s="21"/>
      <c r="H13" s="24" t="s">
        <v>50</v>
      </c>
    </row>
    <row r="14" spans="1:8" x14ac:dyDescent="0.15">
      <c r="A14" s="3">
        <v>13</v>
      </c>
      <c r="B14" s="20">
        <v>43368</v>
      </c>
      <c r="C14" s="3"/>
      <c r="D14" s="3" t="s">
        <v>11</v>
      </c>
      <c r="E14" s="21" t="s">
        <v>46</v>
      </c>
      <c r="F14" s="21" t="s">
        <v>47</v>
      </c>
      <c r="G14" s="21"/>
    </row>
    <row r="15" spans="1:8" x14ac:dyDescent="0.15">
      <c r="A15" s="3">
        <v>14</v>
      </c>
      <c r="B15" s="20">
        <v>43368</v>
      </c>
      <c r="C15" s="3"/>
      <c r="D15" s="3" t="s">
        <v>11</v>
      </c>
      <c r="E15" s="21" t="s">
        <v>46</v>
      </c>
      <c r="F15" s="21" t="s">
        <v>47</v>
      </c>
      <c r="G15" s="21"/>
    </row>
    <row r="16" spans="1:8" x14ac:dyDescent="0.15">
      <c r="A16" s="3">
        <v>15</v>
      </c>
      <c r="B16" s="20">
        <v>43368</v>
      </c>
      <c r="C16" s="21" t="s">
        <v>55</v>
      </c>
      <c r="D16" s="3" t="s">
        <v>21</v>
      </c>
      <c r="E16" s="3" t="s">
        <v>57</v>
      </c>
      <c r="F16" s="3" t="s">
        <v>48</v>
      </c>
      <c r="G16" s="3" t="s">
        <v>56</v>
      </c>
    </row>
    <row r="17" spans="1:7" x14ac:dyDescent="0.15">
      <c r="A17" s="3">
        <v>16</v>
      </c>
      <c r="B17" s="20">
        <v>43368</v>
      </c>
      <c r="C17" s="21" t="s">
        <v>58</v>
      </c>
      <c r="D17" s="13" t="s">
        <v>21</v>
      </c>
      <c r="E17" s="3" t="s">
        <v>57</v>
      </c>
      <c r="F17" s="21" t="s">
        <v>59</v>
      </c>
      <c r="G17" s="25" t="s">
        <v>60</v>
      </c>
    </row>
    <row r="18" spans="1:7" x14ac:dyDescent="0.15">
      <c r="A18" s="3">
        <v>17</v>
      </c>
      <c r="B18" s="20">
        <v>43368</v>
      </c>
      <c r="C18" s="3" t="s">
        <v>61</v>
      </c>
      <c r="D18" s="3" t="s">
        <v>15</v>
      </c>
      <c r="E18" s="3" t="s">
        <v>57</v>
      </c>
      <c r="F18" s="3" t="s">
        <v>48</v>
      </c>
      <c r="G18" s="21" t="s">
        <v>62</v>
      </c>
    </row>
    <row r="19" spans="1:7" x14ac:dyDescent="0.15">
      <c r="A19" s="3">
        <v>18</v>
      </c>
      <c r="B19" s="20">
        <v>43368</v>
      </c>
      <c r="C19" s="3"/>
      <c r="D19" s="3" t="s">
        <v>27</v>
      </c>
      <c r="E19" s="3" t="s">
        <v>57</v>
      </c>
      <c r="F19" s="3" t="s">
        <v>48</v>
      </c>
      <c r="G19" s="3"/>
    </row>
    <row r="20" spans="1:7" x14ac:dyDescent="0.15">
      <c r="A20" s="3">
        <v>19</v>
      </c>
      <c r="B20" s="20">
        <v>43368</v>
      </c>
      <c r="C20" s="3"/>
      <c r="D20" s="3" t="s">
        <v>27</v>
      </c>
      <c r="E20" s="3" t="s">
        <v>57</v>
      </c>
      <c r="F20" s="3" t="s">
        <v>48</v>
      </c>
      <c r="G20" s="3"/>
    </row>
    <row r="21" spans="1:7" x14ac:dyDescent="0.15">
      <c r="A21" s="3">
        <v>20</v>
      </c>
      <c r="B21" s="20">
        <v>43368</v>
      </c>
      <c r="C21" s="3"/>
      <c r="D21" s="3" t="s">
        <v>27</v>
      </c>
      <c r="E21" s="3" t="s">
        <v>57</v>
      </c>
      <c r="F21" s="3" t="s">
        <v>48</v>
      </c>
      <c r="G21" s="3"/>
    </row>
    <row r="22" spans="1:7" x14ac:dyDescent="0.15">
      <c r="A22" s="3">
        <v>21</v>
      </c>
      <c r="B22" s="20">
        <v>43368</v>
      </c>
      <c r="C22" s="3"/>
      <c r="D22" s="3" t="s">
        <v>27</v>
      </c>
      <c r="E22" s="3" t="s">
        <v>57</v>
      </c>
      <c r="F22" s="3" t="s">
        <v>48</v>
      </c>
      <c r="G22" s="3"/>
    </row>
    <row r="23" spans="1:7" x14ac:dyDescent="0.15">
      <c r="A23" s="3">
        <v>22</v>
      </c>
      <c r="B23" s="20">
        <v>43368</v>
      </c>
      <c r="C23" s="3"/>
      <c r="D23" s="3" t="s">
        <v>27</v>
      </c>
      <c r="E23" s="3" t="s">
        <v>57</v>
      </c>
      <c r="F23" s="3" t="s">
        <v>48</v>
      </c>
      <c r="G23" s="3"/>
    </row>
    <row r="24" spans="1:7" x14ac:dyDescent="0.15">
      <c r="A24" s="3">
        <v>23</v>
      </c>
      <c r="B24" s="20">
        <v>43368</v>
      </c>
      <c r="C24" s="3"/>
      <c r="D24" s="3" t="s">
        <v>27</v>
      </c>
      <c r="E24" s="3" t="s">
        <v>57</v>
      </c>
      <c r="F24" s="3" t="s">
        <v>48</v>
      </c>
      <c r="G24" s="3"/>
    </row>
    <row r="25" spans="1:7" x14ac:dyDescent="0.15">
      <c r="A25" s="3">
        <v>24</v>
      </c>
      <c r="B25" s="20">
        <v>43368</v>
      </c>
      <c r="C25" s="3"/>
      <c r="D25" s="3" t="s">
        <v>27</v>
      </c>
      <c r="E25" s="3" t="s">
        <v>57</v>
      </c>
      <c r="F25" s="3" t="s">
        <v>48</v>
      </c>
    </row>
    <row r="26" spans="1:7" x14ac:dyDescent="0.15">
      <c r="A26" s="3">
        <v>25</v>
      </c>
      <c r="B26" s="20">
        <v>43368</v>
      </c>
      <c r="C26" s="3"/>
      <c r="D26" s="3" t="s">
        <v>27</v>
      </c>
      <c r="E26" s="3" t="s">
        <v>57</v>
      </c>
      <c r="F26" s="3" t="s">
        <v>48</v>
      </c>
      <c r="G26" s="17"/>
    </row>
    <row r="27" spans="1:7" x14ac:dyDescent="0.15">
      <c r="A27" s="3">
        <v>26</v>
      </c>
      <c r="B27" s="20">
        <v>43368</v>
      </c>
      <c r="C27" s="3"/>
      <c r="D27" s="3" t="s">
        <v>27</v>
      </c>
      <c r="E27" s="3" t="s">
        <v>57</v>
      </c>
      <c r="F27" s="3" t="s">
        <v>48</v>
      </c>
    </row>
    <row r="28" spans="1:7" x14ac:dyDescent="0.15">
      <c r="A28" s="3">
        <v>27</v>
      </c>
      <c r="B28" s="20">
        <v>43368</v>
      </c>
      <c r="C28" s="3"/>
      <c r="D28" s="3" t="s">
        <v>27</v>
      </c>
      <c r="E28" s="3" t="s">
        <v>57</v>
      </c>
      <c r="F28" s="3" t="s">
        <v>48</v>
      </c>
    </row>
    <row r="29" spans="1:7" x14ac:dyDescent="0.15">
      <c r="A29" s="3">
        <v>28</v>
      </c>
      <c r="B29" s="20">
        <v>43368</v>
      </c>
      <c r="C29" s="3"/>
      <c r="D29" s="3" t="s">
        <v>27</v>
      </c>
      <c r="E29" s="3" t="s">
        <v>57</v>
      </c>
      <c r="F29" s="3" t="s">
        <v>48</v>
      </c>
    </row>
    <row r="30" spans="1:7" x14ac:dyDescent="0.15">
      <c r="A30" s="3">
        <v>29</v>
      </c>
      <c r="B30" s="20">
        <v>43368</v>
      </c>
      <c r="C30" s="3"/>
      <c r="D30" s="3" t="s">
        <v>27</v>
      </c>
      <c r="E30" s="3" t="s">
        <v>57</v>
      </c>
      <c r="F30" s="3" t="s">
        <v>48</v>
      </c>
    </row>
    <row r="31" spans="1:7" x14ac:dyDescent="0.15">
      <c r="A31" s="3">
        <v>30</v>
      </c>
      <c r="B31" s="20">
        <v>43368</v>
      </c>
      <c r="C31" s="3"/>
      <c r="D31" s="3" t="s">
        <v>27</v>
      </c>
      <c r="E31" s="3" t="s">
        <v>57</v>
      </c>
      <c r="F31" s="3" t="s">
        <v>48</v>
      </c>
    </row>
    <row r="32" spans="1:7" x14ac:dyDescent="0.15">
      <c r="A32" s="3">
        <v>31</v>
      </c>
      <c r="B32" s="20">
        <v>43368</v>
      </c>
      <c r="C32" s="3"/>
      <c r="D32" s="3" t="s">
        <v>27</v>
      </c>
      <c r="E32" s="3" t="s">
        <v>57</v>
      </c>
      <c r="F32" s="3" t="s">
        <v>48</v>
      </c>
    </row>
    <row r="33" spans="2:6" x14ac:dyDescent="0.15">
      <c r="B33" s="20">
        <v>43369</v>
      </c>
      <c r="C33" s="3"/>
      <c r="D33" s="3" t="s">
        <v>27</v>
      </c>
      <c r="E33" s="3" t="s">
        <v>57</v>
      </c>
      <c r="F33" s="3" t="s">
        <v>48</v>
      </c>
    </row>
    <row r="34" spans="2:6" x14ac:dyDescent="0.15">
      <c r="B34" s="20">
        <v>43370</v>
      </c>
      <c r="C34" s="3"/>
      <c r="D34" s="3"/>
      <c r="E34" s="3"/>
      <c r="F34" s="3"/>
    </row>
    <row r="35" spans="2:6" x14ac:dyDescent="0.15">
      <c r="B35" s="20">
        <v>43371</v>
      </c>
      <c r="C35" s="3"/>
      <c r="D35" s="3"/>
      <c r="E35" s="3"/>
      <c r="F35" s="3"/>
    </row>
    <row r="36" spans="2:6" x14ac:dyDescent="0.15">
      <c r="B36" s="20">
        <v>43372</v>
      </c>
      <c r="C36" s="3"/>
      <c r="D36" s="3"/>
      <c r="E36" s="3"/>
      <c r="F36" s="3"/>
    </row>
    <row r="37" spans="2:6" x14ac:dyDescent="0.15">
      <c r="B37" s="20">
        <v>43373</v>
      </c>
      <c r="C37" s="3"/>
      <c r="D37" s="3"/>
      <c r="E37" s="3"/>
      <c r="F37" s="3"/>
    </row>
    <row r="38" spans="2:6" x14ac:dyDescent="0.15">
      <c r="B38" s="20">
        <v>43374</v>
      </c>
      <c r="C38" s="3"/>
      <c r="D38" s="3"/>
      <c r="E38" s="3"/>
      <c r="F38" s="3"/>
    </row>
    <row r="39" spans="2:6" x14ac:dyDescent="0.15">
      <c r="B39" s="20">
        <v>43375</v>
      </c>
      <c r="C39" s="3"/>
      <c r="D39" s="3"/>
      <c r="E39" s="3"/>
      <c r="F39" s="3"/>
    </row>
    <row r="40" spans="2:6" x14ac:dyDescent="0.15">
      <c r="B40" s="20">
        <v>43376</v>
      </c>
      <c r="C40" s="3"/>
      <c r="D40" s="3"/>
      <c r="E40" s="3"/>
      <c r="F40" s="3"/>
    </row>
    <row r="41" spans="2:6" x14ac:dyDescent="0.15">
      <c r="B41" s="20">
        <v>43377</v>
      </c>
      <c r="C41" s="3"/>
      <c r="D41" s="3"/>
      <c r="E41" s="3"/>
      <c r="F41" s="3"/>
    </row>
    <row r="42" spans="2:6" x14ac:dyDescent="0.15">
      <c r="B42" s="20">
        <v>43378</v>
      </c>
      <c r="C42" s="3"/>
      <c r="D42" s="3"/>
      <c r="E42" s="3"/>
      <c r="F42" s="3"/>
    </row>
    <row r="43" spans="2:6" x14ac:dyDescent="0.15">
      <c r="B43" s="20">
        <v>43379</v>
      </c>
    </row>
    <row r="44" spans="2:6" x14ac:dyDescent="0.15">
      <c r="B44" s="20">
        <v>43380</v>
      </c>
    </row>
    <row r="45" spans="2:6" x14ac:dyDescent="0.15">
      <c r="B45" s="20">
        <v>43381</v>
      </c>
    </row>
    <row r="46" spans="2:6" x14ac:dyDescent="0.15">
      <c r="B46" s="20">
        <v>43382</v>
      </c>
    </row>
  </sheetData>
  <phoneticPr fontId="7" type="noConversion"/>
  <dataValidations count="1">
    <dataValidation type="list" allowBlank="1" showInputMessage="1" showErrorMessage="1" sqref="D2:D121">
      <formula1>"BB/PON/PERSIT Reset,Reboot,SIM issue,MAC OS update,Attach issue,PDP failure,Replace NVM,Caliberation,IP lost,SUS special issue,GNSS paire,Log analyse,T32 debug,NEW research"</formula1>
    </dataValidation>
  </dataValidations>
  <pageMargins left="0.7" right="0.7" top="0.75" bottom="0.75" header="0.3" footer="0.3"/>
  <pageSetup paperSize="9" orientation="portrait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A7" sqref="A7"/>
    </sheetView>
  </sheetViews>
  <sheetFormatPr defaultColWidth="9" defaultRowHeight="13.5" x14ac:dyDescent="0.15"/>
  <cols>
    <col min="1" max="1" width="22" customWidth="1"/>
    <col min="2" max="2" width="12.625" customWidth="1"/>
    <col min="3" max="3" width="68.875" customWidth="1"/>
    <col min="4" max="4" width="18.5" bestFit="1" customWidth="1"/>
  </cols>
  <sheetData>
    <row r="1" spans="1:4" x14ac:dyDescent="0.15">
      <c r="A1" s="14" t="s">
        <v>7</v>
      </c>
      <c r="B1" s="14" t="s">
        <v>16</v>
      </c>
      <c r="C1" s="14" t="s">
        <v>23</v>
      </c>
      <c r="D1" s="14" t="s">
        <v>40</v>
      </c>
    </row>
    <row r="2" spans="1:4" x14ac:dyDescent="0.15">
      <c r="A2" s="3" t="s">
        <v>27</v>
      </c>
      <c r="B2" s="8">
        <v>1</v>
      </c>
      <c r="C2" s="3"/>
      <c r="D2" s="12" t="s">
        <v>39</v>
      </c>
    </row>
    <row r="3" spans="1:4" x14ac:dyDescent="0.15">
      <c r="A3" s="3" t="s">
        <v>15</v>
      </c>
      <c r="B3" s="8">
        <v>1</v>
      </c>
      <c r="C3" s="3"/>
      <c r="D3" s="3"/>
    </row>
    <row r="4" spans="1:4" x14ac:dyDescent="0.15">
      <c r="A4" s="3" t="s">
        <v>28</v>
      </c>
      <c r="B4" s="8">
        <v>2</v>
      </c>
      <c r="C4" s="3"/>
      <c r="D4" s="3"/>
    </row>
    <row r="5" spans="1:4" x14ac:dyDescent="0.15">
      <c r="A5" s="3" t="s">
        <v>17</v>
      </c>
      <c r="B5" s="8">
        <v>2</v>
      </c>
      <c r="C5" s="3"/>
      <c r="D5" s="3"/>
    </row>
    <row r="6" spans="1:4" x14ac:dyDescent="0.15">
      <c r="A6" s="3" t="s">
        <v>12</v>
      </c>
      <c r="B6" s="8">
        <v>3</v>
      </c>
      <c r="C6" s="3"/>
      <c r="D6" s="3"/>
    </row>
    <row r="7" spans="1:4" x14ac:dyDescent="0.15">
      <c r="A7" s="11" t="s">
        <v>20</v>
      </c>
      <c r="B7" s="8">
        <v>3</v>
      </c>
      <c r="C7" s="3"/>
      <c r="D7" s="3"/>
    </row>
    <row r="8" spans="1:4" x14ac:dyDescent="0.15">
      <c r="A8" s="3" t="s">
        <v>13</v>
      </c>
      <c r="B8" s="8">
        <v>3</v>
      </c>
      <c r="C8" s="3"/>
      <c r="D8" s="3"/>
    </row>
    <row r="9" spans="1:4" x14ac:dyDescent="0.15">
      <c r="A9" s="3" t="s">
        <v>11</v>
      </c>
      <c r="B9" s="8">
        <v>3</v>
      </c>
      <c r="C9" s="3"/>
      <c r="D9" s="3"/>
    </row>
    <row r="10" spans="1:4" x14ac:dyDescent="0.15">
      <c r="A10" s="11" t="s">
        <v>19</v>
      </c>
      <c r="B10" s="8">
        <v>4</v>
      </c>
      <c r="C10" s="11" t="s">
        <v>18</v>
      </c>
      <c r="D10" s="3"/>
    </row>
    <row r="11" spans="1:4" x14ac:dyDescent="0.15">
      <c r="A11" s="3" t="s">
        <v>29</v>
      </c>
      <c r="B11" s="8">
        <v>5</v>
      </c>
      <c r="C11" s="11" t="s">
        <v>18</v>
      </c>
      <c r="D11" s="3"/>
    </row>
    <row r="12" spans="1:4" x14ac:dyDescent="0.15">
      <c r="A12" s="3" t="s">
        <v>14</v>
      </c>
      <c r="B12" s="8">
        <v>5</v>
      </c>
      <c r="C12" s="3"/>
      <c r="D12" s="3"/>
    </row>
    <row r="13" spans="1:4" x14ac:dyDescent="0.15">
      <c r="A13" s="11" t="s">
        <v>21</v>
      </c>
      <c r="B13" s="8">
        <v>5</v>
      </c>
      <c r="C13" s="11" t="s">
        <v>18</v>
      </c>
      <c r="D13" s="3"/>
    </row>
    <row r="14" spans="1:4" x14ac:dyDescent="0.15">
      <c r="A14" s="11" t="s">
        <v>22</v>
      </c>
      <c r="B14" s="8">
        <v>5</v>
      </c>
      <c r="C14" s="11" t="s">
        <v>18</v>
      </c>
      <c r="D14" s="3"/>
    </row>
    <row r="15" spans="1:4" x14ac:dyDescent="0.15">
      <c r="A15" s="3" t="s">
        <v>30</v>
      </c>
      <c r="B15" s="8">
        <v>5</v>
      </c>
      <c r="C15" s="12" t="s">
        <v>18</v>
      </c>
      <c r="D15" s="3"/>
    </row>
    <row r="16" spans="1:4" x14ac:dyDescent="0.15">
      <c r="B16" s="15"/>
    </row>
    <row r="17" spans="1:4" x14ac:dyDescent="0.15">
      <c r="B17" s="15"/>
    </row>
    <row r="18" spans="1:4" x14ac:dyDescent="0.15">
      <c r="A18" s="14" t="s">
        <v>31</v>
      </c>
      <c r="B18" s="16" t="s">
        <v>16</v>
      </c>
      <c r="C18" s="14" t="s">
        <v>23</v>
      </c>
      <c r="D18" s="14" t="s">
        <v>40</v>
      </c>
    </row>
    <row r="19" spans="1:4" x14ac:dyDescent="0.15">
      <c r="A19" s="3" t="s">
        <v>25</v>
      </c>
      <c r="B19" s="8">
        <v>1</v>
      </c>
      <c r="C19" s="3"/>
      <c r="D19" s="12" t="s">
        <v>39</v>
      </c>
    </row>
    <row r="20" spans="1:4" x14ac:dyDescent="0.15">
      <c r="A20" s="3" t="s">
        <v>26</v>
      </c>
      <c r="B20" s="8">
        <v>4</v>
      </c>
      <c r="C20" s="3"/>
      <c r="D20" s="3"/>
    </row>
    <row r="21" spans="1:4" x14ac:dyDescent="0.15">
      <c r="A21" s="13" t="s">
        <v>32</v>
      </c>
      <c r="B21" s="8">
        <v>3</v>
      </c>
      <c r="C21" s="3" t="s">
        <v>33</v>
      </c>
      <c r="D21" s="3"/>
    </row>
    <row r="22" spans="1:4" x14ac:dyDescent="0.15">
      <c r="B22" s="15"/>
    </row>
    <row r="23" spans="1:4" x14ac:dyDescent="0.15">
      <c r="B23" s="15"/>
    </row>
    <row r="24" spans="1:4" x14ac:dyDescent="0.15">
      <c r="A24" s="14" t="s">
        <v>34</v>
      </c>
      <c r="B24" s="16" t="s">
        <v>16</v>
      </c>
      <c r="C24" s="14" t="s">
        <v>23</v>
      </c>
      <c r="D24" s="14" t="s">
        <v>40</v>
      </c>
    </row>
    <row r="25" spans="1:4" x14ac:dyDescent="0.15">
      <c r="A25" s="12" t="s">
        <v>35</v>
      </c>
      <c r="B25" s="8">
        <v>4</v>
      </c>
      <c r="C25" s="12" t="s">
        <v>36</v>
      </c>
      <c r="D25" s="12" t="s">
        <v>39</v>
      </c>
    </row>
  </sheetData>
  <phoneticPr fontId="7" type="noConversion"/>
  <pageMargins left="0.69930555555555596" right="0.69930555555555596" top="0.75" bottom="0.75" header="0.3" footer="0.3"/>
  <pageSetup orientation="portrait" r:id="rId1"/>
  <customProperties>
    <customPr name="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workbookViewId="0"/>
  </sheetViews>
  <sheetFormatPr defaultColWidth="9" defaultRowHeight="13.5" x14ac:dyDescent="0.15"/>
  <sheetData>
    <row r="1" spans="1:256" x14ac:dyDescent="0.15">
      <c r="A1" t="s">
        <v>8</v>
      </c>
      <c r="F1" t="e">
        <f>Issue_Log!A:A*"67\!%"</f>
        <v>#VALUE!</v>
      </c>
      <c r="G1" t="e">
        <f>Issue_Log!B:B*"67\!&amp;"</f>
        <v>#VALUE!</v>
      </c>
      <c r="H1" t="e">
        <f>Issue_Log!C:C*"67\!'"</f>
        <v>#VALUE!</v>
      </c>
      <c r="I1" t="e">
        <f>Issue_Log!D:D*"67\!("</f>
        <v>#VALUE!</v>
      </c>
      <c r="J1" t="e">
        <f>Issue_Log!E:E*"67\!)"</f>
        <v>#VALUE!</v>
      </c>
      <c r="K1" t="e">
        <f>Issue_Log!F:F*"67\!."</f>
        <v>#VALUE!</v>
      </c>
      <c r="L1" t="e">
        <f>Issue_Log!G:G*"67\!/"</f>
        <v>#VALUE!</v>
      </c>
      <c r="M1" t="e">
        <f>Issue_Log!H:H*"67\!0"</f>
        <v>#VALUE!</v>
      </c>
      <c r="N1" t="e">
        <f>Issue_Log!I:I*"67\!1"</f>
        <v>#VALUE!</v>
      </c>
      <c r="O1" t="e">
        <f>Issue_Log!J:J*"67\!2"</f>
        <v>#VALUE!</v>
      </c>
      <c r="P1" t="e">
        <f>Issue_Log!K:K*"67\!3"</f>
        <v>#VALUE!</v>
      </c>
      <c r="Q1" t="e">
        <f>Issue_Log!L:L*"67\!4"</f>
        <v>#VALUE!</v>
      </c>
      <c r="R1" t="e">
        <f>Issue_Log!M:M*"67\!5"</f>
        <v>#VALUE!</v>
      </c>
      <c r="S1" t="e">
        <f>Issue_Log!N:N*"67\!6"</f>
        <v>#VALUE!</v>
      </c>
      <c r="T1" t="e">
        <f>Issue_Log!O:O*"67\!7"</f>
        <v>#VALUE!</v>
      </c>
      <c r="U1" t="e">
        <f>Issue_Log!P:P*"67\!8"</f>
        <v>#VALUE!</v>
      </c>
      <c r="V1" t="e">
        <f>Issue_Log!Q:Q*"67\!9"</f>
        <v>#VALUE!</v>
      </c>
      <c r="W1" t="e">
        <f>Issue_Log!R:R*"67\!:"</f>
        <v>#VALUE!</v>
      </c>
      <c r="X1" t="e">
        <f>Issue_Log!S:S*"67\!;"</f>
        <v>#VALUE!</v>
      </c>
      <c r="Y1" t="e">
        <f>Issue_Log!T:T*"67\!&lt;"</f>
        <v>#VALUE!</v>
      </c>
      <c r="Z1" t="e">
        <f>Issue_Log!U:U*"67\!="</f>
        <v>#VALUE!</v>
      </c>
      <c r="AA1" t="e">
        <f>Issue_Log!V:V*"67\!&gt;"</f>
        <v>#VALUE!</v>
      </c>
      <c r="AB1" t="e">
        <f>Issue_Log!W:W*"67\!?"</f>
        <v>#VALUE!</v>
      </c>
      <c r="AC1" t="e">
        <f>Issue_Log!X:X*"67\!@"</f>
        <v>#VALUE!</v>
      </c>
      <c r="AD1" t="e">
        <f>Issue_Log!Y:Y*"67\!A"</f>
        <v>#VALUE!</v>
      </c>
      <c r="AE1" t="e">
        <f>Issue_Log!Z:Z*"67\!B"</f>
        <v>#VALUE!</v>
      </c>
      <c r="AF1" t="e">
        <f>Issue_Log!AA:AA*"67\!C"</f>
        <v>#VALUE!</v>
      </c>
      <c r="AG1" t="e">
        <f>Issue_Log!AB:AB*"67\!D"</f>
        <v>#VALUE!</v>
      </c>
      <c r="AH1" t="e">
        <f>Issue_Log!AC:AC*"67\!E"</f>
        <v>#VALUE!</v>
      </c>
      <c r="AI1" t="e">
        <f>Issue_Log!AD:AD*"67\!F"</f>
        <v>#VALUE!</v>
      </c>
      <c r="AJ1" t="e">
        <f>Issue_Log!AE:AE*"67\!G"</f>
        <v>#VALUE!</v>
      </c>
      <c r="AK1" t="e">
        <f>Issue_Log!AF:AF*"67\!H"</f>
        <v>#VALUE!</v>
      </c>
      <c r="AL1" t="e">
        <f>Issue_Log!AG:AG*"67\!I"</f>
        <v>#VALUE!</v>
      </c>
      <c r="AM1" t="e">
        <f>Issue_Log!AH:AH*"67\!J"</f>
        <v>#VALUE!</v>
      </c>
      <c r="AN1" t="e">
        <f>Issue_Log!AI:AI*"67\!K"</f>
        <v>#VALUE!</v>
      </c>
      <c r="AO1" t="e">
        <f>Issue_Log!AJ:AJ*"67\!L"</f>
        <v>#VALUE!</v>
      </c>
      <c r="AP1" t="e">
        <f>Issue_Log!AK:AK*"67\!M"</f>
        <v>#VALUE!</v>
      </c>
      <c r="AQ1" t="e">
        <f>Issue_Log!AL:AL*"67\!N"</f>
        <v>#VALUE!</v>
      </c>
      <c r="AR1" t="e">
        <f>Issue_Log!AM:AM*"67\!O"</f>
        <v>#VALUE!</v>
      </c>
      <c r="AS1" t="e">
        <f>Issue_Log!AN:AN*"67\!P"</f>
        <v>#VALUE!</v>
      </c>
      <c r="AT1" t="e">
        <f>Issue_Log!AO:AO*"67\!Q"</f>
        <v>#VALUE!</v>
      </c>
      <c r="AU1" t="e">
        <f>Issue_Log!AP:AP*"67\!R"</f>
        <v>#VALUE!</v>
      </c>
      <c r="AV1" t="e">
        <f>Issue_Log!AQ:AQ*"67\!S"</f>
        <v>#VALUE!</v>
      </c>
      <c r="AW1" t="e">
        <f>Issue_Log!AR:AR*"67\!T"</f>
        <v>#VALUE!</v>
      </c>
      <c r="AX1" t="e">
        <f>Issue_Log!AS:AS*"67\!U"</f>
        <v>#VALUE!</v>
      </c>
      <c r="AY1" t="e">
        <f>Issue_Log!AT:AT*"67\!V"</f>
        <v>#VALUE!</v>
      </c>
      <c r="AZ1" t="e">
        <f>Issue_Log!AU:AU*"67\!W"</f>
        <v>#VALUE!</v>
      </c>
      <c r="BA1" t="e">
        <f>Issue_Log!AV:AV*"67\!X"</f>
        <v>#VALUE!</v>
      </c>
      <c r="BB1" t="e">
        <f>Issue_Log!AW:AW*"67\!Y"</f>
        <v>#VALUE!</v>
      </c>
      <c r="BC1" t="e">
        <f>Issue_Log!AX:AX*"67\!Z"</f>
        <v>#VALUE!</v>
      </c>
      <c r="BD1" t="e">
        <f>Issue_Log!AY:AY*"67\!["</f>
        <v>#VALUE!</v>
      </c>
      <c r="BE1" t="e">
        <f>Issue_Log!AZ:AZ*"67\!\"</f>
        <v>#VALUE!</v>
      </c>
      <c r="BF1" t="e">
        <f>Issue_Log!BA:BA*"67\!]"</f>
        <v>#VALUE!</v>
      </c>
      <c r="BG1" t="e">
        <f>Issue_Log!BB:BB*"67\!^"</f>
        <v>#VALUE!</v>
      </c>
      <c r="BH1" t="e">
        <f>Issue_Log!BC:BC*"67\!_"</f>
        <v>#VALUE!</v>
      </c>
      <c r="BI1" t="e">
        <f>Issue_Log!BD:BD*"67\!`"</f>
        <v>#VALUE!</v>
      </c>
      <c r="BJ1" t="e">
        <f>Issue_Log!BE:BE*"67\!a"</f>
        <v>#VALUE!</v>
      </c>
      <c r="BK1" t="e">
        <f>Issue_Log!1:1-"67\!b"</f>
        <v>#VALUE!</v>
      </c>
      <c r="BL1" t="e">
        <f>Issue_Log!2:2-"67\!c"</f>
        <v>#VALUE!</v>
      </c>
      <c r="BM1" t="e">
        <f>Issue_Log!#REF!-"67\!d"</f>
        <v>#REF!</v>
      </c>
      <c r="BN1" t="e">
        <f>Issue_Log!#REF!-"67\!e"</f>
        <v>#REF!</v>
      </c>
      <c r="BO1" t="e">
        <f>Issue_Log!#REF!-"67\!f"</f>
        <v>#REF!</v>
      </c>
      <c r="BP1" t="e">
        <f>Issue_Log!3:3-"67\!g"</f>
        <v>#VALUE!</v>
      </c>
      <c r="BQ1" t="e">
        <f>Issue_Log!4:4-"67\!h"</f>
        <v>#VALUE!</v>
      </c>
      <c r="BR1" t="e">
        <f>Issue_Log!5:5-"67\!i"</f>
        <v>#VALUE!</v>
      </c>
      <c r="BS1" t="e">
        <f>Issue_Log!6:6-"67\!j"</f>
        <v>#VALUE!</v>
      </c>
      <c r="BT1" t="e">
        <f>Issue_Log!7:7-"67\!k"</f>
        <v>#VALUE!</v>
      </c>
      <c r="BU1" t="e">
        <f>Issue_Log!8:8-"67\!l"</f>
        <v>#VALUE!</v>
      </c>
      <c r="BV1" t="e">
        <f>Issue_Log!9:9-"67\!m"</f>
        <v>#VALUE!</v>
      </c>
      <c r="BW1" t="e">
        <f>Issue_Log!10:10-"67\!n"</f>
        <v>#VALUE!</v>
      </c>
      <c r="BX1" t="e">
        <f>Issue_Log!11:11-"67\!o"</f>
        <v>#VALUE!</v>
      </c>
      <c r="BY1" t="e">
        <f>Issue_Log!12:12-"67\!p"</f>
        <v>#VALUE!</v>
      </c>
      <c r="BZ1" t="e">
        <f>Issue_Log!13:13-"67\!q"</f>
        <v>#VALUE!</v>
      </c>
      <c r="CA1" t="e">
        <f>Issue_Log!14:14-"67\!r"</f>
        <v>#VALUE!</v>
      </c>
      <c r="CB1" t="e">
        <f>Issue_Log!15:15-"67\!s"</f>
        <v>#VALUE!</v>
      </c>
      <c r="CC1" t="e">
        <f>Issue_Log!16:16-"67\!t"</f>
        <v>#VALUE!</v>
      </c>
      <c r="CD1" t="e">
        <f>Issue_Log!17:17-"67\!u"</f>
        <v>#VALUE!</v>
      </c>
      <c r="CE1" t="e">
        <f>Issue_Log!18:18-"67\!v"</f>
        <v>#VALUE!</v>
      </c>
      <c r="CF1" t="e">
        <f>Issue_Log!19:19-"67\!w"</f>
        <v>#VALUE!</v>
      </c>
      <c r="CG1" t="e">
        <f>Issue_Log!20:20-"67\!x"</f>
        <v>#VALUE!</v>
      </c>
      <c r="CH1" t="e">
        <f>Issue_Log!21:21-"67\!y"</f>
        <v>#VALUE!</v>
      </c>
      <c r="CI1" t="e">
        <f>Issue_Log!22:22-"67\!z"</f>
        <v>#VALUE!</v>
      </c>
      <c r="CJ1" t="e">
        <f>Issue_Log!23:23-"67\!{"</f>
        <v>#VALUE!</v>
      </c>
      <c r="CK1" t="e">
        <f>Issue_Log!24:24-"67\!|"</f>
        <v>#VALUE!</v>
      </c>
      <c r="CL1" t="e">
        <f>Issue_Log!25:25-"67\!}"</f>
        <v>#VALUE!</v>
      </c>
      <c r="CM1" t="e">
        <f>Issue_Log!26:26-"67\!~"</f>
        <v>#VALUE!</v>
      </c>
      <c r="CN1" t="e">
        <f>Issue_Log!27:27-"67\!$#"</f>
        <v>#VALUE!</v>
      </c>
      <c r="CO1" t="e">
        <f>Issue_Log!28:28-"67\!$$"</f>
        <v>#VALUE!</v>
      </c>
      <c r="CP1" t="e">
        <f>Issue_Log!29:29-"67\!$%"</f>
        <v>#VALUE!</v>
      </c>
      <c r="CQ1" t="e">
        <f>Issue_Log!30:30-"67\!$&amp;"</f>
        <v>#VALUE!</v>
      </c>
      <c r="CR1" t="e">
        <f>Issue_Log!31:31-"67\!$'"</f>
        <v>#VALUE!</v>
      </c>
      <c r="CS1" t="e">
        <f>Issue_Log!32:32-"67\!$("</f>
        <v>#VALUE!</v>
      </c>
      <c r="CT1" t="e">
        <f>Issue_Log!33:33-"67\!$)"</f>
        <v>#VALUE!</v>
      </c>
      <c r="CU1" t="e">
        <f>Issue_Log!34:34-"67\!$."</f>
        <v>#VALUE!</v>
      </c>
      <c r="CV1" t="e">
        <f>Issue_Log!35:35-"67\!$/"</f>
        <v>#VALUE!</v>
      </c>
      <c r="CW1" t="e">
        <f>Issue_Log!36:36-"67\!$0"</f>
        <v>#VALUE!</v>
      </c>
      <c r="CX1" t="e">
        <f>Issue_Log!38:38-"67\!$1"</f>
        <v>#VALUE!</v>
      </c>
      <c r="CY1" t="e">
        <f>Issue_Log!39:39-"67\!$2"</f>
        <v>#VALUE!</v>
      </c>
      <c r="CZ1" t="e">
        <f>Issue_Log!40:40-"67\!$3"</f>
        <v>#VALUE!</v>
      </c>
      <c r="DA1" t="e">
        <f>Issue_Log!41:41-"67\!$4"</f>
        <v>#VALUE!</v>
      </c>
      <c r="DB1" t="e">
        <f>Issue_Log!42:42-"67\!$5"</f>
        <v>#VALUE!</v>
      </c>
      <c r="DC1" t="e">
        <f>Issue_Log!43:43-"67\!$6"</f>
        <v>#VALUE!</v>
      </c>
      <c r="DD1" t="e">
        <f>Issue_Log!44:44-"67\!$7"</f>
        <v>#VALUE!</v>
      </c>
      <c r="DE1" t="e">
        <f>Issue_Log!45:45-"67\!$8"</f>
        <v>#VALUE!</v>
      </c>
      <c r="DF1" t="e">
        <f>Issue_Log!46:46-"67\!$9"</f>
        <v>#VALUE!</v>
      </c>
      <c r="DG1" t="e">
        <f>Issue_Log!47:47-"67\!$:"</f>
        <v>#VALUE!</v>
      </c>
      <c r="DH1" t="e">
        <f>Issue_Log!48:48-"67\!$;"</f>
        <v>#VALUE!</v>
      </c>
      <c r="DI1" t="e">
        <f>Issue_Log!49:49-"67\!$&lt;"</f>
        <v>#VALUE!</v>
      </c>
      <c r="DJ1" t="e">
        <f>Issue_Log!50:50-"67\!$="</f>
        <v>#VALUE!</v>
      </c>
      <c r="DK1" t="e">
        <f>Issue_Log!51:51-"67\!$&gt;"</f>
        <v>#VALUE!</v>
      </c>
      <c r="DL1" t="e">
        <f>Issue_Log!52:52-"67\!$?"</f>
        <v>#VALUE!</v>
      </c>
      <c r="DM1" t="e">
        <f>Issue_Log!53:53-"67\!$@"</f>
        <v>#VALUE!</v>
      </c>
      <c r="DN1" t="e">
        <f>Issue_Log!54:54-"67\!$A"</f>
        <v>#VALUE!</v>
      </c>
      <c r="DO1" t="e">
        <f>Issue_Log!55:55-"67\!$B"</f>
        <v>#VALUE!</v>
      </c>
      <c r="DP1" t="e">
        <f>Issue_Log!56:56-"67\!$C"</f>
        <v>#VALUE!</v>
      </c>
      <c r="DQ1" t="e">
        <f>Issue_Log!57:57-"67\!$D"</f>
        <v>#VALUE!</v>
      </c>
      <c r="DR1" t="e">
        <f>Issue_Log!58:58-"67\!$E"</f>
        <v>#VALUE!</v>
      </c>
      <c r="DS1" t="e">
        <f>Issue_Log!59:59-"67\!$F"</f>
        <v>#VALUE!</v>
      </c>
      <c r="DT1" t="e">
        <f>Issue_Log!60:60-"67\!$G"</f>
        <v>#VALUE!</v>
      </c>
      <c r="DU1" t="e">
        <f>Issue_Log!61:61-"67\!$H"</f>
        <v>#VALUE!</v>
      </c>
      <c r="DV1" t="e">
        <f>Issue_Log!62:62-"67\!$I"</f>
        <v>#VALUE!</v>
      </c>
      <c r="DW1" t="e">
        <f>Issue_Log!63:63-"67\!$J"</f>
        <v>#VALUE!</v>
      </c>
      <c r="DX1" t="e">
        <f>Issue_Log!64:64-"67\!$K"</f>
        <v>#VALUE!</v>
      </c>
      <c r="DY1" t="e">
        <f>Issue_Log!65:65-"67\!$L"</f>
        <v>#VALUE!</v>
      </c>
      <c r="DZ1" t="e">
        <f>Issue_Log!66:66-"67\!$M"</f>
        <v>#VALUE!</v>
      </c>
      <c r="EA1" t="e">
        <f>Issue_Log!67:67-"67\!$N"</f>
        <v>#VALUE!</v>
      </c>
      <c r="EB1" t="e">
        <f>Issue_Log!68:68-"67\!$O"</f>
        <v>#VALUE!</v>
      </c>
      <c r="EC1" t="e">
        <f>Issue_Log!69:69-"67\!$P"</f>
        <v>#VALUE!</v>
      </c>
      <c r="ED1" t="e">
        <f>Issue_Log!70:70-"67\!$Q"</f>
        <v>#VALUE!</v>
      </c>
      <c r="EE1" t="e">
        <f>Issue_Log!71:71-"67\!$R"</f>
        <v>#VALUE!</v>
      </c>
      <c r="EF1" t="e">
        <f>Issue_Log!72:72-"67\!$S"</f>
        <v>#VALUE!</v>
      </c>
      <c r="EG1" t="e">
        <f>Issue_Log!73:73-"67\!$T"</f>
        <v>#VALUE!</v>
      </c>
      <c r="EH1" t="e">
        <f>Issue_Log!74:74-"67\!$U"</f>
        <v>#VALUE!</v>
      </c>
      <c r="EI1" t="e">
        <f>Issue_Log!75:75-"67\!$V"</f>
        <v>#VALUE!</v>
      </c>
      <c r="EJ1" t="e">
        <f>Issue_Log!76:76-"67\!$W"</f>
        <v>#VALUE!</v>
      </c>
      <c r="EK1" t="e">
        <f>Issue_Log!77:77-"67\!$X"</f>
        <v>#VALUE!</v>
      </c>
      <c r="EL1" t="e">
        <f>Issue_Log!78:78-"67\!$Y"</f>
        <v>#VALUE!</v>
      </c>
      <c r="EM1" t="e">
        <f>Issue_Log!79:79-"67\!$Z"</f>
        <v>#VALUE!</v>
      </c>
      <c r="EN1" t="e">
        <f>Issue_Log!80:80-"67\!$["</f>
        <v>#VALUE!</v>
      </c>
      <c r="EO1" t="e">
        <f>Issue_Log!81:81-"67\!$\"</f>
        <v>#VALUE!</v>
      </c>
      <c r="EP1" t="e">
        <f>Issue_Log!82:82-"67\!$]"</f>
        <v>#VALUE!</v>
      </c>
      <c r="EQ1" t="e">
        <f>Issue_Log!83:83-"67\!$^"</f>
        <v>#VALUE!</v>
      </c>
      <c r="ER1" t="e">
        <f>Issue_Log!84:84-"67\!$_"</f>
        <v>#VALUE!</v>
      </c>
      <c r="ES1" t="e">
        <f>Issue_Log!85:85-"67\!$`"</f>
        <v>#VALUE!</v>
      </c>
      <c r="ET1" t="e">
        <f>Issue_Log!86:86-"67\!$a"</f>
        <v>#VALUE!</v>
      </c>
      <c r="EU1" t="e">
        <f>Issue_Log!87:87-"67\!$b"</f>
        <v>#VALUE!</v>
      </c>
      <c r="EV1" t="e">
        <f>Issue_Log!88:88-"67\!$c"</f>
        <v>#VALUE!</v>
      </c>
      <c r="EW1" t="e">
        <f>Issue_Log!89:89-"67\!$d"</f>
        <v>#VALUE!</v>
      </c>
      <c r="EX1" t="e">
        <f>Issue_Log!90:90-"67\!$e"</f>
        <v>#VALUE!</v>
      </c>
      <c r="EY1" t="e">
        <f>Issue_Log!91:91-"67\!$f"</f>
        <v>#VALUE!</v>
      </c>
      <c r="EZ1" t="e">
        <f>Issue_Log!92:92-"67\!$g"</f>
        <v>#VALUE!</v>
      </c>
      <c r="FA1" t="e">
        <f>Issue_Log!93:93-"67\!$h"</f>
        <v>#VALUE!</v>
      </c>
      <c r="FB1" t="e">
        <f>Issue_Log!94:94-"67\!$i"</f>
        <v>#VALUE!</v>
      </c>
      <c r="FC1" t="e">
        <f>Issue_Log!95:95-"67\!$j"</f>
        <v>#VALUE!</v>
      </c>
      <c r="FD1" t="e">
        <f>Issue_Log!96:96-"67\!$k"</f>
        <v>#VALUE!</v>
      </c>
      <c r="FE1" t="e">
        <f>Issue_Log!97:97-"67\!$l"</f>
        <v>#VALUE!</v>
      </c>
      <c r="FF1" t="e">
        <f>Issue_Log!98:98-"67\!$m"</f>
        <v>#VALUE!</v>
      </c>
      <c r="FG1" t="e">
        <f>Issue_Log!99:99-"67\!$n"</f>
        <v>#VALUE!</v>
      </c>
      <c r="FH1" t="e">
        <f>Issue_Log!100:100-"67\!$o"</f>
        <v>#VALUE!</v>
      </c>
      <c r="FI1" t="e">
        <f>Issue_Log!101:101-"67\!$p"</f>
        <v>#VALUE!</v>
      </c>
      <c r="FJ1" t="e">
        <f>Issue_Log!102:102-"67\!$q"</f>
        <v>#VALUE!</v>
      </c>
      <c r="FK1" t="e">
        <f>Issue_Log!103:103-"67\!$r"</f>
        <v>#VALUE!</v>
      </c>
      <c r="FL1" t="e">
        <f>Issue_Log!104:104-"67\!$s"</f>
        <v>#VALUE!</v>
      </c>
      <c r="FM1" t="e">
        <f>Issue_Log!105:105-"67\!$t"</f>
        <v>#VALUE!</v>
      </c>
      <c r="FN1" t="e">
        <f>Issue_Log!106:106-"67\!$u"</f>
        <v>#VALUE!</v>
      </c>
      <c r="FO1" t="e">
        <f>Issue_Log!107:107-"67\!$v"</f>
        <v>#VALUE!</v>
      </c>
      <c r="FP1" t="e">
        <f>Issue_Log!108:108-"67\!$w"</f>
        <v>#VALUE!</v>
      </c>
      <c r="FQ1" t="e">
        <f>Issue_Log!109:109-"67\!$x"</f>
        <v>#VALUE!</v>
      </c>
      <c r="FR1" t="e">
        <f>Issue_Log!110:110-"67\!$y"</f>
        <v>#VALUE!</v>
      </c>
      <c r="FS1" t="e">
        <f>Issue_Log!111:111-"67\!$z"</f>
        <v>#VALUE!</v>
      </c>
      <c r="FT1" t="e">
        <f>Issue_Log!112:112-"67\!${"</f>
        <v>#VALUE!</v>
      </c>
      <c r="FU1" t="e">
        <f>Issue_Log!113:113-"67\!$|"</f>
        <v>#VALUE!</v>
      </c>
      <c r="FV1" t="e">
        <f>Issue_Log!114:114-"67\!$}"</f>
        <v>#VALUE!</v>
      </c>
      <c r="FW1" t="e">
        <f>Issue_Log!115:115-"67\!$~"</f>
        <v>#VALUE!</v>
      </c>
      <c r="FX1" t="e">
        <f>Issue_Log!116:116-"67\!%#"</f>
        <v>#VALUE!</v>
      </c>
      <c r="FY1" t="e">
        <f>Issue_Log!117:117-"67\!%$"</f>
        <v>#VALUE!</v>
      </c>
      <c r="FZ1" t="e">
        <f>Issue_Log!118:118-"67\!%%"</f>
        <v>#VALUE!</v>
      </c>
      <c r="GA1" t="e">
        <f>Issue_Log!119:119-"67\!%&amp;"</f>
        <v>#VALUE!</v>
      </c>
      <c r="GB1" t="e">
        <f>Issue_Log!120:120-"67\!%'"</f>
        <v>#VALUE!</v>
      </c>
      <c r="GC1" t="e">
        <f>Issue_Log!121:121-"67\!%("</f>
        <v>#VALUE!</v>
      </c>
      <c r="GD1" t="e">
        <f>Issue_Log!122:122-"67\!%)"</f>
        <v>#VALUE!</v>
      </c>
      <c r="GE1" t="e">
        <f>Issue_Log!123:123-"67\!%."</f>
        <v>#VALUE!</v>
      </c>
      <c r="GF1" t="e">
        <f>Issue_Log!124:124-"67\!%/"</f>
        <v>#VALUE!</v>
      </c>
      <c r="GG1" t="e">
        <f>Issue_Log!125:125-"67\!%0"</f>
        <v>#VALUE!</v>
      </c>
      <c r="GH1" t="e">
        <f>Issue_Log!126:126-"67\!%1"</f>
        <v>#VALUE!</v>
      </c>
      <c r="GI1" t="e">
        <f>Issue_Log!127:127-"67\!%2"</f>
        <v>#VALUE!</v>
      </c>
      <c r="GJ1" t="e">
        <f>Issue_Log!128:128-"67\!%3"</f>
        <v>#VALUE!</v>
      </c>
      <c r="GK1" t="e">
        <f>Issue_Log!129:129-"67\!%4"</f>
        <v>#VALUE!</v>
      </c>
      <c r="GL1" t="e">
        <f>Issue_Log!130:130-"67\!%5"</f>
        <v>#VALUE!</v>
      </c>
      <c r="GM1" t="e">
        <f>Issue_Log!131:131-"67\!%6"</f>
        <v>#VALUE!</v>
      </c>
      <c r="GN1" t="e">
        <f>Issue_Log!132:132-"67\!%7"</f>
        <v>#VALUE!</v>
      </c>
      <c r="GO1" t="e">
        <f>Issue_Log!133:133-"67\!%8"</f>
        <v>#VALUE!</v>
      </c>
      <c r="GP1" t="e">
        <f>Issue_Log!134:134-"67\!%9"</f>
        <v>#VALUE!</v>
      </c>
      <c r="GQ1" t="e">
        <f>Issue_Log!135:135-"67\!%:"</f>
        <v>#VALUE!</v>
      </c>
      <c r="GR1" t="e">
        <f>Issue_Log!136:136-"67\!%;"</f>
        <v>#VALUE!</v>
      </c>
      <c r="GS1" t="e">
        <f>Issue_Log!137:137-"67\!%&lt;"</f>
        <v>#VALUE!</v>
      </c>
      <c r="GT1" t="e">
        <f>Issue_Log!138:138-"67\!%="</f>
        <v>#VALUE!</v>
      </c>
      <c r="GU1" t="e">
        <f>Issue_Log!139:139-"67\!%&gt;"</f>
        <v>#VALUE!</v>
      </c>
      <c r="GV1" t="e">
        <f>Issue_Log!140:140-"67\!%?"</f>
        <v>#VALUE!</v>
      </c>
      <c r="GW1" t="e">
        <f>Issue_Log!141:141-"67\!%@"</f>
        <v>#VALUE!</v>
      </c>
      <c r="GX1" t="e">
        <f>Issue_Log!142:142-"67\!%A"</f>
        <v>#VALUE!</v>
      </c>
      <c r="GY1" t="e">
        <f>Issue_Log!143:143-"67\!%B"</f>
        <v>#VALUE!</v>
      </c>
      <c r="GZ1" t="e">
        <f>Issue_Log!144:144-"67\!%C"</f>
        <v>#VALUE!</v>
      </c>
      <c r="HA1" t="e">
        <f>Issue_Log!145:145-"67\!%D"</f>
        <v>#VALUE!</v>
      </c>
      <c r="HB1" t="e">
        <f>Issue_Log!146:146-"67\!%E"</f>
        <v>#VALUE!</v>
      </c>
      <c r="HC1" t="e">
        <f>Issue_Log!147:147-"67\!%F"</f>
        <v>#VALUE!</v>
      </c>
      <c r="HD1" t="e">
        <f>Issue_Log!148:148-"67\!%G"</f>
        <v>#VALUE!</v>
      </c>
      <c r="HE1" t="e">
        <f>Issue_Log!149:149-"67\!%H"</f>
        <v>#VALUE!</v>
      </c>
      <c r="HF1" t="e">
        <f>Issue_Log!150:150-"67\!%I"</f>
        <v>#VALUE!</v>
      </c>
      <c r="HG1" t="e">
        <f>Issue_Log!151:151-"67\!%J"</f>
        <v>#VALUE!</v>
      </c>
      <c r="HH1" t="e">
        <f>Issue_Log!152:152-"67\!%K"</f>
        <v>#VALUE!</v>
      </c>
      <c r="HI1" t="e">
        <f>Issue_Log!153:153-"67\!%L"</f>
        <v>#VALUE!</v>
      </c>
      <c r="HJ1" t="e">
        <f>Issue_Log!154:154-"67\!%M"</f>
        <v>#VALUE!</v>
      </c>
      <c r="HK1" t="e">
        <f>Issue_Log!155:155-"67\!%N"</f>
        <v>#VALUE!</v>
      </c>
      <c r="HL1" t="e">
        <f>Issue_Log!156:156-"67\!%O"</f>
        <v>#VALUE!</v>
      </c>
      <c r="HM1" t="e">
        <f>Issue_Log!157:157-"67\!%P"</f>
        <v>#VALUE!</v>
      </c>
      <c r="HN1" t="e">
        <f>Issue_Log!158:158-"67\!%Q"</f>
        <v>#VALUE!</v>
      </c>
      <c r="HO1" t="e">
        <f>Issue_Log!159:159-"67\!%R"</f>
        <v>#VALUE!</v>
      </c>
      <c r="HP1" t="e">
        <f>Issue_Log!160:160-"67\!%S"</f>
        <v>#VALUE!</v>
      </c>
      <c r="HQ1" t="e">
        <f>Issue_Log!161:161-"67\!%T"</f>
        <v>#VALUE!</v>
      </c>
      <c r="HR1" t="e">
        <f>Issue_Log!162:162-"67\!%U"</f>
        <v>#VALUE!</v>
      </c>
      <c r="HS1" t="e">
        <f>Issue_Log!163:163-"67\!%V"</f>
        <v>#VALUE!</v>
      </c>
      <c r="HT1" t="e">
        <f>Issue_Log!164:164-"67\!%W"</f>
        <v>#VALUE!</v>
      </c>
      <c r="HU1" t="e">
        <f>Issue_Log!165:165-"67\!%X"</f>
        <v>#VALUE!</v>
      </c>
      <c r="HV1" t="e">
        <f>Issue_Log!166:166-"67\!%Y"</f>
        <v>#VALUE!</v>
      </c>
      <c r="HW1" t="e">
        <f>Issue_Log!167:167-"67\!%Z"</f>
        <v>#VALUE!</v>
      </c>
      <c r="HX1" t="e">
        <f>Issue_Log!168:168-"67\!%["</f>
        <v>#VALUE!</v>
      </c>
      <c r="HY1" t="e">
        <f>Issue_Log!169:169-"67\!%\"</f>
        <v>#VALUE!</v>
      </c>
      <c r="HZ1" t="e">
        <f>Issue_Log!170:170-"67\!%]"</f>
        <v>#VALUE!</v>
      </c>
      <c r="IA1" t="e">
        <f>Issue_Log!171:171-"67\!%^"</f>
        <v>#VALUE!</v>
      </c>
      <c r="IB1" t="e">
        <f>Issue_Log!172:172-"67\!%_"</f>
        <v>#VALUE!</v>
      </c>
      <c r="IC1" t="e">
        <f>Issue_Log!173:173-"67\!%`"</f>
        <v>#VALUE!</v>
      </c>
      <c r="ID1" t="e">
        <f>Issue_Log!174:174-"67\!%a"</f>
        <v>#VALUE!</v>
      </c>
      <c r="IE1" t="e">
        <f>Issue_Log!175:175-"67\!%b"</f>
        <v>#VALUE!</v>
      </c>
      <c r="IF1" t="e">
        <f>Issue_Log!176:176-"67\!%c"</f>
        <v>#VALUE!</v>
      </c>
      <c r="IG1" t="e">
        <f>Issue_Log!177:177-"67\!%d"</f>
        <v>#VALUE!</v>
      </c>
      <c r="IH1" t="e">
        <f>Issue_Log!178:178-"67\!%e"</f>
        <v>#VALUE!</v>
      </c>
      <c r="II1" t="e">
        <f>Issue_Log!179:179-"67\!%f"</f>
        <v>#VALUE!</v>
      </c>
      <c r="IJ1" t="e">
        <f>Issue_Log!180:180-"67\!%g"</f>
        <v>#VALUE!</v>
      </c>
      <c r="IK1" t="e">
        <f>Issue_Log!181:181-"67\!%h"</f>
        <v>#VALUE!</v>
      </c>
      <c r="IL1" t="e">
        <f>Issue_Log!182:182-"67\!%i"</f>
        <v>#VALUE!</v>
      </c>
      <c r="IM1" t="e">
        <f>Issue_Log!183:183-"67\!%j"</f>
        <v>#VALUE!</v>
      </c>
      <c r="IN1" t="e">
        <f>Issue_Log!184:184-"67\!%k"</f>
        <v>#VALUE!</v>
      </c>
      <c r="IO1" t="e">
        <f>Issue_Log!185:185-"67\!%l"</f>
        <v>#VALUE!</v>
      </c>
      <c r="IP1" t="e">
        <f>Issue_Log!186:186-"67\!%m"</f>
        <v>#VALUE!</v>
      </c>
      <c r="IQ1" t="e">
        <f>Issue_Log!187:187-"67\!%n"</f>
        <v>#VALUE!</v>
      </c>
      <c r="IR1" t="e">
        <f>Issue_Log!188:188-"67\!%o"</f>
        <v>#VALUE!</v>
      </c>
      <c r="IS1" t="e">
        <f>Issue_Log!189:189-"67\!%p"</f>
        <v>#VALUE!</v>
      </c>
      <c r="IT1" t="e">
        <f>Issue_Log!190:190-"67\!%q"</f>
        <v>#VALUE!</v>
      </c>
      <c r="IU1" t="e">
        <f>Issue_Log!191:191-"67\!%r"</f>
        <v>#VALUE!</v>
      </c>
      <c r="IV1" t="e">
        <f>Issue_Log!192:192-"67\!%s"</f>
        <v>#VALUE!</v>
      </c>
    </row>
    <row r="2" spans="1:256" x14ac:dyDescent="0.15">
      <c r="A2" t="s">
        <v>9</v>
      </c>
      <c r="F2" t="e">
        <f>Issue_Log!193:193-"67\!%t"</f>
        <v>#VALUE!</v>
      </c>
      <c r="G2" t="e">
        <f>Issue_Log!194:194-"67\!%u"</f>
        <v>#VALUE!</v>
      </c>
      <c r="H2" t="e">
        <f>Issue_Log!195:195-"67\!%v"</f>
        <v>#VALUE!</v>
      </c>
      <c r="I2" t="e">
        <f>Issue_Log!196:196-"67\!%w"</f>
        <v>#VALUE!</v>
      </c>
      <c r="J2" t="e">
        <f>Issue_Log!197:197-"67\!%x"</f>
        <v>#VALUE!</v>
      </c>
      <c r="K2" t="e">
        <f>Issue_Log!198:198-"67\!%y"</f>
        <v>#VALUE!</v>
      </c>
      <c r="L2" t="e">
        <f>Issue_Log!199:199-"67\!%z"</f>
        <v>#VALUE!</v>
      </c>
      <c r="M2" t="e">
        <f>Issue_Log!200:200-"67\!%{"</f>
        <v>#VALUE!</v>
      </c>
      <c r="N2" t="e">
        <f>Issue_Log!201:201-"67\!%|"</f>
        <v>#VALUE!</v>
      </c>
      <c r="O2" t="e">
        <f>Issue_Log!202:202-"67\!%}"</f>
        <v>#VALUE!</v>
      </c>
      <c r="P2" t="e">
        <f>Issue_Log!203:203-"67\!%~"</f>
        <v>#VALUE!</v>
      </c>
      <c r="Q2" t="e">
        <f>Issue_Log!204:204-"67\!&amp;#"</f>
        <v>#VALUE!</v>
      </c>
      <c r="R2" t="e">
        <f>Issue_Log!205:205-"67\!&amp;$"</f>
        <v>#VALUE!</v>
      </c>
      <c r="S2" t="e">
        <f>Issue_Log!206:206-"67\!&amp;%"</f>
        <v>#VALUE!</v>
      </c>
      <c r="T2" t="e">
        <f>Issue_Log!207:207-"67\!&amp;&amp;"</f>
        <v>#VALUE!</v>
      </c>
      <c r="U2" t="e">
        <f>Issue_Log!208:208-"67\!&amp;'"</f>
        <v>#VALUE!</v>
      </c>
      <c r="V2" t="e">
        <f>Issue_Log!209:209-"67\!&amp;("</f>
        <v>#VALUE!</v>
      </c>
      <c r="W2" t="e">
        <f>Issue_Log!210:210-"67\!&amp;)"</f>
        <v>#VALUE!</v>
      </c>
      <c r="X2" t="e">
        <f>Issue_Log!211:211-"67\!&amp;."</f>
        <v>#VALUE!</v>
      </c>
      <c r="Y2" t="e">
        <f>Issue_Log!212:212-"67\!&amp;/"</f>
        <v>#VALUE!</v>
      </c>
      <c r="Z2" t="e">
        <f>Issue_Log!213:213-"67\!&amp;0"</f>
        <v>#VALUE!</v>
      </c>
      <c r="AA2" t="e">
        <f>Issue_Log!214:214-"67\!&amp;1"</f>
        <v>#VALUE!</v>
      </c>
      <c r="AB2" t="e">
        <f>Issue_Log!215:215-"67\!&amp;2"</f>
        <v>#VALUE!</v>
      </c>
      <c r="AC2" t="e">
        <f>Issue_Log!216:216-"67\!&amp;3"</f>
        <v>#VALUE!</v>
      </c>
      <c r="AD2" t="e">
        <f>Issue_Log!217:217-"67\!&amp;4"</f>
        <v>#VALUE!</v>
      </c>
      <c r="AE2" t="e">
        <f>Issue_Log!218:218-"67\!&amp;5"</f>
        <v>#VALUE!</v>
      </c>
      <c r="AF2" t="e">
        <f>Issue_Log!219:219-"67\!&amp;6"</f>
        <v>#VALUE!</v>
      </c>
      <c r="AG2" t="e">
        <f>Issue_Log!220:220-"67\!&amp;7"</f>
        <v>#VALUE!</v>
      </c>
      <c r="AH2" t="e">
        <f>Issue_Log!221:221-"67\!&amp;8"</f>
        <v>#VALUE!</v>
      </c>
      <c r="AI2" t="e">
        <f>Issue_Log!222:222-"67\!&amp;9"</f>
        <v>#VALUE!</v>
      </c>
      <c r="AJ2" t="e">
        <f>Issue_Log!223:223-"67\!&amp;:"</f>
        <v>#VALUE!</v>
      </c>
      <c r="AK2" t="e">
        <f>Issue_Log!224:224-"67\!&amp;;"</f>
        <v>#VALUE!</v>
      </c>
      <c r="AL2" t="e">
        <f>Issue_Log!225:225-"67\!&amp;&lt;"</f>
        <v>#VALUE!</v>
      </c>
      <c r="AM2" t="e">
        <f>Issue_Log!226:226-"67\!&amp;="</f>
        <v>#VALUE!</v>
      </c>
      <c r="AN2" t="e">
        <f>Issue_Log!227:227-"67\!&amp;&gt;"</f>
        <v>#VALUE!</v>
      </c>
      <c r="AO2" t="e">
        <f>Issue_Log!228:228-"67\!&amp;?"</f>
        <v>#VALUE!</v>
      </c>
      <c r="AP2" t="e">
        <f>Issue_Log!229:229-"67\!&amp;@"</f>
        <v>#VALUE!</v>
      </c>
      <c r="AQ2" t="e">
        <f>Issue_Log!230:230-"67\!&amp;A"</f>
        <v>#VALUE!</v>
      </c>
      <c r="AR2" t="e">
        <f>Issue_Log!231:231-"67\!&amp;B"</f>
        <v>#VALUE!</v>
      </c>
      <c r="AS2" t="e">
        <f>Issue_Log!232:232-"67\!&amp;C"</f>
        <v>#VALUE!</v>
      </c>
      <c r="AT2" t="e">
        <f>Issue_Log!233:233-"67\!&amp;D"</f>
        <v>#VALUE!</v>
      </c>
      <c r="AU2" t="e">
        <f>Issue_Log!234:234-"67\!&amp;E"</f>
        <v>#VALUE!</v>
      </c>
      <c r="AV2" t="e">
        <f>Issue_Log!235:235-"67\!&amp;F"</f>
        <v>#VALUE!</v>
      </c>
      <c r="AW2" t="e">
        <f>Issue_Log!236:236-"67\!&amp;G"</f>
        <v>#VALUE!</v>
      </c>
      <c r="AX2" t="e">
        <f>Issue_Log!237:237-"67\!&amp;H"</f>
        <v>#VALUE!</v>
      </c>
      <c r="AY2" t="e">
        <f>Issue_Log!238:238-"67\!&amp;I"</f>
        <v>#VALUE!</v>
      </c>
      <c r="AZ2" t="e">
        <f>Issue_Log!239:239-"67\!&amp;J"</f>
        <v>#VALUE!</v>
      </c>
      <c r="BA2" t="e">
        <f>Issue_Log!240:240-"67\!&amp;K"</f>
        <v>#VALUE!</v>
      </c>
      <c r="BB2" t="e">
        <f>Issue_Log!241:241-"67\!&amp;L"</f>
        <v>#VALUE!</v>
      </c>
      <c r="BC2" t="e">
        <f>Issue_Log!242:242-"67\!&amp;M"</f>
        <v>#VALUE!</v>
      </c>
      <c r="BD2" t="e">
        <f>Issue_Log!243:243-"67\!&amp;N"</f>
        <v>#VALUE!</v>
      </c>
      <c r="BE2" t="e">
        <f>Issue_Log!244:244-"67\!&amp;O"</f>
        <v>#VALUE!</v>
      </c>
      <c r="BF2" t="e">
        <f>Issue_Log!245:245-"67\!&amp;P"</f>
        <v>#VALUE!</v>
      </c>
      <c r="BG2" t="e">
        <f>Issue_Log!246:246-"67\!&amp;Q"</f>
        <v>#VALUE!</v>
      </c>
      <c r="BH2" t="e">
        <f>Issue_Log!247:247-"67\!&amp;R"</f>
        <v>#VALUE!</v>
      </c>
      <c r="BI2" t="e">
        <f>Issue_Log!248:248-"67\!&amp;S"</f>
        <v>#VALUE!</v>
      </c>
      <c r="BJ2" t="e">
        <f>Issue_Log!249:249-"67\!&amp;T"</f>
        <v>#VALUE!</v>
      </c>
      <c r="BK2" t="e">
        <f>Issue_Log!250:250-"67\!&amp;U"</f>
        <v>#VALUE!</v>
      </c>
      <c r="BL2" t="e">
        <f>Issue_Log!251:251-"67\!&amp;V"</f>
        <v>#VALUE!</v>
      </c>
      <c r="BM2" t="e">
        <f>Issue_Log!252:252-"67\!&amp;W"</f>
        <v>#VALUE!</v>
      </c>
      <c r="BN2" t="e">
        <f>Issue_Log!253:253-"67\!&amp;X"</f>
        <v>#VALUE!</v>
      </c>
      <c r="BO2" t="e">
        <f>Issue_Log!254:254-"67\!&amp;Y"</f>
        <v>#VALUE!</v>
      </c>
      <c r="BP2" t="e">
        <f>Issue_Log!255:255-"67\!&amp;Z"</f>
        <v>#VALUE!</v>
      </c>
      <c r="BQ2" t="e">
        <f>Issue_Log!256:256-"67\!&amp;["</f>
        <v>#VALUE!</v>
      </c>
      <c r="BR2" t="e">
        <f>Issue_Log!257:257-"67\!&amp;\"</f>
        <v>#VALUE!</v>
      </c>
      <c r="BS2" t="e">
        <f>Issue_Log!258:258-"67\!&amp;]"</f>
        <v>#VALUE!</v>
      </c>
      <c r="BT2" t="e">
        <f>Issue_Log!259:259-"67\!&amp;^"</f>
        <v>#VALUE!</v>
      </c>
      <c r="BU2" t="e">
        <f>Issue_Log!260:260-"67\!&amp;_"</f>
        <v>#VALUE!</v>
      </c>
      <c r="BV2" t="e">
        <f>Issue_Log!261:261-"67\!&amp;`"</f>
        <v>#VALUE!</v>
      </c>
      <c r="BW2" t="e">
        <f>Issue_Log!262:262-"67\!&amp;a"</f>
        <v>#VALUE!</v>
      </c>
      <c r="BX2" t="e">
        <f>Issue_Log!263:263-"67\!&amp;b"</f>
        <v>#VALUE!</v>
      </c>
      <c r="BY2" t="e">
        <f>Issue_Log!264:264-"67\!&amp;c"</f>
        <v>#VALUE!</v>
      </c>
      <c r="BZ2" t="e">
        <f>Issue_Log!265:265-"67\!&amp;d"</f>
        <v>#VALUE!</v>
      </c>
      <c r="CA2" t="e">
        <f>Issue_Log!266:266-"67\!&amp;e"</f>
        <v>#VALUE!</v>
      </c>
      <c r="CB2" t="e">
        <f>Issue_Log!267:267-"67\!&amp;f"</f>
        <v>#VALUE!</v>
      </c>
      <c r="CC2" t="e">
        <f>Issue_Log!268:268-"67\!&amp;g"</f>
        <v>#VALUE!</v>
      </c>
      <c r="CD2" t="e">
        <f>Issue_Log!269:269-"67\!&amp;h"</f>
        <v>#VALUE!</v>
      </c>
      <c r="CE2" t="e">
        <f>Issue_Log!270:270-"67\!&amp;i"</f>
        <v>#VALUE!</v>
      </c>
      <c r="CF2" t="e">
        <f>Issue_Log!271:271-"67\!&amp;j"</f>
        <v>#VALUE!</v>
      </c>
      <c r="CG2" t="e">
        <f>Issue_Log!272:272-"67\!&amp;k"</f>
        <v>#VALUE!</v>
      </c>
      <c r="CH2" t="e">
        <f>Issue_Log!273:273-"67\!&amp;l"</f>
        <v>#VALUE!</v>
      </c>
      <c r="CI2" t="e">
        <f>Issue_Log!274:274-"67\!&amp;m"</f>
        <v>#VALUE!</v>
      </c>
      <c r="CJ2" t="e">
        <f>Issue_Log!275:275-"67\!&amp;n"</f>
        <v>#VALUE!</v>
      </c>
      <c r="CK2" t="e">
        <f>Issue_Log!276:276-"67\!&amp;o"</f>
        <v>#VALUE!</v>
      </c>
      <c r="CL2" t="e">
        <f>Issue_Log!277:277-"67\!&amp;p"</f>
        <v>#VALUE!</v>
      </c>
      <c r="CM2" t="e">
        <f>Issue_Log!278:278-"67\!&amp;q"</f>
        <v>#VALUE!</v>
      </c>
      <c r="CN2" t="e">
        <f>Issue_Log!279:279-"67\!&amp;r"</f>
        <v>#VALUE!</v>
      </c>
      <c r="CO2" t="e">
        <f>Issue_Log!280:280-"67\!&amp;s"</f>
        <v>#VALUE!</v>
      </c>
      <c r="CP2" t="e">
        <f>Issue_Log!281:281-"67\!&amp;t"</f>
        <v>#VALUE!</v>
      </c>
      <c r="CQ2" t="e">
        <f>Issue_Log!282:282-"67\!&amp;u"</f>
        <v>#VALUE!</v>
      </c>
      <c r="CR2" t="e">
        <f>Issue_Log!283:283-"67\!&amp;v"</f>
        <v>#VALUE!</v>
      </c>
      <c r="CS2" t="e">
        <f>Issue_Log!284:284-"67\!&amp;w"</f>
        <v>#VALUE!</v>
      </c>
      <c r="CT2" t="e">
        <f>Issue_Log!285:285-"67\!&amp;x"</f>
        <v>#VALUE!</v>
      </c>
      <c r="CU2" t="e">
        <f>Issue_Log!286:286-"67\!&amp;y"</f>
        <v>#VALUE!</v>
      </c>
      <c r="CV2" t="e">
        <f>Issue_Log!287:287-"67\!&amp;z"</f>
        <v>#VALUE!</v>
      </c>
      <c r="CW2" t="e">
        <f>Issue_Log!288:288-"67\!&amp;{"</f>
        <v>#VALUE!</v>
      </c>
      <c r="CX2" t="e">
        <f>Issue_Log!289:289-"67\!&amp;|"</f>
        <v>#VALUE!</v>
      </c>
      <c r="CY2" t="e">
        <f>Issue_Log!290:290-"67\!&amp;}"</f>
        <v>#VALUE!</v>
      </c>
      <c r="CZ2" t="e">
        <f>Issue_Log!291:291-"67\!&amp;~"</f>
        <v>#VALUE!</v>
      </c>
      <c r="DA2" t="e">
        <f>Issue_Log!292:292-"67\!'#"</f>
        <v>#VALUE!</v>
      </c>
      <c r="DB2" t="e">
        <f>Issue_Log!293:293-"67\!'$"</f>
        <v>#VALUE!</v>
      </c>
      <c r="DC2" t="e">
        <f>Issue_Log!294:294-"67\!'%"</f>
        <v>#VALUE!</v>
      </c>
      <c r="DD2" t="e">
        <f>Issue_Log!295:295-"67\!'&amp;"</f>
        <v>#VALUE!</v>
      </c>
      <c r="DE2" t="e">
        <f>Issue_Log!296:296-"67\!''"</f>
        <v>#VALUE!</v>
      </c>
      <c r="DF2" t="e">
        <f>Issue_Log!297:297-"67\!'("</f>
        <v>#VALUE!</v>
      </c>
      <c r="DG2" t="e">
        <f>Issue_Log!298:298-"67\!')"</f>
        <v>#VALUE!</v>
      </c>
      <c r="DH2" t="e">
        <f>Issue_Log!299:299-"67\!'."</f>
        <v>#VALUE!</v>
      </c>
      <c r="DI2" t="e">
        <f>Issue_Log!300:300-"67\!'/"</f>
        <v>#VALUE!</v>
      </c>
      <c r="DJ2" t="e">
        <f>Issue_Log!301:301-"67\!'0"</f>
        <v>#VALUE!</v>
      </c>
      <c r="DK2" t="e">
        <f>Issue_Log!302:302-"67\!'1"</f>
        <v>#VALUE!</v>
      </c>
      <c r="DL2" t="e">
        <f>Issue_Log!303:303-"67\!'2"</f>
        <v>#VALUE!</v>
      </c>
      <c r="DM2" t="e">
        <f>Issue_Log!304:304-"67\!'3"</f>
        <v>#VALUE!</v>
      </c>
      <c r="DN2" t="e">
        <f>Issue_Log!305:305-"67\!'4"</f>
        <v>#VALUE!</v>
      </c>
      <c r="DO2" t="e">
        <f>Issue_Log!306:306-"67\!'5"</f>
        <v>#VALUE!</v>
      </c>
      <c r="DP2" t="e">
        <f>Issue_Log!307:307-"67\!'6"</f>
        <v>#VALUE!</v>
      </c>
      <c r="DQ2" t="e">
        <f>Issue_Log!308:308-"67\!'7"</f>
        <v>#VALUE!</v>
      </c>
      <c r="DR2" t="e">
        <f>Issue_Log!309:309-"67\!'8"</f>
        <v>#VALUE!</v>
      </c>
      <c r="DS2" t="e">
        <f>Issue_Log!310:310-"67\!'9"</f>
        <v>#VALUE!</v>
      </c>
      <c r="DT2" t="e">
        <f>Issue_Log!311:311-"67\!':"</f>
        <v>#VALUE!</v>
      </c>
      <c r="DU2" t="e">
        <f>Issue_Log!312:312-"67\!';"</f>
        <v>#VALUE!</v>
      </c>
      <c r="DV2" t="e">
        <f>Issue_Log!313:313-"67\!'&lt;"</f>
        <v>#VALUE!</v>
      </c>
      <c r="DW2" t="e">
        <f>Issue_Log!314:314-"67\!'="</f>
        <v>#VALUE!</v>
      </c>
      <c r="DX2" t="e">
        <f>Issue_Log!315:315-"67\!'&gt;"</f>
        <v>#VALUE!</v>
      </c>
      <c r="DY2" t="e">
        <f>Issue_Log!316:316-"67\!'?"</f>
        <v>#VALUE!</v>
      </c>
      <c r="DZ2" t="e">
        <f>Issue_Log!317:317-"67\!'@"</f>
        <v>#VALUE!</v>
      </c>
      <c r="EA2" t="e">
        <f>Issue_Log!318:318-"67\!'A"</f>
        <v>#VALUE!</v>
      </c>
      <c r="EB2" t="e">
        <f>Issue_Log!319:319-"67\!'B"</f>
        <v>#VALUE!</v>
      </c>
      <c r="EC2" t="e">
        <f>Issue_Log!320:320-"67\!'C"</f>
        <v>#VALUE!</v>
      </c>
      <c r="ED2" t="e">
        <f>Issue_Log!321:321-"67\!'D"</f>
        <v>#VALUE!</v>
      </c>
      <c r="EE2" t="e">
        <f>Issue_Log!322:322-"67\!'E"</f>
        <v>#VALUE!</v>
      </c>
      <c r="EF2" t="e">
        <f>Issue_Log!323:323-"67\!'F"</f>
        <v>#VALUE!</v>
      </c>
      <c r="EG2" t="e">
        <f>Issue_Log!324:324-"67\!'G"</f>
        <v>#VALUE!</v>
      </c>
      <c r="EH2" t="e">
        <f>Issue_Log!325:325-"67\!'H"</f>
        <v>#VALUE!</v>
      </c>
      <c r="EI2" t="e">
        <f>Issue_Log!326:326-"67\!'I"</f>
        <v>#VALUE!</v>
      </c>
      <c r="EJ2" t="e">
        <f>Issue_Log!327:327-"67\!'J"</f>
        <v>#VALUE!</v>
      </c>
      <c r="EK2" t="e">
        <f>Issue_Log!328:328-"67\!'K"</f>
        <v>#VALUE!</v>
      </c>
      <c r="EL2" t="e">
        <f>Issue_Log!329:329-"67\!'L"</f>
        <v>#VALUE!</v>
      </c>
      <c r="EM2" t="e">
        <f>Issue_Log!330:330-"67\!'M"</f>
        <v>#VALUE!</v>
      </c>
      <c r="EN2" t="e">
        <f>Issue_Log!331:331-"67\!'N"</f>
        <v>#VALUE!</v>
      </c>
      <c r="EO2" t="e">
        <f>Issue_Log!332:332-"67\!'O"</f>
        <v>#VALUE!</v>
      </c>
      <c r="EP2" t="e">
        <f>Issue_Log!333:333-"67\!'P"</f>
        <v>#VALUE!</v>
      </c>
      <c r="EQ2" t="e">
        <f>Issue_Log!334:334-"67\!'Q"</f>
        <v>#VALUE!</v>
      </c>
      <c r="ER2" t="e">
        <f>Issue_Log!335:335-"67\!'R"</f>
        <v>#VALUE!</v>
      </c>
      <c r="ES2" t="e">
        <f>Issue_Log!336:336-"67\!'S"</f>
        <v>#VALUE!</v>
      </c>
      <c r="ET2" t="e">
        <f>Issue_Log!337:337-"67\!'T"</f>
        <v>#VALUE!</v>
      </c>
      <c r="EU2" t="e">
        <f>Issue_Log!338:338-"67\!'U"</f>
        <v>#VALUE!</v>
      </c>
      <c r="EV2" t="e">
        <f>Issue_Log!339:339-"67\!'V"</f>
        <v>#VALUE!</v>
      </c>
      <c r="EW2" t="e">
        <f>Issue_Log!340:340-"67\!'W"</f>
        <v>#VALUE!</v>
      </c>
      <c r="EX2" t="e">
        <f>Issue_Log!341:341-"67\!'X"</f>
        <v>#VALUE!</v>
      </c>
      <c r="EY2" t="e">
        <f>Issue_Log!342:342-"67\!'Y"</f>
        <v>#VALUE!</v>
      </c>
      <c r="EZ2" t="e">
        <f>Issue_Log!343:343-"67\!'Z"</f>
        <v>#VALUE!</v>
      </c>
      <c r="FA2" t="e">
        <f>Issue_Log!344:344-"67\!'["</f>
        <v>#VALUE!</v>
      </c>
      <c r="FB2" t="e">
        <f>Issue_Log!345:345-"67\!'\"</f>
        <v>#VALUE!</v>
      </c>
      <c r="FC2" t="e">
        <f>Issue_Log!346:346-"67\!']"</f>
        <v>#VALUE!</v>
      </c>
      <c r="FD2" t="e">
        <f>Issue_Log!347:347-"67\!'^"</f>
        <v>#VALUE!</v>
      </c>
      <c r="FE2" t="e">
        <f>Issue_Log!348:348-"67\!'_"</f>
        <v>#VALUE!</v>
      </c>
      <c r="FF2" t="e">
        <f>Issue_Log!349:349-"67\!'`"</f>
        <v>#VALUE!</v>
      </c>
      <c r="FG2" t="e">
        <f>Issue_Log!350:350-"67\!'a"</f>
        <v>#VALUE!</v>
      </c>
      <c r="FH2" t="e">
        <f>Issue_Log!351:351-"67\!'b"</f>
        <v>#VALUE!</v>
      </c>
      <c r="FI2" t="e">
        <f>Issue_Log!352:352-"67\!'c"</f>
        <v>#VALUE!</v>
      </c>
      <c r="FJ2" t="e">
        <f>Issue_Log!353:353-"67\!'d"</f>
        <v>#VALUE!</v>
      </c>
      <c r="FK2" t="e">
        <f>Issue_Log!354:354-"67\!'e"</f>
        <v>#VALUE!</v>
      </c>
      <c r="FL2" t="e">
        <f>Issue_Log!355:355-"67\!'f"</f>
        <v>#VALUE!</v>
      </c>
      <c r="FM2" t="e">
        <f>Issue_Log!356:356-"67\!'g"</f>
        <v>#VALUE!</v>
      </c>
      <c r="FN2" t="e">
        <f>Issue_Log!357:357-"67\!'h"</f>
        <v>#VALUE!</v>
      </c>
      <c r="FO2" t="e">
        <f>Issue_Log!358:358-"67\!'i"</f>
        <v>#VALUE!</v>
      </c>
      <c r="FP2" t="e">
        <f>Issue_Log!359:359-"67\!'j"</f>
        <v>#VALUE!</v>
      </c>
      <c r="FQ2" t="e">
        <f>Issue_Log!360:360-"67\!'k"</f>
        <v>#VALUE!</v>
      </c>
      <c r="FR2" t="e">
        <f>Issue_Log!361:361-"67\!'l"</f>
        <v>#VALUE!</v>
      </c>
      <c r="FS2" t="e">
        <f>Issue_Log!362:362-"67\!'m"</f>
        <v>#VALUE!</v>
      </c>
      <c r="FT2" t="e">
        <f>Issue_Log!363:363-"67\!'n"</f>
        <v>#VALUE!</v>
      </c>
      <c r="FU2" t="e">
        <f>Issue_Log!364:364-"67\!'o"</f>
        <v>#VALUE!</v>
      </c>
      <c r="FV2" t="e">
        <f>Issue_Log!365:365-"67\!'p"</f>
        <v>#VALUE!</v>
      </c>
      <c r="FW2" t="e">
        <f>Issue_Log!366:366-"67\!'q"</f>
        <v>#VALUE!</v>
      </c>
      <c r="FX2" t="e">
        <f>Issue_Log!367:367-"67\!'r"</f>
        <v>#VALUE!</v>
      </c>
      <c r="FY2" t="e">
        <f>Issue_Log!368:368-"67\!'s"</f>
        <v>#VALUE!</v>
      </c>
      <c r="FZ2" t="e">
        <f>Issue_Log!369:369-"67\!'t"</f>
        <v>#VALUE!</v>
      </c>
      <c r="GA2" t="e">
        <f>Issue_Log!370:370-"67\!'u"</f>
        <v>#VALUE!</v>
      </c>
      <c r="GB2" t="e">
        <f>Issue_Log!371:371-"67\!'v"</f>
        <v>#VALUE!</v>
      </c>
      <c r="GC2" t="e">
        <f>Issue_Log!372:372-"67\!'w"</f>
        <v>#VALUE!</v>
      </c>
      <c r="GD2" t="e">
        <f>Issue_Log!373:373-"67\!'x"</f>
        <v>#VALUE!</v>
      </c>
      <c r="GE2" t="e">
        <f>Issue_Log!374:374-"67\!'y"</f>
        <v>#VALUE!</v>
      </c>
      <c r="GF2" t="e">
        <f>Issue_Log!375:375-"67\!'z"</f>
        <v>#VALUE!</v>
      </c>
      <c r="GG2" t="e">
        <f>Issue_Log!376:376-"67\!'{"</f>
        <v>#VALUE!</v>
      </c>
      <c r="GH2" t="e">
        <f>Issue_Log!377:377-"67\!'|"</f>
        <v>#VALUE!</v>
      </c>
      <c r="GI2" t="e">
        <f>Issue_Log!378:378-"67\!'}"</f>
        <v>#VALUE!</v>
      </c>
      <c r="GJ2" t="e">
        <f>Issue_Log!379:379-"67\!'~"</f>
        <v>#VALUE!</v>
      </c>
      <c r="GK2" t="e">
        <f>Issue_Log!380:380-"67\!(#"</f>
        <v>#VALUE!</v>
      </c>
      <c r="GL2" t="e">
        <f>Issue_Log!381:381-"67\!($"</f>
        <v>#VALUE!</v>
      </c>
      <c r="GM2" t="e">
        <f>Issue_Log!382:382-"67\!(%"</f>
        <v>#VALUE!</v>
      </c>
      <c r="GN2" t="e">
        <f>Issue_Log!383:383-"67\!(&amp;"</f>
        <v>#VALUE!</v>
      </c>
      <c r="GO2" t="e">
        <f>Issue_Log!384:384-"67\!('"</f>
        <v>#VALUE!</v>
      </c>
      <c r="GP2" t="e">
        <f>Issue_Log!385:385-"67\!(("</f>
        <v>#VALUE!</v>
      </c>
      <c r="GQ2" t="e">
        <f>Issue_Log!386:386-"67\!()"</f>
        <v>#VALUE!</v>
      </c>
      <c r="GR2" t="e">
        <f>Issue_Log!387:387-"67\!(."</f>
        <v>#VALUE!</v>
      </c>
      <c r="GS2" t="e">
        <f>Issue_Log!388:388-"67\!(/"</f>
        <v>#VALUE!</v>
      </c>
      <c r="GT2" t="e">
        <f>Issue_Log!389:389-"67\!(0"</f>
        <v>#VALUE!</v>
      </c>
      <c r="GU2" t="e">
        <f>Issue_Log!390:390-"67\!(1"</f>
        <v>#VALUE!</v>
      </c>
      <c r="GV2" t="e">
        <f>Issue_Log!391:391-"67\!(2"</f>
        <v>#VALUE!</v>
      </c>
      <c r="GW2" t="e">
        <f>Issue_Log!392:392-"67\!(3"</f>
        <v>#VALUE!</v>
      </c>
      <c r="GX2" t="e">
        <f>Issue_Log!393:393-"67\!(4"</f>
        <v>#VALUE!</v>
      </c>
      <c r="GY2" t="e">
        <f>Issue_Log!394:394-"67\!(5"</f>
        <v>#VALUE!</v>
      </c>
      <c r="GZ2" t="e">
        <f>Issue_Log!395:395-"67\!(6"</f>
        <v>#VALUE!</v>
      </c>
      <c r="HA2" t="e">
        <f>Issue_Log!396:396-"67\!(7"</f>
        <v>#VALUE!</v>
      </c>
      <c r="HB2" t="e">
        <f>Issue_Log!397:397-"67\!(8"</f>
        <v>#VALUE!</v>
      </c>
      <c r="HC2" t="e">
        <f>Issue_Log!398:398-"67\!(9"</f>
        <v>#VALUE!</v>
      </c>
      <c r="HD2" t="e">
        <f>Issue_Log!399:399-"67\!(:"</f>
        <v>#VALUE!</v>
      </c>
      <c r="HE2" t="e">
        <f>Issue_Log!400:400-"67\!(;"</f>
        <v>#VALUE!</v>
      </c>
      <c r="HF2" t="e">
        <f>Issue_Log!401:401-"67\!(&lt;"</f>
        <v>#VALUE!</v>
      </c>
      <c r="HG2" t="e">
        <f>Issue_Log!402:402-"67\!(="</f>
        <v>#VALUE!</v>
      </c>
      <c r="HH2" t="e">
        <f>Issue_Log!403:403-"67\!(&gt;"</f>
        <v>#VALUE!</v>
      </c>
      <c r="HI2" t="e">
        <f>Issue_Log!404:404-"67\!(?"</f>
        <v>#VALUE!</v>
      </c>
      <c r="HJ2" t="e">
        <f>Issue_Log!405:405-"67\!(@"</f>
        <v>#VALUE!</v>
      </c>
      <c r="HK2" t="e">
        <f>Issue_Log!406:406-"67\!(A"</f>
        <v>#VALUE!</v>
      </c>
      <c r="HL2" t="e">
        <f>Issue_Log!407:407-"67\!(B"</f>
        <v>#VALUE!</v>
      </c>
      <c r="HM2" t="e">
        <f>Issue_Log!408:408-"67\!(C"</f>
        <v>#VALUE!</v>
      </c>
      <c r="HN2" t="e">
        <f>Issue_Log!409:409-"67\!(D"</f>
        <v>#VALUE!</v>
      </c>
      <c r="HO2" t="e">
        <f>Issue_Log!410:410-"67\!(E"</f>
        <v>#VALUE!</v>
      </c>
      <c r="HP2" t="e">
        <f>Issue_Log!411:411-"67\!(F"</f>
        <v>#VALUE!</v>
      </c>
      <c r="HQ2" t="e">
        <f>Issue_Log!412:412-"67\!(G"</f>
        <v>#VALUE!</v>
      </c>
      <c r="HR2" t="e">
        <f>Issue_Log!413:413-"67\!(H"</f>
        <v>#VALUE!</v>
      </c>
      <c r="HS2" t="e">
        <f>Issue_Log!414:414-"67\!(I"</f>
        <v>#VALUE!</v>
      </c>
      <c r="HT2" t="e">
        <f>Issue_Log!415:415-"67\!(J"</f>
        <v>#VALUE!</v>
      </c>
      <c r="HU2" t="e">
        <f>Issue_Log!416:416-"67\!(K"</f>
        <v>#VALUE!</v>
      </c>
      <c r="HV2" t="e">
        <f>Issue_Log!417:417-"67\!(L"</f>
        <v>#VALUE!</v>
      </c>
      <c r="HW2" t="e">
        <f>Issue_Log!418:418-"67\!(M"</f>
        <v>#VALUE!</v>
      </c>
      <c r="HX2" t="e">
        <f>Issue_Log!419:419-"67\!(N"</f>
        <v>#VALUE!</v>
      </c>
      <c r="HY2" t="e">
        <f>Issue_Log!420:420-"67\!(O"</f>
        <v>#VALUE!</v>
      </c>
      <c r="HZ2" t="e">
        <f>Issue_Log!421:421-"67\!(P"</f>
        <v>#VALUE!</v>
      </c>
      <c r="IA2" t="e">
        <f>Issue_Log!422:422-"67\!(Q"</f>
        <v>#VALUE!</v>
      </c>
      <c r="IB2" t="e">
        <f>Issue_Log!423:423-"67\!(R"</f>
        <v>#VALUE!</v>
      </c>
      <c r="IC2" t="e">
        <f>Issue_Log!424:424-"67\!(S"</f>
        <v>#VALUE!</v>
      </c>
      <c r="ID2" t="e">
        <f>Issue_Log!425:425-"67\!(T"</f>
        <v>#VALUE!</v>
      </c>
      <c r="IE2" t="e">
        <f>Issue_Log!426:426-"67\!(U"</f>
        <v>#VALUE!</v>
      </c>
      <c r="IF2" t="e">
        <f>Issue_Log!427:427-"67\!(V"</f>
        <v>#VALUE!</v>
      </c>
      <c r="IG2" t="e">
        <f>Issue_Log!428:428-"67\!(W"</f>
        <v>#VALUE!</v>
      </c>
      <c r="IH2" t="e">
        <f>Issue_Log!429:429-"67\!(X"</f>
        <v>#VALUE!</v>
      </c>
      <c r="II2" t="e">
        <f>Issue_Log!430:430-"67\!(Y"</f>
        <v>#VALUE!</v>
      </c>
      <c r="IJ2" t="e">
        <f>Issue_Log!431:431-"67\!(Z"</f>
        <v>#VALUE!</v>
      </c>
      <c r="IK2" t="e">
        <f>Issue_Log!432:432-"67\!(["</f>
        <v>#VALUE!</v>
      </c>
      <c r="IL2" t="e">
        <f>Issue_Log!433:433-"67\!(\"</f>
        <v>#VALUE!</v>
      </c>
      <c r="IM2" t="e">
        <f>Issue_Log!434:434-"67\!(]"</f>
        <v>#VALUE!</v>
      </c>
      <c r="IN2" t="e">
        <f>Issue_Log!435:435-"67\!(^"</f>
        <v>#VALUE!</v>
      </c>
      <c r="IO2" t="e">
        <f>Issue_Log!436:436-"67\!(_"</f>
        <v>#VALUE!</v>
      </c>
      <c r="IP2" t="e">
        <f>Issue_Log!437:437-"67\!(`"</f>
        <v>#VALUE!</v>
      </c>
      <c r="IQ2" t="e">
        <f>Issue_Log!438:438-"67\!(a"</f>
        <v>#VALUE!</v>
      </c>
      <c r="IR2" t="e">
        <f>Issue_Log!439:439-"67\!(b"</f>
        <v>#VALUE!</v>
      </c>
      <c r="IS2" t="e">
        <f>Issue_Log!440:440-"67\!(c"</f>
        <v>#VALUE!</v>
      </c>
      <c r="IT2" t="e">
        <f>Issue_Log!441:441-"67\!(d"</f>
        <v>#VALUE!</v>
      </c>
      <c r="IU2" t="e">
        <f>Issue_Log!442:442-"67\!(e"</f>
        <v>#VALUE!</v>
      </c>
      <c r="IV2" t="e">
        <f>Issue_Log!443:443-"67\!(f"</f>
        <v>#VALUE!</v>
      </c>
    </row>
    <row r="3" spans="1:256" x14ac:dyDescent="0.15">
      <c r="A3" t="s">
        <v>10</v>
      </c>
      <c r="F3" t="e">
        <f>Issue_Log!444:444-"67\!(g"</f>
        <v>#VALUE!</v>
      </c>
      <c r="G3" t="e">
        <f>Issue_Log!445:445-"67\!(h"</f>
        <v>#VALUE!</v>
      </c>
      <c r="H3" t="e">
        <f>Issue_Log!446:446-"67\!(i"</f>
        <v>#VALUE!</v>
      </c>
      <c r="I3" t="e">
        <f>Issue_Log!447:447-"67\!(j"</f>
        <v>#VALUE!</v>
      </c>
      <c r="J3" t="e">
        <f>Issue_Log!448:448-"67\!(k"</f>
        <v>#VALUE!</v>
      </c>
      <c r="K3" t="e">
        <f>Issue_Log!449:449-"67\!(l"</f>
        <v>#VALUE!</v>
      </c>
      <c r="L3" t="e">
        <f>Issue_Log!450:450-"67\!(m"</f>
        <v>#VALUE!</v>
      </c>
      <c r="M3" t="e">
        <f>Issue_Log!451:451-"67\!(n"</f>
        <v>#VALUE!</v>
      </c>
      <c r="N3" t="e">
        <f>Issue_Log!452:452-"67\!(o"</f>
        <v>#VALUE!</v>
      </c>
      <c r="O3" t="e">
        <f>Issue_Log!453:453-"67\!(p"</f>
        <v>#VALUE!</v>
      </c>
      <c r="P3" t="e">
        <f>Issue_Log!454:454-"67\!(q"</f>
        <v>#VALUE!</v>
      </c>
      <c r="Q3" t="e">
        <f>Issue_Log!455:455-"67\!(r"</f>
        <v>#VALUE!</v>
      </c>
      <c r="R3" t="e">
        <f>Issue_Log!456:456-"67\!(s"</f>
        <v>#VALUE!</v>
      </c>
      <c r="S3" t="e">
        <f>Issue_Log!457:457-"67\!(t"</f>
        <v>#VALUE!</v>
      </c>
      <c r="T3" t="e">
        <f>Issue_Log!458:458-"67\!(u"</f>
        <v>#VALUE!</v>
      </c>
      <c r="U3" t="e">
        <f>Issue_Log!459:459-"67\!(v"</f>
        <v>#VALUE!</v>
      </c>
      <c r="V3" t="e">
        <f>Issue_Log!460:460-"67\!(w"</f>
        <v>#VALUE!</v>
      </c>
      <c r="W3" t="e">
        <f>Issue_Log!461:461-"67\!(x"</f>
        <v>#VALUE!</v>
      </c>
      <c r="X3" t="e">
        <f>Issue_Log!462:462-"67\!(y"</f>
        <v>#VALUE!</v>
      </c>
      <c r="Y3" t="e">
        <f>Issue_Log!463:463-"67\!(z"</f>
        <v>#VALUE!</v>
      </c>
      <c r="Z3" t="e">
        <f>Issue_Log!464:464-"67\!({"</f>
        <v>#VALUE!</v>
      </c>
      <c r="AA3" t="e">
        <f>Issue_Log!465:465-"67\!(|"</f>
        <v>#VALUE!</v>
      </c>
      <c r="AB3" t="e">
        <f>Issue_Log!466:466-"67\!(}"</f>
        <v>#VALUE!</v>
      </c>
      <c r="AC3" t="e">
        <f>Issue_Log!467:467-"67\!(~"</f>
        <v>#VALUE!</v>
      </c>
      <c r="AD3" t="e">
        <f>Issue_Log!468:468-"67\!)#"</f>
        <v>#VALUE!</v>
      </c>
      <c r="AE3" t="e">
        <f>Issue_Log!469:469-"67\!)$"</f>
        <v>#VALUE!</v>
      </c>
      <c r="AF3" t="e">
        <f>Issue_Log!470:470-"67\!)%"</f>
        <v>#VALUE!</v>
      </c>
      <c r="AG3" t="e">
        <f>Issue_Log!471:471-"67\!)&amp;"</f>
        <v>#VALUE!</v>
      </c>
      <c r="AH3" t="e">
        <f>Issue_Log!472:472-"67\!)'"</f>
        <v>#VALUE!</v>
      </c>
      <c r="AI3" t="e">
        <f>Issue_Log!473:473-"67\!)("</f>
        <v>#VALUE!</v>
      </c>
      <c r="AJ3" t="e">
        <f>Issue_Log!474:474-"67\!))"</f>
        <v>#VALUE!</v>
      </c>
      <c r="AK3" t="e">
        <f>Issue_Log!475:475-"67\!)."</f>
        <v>#VALUE!</v>
      </c>
      <c r="AL3" t="e">
        <f>Issue_Log!476:476-"67\!)/"</f>
        <v>#VALUE!</v>
      </c>
      <c r="AM3" t="e">
        <f>Issue_Log!477:477-"67\!)0"</f>
        <v>#VALUE!</v>
      </c>
      <c r="AN3" t="e">
        <f>Issue_Log!478:478-"67\!)1"</f>
        <v>#VALUE!</v>
      </c>
      <c r="AO3" t="e">
        <f>Issue_Log!479:479-"67\!)2"</f>
        <v>#VALUE!</v>
      </c>
      <c r="AP3" t="e">
        <f>Issue_Log!480:480-"67\!)3"</f>
        <v>#VALUE!</v>
      </c>
      <c r="AQ3" t="e">
        <f>Issue_Log!481:481-"67\!)4"</f>
        <v>#VALUE!</v>
      </c>
      <c r="AR3" t="e">
        <f>Issue_Log!482:482-"67\!)5"</f>
        <v>#VALUE!</v>
      </c>
      <c r="AS3" t="e">
        <f>Issue_Log!483:483-"67\!)6"</f>
        <v>#VALUE!</v>
      </c>
      <c r="AT3" t="e">
        <f>Issue_Log!484:484-"67\!)7"</f>
        <v>#VALUE!</v>
      </c>
      <c r="AU3" t="e">
        <f>Issue_Log!485:485-"67\!)8"</f>
        <v>#VALUE!</v>
      </c>
      <c r="AV3" t="e">
        <f>Issue_Log!486:486-"67\!)9"</f>
        <v>#VALUE!</v>
      </c>
      <c r="AW3" t="e">
        <f>Issue_Log!487:487-"67\!):"</f>
        <v>#VALUE!</v>
      </c>
      <c r="AX3" t="e">
        <f>Issue_Log!488:488-"67\!);"</f>
        <v>#VALUE!</v>
      </c>
      <c r="AY3" t="e">
        <f>Issue_Log!489:489-"67\!)&lt;"</f>
        <v>#VALUE!</v>
      </c>
      <c r="AZ3" t="e">
        <f>Issue_Log!490:490-"67\!)="</f>
        <v>#VALUE!</v>
      </c>
      <c r="BA3" t="e">
        <f>Issue_Log!491:491-"67\!)&gt;"</f>
        <v>#VALUE!</v>
      </c>
      <c r="BB3" t="e">
        <f>Issue_Log!492:492-"67\!)?"</f>
        <v>#VALUE!</v>
      </c>
      <c r="BC3" t="e">
        <f>Issue_Log!493:493-"67\!)@"</f>
        <v>#VALUE!</v>
      </c>
      <c r="BD3" t="e">
        <f>Issue_Log!494:494-"67\!)A"</f>
        <v>#VALUE!</v>
      </c>
      <c r="BE3" t="e">
        <f>Issue_Log!495:495-"67\!)B"</f>
        <v>#VALUE!</v>
      </c>
      <c r="BF3" t="e">
        <f>Issue_Log!496:496-"67\!)C"</f>
        <v>#VALUE!</v>
      </c>
      <c r="BG3" t="e">
        <f>Issue_Log!497:497-"67\!)D"</f>
        <v>#VALUE!</v>
      </c>
      <c r="BH3" t="e">
        <f>Issue_Log!498:498-"67\!)E"</f>
        <v>#VALUE!</v>
      </c>
      <c r="BI3" t="e">
        <f>Issue_Log!499:499-"67\!)F"</f>
        <v>#VALUE!</v>
      </c>
      <c r="BJ3" t="e">
        <f>Issue_Log!500:500-"67\!)G"</f>
        <v>#VALUE!</v>
      </c>
      <c r="BK3" t="e">
        <f>Issue_Log!501:501-"67\!)H"</f>
        <v>#VALUE!</v>
      </c>
      <c r="BL3" t="e">
        <f>Issue_Log!502:502-"67\!)I"</f>
        <v>#VALUE!</v>
      </c>
      <c r="BM3" t="e">
        <f>Issue_Log!503:503-"67\!)J"</f>
        <v>#VALUE!</v>
      </c>
      <c r="BN3" t="e">
        <f>Issue_Log!504:504-"67\!)K"</f>
        <v>#VALUE!</v>
      </c>
      <c r="BO3" t="e">
        <f>Issue_Log!505:505-"67\!)L"</f>
        <v>#VALUE!</v>
      </c>
      <c r="BP3" t="e">
        <f>Issue_Log!506:506-"67\!)M"</f>
        <v>#VALUE!</v>
      </c>
      <c r="BQ3" t="e">
        <f>Issue_Log!507:507-"67\!)N"</f>
        <v>#VALUE!</v>
      </c>
      <c r="BR3" t="e">
        <f>Issue_Log!508:508-"67\!)O"</f>
        <v>#VALUE!</v>
      </c>
      <c r="BS3" t="e">
        <f>Issue_Log!509:509-"67\!)P"</f>
        <v>#VALUE!</v>
      </c>
      <c r="BT3" t="e">
        <f>Issue_Log!510:510-"67\!)Q"</f>
        <v>#VALUE!</v>
      </c>
      <c r="BU3" t="e">
        <f>Issue_Log!511:511-"67\!)R"</f>
        <v>#VALUE!</v>
      </c>
      <c r="BV3" t="e">
        <f>Issue_Log!512:512-"67\!)S"</f>
        <v>#VALUE!</v>
      </c>
      <c r="BW3" t="e">
        <f>Issue_Log!513:513-"67\!)T"</f>
        <v>#VALUE!</v>
      </c>
      <c r="BX3" t="e">
        <f>Issue_Log!514:514-"67\!)U"</f>
        <v>#VALUE!</v>
      </c>
      <c r="BY3" t="e">
        <f>Issue_Log!515:515-"67\!)V"</f>
        <v>#VALUE!</v>
      </c>
      <c r="BZ3" t="e">
        <f>Issue_Log!516:516-"67\!)W"</f>
        <v>#VALUE!</v>
      </c>
      <c r="CA3" t="e">
        <f>Issue_Log!517:517-"67\!)X"</f>
        <v>#VALUE!</v>
      </c>
      <c r="CB3" t="e">
        <f>Issue_Log!518:518-"67\!)Y"</f>
        <v>#VALUE!</v>
      </c>
      <c r="CC3" t="e">
        <f>Issue_Log!519:519-"67\!)Z"</f>
        <v>#VALUE!</v>
      </c>
      <c r="CD3" t="e">
        <f>Issue_Log!520:520-"67\!)["</f>
        <v>#VALUE!</v>
      </c>
      <c r="CE3" t="e">
        <f>Issue_Log!521:521-"67\!)\"</f>
        <v>#VALUE!</v>
      </c>
      <c r="CF3" t="e">
        <f>Issue_Log!522:522-"67\!)]"</f>
        <v>#VALUE!</v>
      </c>
      <c r="CG3" t="e">
        <f>Issue_Log!523:523-"67\!)^"</f>
        <v>#VALUE!</v>
      </c>
      <c r="CH3" t="e">
        <f>Issue_Log!524:524-"67\!)_"</f>
        <v>#VALUE!</v>
      </c>
      <c r="CI3" t="e">
        <f>Issue_Log!525:525-"67\!)`"</f>
        <v>#VALUE!</v>
      </c>
      <c r="CJ3" t="e">
        <f>Issue_Log!526:526-"67\!)a"</f>
        <v>#VALUE!</v>
      </c>
      <c r="CK3" t="e">
        <f>Issue_Log!527:527-"67\!)b"</f>
        <v>#VALUE!</v>
      </c>
      <c r="CL3" t="e">
        <f>Issue_Log!528:528-"67\!)c"</f>
        <v>#VALUE!</v>
      </c>
      <c r="CM3" t="e">
        <f>Issue_Log!529:529-"67\!)d"</f>
        <v>#VALUE!</v>
      </c>
      <c r="CN3" t="e">
        <f>Issue_Log!530:530-"67\!)e"</f>
        <v>#VALUE!</v>
      </c>
      <c r="CO3" t="e">
        <f>Issue_Log!531:531-"67\!)f"</f>
        <v>#VALUE!</v>
      </c>
      <c r="CP3" t="e">
        <f>Issue_Log!532:532-"67\!)g"</f>
        <v>#VALUE!</v>
      </c>
      <c r="CQ3" t="e">
        <f>Issue_Log!533:533-"67\!)h"</f>
        <v>#VALUE!</v>
      </c>
      <c r="CR3" t="e">
        <f>Issue_Log!534:534-"67\!)i"</f>
        <v>#VALUE!</v>
      </c>
      <c r="CS3" t="e">
        <f>Issue_Log!535:535-"67\!)j"</f>
        <v>#VALUE!</v>
      </c>
      <c r="CT3" t="e">
        <f>Issue_Log!536:536-"67\!)k"</f>
        <v>#VALUE!</v>
      </c>
      <c r="CU3" t="e">
        <f>Issue_Log!537:537-"67\!)l"</f>
        <v>#VALUE!</v>
      </c>
      <c r="CV3" t="e">
        <f>Issue_Log!538:538-"67\!)m"</f>
        <v>#VALUE!</v>
      </c>
      <c r="CW3" t="e">
        <f>Issue_Log!539:539-"67\!)n"</f>
        <v>#VALUE!</v>
      </c>
      <c r="CX3" t="e">
        <f>Issue_Log!540:540-"67\!)o"</f>
        <v>#VALUE!</v>
      </c>
      <c r="CY3" t="e">
        <f>Issue_Log!541:541-"67\!)p"</f>
        <v>#VALUE!</v>
      </c>
      <c r="CZ3" t="e">
        <f>Issue_Log!542:542-"67\!)q"</f>
        <v>#VALUE!</v>
      </c>
      <c r="DA3" t="e">
        <f>Issue_Log!543:543-"67\!)r"</f>
        <v>#VALUE!</v>
      </c>
      <c r="DB3" t="e">
        <f>Issue_Log!544:544-"67\!)s"</f>
        <v>#VALUE!</v>
      </c>
      <c r="DC3" t="e">
        <f>Issue_Log!545:545-"67\!)t"</f>
        <v>#VALUE!</v>
      </c>
      <c r="DD3" t="e">
        <f>Issue_Log!546:546-"67\!)u"</f>
        <v>#VALUE!</v>
      </c>
      <c r="DE3" t="e">
        <f>Issue_Log!547:547-"67\!)v"</f>
        <v>#VALUE!</v>
      </c>
      <c r="DF3" t="e">
        <f>Issue_Log!548:548-"67\!)w"</f>
        <v>#VALUE!</v>
      </c>
      <c r="DG3" t="e">
        <f>Issue_Log!549:549-"67\!)x"</f>
        <v>#VALUE!</v>
      </c>
      <c r="DH3" t="e">
        <f>Issue_Log!550:550-"67\!)y"</f>
        <v>#VALUE!</v>
      </c>
      <c r="DI3" t="e">
        <f>Issue_Log!551:551-"67\!)z"</f>
        <v>#VALUE!</v>
      </c>
      <c r="DJ3" t="e">
        <f>Issue_Log!552:552-"67\!){"</f>
        <v>#VALUE!</v>
      </c>
      <c r="DK3" t="e">
        <f>Issue_Log!553:553-"67\!)|"</f>
        <v>#VALUE!</v>
      </c>
      <c r="DL3" t="e">
        <f>Issue_Log!554:554-"67\!)}"</f>
        <v>#VALUE!</v>
      </c>
      <c r="DM3" t="e">
        <f>Issue_Log!555:555-"67\!)~"</f>
        <v>#VALUE!</v>
      </c>
      <c r="DN3" t="e">
        <f>Issue_Log!556:556-"67\!.#"</f>
        <v>#VALUE!</v>
      </c>
      <c r="DO3" t="e">
        <f>Issue_Log!557:557-"67\!.$"</f>
        <v>#VALUE!</v>
      </c>
      <c r="DP3" t="e">
        <f>Issue_Log!558:558-"67\!.%"</f>
        <v>#VALUE!</v>
      </c>
      <c r="DQ3" t="e">
        <f>Issue_Log!559:559-"67\!.&amp;"</f>
        <v>#VALUE!</v>
      </c>
      <c r="DR3" t="e">
        <f>Issue_Log!560:560-"67\!.'"</f>
        <v>#VALUE!</v>
      </c>
      <c r="DS3" t="e">
        <f>Issue_Log!561:561-"67\!.("</f>
        <v>#VALUE!</v>
      </c>
      <c r="DT3" t="e">
        <f>Issue_Log!562:562-"67\!.)"</f>
        <v>#VALUE!</v>
      </c>
      <c r="DU3" t="e">
        <f>Issue_Log!563:563-"67\!.."</f>
        <v>#VALUE!</v>
      </c>
      <c r="DV3" t="e">
        <f>Issue_Log!564:564-"67\!./"</f>
        <v>#VALUE!</v>
      </c>
      <c r="DW3" t="e">
        <f>Issue_Log!565:565-"67\!.0"</f>
        <v>#VALUE!</v>
      </c>
      <c r="DX3" t="e">
        <f>Issue_Log!566:566-"67\!.1"</f>
        <v>#VALUE!</v>
      </c>
      <c r="DY3" t="e">
        <f>Issue_Log!567:567-"67\!.2"</f>
        <v>#VALUE!</v>
      </c>
      <c r="DZ3" t="e">
        <f>Issue_Log!568:568-"67\!.3"</f>
        <v>#VALUE!</v>
      </c>
      <c r="EA3" t="e">
        <f>Issue_Log!569:569-"67\!.4"</f>
        <v>#VALUE!</v>
      </c>
      <c r="EB3" t="e">
        <f>Issue_Log!570:570-"67\!.5"</f>
        <v>#VALUE!</v>
      </c>
      <c r="EC3" t="e">
        <f>Issue_Log!571:571-"67\!.6"</f>
        <v>#VALUE!</v>
      </c>
      <c r="ED3" t="e">
        <f>Issue_Log!572:572-"67\!.7"</f>
        <v>#VALUE!</v>
      </c>
      <c r="EE3" t="e">
        <f>Issue_Log!573:573-"67\!.8"</f>
        <v>#VALUE!</v>
      </c>
      <c r="EF3" t="e">
        <f>Issue_Log!574:574-"67\!.9"</f>
        <v>#VALUE!</v>
      </c>
      <c r="EG3" t="e">
        <f>Issue_Log!575:575-"67\!.:"</f>
        <v>#VALUE!</v>
      </c>
      <c r="EH3" t="e">
        <f>Issue_Log!576:576-"67\!.;"</f>
        <v>#VALUE!</v>
      </c>
      <c r="EI3" t="e">
        <f>Issue_Log!577:577-"67\!.&lt;"</f>
        <v>#VALUE!</v>
      </c>
      <c r="EJ3" t="e">
        <f>Issue_Log!578:578-"67\!.="</f>
        <v>#VALUE!</v>
      </c>
      <c r="EK3" t="e">
        <f>Issue_Log!579:579-"67\!.&gt;"</f>
        <v>#VALUE!</v>
      </c>
      <c r="EL3" t="e">
        <f>Issue_Log!580:580-"67\!.?"</f>
        <v>#VALUE!</v>
      </c>
      <c r="EM3" t="e">
        <f>Issue_Log!581:581-"67\!.@"</f>
        <v>#VALUE!</v>
      </c>
      <c r="EN3" t="e">
        <f>Issue_Log!582:582-"67\!.A"</f>
        <v>#VALUE!</v>
      </c>
      <c r="EO3" t="e">
        <f>Issue_Log!583:583-"67\!.B"</f>
        <v>#VALUE!</v>
      </c>
      <c r="EP3" t="e">
        <f>Issue_Log!584:584-"67\!.C"</f>
        <v>#VALUE!</v>
      </c>
      <c r="EQ3" t="e">
        <f>Issue_Log!585:585-"67\!.D"</f>
        <v>#VALUE!</v>
      </c>
      <c r="ER3" t="e">
        <f>Issue_Log!586:586-"67\!.E"</f>
        <v>#VALUE!</v>
      </c>
      <c r="ES3" t="e">
        <f>Issue_Log!587:587-"67\!.F"</f>
        <v>#VALUE!</v>
      </c>
      <c r="ET3" t="e">
        <f>Issue_Log!588:588-"67\!.G"</f>
        <v>#VALUE!</v>
      </c>
      <c r="EU3" t="e">
        <f>Issue_Log!589:589-"67\!.H"</f>
        <v>#VALUE!</v>
      </c>
      <c r="EV3" t="e">
        <f>Issue_Log!590:590-"67\!.I"</f>
        <v>#VALUE!</v>
      </c>
      <c r="EW3" t="e">
        <f>Issue_Log!591:591-"67\!.J"</f>
        <v>#VALUE!</v>
      </c>
      <c r="EX3" t="e">
        <f>Issue_Log!592:592-"67\!.K"</f>
        <v>#VALUE!</v>
      </c>
      <c r="EY3" t="e">
        <f>Issue_Log!593:593-"67\!.L"</f>
        <v>#VALUE!</v>
      </c>
      <c r="EZ3" t="e">
        <f>Issue_Log!594:594-"67\!.M"</f>
        <v>#VALUE!</v>
      </c>
      <c r="FA3" t="e">
        <f>Issue_Log!595:595-"67\!.N"</f>
        <v>#VALUE!</v>
      </c>
      <c r="FB3" t="e">
        <f>Issue_Log!596:596-"67\!.O"</f>
        <v>#VALUE!</v>
      </c>
      <c r="FC3" t="e">
        <f>Issue_Log!597:597-"67\!.P"</f>
        <v>#VALUE!</v>
      </c>
      <c r="FD3" t="e">
        <f>Issue_Log!598:598-"67\!.Q"</f>
        <v>#VALUE!</v>
      </c>
      <c r="FE3" t="e">
        <f>Issue_Log!599:599-"67\!.R"</f>
        <v>#VALUE!</v>
      </c>
      <c r="FF3" t="e">
        <f>Issue_Log!600:600-"67\!.S"</f>
        <v>#VALUE!</v>
      </c>
      <c r="FG3" t="e">
        <f>Issue_Log!601:601-"67\!.T"</f>
        <v>#VALUE!</v>
      </c>
      <c r="FH3" t="e">
        <f>Issue_Log!602:602-"67\!.U"</f>
        <v>#VALUE!</v>
      </c>
      <c r="FI3" t="e">
        <f>Issue_Log!603:603-"67\!.V"</f>
        <v>#VALUE!</v>
      </c>
      <c r="FJ3" t="e">
        <f>Issue_Log!604:604-"67\!.W"</f>
        <v>#VALUE!</v>
      </c>
      <c r="FK3" t="e">
        <f>Issue_Log!605:605-"67\!.X"</f>
        <v>#VALUE!</v>
      </c>
      <c r="FL3" t="e">
        <f>Issue_Log!606:606-"67\!.Y"</f>
        <v>#VALUE!</v>
      </c>
      <c r="FM3" t="e">
        <f>Issue_Log!607:607-"67\!.Z"</f>
        <v>#VALUE!</v>
      </c>
      <c r="FN3" t="e">
        <f>Issue_Log!608:608-"67\!.["</f>
        <v>#VALUE!</v>
      </c>
      <c r="FO3" t="e">
        <f>Issue_Log!609:609-"67\!.\"</f>
        <v>#VALUE!</v>
      </c>
      <c r="FP3" t="e">
        <f>Issue_Log!610:610-"67\!.]"</f>
        <v>#VALUE!</v>
      </c>
      <c r="FQ3" t="e">
        <f>Issue_Log!611:611-"67\!.^"</f>
        <v>#VALUE!</v>
      </c>
      <c r="FR3" t="e">
        <f>Issue_Log!612:612-"67\!._"</f>
        <v>#VALUE!</v>
      </c>
      <c r="FS3" t="e">
        <f>Issue_Log!613:613-"67\!.`"</f>
        <v>#VALUE!</v>
      </c>
      <c r="FT3" t="e">
        <f>Issue_Log!614:614-"67\!.a"</f>
        <v>#VALUE!</v>
      </c>
      <c r="FU3" t="e">
        <f>Issue_Log!615:615-"67\!.b"</f>
        <v>#VALUE!</v>
      </c>
      <c r="FV3" t="e">
        <f>Issue_Log!616:616-"67\!.c"</f>
        <v>#VALUE!</v>
      </c>
      <c r="FW3" t="e">
        <f>Issue_Log!617:617-"67\!.d"</f>
        <v>#VALUE!</v>
      </c>
      <c r="FX3" t="e">
        <f>Issue_Log!618:618-"67\!.e"</f>
        <v>#VALUE!</v>
      </c>
      <c r="FY3" t="e">
        <f>Issue_Log!619:619-"67\!.f"</f>
        <v>#VALUE!</v>
      </c>
      <c r="FZ3" t="e">
        <f>Issue_Log!620:620-"67\!.g"</f>
        <v>#VALUE!</v>
      </c>
      <c r="GA3" t="e">
        <f>Issue_Log!621:621-"67\!.h"</f>
        <v>#VALUE!</v>
      </c>
      <c r="GB3" t="e">
        <f>Issue_Log!622:622-"67\!.i"</f>
        <v>#VALUE!</v>
      </c>
      <c r="GC3" t="e">
        <f>Issue_Log!623:623-"67\!.j"</f>
        <v>#VALUE!</v>
      </c>
      <c r="GD3" t="e">
        <f>Issue_Log!624:624-"67\!.k"</f>
        <v>#VALUE!</v>
      </c>
      <c r="GE3" t="e">
        <f>Issue_Log!625:625-"67\!.l"</f>
        <v>#VALUE!</v>
      </c>
      <c r="GF3" t="e">
        <f>Issue_Log!626:626-"67\!.m"</f>
        <v>#VALUE!</v>
      </c>
      <c r="GG3" t="e">
        <f>Issue_Log!627:627-"67\!.n"</f>
        <v>#VALUE!</v>
      </c>
      <c r="GH3" t="e">
        <f>Issue_Log!628:628-"67\!.o"</f>
        <v>#VALUE!</v>
      </c>
      <c r="GI3" t="e">
        <f>Issue_Log!629:629-"67\!.p"</f>
        <v>#VALUE!</v>
      </c>
      <c r="GJ3" t="e">
        <f>Issue_Log!630:630-"67\!.q"</f>
        <v>#VALUE!</v>
      </c>
      <c r="GK3" t="e">
        <f>Issue_Log!631:631-"67\!.r"</f>
        <v>#VALUE!</v>
      </c>
      <c r="GL3" t="e">
        <f>Issue_Log!632:632-"67\!.s"</f>
        <v>#VALUE!</v>
      </c>
      <c r="GM3" t="e">
        <f>Issue_Log!633:633-"67\!.t"</f>
        <v>#VALUE!</v>
      </c>
      <c r="GN3" t="e">
        <f>Issue_Log!634:634-"67\!.u"</f>
        <v>#VALUE!</v>
      </c>
      <c r="GO3" t="e">
        <f>Issue_Log!635:635-"67\!.v"</f>
        <v>#VALUE!</v>
      </c>
      <c r="GP3" t="e">
        <f>Issue_Log!636:636-"67\!.w"</f>
        <v>#VALUE!</v>
      </c>
      <c r="GQ3" t="e">
        <f>Issue_Log!637:637-"67\!.x"</f>
        <v>#VALUE!</v>
      </c>
      <c r="GR3" t="e">
        <f>Issue_Log!638:638-"67\!.y"</f>
        <v>#VALUE!</v>
      </c>
      <c r="GS3" t="e">
        <f>Issue_Log!639:639-"67\!.z"</f>
        <v>#VALUE!</v>
      </c>
      <c r="GT3" t="e">
        <f>Issue_Log!640:640-"67\!.{"</f>
        <v>#VALUE!</v>
      </c>
      <c r="GU3" t="e">
        <f>Issue_Log!641:641-"67\!.|"</f>
        <v>#VALUE!</v>
      </c>
      <c r="GV3" t="e">
        <f>Issue_Log!642:642-"67\!.}"</f>
        <v>#VALUE!</v>
      </c>
      <c r="GW3" t="e">
        <f>Issue_Log!643:643-"67\!.~"</f>
        <v>#VALUE!</v>
      </c>
      <c r="GX3" t="e">
        <f>Issue_Log!644:644-"67\!/#"</f>
        <v>#VALUE!</v>
      </c>
      <c r="GY3" t="e">
        <f>Issue_Log!645:645-"67\!/$"</f>
        <v>#VALUE!</v>
      </c>
      <c r="GZ3" t="e">
        <f>Issue_Log!646:646-"67\!/%"</f>
        <v>#VALUE!</v>
      </c>
      <c r="HA3" t="e">
        <f>Issue_Log!647:647-"67\!/&amp;"</f>
        <v>#VALUE!</v>
      </c>
      <c r="HB3" t="e">
        <f>Issue_Log!648:648-"67\!/'"</f>
        <v>#VALUE!</v>
      </c>
      <c r="HC3" t="e">
        <f>Issue_Log!649:649-"67\!/("</f>
        <v>#VALUE!</v>
      </c>
      <c r="HD3" t="e">
        <f>Issue_Log!650:650-"67\!/)"</f>
        <v>#VALUE!</v>
      </c>
      <c r="HE3" t="e">
        <f>Issue_Log!651:651-"67\!/."</f>
        <v>#VALUE!</v>
      </c>
      <c r="HF3" t="e">
        <f>Issue_Log!A1+"67\!//"</f>
        <v>#VALUE!</v>
      </c>
      <c r="HG3" t="e">
        <f>Issue_Log!B1+"67\!/0"</f>
        <v>#VALUE!</v>
      </c>
      <c r="HH3" t="e">
        <f>Issue_Log!C1+"67\!/1"</f>
        <v>#VALUE!</v>
      </c>
      <c r="HI3" t="e">
        <f>Issue_Log!D1+"67\!/2"</f>
        <v>#VALUE!</v>
      </c>
      <c r="HJ3" t="e">
        <f>Issue_Log!E1+"67\!/3"</f>
        <v>#VALUE!</v>
      </c>
      <c r="HK3" t="e">
        <f>Issue_Log!F1+"67\!/4"</f>
        <v>#VALUE!</v>
      </c>
      <c r="HL3" t="e">
        <f>Issue_Log!G1+"67\!/5"</f>
        <v>#VALUE!</v>
      </c>
      <c r="HM3" t="e">
        <f>Issue_Log!A2+"67\!/6"</f>
        <v>#VALUE!</v>
      </c>
      <c r="HN3" s="1" t="e">
        <f>Issue_Log!B2+"67\!/7"</f>
        <v>#VALUE!</v>
      </c>
      <c r="HO3" t="e">
        <f>Issue_Log!C2+"67\!/8"</f>
        <v>#VALUE!</v>
      </c>
      <c r="HP3" t="e">
        <f>Issue_Log!D2+"67\!/9"</f>
        <v>#VALUE!</v>
      </c>
      <c r="HQ3" t="e">
        <f>Issue_Log!E2+"67\!/:"</f>
        <v>#VALUE!</v>
      </c>
      <c r="HR3" t="e">
        <f>Issue_Log!F2+"67\!/;"</f>
        <v>#VALUE!</v>
      </c>
      <c r="HS3" t="e">
        <f>Issue_Log!G2+"67\!/&lt;"</f>
        <v>#VALUE!</v>
      </c>
      <c r="HT3" t="e">
        <f>Issue_Log!#REF!+"67\!/="</f>
        <v>#REF!</v>
      </c>
      <c r="HU3" s="1" t="e">
        <f>Issue_Log!#REF!+"67\!/&gt;"</f>
        <v>#REF!</v>
      </c>
      <c r="HV3" t="e">
        <f>Issue_Log!#REF!+"67\!/?"</f>
        <v>#REF!</v>
      </c>
      <c r="HW3" t="e">
        <f>Issue_Log!#REF!+"67\!/@"</f>
        <v>#REF!</v>
      </c>
      <c r="HX3" t="e">
        <f>Issue_Log!#REF!+"67\!/A"</f>
        <v>#REF!</v>
      </c>
      <c r="HY3" t="e">
        <f>Issue_Log!#REF!+"67\!/B"</f>
        <v>#REF!</v>
      </c>
      <c r="HZ3" t="e">
        <f>Issue_Log!#REF!+"67\!/C"</f>
        <v>#REF!</v>
      </c>
      <c r="IA3" t="e">
        <f>Issue_Log!#REF!+"67\!/D"</f>
        <v>#REF!</v>
      </c>
      <c r="IB3" s="1" t="e">
        <f>Issue_Log!#REF!+"67\!/E"</f>
        <v>#REF!</v>
      </c>
      <c r="IC3" t="e">
        <f>Issue_Log!#REF!+"67\!/F"</f>
        <v>#REF!</v>
      </c>
      <c r="ID3" t="e">
        <f>Issue_Log!#REF!+"67\!/G"</f>
        <v>#REF!</v>
      </c>
      <c r="IE3" t="e">
        <f>Issue_Log!#REF!+"67\!/H"</f>
        <v>#REF!</v>
      </c>
      <c r="IF3" t="e">
        <f>Issue_Log!#REF!+"67\!/I"</f>
        <v>#REF!</v>
      </c>
      <c r="IG3" t="e">
        <f>Issue_Log!#REF!+"67\!/J"</f>
        <v>#REF!</v>
      </c>
      <c r="IH3" t="e">
        <f>Issue_Log!#REF!+"67\!/K"</f>
        <v>#REF!</v>
      </c>
      <c r="II3" s="1" t="e">
        <f>Issue_Log!#REF!+"67\!/L"</f>
        <v>#REF!</v>
      </c>
      <c r="IJ3" t="e">
        <f>Issue_Log!#REF!+"67\!/M"</f>
        <v>#REF!</v>
      </c>
      <c r="IK3" t="e">
        <f>Issue_Log!#REF!+"67\!/N"</f>
        <v>#REF!</v>
      </c>
      <c r="IL3" t="e">
        <f>Issue_Log!#REF!+"67\!/O"</f>
        <v>#REF!</v>
      </c>
      <c r="IM3" t="e">
        <f>Issue_Log!#REF!+"67\!/P"</f>
        <v>#REF!</v>
      </c>
      <c r="IN3" t="e">
        <f>Issue_Log!#REF!+"67\!/Q"</f>
        <v>#REF!</v>
      </c>
      <c r="IO3" t="e">
        <f>Issue_Log!A3+"67\!/R"</f>
        <v>#VALUE!</v>
      </c>
      <c r="IP3" s="1" t="e">
        <f>Issue_Log!B3+"67\!/S"</f>
        <v>#VALUE!</v>
      </c>
      <c r="IQ3" t="e">
        <f>Issue_Log!C3+"67\!/T"</f>
        <v>#VALUE!</v>
      </c>
      <c r="IR3" t="e">
        <f>Issue_Log!D3+"67\!/U"</f>
        <v>#VALUE!</v>
      </c>
      <c r="IS3" t="e">
        <f>Issue_Log!E3+"67\!/V"</f>
        <v>#VALUE!</v>
      </c>
      <c r="IT3" t="e">
        <f>Issue_Log!F3+"67\!/W"</f>
        <v>#VALUE!</v>
      </c>
      <c r="IU3" t="e">
        <f>Issue_Log!G3+"67\!/X"</f>
        <v>#VALUE!</v>
      </c>
      <c r="IV3" t="e">
        <f>Issue_Log!A4+"67\!/Y"</f>
        <v>#VALUE!</v>
      </c>
    </row>
    <row r="4" spans="1:256" x14ac:dyDescent="0.15">
      <c r="A4" t="s">
        <v>37</v>
      </c>
      <c r="F4" s="1" t="e">
        <f>Issue_Log!B4+"67\!/Z"</f>
        <v>#VALUE!</v>
      </c>
      <c r="G4" t="e">
        <f>Issue_Log!C4+"67\!/["</f>
        <v>#VALUE!</v>
      </c>
      <c r="H4" t="e">
        <f>Issue_Log!D4+"67\!/\"</f>
        <v>#VALUE!</v>
      </c>
      <c r="I4" t="e">
        <f>Issue_Log!E4+"67\!/]"</f>
        <v>#VALUE!</v>
      </c>
      <c r="J4" t="e">
        <f>Issue_Log!F4+"67\!/^"</f>
        <v>#VALUE!</v>
      </c>
      <c r="K4" t="e">
        <f>Issue_Log!G4+"67\!/_"</f>
        <v>#VALUE!</v>
      </c>
      <c r="L4" t="e">
        <f>Issue_Log!A5+"67\!/`"</f>
        <v>#VALUE!</v>
      </c>
      <c r="M4" s="1" t="e">
        <f>Issue_Log!B5+"67\!/a"</f>
        <v>#VALUE!</v>
      </c>
      <c r="N4" t="e">
        <f>Issue_Log!C5+"67\!/b"</f>
        <v>#VALUE!</v>
      </c>
      <c r="O4" t="e">
        <f>Issue_Log!D5+"67\!/c"</f>
        <v>#VALUE!</v>
      </c>
      <c r="P4" t="e">
        <f>Issue_Log!E5+"67\!/d"</f>
        <v>#VALUE!</v>
      </c>
      <c r="Q4" t="e">
        <f>Issue_Log!F5+"67\!/e"</f>
        <v>#VALUE!</v>
      </c>
      <c r="R4" t="e">
        <f>Issue_Log!G5+"67\!/f"</f>
        <v>#VALUE!</v>
      </c>
      <c r="S4" t="e">
        <f>Issue_Log!A6+"67\!/g"</f>
        <v>#VALUE!</v>
      </c>
      <c r="T4" s="1" t="e">
        <f>Issue_Log!B6+"67\!/h"</f>
        <v>#VALUE!</v>
      </c>
      <c r="U4" t="e">
        <f>Issue_Log!C6+"67\!/i"</f>
        <v>#VALUE!</v>
      </c>
      <c r="V4" t="e">
        <f>Issue_Log!D6+"67\!/j"</f>
        <v>#VALUE!</v>
      </c>
      <c r="W4" t="e">
        <f>Issue_Log!E6+"67\!/k"</f>
        <v>#VALUE!</v>
      </c>
      <c r="X4" t="e">
        <f>Issue_Log!F6+"67\!/l"</f>
        <v>#VALUE!</v>
      </c>
      <c r="Y4" t="e">
        <f>Issue_Log!G6+"67\!/m"</f>
        <v>#VALUE!</v>
      </c>
      <c r="Z4" t="e">
        <f>Issue_Log!A7+"67\!/n"</f>
        <v>#VALUE!</v>
      </c>
      <c r="AA4" s="1" t="e">
        <f>Issue_Log!B7+"67\!/o"</f>
        <v>#VALUE!</v>
      </c>
      <c r="AB4" t="e">
        <f>Issue_Log!C7+"67\!/p"</f>
        <v>#VALUE!</v>
      </c>
      <c r="AC4" t="e">
        <f>Issue_Log!D7+"67\!/q"</f>
        <v>#VALUE!</v>
      </c>
      <c r="AD4" t="e">
        <f>Issue_Log!E7+"67\!/r"</f>
        <v>#VALUE!</v>
      </c>
      <c r="AE4" t="e">
        <f>Issue_Log!F7+"67\!/s"</f>
        <v>#VALUE!</v>
      </c>
      <c r="AF4" t="e">
        <f>Issue_Log!G7+"67\!/t"</f>
        <v>#VALUE!</v>
      </c>
      <c r="AG4" t="e">
        <f>Issue_Log!A8+"67\!/u"</f>
        <v>#VALUE!</v>
      </c>
      <c r="AH4" s="1" t="e">
        <f>Issue_Log!B8+"67\!/v"</f>
        <v>#VALUE!</v>
      </c>
      <c r="AI4" t="e">
        <f>Issue_Log!C8+"67\!/w"</f>
        <v>#VALUE!</v>
      </c>
      <c r="AJ4" t="e">
        <f>Issue_Log!D8+"67\!/x"</f>
        <v>#VALUE!</v>
      </c>
      <c r="AK4" t="e">
        <f>Issue_Log!E8+"67\!/y"</f>
        <v>#VALUE!</v>
      </c>
      <c r="AL4" t="e">
        <f>Issue_Log!F8+"67\!/z"</f>
        <v>#VALUE!</v>
      </c>
      <c r="AM4" t="e">
        <f>Issue_Log!G8+"67\!/{"</f>
        <v>#VALUE!</v>
      </c>
      <c r="AN4" t="e">
        <f>Issue_Log!A9+"67\!/|"</f>
        <v>#VALUE!</v>
      </c>
      <c r="AO4" s="1" t="e">
        <f>Issue_Log!B9+"67\!/}"</f>
        <v>#VALUE!</v>
      </c>
      <c r="AP4" t="e">
        <f>Issue_Log!C9+"67\!/~"</f>
        <v>#VALUE!</v>
      </c>
      <c r="AQ4" t="e">
        <f>Issue_Log!D9+"67\!0#"</f>
        <v>#VALUE!</v>
      </c>
      <c r="AR4" t="e">
        <f>Issue_Log!E9+"67\!0$"</f>
        <v>#VALUE!</v>
      </c>
      <c r="AS4" t="e">
        <f>Issue_Log!F9+"67\!0%"</f>
        <v>#VALUE!</v>
      </c>
      <c r="AT4" t="e">
        <f>Issue_Log!G9+"67\!0&amp;"</f>
        <v>#VALUE!</v>
      </c>
      <c r="AU4" t="e">
        <f>Issue_Log!A10+"67\!0'"</f>
        <v>#VALUE!</v>
      </c>
      <c r="AV4" s="1" t="e">
        <f>Issue_Log!B10+"67\!0("</f>
        <v>#VALUE!</v>
      </c>
      <c r="AW4" t="e">
        <f>Issue_Log!C10+"67\!0)"</f>
        <v>#VALUE!</v>
      </c>
      <c r="AX4" t="e">
        <f>Issue_Log!D10+"67\!0."</f>
        <v>#VALUE!</v>
      </c>
      <c r="AY4" t="e">
        <f>Issue_Log!E10+"67\!0/"</f>
        <v>#VALUE!</v>
      </c>
      <c r="AZ4" t="e">
        <f>Issue_Log!F10+"67\!00"</f>
        <v>#VALUE!</v>
      </c>
      <c r="BA4" t="e">
        <f>Issue_Log!G10+"67\!01"</f>
        <v>#VALUE!</v>
      </c>
      <c r="BB4" t="e">
        <f>Issue_Log!A11+"67\!02"</f>
        <v>#VALUE!</v>
      </c>
      <c r="BC4" s="1" t="e">
        <f>Issue_Log!B11+"67\!03"</f>
        <v>#VALUE!</v>
      </c>
      <c r="BD4" t="e">
        <f>Issue_Log!C11+"67\!04"</f>
        <v>#VALUE!</v>
      </c>
      <c r="BE4" t="e">
        <f>Issue_Log!D11+"67\!05"</f>
        <v>#VALUE!</v>
      </c>
      <c r="BF4" t="e">
        <f>Issue_Log!E11+"67\!06"</f>
        <v>#VALUE!</v>
      </c>
      <c r="BG4" t="e">
        <f>Issue_Log!F11+"67\!07"</f>
        <v>#VALUE!</v>
      </c>
      <c r="BH4" t="e">
        <f>Issue_Log!G11+"67\!08"</f>
        <v>#VALUE!</v>
      </c>
      <c r="BI4" t="e">
        <f>Issue_Log!A12+"67\!09"</f>
        <v>#VALUE!</v>
      </c>
      <c r="BJ4" s="1" t="e">
        <f>Issue_Log!B12+"67\!0:"</f>
        <v>#VALUE!</v>
      </c>
      <c r="BK4" t="e">
        <f>Issue_Log!C12+"67\!0;"</f>
        <v>#VALUE!</v>
      </c>
      <c r="BL4" t="e">
        <f>Issue_Log!D12+"67\!0&lt;"</f>
        <v>#VALUE!</v>
      </c>
      <c r="BM4" t="e">
        <f>Issue_Log!E12+"67\!0="</f>
        <v>#VALUE!</v>
      </c>
      <c r="BN4" t="e">
        <f>Issue_Log!F12+"67\!0&gt;"</f>
        <v>#VALUE!</v>
      </c>
      <c r="BO4" t="e">
        <f>Issue_Log!G12+"67\!0?"</f>
        <v>#VALUE!</v>
      </c>
      <c r="BP4" t="e">
        <f>Issue_Log!A13+"67\!0@"</f>
        <v>#VALUE!</v>
      </c>
      <c r="BQ4" s="1" t="e">
        <f>Issue_Log!B13+"67\!0A"</f>
        <v>#VALUE!</v>
      </c>
      <c r="BR4" t="e">
        <f>Issue_Log!C13+"67\!0B"</f>
        <v>#VALUE!</v>
      </c>
      <c r="BS4" t="e">
        <f>Issue_Log!D13+"67\!0C"</f>
        <v>#VALUE!</v>
      </c>
      <c r="BT4" t="e">
        <f>Issue_Log!E13+"67\!0D"</f>
        <v>#VALUE!</v>
      </c>
      <c r="BU4" t="e">
        <f>Issue_Log!F13+"67\!0E"</f>
        <v>#VALUE!</v>
      </c>
      <c r="BV4" t="e">
        <f>Issue_Log!G13+"67\!0F"</f>
        <v>#VALUE!</v>
      </c>
      <c r="BW4" t="e">
        <f>Issue_Log!A14+"67\!0G"</f>
        <v>#VALUE!</v>
      </c>
      <c r="BX4" s="1" t="e">
        <f>Issue_Log!B14+"67\!0H"</f>
        <v>#VALUE!</v>
      </c>
      <c r="BY4" t="e">
        <f>Issue_Log!C14+"67\!0I"</f>
        <v>#VALUE!</v>
      </c>
      <c r="BZ4" t="e">
        <f>Issue_Log!D14+"67\!0J"</f>
        <v>#VALUE!</v>
      </c>
      <c r="CA4" t="e">
        <f>Issue_Log!E14+"67\!0K"</f>
        <v>#VALUE!</v>
      </c>
      <c r="CB4" t="e">
        <f>Issue_Log!F14+"67\!0L"</f>
        <v>#VALUE!</v>
      </c>
      <c r="CC4" t="e">
        <f>Issue_Log!G14+"67\!0M"</f>
        <v>#VALUE!</v>
      </c>
      <c r="CD4" t="e">
        <f>Issue_Log!A15+"67\!0N"</f>
        <v>#VALUE!</v>
      </c>
      <c r="CE4" s="1" t="e">
        <f>Issue_Log!B15+"67\!0O"</f>
        <v>#VALUE!</v>
      </c>
      <c r="CF4" t="e">
        <f>Issue_Log!C15+"67\!0P"</f>
        <v>#VALUE!</v>
      </c>
      <c r="CG4" t="e">
        <f>Issue_Log!D15+"67\!0Q"</f>
        <v>#VALUE!</v>
      </c>
      <c r="CH4" t="e">
        <f>Issue_Log!E15+"67\!0R"</f>
        <v>#VALUE!</v>
      </c>
      <c r="CI4" t="e">
        <f>Issue_Log!F15+"67\!0S"</f>
        <v>#VALUE!</v>
      </c>
      <c r="CJ4" t="e">
        <f>Issue_Log!G15+"67\!0T"</f>
        <v>#VALUE!</v>
      </c>
      <c r="CK4" t="e">
        <f>Issue_Log!A16+"67\!0U"</f>
        <v>#VALUE!</v>
      </c>
      <c r="CL4" s="1" t="e">
        <f>Issue_Log!B16+"67\!0V"</f>
        <v>#VALUE!</v>
      </c>
      <c r="CM4" t="e">
        <f>Issue_Log!C16+"67\!0W"</f>
        <v>#VALUE!</v>
      </c>
      <c r="CN4" t="e">
        <f>Issue_Log!D16+"67\!0X"</f>
        <v>#VALUE!</v>
      </c>
      <c r="CO4" t="e">
        <f>Issue_Log!E16+"67\!0Y"</f>
        <v>#VALUE!</v>
      </c>
      <c r="CP4" t="e">
        <f>Issue_Log!F16+"67\!0Z"</f>
        <v>#VALUE!</v>
      </c>
      <c r="CQ4" t="e">
        <f>Issue_Log!G16+"67\!0["</f>
        <v>#VALUE!</v>
      </c>
      <c r="CR4" t="e">
        <f>Issue_Log!A17+"67\!0\"</f>
        <v>#VALUE!</v>
      </c>
      <c r="CS4" s="1" t="e">
        <f>Issue_Log!B17+"67\!0]"</f>
        <v>#VALUE!</v>
      </c>
      <c r="CT4" t="e">
        <f>Issue_Log!C17+"67\!0^"</f>
        <v>#VALUE!</v>
      </c>
      <c r="CU4" t="e">
        <f>Issue_Log!D17+"67\!0_"</f>
        <v>#VALUE!</v>
      </c>
      <c r="CV4" t="e">
        <f>Issue_Log!E17+"67\!0`"</f>
        <v>#VALUE!</v>
      </c>
      <c r="CW4" t="e">
        <f>Issue_Log!F17+"67\!0a"</f>
        <v>#VALUE!</v>
      </c>
      <c r="CX4" t="e">
        <f>Issue_Log!G17+"67\!0b"</f>
        <v>#VALUE!</v>
      </c>
      <c r="CY4" t="e">
        <f>Issue_Log!A18+"67\!0c"</f>
        <v>#VALUE!</v>
      </c>
      <c r="CZ4" s="1" t="e">
        <f>Issue_Log!B18+"67\!0d"</f>
        <v>#VALUE!</v>
      </c>
      <c r="DA4" t="e">
        <f>Issue_Log!C18+"67\!0e"</f>
        <v>#VALUE!</v>
      </c>
      <c r="DB4" t="e">
        <f>Issue_Log!D18+"67\!0f"</f>
        <v>#VALUE!</v>
      </c>
      <c r="DC4" t="e">
        <f>Issue_Log!E18+"67\!0g"</f>
        <v>#VALUE!</v>
      </c>
      <c r="DD4" t="e">
        <f>Issue_Log!F18+"67\!0h"</f>
        <v>#VALUE!</v>
      </c>
      <c r="DE4" t="e">
        <f>Issue_Log!G18+"67\!0i"</f>
        <v>#VALUE!</v>
      </c>
      <c r="DF4" t="e">
        <f>Issue_Log!A19+"67\!0j"</f>
        <v>#VALUE!</v>
      </c>
      <c r="DG4" s="1" t="e">
        <f>Issue_Log!B19+"67\!0k"</f>
        <v>#VALUE!</v>
      </c>
      <c r="DH4" t="e">
        <f>Issue_Log!C19+"67\!0l"</f>
        <v>#VALUE!</v>
      </c>
      <c r="DI4" t="e">
        <f>Issue_Log!D19+"67\!0m"</f>
        <v>#VALUE!</v>
      </c>
      <c r="DJ4" t="e">
        <f>Issue_Log!E19+"67\!0n"</f>
        <v>#VALUE!</v>
      </c>
      <c r="DK4" t="e">
        <f>Issue_Log!F19+"67\!0o"</f>
        <v>#VALUE!</v>
      </c>
      <c r="DL4" t="e">
        <f>Issue_Log!G19+"67\!0p"</f>
        <v>#VALUE!</v>
      </c>
      <c r="DM4" t="e">
        <f>Issue_Log!A20+"67\!0q"</f>
        <v>#VALUE!</v>
      </c>
      <c r="DN4" s="1" t="e">
        <f>Issue_Log!B20+"67\!0r"</f>
        <v>#VALUE!</v>
      </c>
      <c r="DO4" t="e">
        <f>Issue_Log!C20+"67\!0s"</f>
        <v>#VALUE!</v>
      </c>
      <c r="DP4" t="e">
        <f>Issue_Log!D20+"67\!0t"</f>
        <v>#VALUE!</v>
      </c>
      <c r="DQ4" t="e">
        <f>Issue_Log!E20+"67\!0u"</f>
        <v>#VALUE!</v>
      </c>
      <c r="DR4" t="e">
        <f>Issue_Log!F20+"67\!0v"</f>
        <v>#VALUE!</v>
      </c>
      <c r="DS4" t="e">
        <f>Issue_Log!G20+"67\!0w"</f>
        <v>#VALUE!</v>
      </c>
      <c r="DT4" t="e">
        <f>Issue_Log!A21+"67\!0x"</f>
        <v>#VALUE!</v>
      </c>
      <c r="DU4" s="1" t="e">
        <f>Issue_Log!B21+"67\!0y"</f>
        <v>#VALUE!</v>
      </c>
      <c r="DV4" t="e">
        <f>Issue_Log!C21+"67\!0z"</f>
        <v>#VALUE!</v>
      </c>
      <c r="DW4" t="e">
        <f>Issue_Log!D21+"67\!0{"</f>
        <v>#VALUE!</v>
      </c>
      <c r="DX4" t="e">
        <f>Issue_Log!E21+"67\!0|"</f>
        <v>#VALUE!</v>
      </c>
      <c r="DY4" t="e">
        <f>Issue_Log!F21+"67\!0}"</f>
        <v>#VALUE!</v>
      </c>
      <c r="DZ4" t="e">
        <f>Issue_Log!G21+"67\!0~"</f>
        <v>#VALUE!</v>
      </c>
      <c r="EA4" t="e">
        <f>Issue_Log!A22+"67\!1#"</f>
        <v>#VALUE!</v>
      </c>
      <c r="EB4" s="1" t="e">
        <f>Issue_Log!B22+"67\!1$"</f>
        <v>#VALUE!</v>
      </c>
      <c r="EC4" t="e">
        <f>Issue_Log!C22+"67\!1%"</f>
        <v>#VALUE!</v>
      </c>
      <c r="ED4" t="e">
        <f>Issue_Log!D22+"67\!1&amp;"</f>
        <v>#VALUE!</v>
      </c>
      <c r="EE4" t="e">
        <f>Issue_Log!E22+"67\!1'"</f>
        <v>#VALUE!</v>
      </c>
      <c r="EF4" t="e">
        <f>Issue_Log!F22+"67\!1("</f>
        <v>#VALUE!</v>
      </c>
      <c r="EG4" t="e">
        <f>Issue_Log!G22+"67\!1)"</f>
        <v>#VALUE!</v>
      </c>
      <c r="EH4" t="e">
        <f>Issue_Log!A23+"67\!1."</f>
        <v>#VALUE!</v>
      </c>
      <c r="EI4" s="1" t="e">
        <f>Issue_Log!B23+"67\!1/"</f>
        <v>#VALUE!</v>
      </c>
      <c r="EJ4" t="e">
        <f>Issue_Log!C23+"67\!10"</f>
        <v>#VALUE!</v>
      </c>
      <c r="EK4" t="e">
        <f>Issue_Log!D23+"67\!11"</f>
        <v>#VALUE!</v>
      </c>
      <c r="EL4" t="e">
        <f>Issue_Log!E23+"67\!12"</f>
        <v>#VALUE!</v>
      </c>
      <c r="EM4" t="e">
        <f>Issue_Log!F23+"67\!13"</f>
        <v>#VALUE!</v>
      </c>
      <c r="EN4" t="e">
        <f>Issue_Log!G23+"67\!14"</f>
        <v>#VALUE!</v>
      </c>
      <c r="EO4" t="e">
        <f>Issue_Log!A24+"67\!15"</f>
        <v>#VALUE!</v>
      </c>
      <c r="EP4" s="1" t="e">
        <f>Issue_Log!B24+"67\!16"</f>
        <v>#VALUE!</v>
      </c>
      <c r="EQ4" t="e">
        <f>Issue_Log!C24+"67\!17"</f>
        <v>#VALUE!</v>
      </c>
      <c r="ER4" t="e">
        <f>Issue_Log!D24+"67\!18"</f>
        <v>#VALUE!</v>
      </c>
      <c r="ES4" t="e">
        <f>Issue_Log!E24+"67\!19"</f>
        <v>#VALUE!</v>
      </c>
      <c r="ET4" t="e">
        <f>Issue_Log!F24+"67\!1:"</f>
        <v>#VALUE!</v>
      </c>
      <c r="EU4" t="e">
        <f>Issue_Log!G24+"67\!1;"</f>
        <v>#VALUE!</v>
      </c>
      <c r="EV4" t="e">
        <f>Issue_Log!A25+"67\!1&lt;"</f>
        <v>#VALUE!</v>
      </c>
      <c r="EW4" s="1" t="e">
        <f>Issue_Log!B25+"67\!1="</f>
        <v>#VALUE!</v>
      </c>
      <c r="EX4" t="e">
        <f>Issue_Log!C25+"67\!1&gt;"</f>
        <v>#VALUE!</v>
      </c>
      <c r="EY4" t="e">
        <f>Issue_Log!D25+"67\!1?"</f>
        <v>#VALUE!</v>
      </c>
      <c r="EZ4" t="e">
        <f>Issue_Log!E25+"67\!1@"</f>
        <v>#VALUE!</v>
      </c>
      <c r="FA4" t="e">
        <f>Issue_Log!F25+"67\!1A"</f>
        <v>#VALUE!</v>
      </c>
      <c r="FB4" t="e">
        <f>Issue_Log!G25+"67\!1B"</f>
        <v>#VALUE!</v>
      </c>
      <c r="FC4" t="e">
        <f>Issue_Log!A26+"67\!1C"</f>
        <v>#VALUE!</v>
      </c>
      <c r="FD4" s="1" t="e">
        <f>Issue_Log!B26+"67\!1D"</f>
        <v>#VALUE!</v>
      </c>
      <c r="FE4" t="e">
        <f>Issue_Log!C26+"67\!1E"</f>
        <v>#VALUE!</v>
      </c>
      <c r="FF4" t="e">
        <f>Issue_Log!D26+"67\!1F"</f>
        <v>#VALUE!</v>
      </c>
      <c r="FG4" t="e">
        <f>Issue_Log!E26+"67\!1G"</f>
        <v>#VALUE!</v>
      </c>
      <c r="FH4" t="e">
        <f>Issue_Log!F26+"67\!1H"</f>
        <v>#VALUE!</v>
      </c>
      <c r="FI4" t="e">
        <f>Issue_Log!G26+"67\!1I"</f>
        <v>#VALUE!</v>
      </c>
      <c r="FJ4" t="e">
        <f>Issue_Log!A27+"67\!1J"</f>
        <v>#VALUE!</v>
      </c>
      <c r="FK4" s="1" t="e">
        <f>Issue_Log!B27+"67\!1K"</f>
        <v>#VALUE!</v>
      </c>
      <c r="FL4" t="e">
        <f>Issue_Log!C27+"67\!1L"</f>
        <v>#VALUE!</v>
      </c>
      <c r="FM4" t="e">
        <f>Issue_Log!D27+"67\!1M"</f>
        <v>#VALUE!</v>
      </c>
      <c r="FN4" t="e">
        <f>Issue_Log!E27+"67\!1N"</f>
        <v>#VALUE!</v>
      </c>
      <c r="FO4" t="e">
        <f>Issue_Log!F27+"67\!1O"</f>
        <v>#VALUE!</v>
      </c>
      <c r="FP4" t="e">
        <f>Issue_Log!G27+"67\!1P"</f>
        <v>#VALUE!</v>
      </c>
      <c r="FQ4" t="e">
        <f>Issue_Log!A28+"67\!1Q"</f>
        <v>#VALUE!</v>
      </c>
      <c r="FR4" s="1" t="e">
        <f>Issue_Log!B28+"67\!1R"</f>
        <v>#VALUE!</v>
      </c>
      <c r="FS4" t="e">
        <f>Issue_Log!C28+"67\!1S"</f>
        <v>#VALUE!</v>
      </c>
      <c r="FT4" t="e">
        <f>Issue_Log!D28+"67\!1T"</f>
        <v>#VALUE!</v>
      </c>
      <c r="FU4" t="e">
        <f>Issue_Log!E28+"67\!1U"</f>
        <v>#VALUE!</v>
      </c>
      <c r="FV4" t="e">
        <f>Issue_Log!F28+"67\!1V"</f>
        <v>#VALUE!</v>
      </c>
      <c r="FW4" t="e">
        <f>Issue_Log!G28+"67\!1W"</f>
        <v>#VALUE!</v>
      </c>
      <c r="FX4" t="e">
        <f>Issue_Log!A29+"67\!1X"</f>
        <v>#VALUE!</v>
      </c>
      <c r="FY4" s="1" t="e">
        <f>Issue_Log!B29+"67\!1Y"</f>
        <v>#VALUE!</v>
      </c>
      <c r="FZ4" t="e">
        <f>Issue_Log!C29+"67\!1Z"</f>
        <v>#VALUE!</v>
      </c>
      <c r="GA4" t="e">
        <f>Issue_Log!D29+"67\!1["</f>
        <v>#VALUE!</v>
      </c>
      <c r="GB4" t="e">
        <f>Issue_Log!E29+"67\!1\"</f>
        <v>#VALUE!</v>
      </c>
      <c r="GC4" t="e">
        <f>Issue_Log!F29+"67\!1]"</f>
        <v>#VALUE!</v>
      </c>
      <c r="GD4" t="e">
        <f>Issue_Log!G29+"67\!1^"</f>
        <v>#VALUE!</v>
      </c>
      <c r="GE4" t="e">
        <f>Issue_Log!A30+"67\!1_"</f>
        <v>#VALUE!</v>
      </c>
      <c r="GF4" s="1" t="e">
        <f>Issue_Log!B30+"67\!1`"</f>
        <v>#VALUE!</v>
      </c>
      <c r="GG4" t="e">
        <f>Issue_Log!C30+"67\!1a"</f>
        <v>#VALUE!</v>
      </c>
      <c r="GH4" t="e">
        <f>Issue_Log!D30+"67\!1b"</f>
        <v>#VALUE!</v>
      </c>
      <c r="GI4" t="e">
        <f>Issue_Log!E30+"67\!1c"</f>
        <v>#VALUE!</v>
      </c>
      <c r="GJ4" t="e">
        <f>Issue_Log!F30+"67\!1d"</f>
        <v>#VALUE!</v>
      </c>
      <c r="GK4" t="e">
        <f>Issue_Log!G30+"67\!1e"</f>
        <v>#VALUE!</v>
      </c>
      <c r="GL4" t="e">
        <f>Issue_Log!A31+"67\!1f"</f>
        <v>#VALUE!</v>
      </c>
      <c r="GM4" s="1" t="e">
        <f>Issue_Log!B31+"67\!1g"</f>
        <v>#VALUE!</v>
      </c>
      <c r="GN4" t="e">
        <f>Issue_Log!C31+"67\!1h"</f>
        <v>#VALUE!</v>
      </c>
      <c r="GO4" t="e">
        <f>Issue_Log!D31+"67\!1i"</f>
        <v>#VALUE!</v>
      </c>
      <c r="GP4" t="e">
        <f>Issue_Log!E31+"67\!1j"</f>
        <v>#VALUE!</v>
      </c>
      <c r="GQ4" t="e">
        <f>Issue_Log!F31+"67\!1k"</f>
        <v>#VALUE!</v>
      </c>
      <c r="GR4" t="e">
        <f>Issue_Log!G31+"67\!1l"</f>
        <v>#VALUE!</v>
      </c>
      <c r="GS4" t="e">
        <f>Issue_Log!A32+"67\!1m"</f>
        <v>#VALUE!</v>
      </c>
      <c r="GT4" s="1" t="e">
        <f>Issue_Log!B32+"67\!1n"</f>
        <v>#VALUE!</v>
      </c>
      <c r="GU4" t="e">
        <f>Issue_Log!C32+"67\!1o"</f>
        <v>#VALUE!</v>
      </c>
      <c r="GV4" t="e">
        <f>Issue_Log!D32+"67\!1p"</f>
        <v>#VALUE!</v>
      </c>
      <c r="GW4" t="e">
        <f>Issue_Log!E32+"67\!1q"</f>
        <v>#VALUE!</v>
      </c>
      <c r="GX4" t="e">
        <f>Issue_Log!F32+"67\!1r"</f>
        <v>#VALUE!</v>
      </c>
      <c r="GY4" t="e">
        <f>Issue_Log!G32+"67\!1s"</f>
        <v>#VALUE!</v>
      </c>
      <c r="GZ4" t="e">
        <f>Issue_Log!A33+"67\!1t"</f>
        <v>#VALUE!</v>
      </c>
      <c r="HA4" s="1" t="e">
        <f>Issue_Log!B33+"67\!1u"</f>
        <v>#VALUE!</v>
      </c>
      <c r="HB4" t="e">
        <f>Issue_Log!C33+"67\!1v"</f>
        <v>#VALUE!</v>
      </c>
      <c r="HC4" t="e">
        <f>Issue_Log!D33+"67\!1w"</f>
        <v>#VALUE!</v>
      </c>
      <c r="HD4" t="e">
        <f>Issue_Log!E33+"67\!1x"</f>
        <v>#VALUE!</v>
      </c>
      <c r="HE4" t="e">
        <f>Issue_Log!F33+"67\!1y"</f>
        <v>#VALUE!</v>
      </c>
      <c r="HF4" t="e">
        <f>Issue_Log!G33+"67\!1z"</f>
        <v>#VALUE!</v>
      </c>
      <c r="HG4" t="e">
        <f>Issue_Log!A34+"67\!1{"</f>
        <v>#VALUE!</v>
      </c>
      <c r="HH4" s="1" t="e">
        <f>Issue_Log!B34+"67\!1|"</f>
        <v>#VALUE!</v>
      </c>
      <c r="HI4" t="e">
        <f>Issue_Log!C34+"67\!1}"</f>
        <v>#VALUE!</v>
      </c>
      <c r="HJ4" t="e">
        <f>Issue_Log!D34+"67\!1~"</f>
        <v>#VALUE!</v>
      </c>
      <c r="HK4" t="e">
        <f>Issue_Log!E34+"67\!2#"</f>
        <v>#VALUE!</v>
      </c>
      <c r="HL4" t="e">
        <f>Issue_Log!F34+"67\!2$"</f>
        <v>#VALUE!</v>
      </c>
      <c r="HM4" t="e">
        <f>Issue_Log!G34+"67\!2%"</f>
        <v>#VALUE!</v>
      </c>
      <c r="HN4" t="e">
        <f>Issue_Log!A35+"67\!2&amp;"</f>
        <v>#VALUE!</v>
      </c>
      <c r="HO4" s="1" t="e">
        <f>Issue_Log!B35+"67\!2'"</f>
        <v>#VALUE!</v>
      </c>
      <c r="HP4" t="e">
        <f>Issue_Log!C35+"67\!2("</f>
        <v>#VALUE!</v>
      </c>
      <c r="HQ4" t="e">
        <f>Issue_Log!D35+"67\!2)"</f>
        <v>#VALUE!</v>
      </c>
      <c r="HR4" t="e">
        <f>Issue_Log!E35+"67\!2."</f>
        <v>#VALUE!</v>
      </c>
      <c r="HS4" t="e">
        <f>Issue_Log!F35+"67\!2/"</f>
        <v>#VALUE!</v>
      </c>
      <c r="HT4" t="e">
        <f>Issue_Log!G35+"67\!20"</f>
        <v>#VALUE!</v>
      </c>
      <c r="HU4" t="e">
        <f>Issue_Log!A36+"67\!21"</f>
        <v>#VALUE!</v>
      </c>
      <c r="HV4" s="1" t="e">
        <f>Issue_Log!B36+"67\!22"</f>
        <v>#VALUE!</v>
      </c>
      <c r="HW4" t="e">
        <f>Issue_Log!C36+"67\!23"</f>
        <v>#VALUE!</v>
      </c>
      <c r="HX4" t="e">
        <f>Issue_Log!D36+"67\!24"</f>
        <v>#VALUE!</v>
      </c>
      <c r="HY4" t="e">
        <f>Issue_Log!E36+"67\!25"</f>
        <v>#VALUE!</v>
      </c>
      <c r="HZ4" t="e">
        <f>Issue_Log!F36+"67\!26"</f>
        <v>#VALUE!</v>
      </c>
      <c r="IA4" t="e">
        <f>Issue_Log!G36+"67\!27"</f>
        <v>#VALUE!</v>
      </c>
      <c r="IB4" t="e">
        <f>Issue_Log!A38+"67\!28"</f>
        <v>#VALUE!</v>
      </c>
      <c r="IC4" s="1" t="e">
        <f>Issue_Log!B38+"67\!29"</f>
        <v>#VALUE!</v>
      </c>
      <c r="ID4" t="e">
        <f>Issue_Log!C38+"67\!2:"</f>
        <v>#VALUE!</v>
      </c>
      <c r="IE4" t="e">
        <f>Issue_Log!D38+"67\!2;"</f>
        <v>#VALUE!</v>
      </c>
      <c r="IF4" t="e">
        <f>Issue_Log!E38+"67\!2&lt;"</f>
        <v>#VALUE!</v>
      </c>
      <c r="IG4" t="e">
        <f>Issue_Log!F38+"67\!2="</f>
        <v>#VALUE!</v>
      </c>
      <c r="IH4" t="e">
        <f>Issue_Log!G38+"67\!2&gt;"</f>
        <v>#VALUE!</v>
      </c>
      <c r="II4" t="e">
        <f>Issue_Log!A39+"67\!2?"</f>
        <v>#VALUE!</v>
      </c>
      <c r="IJ4" s="1" t="e">
        <f>Issue_Log!B39+"67\!2@"</f>
        <v>#VALUE!</v>
      </c>
      <c r="IK4" t="e">
        <f>Issue_Log!C39+"67\!2A"</f>
        <v>#VALUE!</v>
      </c>
      <c r="IL4" t="e">
        <f>Issue_Log!D39+"67\!2B"</f>
        <v>#VALUE!</v>
      </c>
      <c r="IM4" t="e">
        <f>Issue_Log!E39+"67\!2C"</f>
        <v>#VALUE!</v>
      </c>
      <c r="IN4" t="e">
        <f>Issue_Log!F39+"67\!2D"</f>
        <v>#VALUE!</v>
      </c>
      <c r="IO4" t="e">
        <f>Issue_Log!G39+"67\!2E"</f>
        <v>#VALUE!</v>
      </c>
      <c r="IP4" t="e">
        <f>Issue_Log!A40+"67\!2F"</f>
        <v>#VALUE!</v>
      </c>
      <c r="IQ4" s="1" t="e">
        <f>Issue_Log!B40+"67\!2G"</f>
        <v>#VALUE!</v>
      </c>
      <c r="IR4" t="e">
        <f>Issue_Log!C40+"67\!2H"</f>
        <v>#VALUE!</v>
      </c>
      <c r="IS4" t="e">
        <f>Issue_Log!D40+"67\!2I"</f>
        <v>#VALUE!</v>
      </c>
      <c r="IT4" t="e">
        <f>Issue_Log!E40+"67\!2J"</f>
        <v>#VALUE!</v>
      </c>
      <c r="IU4" t="e">
        <f>Issue_Log!F40+"67\!2K"</f>
        <v>#VALUE!</v>
      </c>
      <c r="IV4" t="e">
        <f>Issue_Log!G40+"67\!2L"</f>
        <v>#VALUE!</v>
      </c>
    </row>
    <row r="5" spans="1:256" x14ac:dyDescent="0.15">
      <c r="A5" t="s">
        <v>38</v>
      </c>
      <c r="F5" t="e">
        <f>Issue_Log!A41+"67\!2M"</f>
        <v>#VALUE!</v>
      </c>
      <c r="G5" s="1" t="e">
        <f>Issue_Log!B41+"67\!2N"</f>
        <v>#VALUE!</v>
      </c>
      <c r="H5" t="e">
        <f>Issue_Log!C41+"67\!2O"</f>
        <v>#VALUE!</v>
      </c>
      <c r="I5" t="e">
        <f>Issue_Log!D41+"67\!2P"</f>
        <v>#VALUE!</v>
      </c>
      <c r="J5" t="e">
        <f>Issue_Log!E41+"67\!2Q"</f>
        <v>#VALUE!</v>
      </c>
      <c r="K5" t="e">
        <f>Issue_Log!F41+"67\!2R"</f>
        <v>#VALUE!</v>
      </c>
      <c r="L5" t="e">
        <f>Issue_Log!G41+"67\!2S"</f>
        <v>#VALUE!</v>
      </c>
      <c r="M5" t="e">
        <f>Issue_Log!A42+"67\!2T"</f>
        <v>#VALUE!</v>
      </c>
      <c r="N5" s="1" t="e">
        <f>Issue_Log!B42+"67\!2U"</f>
        <v>#VALUE!</v>
      </c>
      <c r="O5" t="e">
        <f>Issue_Log!C42+"67\!2V"</f>
        <v>#VALUE!</v>
      </c>
      <c r="P5" t="e">
        <f>Issue_Log!D42+"67\!2W"</f>
        <v>#VALUE!</v>
      </c>
      <c r="Q5" t="e">
        <f>Issue_Log!E42+"67\!2X"</f>
        <v>#VALUE!</v>
      </c>
      <c r="R5" t="e">
        <f>Issue_Log!F42+"67\!2Y"</f>
        <v>#VALUE!</v>
      </c>
      <c r="S5" t="e">
        <f>Issue_Log!G42+"67\!2Z"</f>
        <v>#VALUE!</v>
      </c>
      <c r="T5" t="e">
        <f>Issue_Log!A43+"67\!2["</f>
        <v>#VALUE!</v>
      </c>
      <c r="U5" s="1" t="e">
        <f>Issue_Log!B43+"67\!2\"</f>
        <v>#VALUE!</v>
      </c>
      <c r="V5" t="e">
        <f>Issue_Log!C43+"67\!2]"</f>
        <v>#VALUE!</v>
      </c>
      <c r="W5" t="e">
        <f>Issue_Log!D43+"67\!2^"</f>
        <v>#VALUE!</v>
      </c>
      <c r="X5" t="e">
        <f>Issue_Log!E43+"67\!2_"</f>
        <v>#VALUE!</v>
      </c>
      <c r="Y5" t="e">
        <f>Issue_Log!F43+"67\!2`"</f>
        <v>#VALUE!</v>
      </c>
      <c r="Z5" t="e">
        <f>Issue_Log!G43+"67\!2a"</f>
        <v>#VALUE!</v>
      </c>
      <c r="AA5" t="e">
        <f>Issue_Log!A44+"67\!2b"</f>
        <v>#VALUE!</v>
      </c>
      <c r="AB5" s="1" t="e">
        <f>Issue_Log!B44+"67\!2c"</f>
        <v>#VALUE!</v>
      </c>
      <c r="AC5" t="e">
        <f>Issue_Log!C44+"67\!2d"</f>
        <v>#VALUE!</v>
      </c>
      <c r="AD5" t="e">
        <f>Issue_Log!D44+"67\!2e"</f>
        <v>#VALUE!</v>
      </c>
      <c r="AE5" t="e">
        <f>Issue_Log!E44+"67\!2f"</f>
        <v>#VALUE!</v>
      </c>
      <c r="AF5" t="e">
        <f>Issue_Log!F44+"67\!2g"</f>
        <v>#VALUE!</v>
      </c>
      <c r="AG5" t="e">
        <f>Issue_Log!G44+"67\!2h"</f>
        <v>#VALUE!</v>
      </c>
      <c r="AH5" t="e">
        <f>Issue_Log!A45+"67\!2i"</f>
        <v>#VALUE!</v>
      </c>
      <c r="AI5" s="1" t="e">
        <f>Issue_Log!B45+"67\!2j"</f>
        <v>#VALUE!</v>
      </c>
      <c r="AJ5" t="e">
        <f>Issue_Log!C45+"67\!2k"</f>
        <v>#VALUE!</v>
      </c>
      <c r="AK5" t="e">
        <f>Issue_Log!D45+"67\!2l"</f>
        <v>#VALUE!</v>
      </c>
      <c r="AL5" t="e">
        <f>Issue_Log!E45+"67\!2m"</f>
        <v>#VALUE!</v>
      </c>
      <c r="AM5" t="e">
        <f>Issue_Log!F45+"67\!2n"</f>
        <v>#VALUE!</v>
      </c>
      <c r="AN5" t="e">
        <f>Issue_Log!G45+"67\!2o"</f>
        <v>#VALUE!</v>
      </c>
      <c r="AO5" t="e">
        <f>Issue_Log!A46+"67\!2p"</f>
        <v>#VALUE!</v>
      </c>
      <c r="AP5" s="1" t="e">
        <f>Issue_Log!B46+"67\!2q"</f>
        <v>#VALUE!</v>
      </c>
      <c r="AQ5" t="e">
        <f>Issue_Log!C46+"67\!2r"</f>
        <v>#VALUE!</v>
      </c>
      <c r="AR5" t="e">
        <f>Issue_Log!D46+"67\!2s"</f>
        <v>#VALUE!</v>
      </c>
      <c r="AS5" t="e">
        <f>Issue_Log!E46+"67\!2t"</f>
        <v>#VALUE!</v>
      </c>
      <c r="AT5" t="e">
        <f>Issue_Log!F46+"67\!2u"</f>
        <v>#VALUE!</v>
      </c>
      <c r="AU5" t="e">
        <f>Issue_Log!G46+"67\!2v"</f>
        <v>#VALUE!</v>
      </c>
      <c r="AV5" t="e">
        <f>Issue_Log!A47+"67\!2w"</f>
        <v>#VALUE!</v>
      </c>
      <c r="AW5" s="1" t="e">
        <f>Issue_Log!B47+"67\!2x"</f>
        <v>#VALUE!</v>
      </c>
      <c r="AX5" t="e">
        <f>Issue_Log!C47+"67\!2y"</f>
        <v>#VALUE!</v>
      </c>
      <c r="AY5" t="e">
        <f>Issue_Log!D47+"67\!2z"</f>
        <v>#VALUE!</v>
      </c>
      <c r="AZ5" t="e">
        <f>Issue_Log!E47+"67\!2{"</f>
        <v>#VALUE!</v>
      </c>
      <c r="BA5" t="e">
        <f>Issue_Log!F47+"67\!2|"</f>
        <v>#VALUE!</v>
      </c>
      <c r="BB5" t="e">
        <f>Issue_Log!G47+"67\!2}"</f>
        <v>#VALUE!</v>
      </c>
      <c r="BC5" t="e">
        <f>Issue_Log!A48+"67\!2~"</f>
        <v>#VALUE!</v>
      </c>
      <c r="BD5" s="1" t="e">
        <f>Issue_Log!B48+"67\!3#"</f>
        <v>#VALUE!</v>
      </c>
      <c r="BE5" t="e">
        <f>Issue_Log!C48+"67\!3$"</f>
        <v>#VALUE!</v>
      </c>
      <c r="BF5" t="e">
        <f>Issue_Log!D48+"67\!3%"</f>
        <v>#VALUE!</v>
      </c>
      <c r="BG5" t="e">
        <f>Issue_Log!E48+"67\!3&amp;"</f>
        <v>#VALUE!</v>
      </c>
      <c r="BH5" t="e">
        <f>Issue_Log!F48+"67\!3'"</f>
        <v>#VALUE!</v>
      </c>
      <c r="BI5" t="e">
        <f>Issue_Log!G48+"67\!3("</f>
        <v>#VALUE!</v>
      </c>
      <c r="BJ5" t="e">
        <f>Issue_Log!A49+"67\!3)"</f>
        <v>#VALUE!</v>
      </c>
      <c r="BK5" s="1" t="e">
        <f>Issue_Log!B49+"67\!3."</f>
        <v>#VALUE!</v>
      </c>
      <c r="BL5" t="e">
        <f>Issue_Log!C49+"67\!3/"</f>
        <v>#VALUE!</v>
      </c>
      <c r="BM5" t="e">
        <f>Issue_Log!D49+"67\!30"</f>
        <v>#VALUE!</v>
      </c>
      <c r="BN5" t="e">
        <f>Issue_Log!E49+"67\!31"</f>
        <v>#VALUE!</v>
      </c>
      <c r="BO5" t="e">
        <f>Issue_Log!F49+"67\!32"</f>
        <v>#VALUE!</v>
      </c>
      <c r="BP5" t="e">
        <f>Issue_Log!G49+"67\!33"</f>
        <v>#VALUE!</v>
      </c>
      <c r="BQ5" t="e">
        <f>Issue_Log!A50+"67\!34"</f>
        <v>#VALUE!</v>
      </c>
      <c r="BR5" s="1" t="e">
        <f>Issue_Log!B50+"67\!35"</f>
        <v>#VALUE!</v>
      </c>
      <c r="BS5" t="e">
        <f>Issue_Log!C50+"67\!36"</f>
        <v>#VALUE!</v>
      </c>
      <c r="BT5" t="e">
        <f>Issue_Log!D50+"67\!37"</f>
        <v>#VALUE!</v>
      </c>
      <c r="BU5" t="e">
        <f>Issue_Log!E50+"67\!38"</f>
        <v>#VALUE!</v>
      </c>
      <c r="BV5" t="e">
        <f>Issue_Log!F50+"67\!39"</f>
        <v>#VALUE!</v>
      </c>
      <c r="BW5" t="e">
        <f>Issue_Log!G50+"67\!3:"</f>
        <v>#VALUE!</v>
      </c>
      <c r="BX5" t="e">
        <f>Issue_Log!A51+"67\!3;"</f>
        <v>#VALUE!</v>
      </c>
      <c r="BY5" s="1" t="e">
        <f>Issue_Log!B51+"67\!3&lt;"</f>
        <v>#VALUE!</v>
      </c>
      <c r="BZ5" t="e">
        <f>Issue_Log!C51+"67\!3="</f>
        <v>#VALUE!</v>
      </c>
      <c r="CA5" t="e">
        <f>Issue_Log!D51+"67\!3&gt;"</f>
        <v>#VALUE!</v>
      </c>
      <c r="CB5" t="e">
        <f>Issue_Log!E51+"67\!3?"</f>
        <v>#VALUE!</v>
      </c>
      <c r="CC5" t="e">
        <f>Issue_Log!F51+"67\!3@"</f>
        <v>#VALUE!</v>
      </c>
      <c r="CD5" t="e">
        <f>Issue_Log!G51+"67\!3A"</f>
        <v>#VALUE!</v>
      </c>
      <c r="CE5" t="e">
        <f>Issue_Log!A52+"67\!3B"</f>
        <v>#VALUE!</v>
      </c>
      <c r="CF5" s="1" t="e">
        <f>Issue_Log!B52+"67\!3C"</f>
        <v>#VALUE!</v>
      </c>
      <c r="CG5" t="e">
        <f>Issue_Log!C52+"67\!3D"</f>
        <v>#VALUE!</v>
      </c>
      <c r="CH5" t="e">
        <f>Issue_Log!D52+"67\!3E"</f>
        <v>#VALUE!</v>
      </c>
      <c r="CI5" t="e">
        <f>Issue_Log!E52+"67\!3F"</f>
        <v>#VALUE!</v>
      </c>
      <c r="CJ5" t="e">
        <f>Issue_Log!F52+"67\!3G"</f>
        <v>#VALUE!</v>
      </c>
      <c r="CK5" t="e">
        <f>Issue_Log!G52+"67\!3H"</f>
        <v>#VALUE!</v>
      </c>
      <c r="CL5" t="e">
        <f>Issue_Log!A53+"67\!3I"</f>
        <v>#VALUE!</v>
      </c>
      <c r="CM5" s="1" t="e">
        <f>Issue_Log!B53+"67\!3J"</f>
        <v>#VALUE!</v>
      </c>
      <c r="CN5" t="e">
        <f>Issue_Log!C53+"67\!3K"</f>
        <v>#VALUE!</v>
      </c>
      <c r="CO5" t="e">
        <f>Issue_Log!D53+"67\!3L"</f>
        <v>#VALUE!</v>
      </c>
      <c r="CP5" t="e">
        <f>Issue_Log!E53+"67\!3M"</f>
        <v>#VALUE!</v>
      </c>
      <c r="CQ5" t="e">
        <f>Issue_Log!F53+"67\!3N"</f>
        <v>#VALUE!</v>
      </c>
      <c r="CR5" t="e">
        <f>Issue_Log!G53+"67\!3O"</f>
        <v>#VALUE!</v>
      </c>
      <c r="CS5" t="e">
        <f>Issue_Log!A54+"67\!3P"</f>
        <v>#VALUE!</v>
      </c>
      <c r="CT5" s="1" t="e">
        <f>Issue_Log!B54+"67\!3Q"</f>
        <v>#VALUE!</v>
      </c>
      <c r="CU5" t="e">
        <f>Issue_Log!C54+"67\!3R"</f>
        <v>#VALUE!</v>
      </c>
      <c r="CV5" t="e">
        <f>Issue_Log!D54+"67\!3S"</f>
        <v>#VALUE!</v>
      </c>
      <c r="CW5" t="e">
        <f>Issue_Log!E54+"67\!3T"</f>
        <v>#VALUE!</v>
      </c>
      <c r="CX5" t="e">
        <f>Issue_Log!F54+"67\!3U"</f>
        <v>#VALUE!</v>
      </c>
      <c r="CY5" t="e">
        <f>Issue_Log!G54+"67\!3V"</f>
        <v>#VALUE!</v>
      </c>
      <c r="CZ5" t="e">
        <f>Issue_Log!A55+"67\!3W"</f>
        <v>#VALUE!</v>
      </c>
      <c r="DA5" s="1" t="e">
        <f>Issue_Log!B55+"67\!3X"</f>
        <v>#VALUE!</v>
      </c>
      <c r="DB5" t="e">
        <f>Issue_Log!C55+"67\!3Y"</f>
        <v>#VALUE!</v>
      </c>
      <c r="DC5" t="e">
        <f>Issue_Log!D55+"67\!3Z"</f>
        <v>#VALUE!</v>
      </c>
      <c r="DD5" t="e">
        <f>Issue_Log!E55+"67\!3["</f>
        <v>#VALUE!</v>
      </c>
      <c r="DE5" t="e">
        <f>Issue_Log!F55+"67\!3\"</f>
        <v>#VALUE!</v>
      </c>
      <c r="DF5" t="e">
        <f>Issue_Log!G55+"67\!3]"</f>
        <v>#VALUE!</v>
      </c>
      <c r="DG5" t="e">
        <f>Issue_Log!A56+"67\!3^"</f>
        <v>#VALUE!</v>
      </c>
      <c r="DH5" s="1" t="e">
        <f>Issue_Log!B56+"67\!3_"</f>
        <v>#VALUE!</v>
      </c>
      <c r="DI5" t="e">
        <f>Issue_Log!C56+"67\!3`"</f>
        <v>#VALUE!</v>
      </c>
      <c r="DJ5" t="e">
        <f>Issue_Log!D56+"67\!3a"</f>
        <v>#VALUE!</v>
      </c>
      <c r="DK5" t="e">
        <f>Issue_Log!E56+"67\!3b"</f>
        <v>#VALUE!</v>
      </c>
      <c r="DL5" t="e">
        <f>Issue_Log!F56+"67\!3c"</f>
        <v>#VALUE!</v>
      </c>
      <c r="DM5" t="e">
        <f>Issue_Log!G56+"67\!3d"</f>
        <v>#VALUE!</v>
      </c>
      <c r="DN5" t="e">
        <f>Issue_Log!A57+"67\!3e"</f>
        <v>#VALUE!</v>
      </c>
      <c r="DO5" s="1" t="e">
        <f>Issue_Log!B57+"67\!3f"</f>
        <v>#VALUE!</v>
      </c>
      <c r="DP5" t="e">
        <f>Issue_Log!C57+"67\!3g"</f>
        <v>#VALUE!</v>
      </c>
      <c r="DQ5" t="e">
        <f>Issue_Log!D57+"67\!3h"</f>
        <v>#VALUE!</v>
      </c>
      <c r="DR5" t="e">
        <f>Issue_Log!E57+"67\!3i"</f>
        <v>#VALUE!</v>
      </c>
      <c r="DS5" t="e">
        <f>Issue_Log!F57+"67\!3j"</f>
        <v>#VALUE!</v>
      </c>
      <c r="DT5" t="e">
        <f>Issue_Log!G57+"67\!3k"</f>
        <v>#VALUE!</v>
      </c>
      <c r="DU5" t="e">
        <f>Issue_Log!A58+"67\!3l"</f>
        <v>#VALUE!</v>
      </c>
      <c r="DV5" s="1" t="e">
        <f>Issue_Log!B58+"67\!3m"</f>
        <v>#VALUE!</v>
      </c>
      <c r="DW5" t="e">
        <f>Issue_Log!C58+"67\!3n"</f>
        <v>#VALUE!</v>
      </c>
      <c r="DX5" t="e">
        <f>Issue_Log!D58+"67\!3o"</f>
        <v>#VALUE!</v>
      </c>
      <c r="DY5" t="e">
        <f>Issue_Log!E58+"67\!3p"</f>
        <v>#VALUE!</v>
      </c>
      <c r="DZ5" t="e">
        <f>Issue_Log!F58+"67\!3q"</f>
        <v>#VALUE!</v>
      </c>
      <c r="EA5" t="e">
        <f>Issue_Log!G58+"67\!3r"</f>
        <v>#VALUE!</v>
      </c>
      <c r="EB5" t="e">
        <f>Issue_Log!A59+"67\!3s"</f>
        <v>#VALUE!</v>
      </c>
      <c r="EC5" s="1" t="e">
        <f>Issue_Log!B59+"67\!3t"</f>
        <v>#VALUE!</v>
      </c>
      <c r="ED5" t="e">
        <f>Issue_Log!C59+"67\!3u"</f>
        <v>#VALUE!</v>
      </c>
      <c r="EE5" t="e">
        <f>Issue_Log!D59+"67\!3v"</f>
        <v>#VALUE!</v>
      </c>
      <c r="EF5" t="e">
        <f>Issue_Log!E59+"67\!3w"</f>
        <v>#VALUE!</v>
      </c>
      <c r="EG5" t="e">
        <f>Issue_Log!F59+"67\!3x"</f>
        <v>#VALUE!</v>
      </c>
      <c r="EH5" t="e">
        <f>Issue_Log!G59+"67\!3y"</f>
        <v>#VALUE!</v>
      </c>
      <c r="EI5" t="e">
        <f>Issue_Log!A60+"67\!3z"</f>
        <v>#VALUE!</v>
      </c>
      <c r="EJ5" s="1" t="e">
        <f>Issue_Log!B60+"67\!3{"</f>
        <v>#VALUE!</v>
      </c>
      <c r="EK5" t="e">
        <f>Issue_Log!C60+"67\!3|"</f>
        <v>#VALUE!</v>
      </c>
      <c r="EL5" t="e">
        <f>Issue_Log!D60+"67\!3}"</f>
        <v>#VALUE!</v>
      </c>
      <c r="EM5" t="e">
        <f>Issue_Log!E60+"67\!3~"</f>
        <v>#VALUE!</v>
      </c>
      <c r="EN5" t="e">
        <f>Issue_Log!F60+"67\!4#"</f>
        <v>#VALUE!</v>
      </c>
      <c r="EO5" t="e">
        <f>Issue_Log!G60+"67\!4$"</f>
        <v>#VALUE!</v>
      </c>
      <c r="EP5" t="e">
        <f>Issue_Log!A61+"67\!4%"</f>
        <v>#VALUE!</v>
      </c>
      <c r="EQ5" s="1" t="e">
        <f>Issue_Log!B61+"67\!4&amp;"</f>
        <v>#VALUE!</v>
      </c>
      <c r="ER5" t="e">
        <f>Issue_Log!C61+"67\!4'"</f>
        <v>#VALUE!</v>
      </c>
      <c r="ES5" t="e">
        <f>Issue_Log!D61+"67\!4("</f>
        <v>#VALUE!</v>
      </c>
      <c r="ET5" t="e">
        <f>Issue_Log!E61+"67\!4)"</f>
        <v>#VALUE!</v>
      </c>
      <c r="EU5" t="e">
        <f>Issue_Log!F61+"67\!4."</f>
        <v>#VALUE!</v>
      </c>
      <c r="EV5" t="e">
        <f>Issue_Log!G61+"67\!4/"</f>
        <v>#VALUE!</v>
      </c>
      <c r="EW5" t="e">
        <f>Issue_Log!A62+"67\!40"</f>
        <v>#VALUE!</v>
      </c>
      <c r="EX5" s="1" t="e">
        <f>Issue_Log!B62+"67\!41"</f>
        <v>#VALUE!</v>
      </c>
      <c r="EY5" t="e">
        <f>Issue_Log!C62+"67\!42"</f>
        <v>#VALUE!</v>
      </c>
      <c r="EZ5" t="e">
        <f>Issue_Log!D62+"67\!43"</f>
        <v>#VALUE!</v>
      </c>
      <c r="FA5" t="e">
        <f>Issue_Log!E62+"67\!44"</f>
        <v>#VALUE!</v>
      </c>
      <c r="FB5" t="e">
        <f>Issue_Log!F62+"67\!45"</f>
        <v>#VALUE!</v>
      </c>
      <c r="FC5" t="e">
        <f>Issue_Log!G62+"67\!46"</f>
        <v>#VALUE!</v>
      </c>
      <c r="FD5" t="e">
        <f>Issue_Log!A63+"67\!47"</f>
        <v>#VALUE!</v>
      </c>
      <c r="FE5" s="1" t="e">
        <f>Issue_Log!B63+"67\!48"</f>
        <v>#VALUE!</v>
      </c>
      <c r="FF5" t="e">
        <f>Issue_Log!C63+"67\!49"</f>
        <v>#VALUE!</v>
      </c>
      <c r="FG5" t="e">
        <f>Issue_Log!D63+"67\!4:"</f>
        <v>#VALUE!</v>
      </c>
      <c r="FH5" t="e">
        <f>Issue_Log!E63+"67\!4;"</f>
        <v>#VALUE!</v>
      </c>
      <c r="FI5" t="e">
        <f>Issue_Log!F63+"67\!4&lt;"</f>
        <v>#VALUE!</v>
      </c>
      <c r="FJ5" t="e">
        <f>Issue_Log!G63+"67\!4="</f>
        <v>#VALUE!</v>
      </c>
      <c r="FK5" t="e">
        <f>Issue_Log!A64+"67\!4&gt;"</f>
        <v>#VALUE!</v>
      </c>
      <c r="FL5" s="1" t="e">
        <f>Issue_Log!B64+"67\!4?"</f>
        <v>#VALUE!</v>
      </c>
      <c r="FM5" t="e">
        <f>Issue_Log!C64+"67\!4@"</f>
        <v>#VALUE!</v>
      </c>
      <c r="FN5" t="e">
        <f>Issue_Log!D64+"67\!4A"</f>
        <v>#VALUE!</v>
      </c>
      <c r="FO5" t="e">
        <f>Issue_Log!E64+"67\!4B"</f>
        <v>#VALUE!</v>
      </c>
      <c r="FP5" t="e">
        <f>Issue_Log!F64+"67\!4C"</f>
        <v>#VALUE!</v>
      </c>
      <c r="FQ5" t="e">
        <f>Issue_Log!G64+"67\!4D"</f>
        <v>#VALUE!</v>
      </c>
      <c r="FR5" t="e">
        <f>Issue_Log!A65+"67\!4E"</f>
        <v>#VALUE!</v>
      </c>
      <c r="FS5" s="1" t="e">
        <f>Issue_Log!B65+"67\!4F"</f>
        <v>#VALUE!</v>
      </c>
      <c r="FT5" t="e">
        <f>Issue_Log!C65+"67\!4G"</f>
        <v>#VALUE!</v>
      </c>
      <c r="FU5" t="e">
        <f>Issue_Log!D65+"67\!4H"</f>
        <v>#VALUE!</v>
      </c>
      <c r="FV5" t="e">
        <f>Issue_Log!E65+"67\!4I"</f>
        <v>#VALUE!</v>
      </c>
      <c r="FW5" t="e">
        <f>Issue_Log!F65+"67\!4J"</f>
        <v>#VALUE!</v>
      </c>
      <c r="FX5" t="e">
        <f>Issue_Log!G65+"67\!4K"</f>
        <v>#VALUE!</v>
      </c>
      <c r="FY5" t="e">
        <f>Issue_Log!A66+"67\!4L"</f>
        <v>#VALUE!</v>
      </c>
      <c r="FZ5" s="1" t="e">
        <f>Issue_Log!B66+"67\!4M"</f>
        <v>#VALUE!</v>
      </c>
      <c r="GA5" t="e">
        <f>Issue_Log!C66+"67\!4N"</f>
        <v>#VALUE!</v>
      </c>
      <c r="GB5" t="e">
        <f>Issue_Log!D66+"67\!4O"</f>
        <v>#VALUE!</v>
      </c>
      <c r="GC5" t="e">
        <f>Issue_Log!E66+"67\!4P"</f>
        <v>#VALUE!</v>
      </c>
      <c r="GD5" t="e">
        <f>Issue_Log!F66+"67\!4Q"</f>
        <v>#VALUE!</v>
      </c>
      <c r="GE5" t="e">
        <f>Issue_Log!G66+"67\!4R"</f>
        <v>#VALUE!</v>
      </c>
      <c r="GF5" t="e">
        <f>Issue_Log!A67+"67\!4S"</f>
        <v>#VALUE!</v>
      </c>
      <c r="GG5" s="1" t="e">
        <f>Issue_Log!B67+"67\!4T"</f>
        <v>#VALUE!</v>
      </c>
      <c r="GH5" t="e">
        <f>Issue_Log!C67+"67\!4U"</f>
        <v>#VALUE!</v>
      </c>
      <c r="GI5" t="e">
        <f>Issue_Log!D67+"67\!4V"</f>
        <v>#VALUE!</v>
      </c>
      <c r="GJ5" t="e">
        <f>Issue_Log!E67+"67\!4W"</f>
        <v>#VALUE!</v>
      </c>
      <c r="GK5" t="e">
        <f>Issue_Log!F67+"67\!4X"</f>
        <v>#VALUE!</v>
      </c>
      <c r="GL5" t="e">
        <f>Issue_Log!G67+"67\!4Y"</f>
        <v>#VALUE!</v>
      </c>
      <c r="GM5" t="e">
        <f>Issue_Log!A68+"67\!4Z"</f>
        <v>#VALUE!</v>
      </c>
      <c r="GN5" s="1" t="e">
        <f>Issue_Log!B68+"67\!4["</f>
        <v>#VALUE!</v>
      </c>
      <c r="GO5" t="e">
        <f>Issue_Log!C68+"67\!4\"</f>
        <v>#VALUE!</v>
      </c>
      <c r="GP5" t="e">
        <f>Issue_Log!D68+"67\!4]"</f>
        <v>#VALUE!</v>
      </c>
      <c r="GQ5" t="e">
        <f>Issue_Log!E68+"67\!4^"</f>
        <v>#VALUE!</v>
      </c>
      <c r="GR5" t="e">
        <f>Issue_Log!F68+"67\!4_"</f>
        <v>#VALUE!</v>
      </c>
      <c r="GS5" t="e">
        <f>Issue_Log!G68+"67\!4`"</f>
        <v>#VALUE!</v>
      </c>
      <c r="GT5" t="e">
        <f>Issue_Log!A69+"67\!4a"</f>
        <v>#VALUE!</v>
      </c>
      <c r="GU5" s="1" t="e">
        <f>Issue_Log!B69+"67\!4b"</f>
        <v>#VALUE!</v>
      </c>
      <c r="GV5" t="e">
        <f>Issue_Log!C69+"67\!4c"</f>
        <v>#VALUE!</v>
      </c>
      <c r="GW5" t="e">
        <f>Issue_Log!D69+"67\!4d"</f>
        <v>#VALUE!</v>
      </c>
      <c r="GX5" t="e">
        <f>Issue_Log!E69+"67\!4e"</f>
        <v>#VALUE!</v>
      </c>
      <c r="GY5" t="e">
        <f>Issue_Log!F69+"67\!4f"</f>
        <v>#VALUE!</v>
      </c>
      <c r="GZ5" t="e">
        <f>Issue_Log!G69+"67\!4g"</f>
        <v>#VALUE!</v>
      </c>
      <c r="HA5" t="e">
        <f>Issue_Log!A70+"67\!4h"</f>
        <v>#VALUE!</v>
      </c>
      <c r="HB5" s="1" t="e">
        <f>Issue_Log!B70+"67\!4i"</f>
        <v>#VALUE!</v>
      </c>
      <c r="HC5" t="e">
        <f>Issue_Log!C70+"67\!4j"</f>
        <v>#VALUE!</v>
      </c>
      <c r="HD5" t="e">
        <f>Issue_Log!D70+"67\!4k"</f>
        <v>#VALUE!</v>
      </c>
      <c r="HE5" t="e">
        <f>Issue_Log!E70+"67\!4l"</f>
        <v>#VALUE!</v>
      </c>
      <c r="HF5" t="e">
        <f>Issue_Log!F70+"67\!4m"</f>
        <v>#VALUE!</v>
      </c>
      <c r="HG5" t="e">
        <f>Issue_Log!G70+"67\!4n"</f>
        <v>#VALUE!</v>
      </c>
      <c r="HH5" t="e">
        <f>Issue_Log!A71+"67\!4o"</f>
        <v>#VALUE!</v>
      </c>
      <c r="HI5" s="1" t="e">
        <f>Issue_Log!B71+"67\!4p"</f>
        <v>#VALUE!</v>
      </c>
      <c r="HJ5" t="e">
        <f>Issue_Log!C71+"67\!4q"</f>
        <v>#VALUE!</v>
      </c>
      <c r="HK5" t="e">
        <f>Issue_Log!D71+"67\!4r"</f>
        <v>#VALUE!</v>
      </c>
      <c r="HL5" t="e">
        <f>Issue_Log!E71+"67\!4s"</f>
        <v>#VALUE!</v>
      </c>
      <c r="HM5" t="e">
        <f>Issue_Log!F71+"67\!4t"</f>
        <v>#VALUE!</v>
      </c>
      <c r="HN5" t="e">
        <f>Issue_Log!G71+"67\!4u"</f>
        <v>#VALUE!</v>
      </c>
      <c r="HO5" t="e">
        <f>Issue_Log!A72+"67\!4v"</f>
        <v>#VALUE!</v>
      </c>
      <c r="HP5" s="1" t="e">
        <f>Issue_Log!B72+"67\!4w"</f>
        <v>#VALUE!</v>
      </c>
      <c r="HQ5" t="e">
        <f>Issue_Log!C72+"67\!4x"</f>
        <v>#VALUE!</v>
      </c>
      <c r="HR5" t="e">
        <f>Issue_Log!D72+"67\!4y"</f>
        <v>#VALUE!</v>
      </c>
      <c r="HS5" t="e">
        <f>Issue_Log!E72+"67\!4z"</f>
        <v>#VALUE!</v>
      </c>
      <c r="HT5" t="e">
        <f>Issue_Log!F72+"67\!4{"</f>
        <v>#VALUE!</v>
      </c>
      <c r="HU5" t="e">
        <f>Issue_Log!G72+"67\!4|"</f>
        <v>#VALUE!</v>
      </c>
      <c r="HV5" t="e">
        <f>Issue_Log!A73+"67\!4}"</f>
        <v>#VALUE!</v>
      </c>
      <c r="HW5" s="1" t="e">
        <f>Issue_Log!B73+"67\!4~"</f>
        <v>#VALUE!</v>
      </c>
      <c r="HX5" t="e">
        <f>Issue_Log!C73+"67\!5#"</f>
        <v>#VALUE!</v>
      </c>
      <c r="HY5" t="e">
        <f>Issue_Log!D73+"67\!5$"</f>
        <v>#VALUE!</v>
      </c>
      <c r="HZ5" t="e">
        <f>Issue_Log!E73+"67\!5%"</f>
        <v>#VALUE!</v>
      </c>
      <c r="IA5" t="e">
        <f>Issue_Log!F73+"67\!5&amp;"</f>
        <v>#VALUE!</v>
      </c>
      <c r="IB5" t="e">
        <f>Issue_Log!G73+"67\!5'"</f>
        <v>#VALUE!</v>
      </c>
      <c r="IC5" t="e">
        <f>Issue_Log!A74+"67\!5("</f>
        <v>#VALUE!</v>
      </c>
      <c r="ID5" s="1" t="e">
        <f>Issue_Log!B74+"67\!5)"</f>
        <v>#VALUE!</v>
      </c>
      <c r="IE5" t="e">
        <f>Issue_Log!C74+"67\!5."</f>
        <v>#VALUE!</v>
      </c>
      <c r="IF5" t="e">
        <f>Issue_Log!D74+"67\!5/"</f>
        <v>#VALUE!</v>
      </c>
      <c r="IG5" t="e">
        <f>Issue_Log!E74+"67\!50"</f>
        <v>#VALUE!</v>
      </c>
      <c r="IH5" t="e">
        <f>Issue_Log!F74+"67\!51"</f>
        <v>#VALUE!</v>
      </c>
      <c r="II5" t="e">
        <f>Issue_Log!G74+"67\!52"</f>
        <v>#VALUE!</v>
      </c>
      <c r="IJ5" t="e">
        <f>Issue_Log!A75+"67\!53"</f>
        <v>#VALUE!</v>
      </c>
      <c r="IK5" s="1" t="e">
        <f>Issue_Log!B75+"67\!54"</f>
        <v>#VALUE!</v>
      </c>
      <c r="IL5" t="e">
        <f>Issue_Log!C75+"67\!55"</f>
        <v>#VALUE!</v>
      </c>
      <c r="IM5" t="e">
        <f>Issue_Log!D75+"67\!56"</f>
        <v>#VALUE!</v>
      </c>
      <c r="IN5" t="e">
        <f>Issue_Log!E75+"67\!57"</f>
        <v>#VALUE!</v>
      </c>
      <c r="IO5" t="e">
        <f>Issue_Log!F75+"67\!58"</f>
        <v>#VALUE!</v>
      </c>
      <c r="IP5" t="e">
        <f>Issue_Log!G75+"67\!59"</f>
        <v>#VALUE!</v>
      </c>
      <c r="IQ5" t="e">
        <f>Issue_Log!A76+"67\!5:"</f>
        <v>#VALUE!</v>
      </c>
      <c r="IR5" s="1" t="e">
        <f>Issue_Log!B76+"67\!5;"</f>
        <v>#VALUE!</v>
      </c>
      <c r="IS5" t="e">
        <f>Issue_Log!C76+"67\!5&lt;"</f>
        <v>#VALUE!</v>
      </c>
      <c r="IT5" t="e">
        <f>Issue_Log!D76+"67\!5="</f>
        <v>#VALUE!</v>
      </c>
      <c r="IU5" t="e">
        <f>Issue_Log!E76+"67\!5&gt;"</f>
        <v>#VALUE!</v>
      </c>
      <c r="IV5" t="e">
        <f>Issue_Log!F76+"67\!5?"</f>
        <v>#VALUE!</v>
      </c>
    </row>
    <row r="6" spans="1:256" x14ac:dyDescent="0.15">
      <c r="F6" t="e">
        <f>Issue_Log!G76+"67\!5@"</f>
        <v>#VALUE!</v>
      </c>
      <c r="G6" t="e">
        <f>Issue_Log!A77+"67\!5A"</f>
        <v>#VALUE!</v>
      </c>
      <c r="H6" s="1" t="e">
        <f>Issue_Log!B77+"67\!5B"</f>
        <v>#VALUE!</v>
      </c>
      <c r="I6" t="e">
        <f>Issue_Log!C77+"67\!5C"</f>
        <v>#VALUE!</v>
      </c>
      <c r="J6" t="e">
        <f>Issue_Log!D77+"67\!5D"</f>
        <v>#VALUE!</v>
      </c>
      <c r="K6" t="e">
        <f>Issue_Log!E77+"67\!5E"</f>
        <v>#VALUE!</v>
      </c>
      <c r="L6" t="e">
        <f>Issue_Log!F77+"67\!5F"</f>
        <v>#VALUE!</v>
      </c>
      <c r="M6" t="e">
        <f>Issue_Log!G77+"67\!5G"</f>
        <v>#VALUE!</v>
      </c>
      <c r="N6" t="e">
        <f>Issue_Log!A78+"67\!5H"</f>
        <v>#VALUE!</v>
      </c>
      <c r="O6" s="1" t="e">
        <f>Issue_Log!B78+"67\!5I"</f>
        <v>#VALUE!</v>
      </c>
      <c r="P6" t="e">
        <f>Issue_Log!C78+"67\!5J"</f>
        <v>#VALUE!</v>
      </c>
      <c r="Q6" t="e">
        <f>Issue_Log!D78+"67\!5K"</f>
        <v>#VALUE!</v>
      </c>
      <c r="R6" t="e">
        <f>Issue_Log!E78+"67\!5L"</f>
        <v>#VALUE!</v>
      </c>
      <c r="S6" t="e">
        <f>Issue_Log!F78+"67\!5M"</f>
        <v>#VALUE!</v>
      </c>
      <c r="T6" t="e">
        <f>Issue_Log!G78+"67\!5N"</f>
        <v>#VALUE!</v>
      </c>
      <c r="U6" t="e">
        <f>Issue_Log!A79+"67\!5O"</f>
        <v>#VALUE!</v>
      </c>
      <c r="V6" s="1" t="e">
        <f>Issue_Log!B79+"67\!5P"</f>
        <v>#VALUE!</v>
      </c>
      <c r="W6" t="e">
        <f>Issue_Log!C79+"67\!5Q"</f>
        <v>#VALUE!</v>
      </c>
      <c r="X6" t="e">
        <f>Issue_Log!D79+"67\!5R"</f>
        <v>#VALUE!</v>
      </c>
      <c r="Y6" t="e">
        <f>Issue_Log!E79+"67\!5S"</f>
        <v>#VALUE!</v>
      </c>
      <c r="Z6" t="e">
        <f>Issue_Log!F79+"67\!5T"</f>
        <v>#VALUE!</v>
      </c>
      <c r="AA6" t="e">
        <f>Issue_Log!G79+"67\!5U"</f>
        <v>#VALUE!</v>
      </c>
      <c r="AB6" t="e">
        <f>Issue_Log!A80+"67\!5V"</f>
        <v>#VALUE!</v>
      </c>
      <c r="AC6" s="1" t="e">
        <f>Issue_Log!B80+"67\!5W"</f>
        <v>#VALUE!</v>
      </c>
      <c r="AD6" t="e">
        <f>Issue_Log!C80+"67\!5X"</f>
        <v>#VALUE!</v>
      </c>
      <c r="AE6" t="e">
        <f>Issue_Log!D80+"67\!5Y"</f>
        <v>#VALUE!</v>
      </c>
      <c r="AF6" t="e">
        <f>Issue_Log!E80+"67\!5Z"</f>
        <v>#VALUE!</v>
      </c>
      <c r="AG6" t="e">
        <f>Issue_Log!F80+"67\!5["</f>
        <v>#VALUE!</v>
      </c>
      <c r="AH6" t="e">
        <f>Issue_Log!G80+"67\!5\"</f>
        <v>#VALUE!</v>
      </c>
      <c r="AI6" t="e">
        <f>Issue_Log!A81+"67\!5]"</f>
        <v>#VALUE!</v>
      </c>
      <c r="AJ6" s="1" t="e">
        <f>Issue_Log!B81+"67\!5^"</f>
        <v>#VALUE!</v>
      </c>
      <c r="AK6" t="e">
        <f>Issue_Log!C81+"67\!5_"</f>
        <v>#VALUE!</v>
      </c>
      <c r="AL6" t="e">
        <f>Issue_Log!D81+"67\!5`"</f>
        <v>#VALUE!</v>
      </c>
      <c r="AM6" t="e">
        <f>Issue_Log!E81+"67\!5a"</f>
        <v>#VALUE!</v>
      </c>
      <c r="AN6" t="e">
        <f>Issue_Log!F81+"67\!5b"</f>
        <v>#VALUE!</v>
      </c>
      <c r="AO6" t="e">
        <f>Issue_Log!G81+"67\!5c"</f>
        <v>#VALUE!</v>
      </c>
      <c r="AP6" t="e">
        <f>Issue_Log!A82+"67\!5d"</f>
        <v>#VALUE!</v>
      </c>
      <c r="AQ6" s="1" t="e">
        <f>Issue_Log!B82+"67\!5e"</f>
        <v>#VALUE!</v>
      </c>
      <c r="AR6" t="e">
        <f>Issue_Log!C82+"67\!5f"</f>
        <v>#VALUE!</v>
      </c>
      <c r="AS6" t="e">
        <f>Issue_Log!D82+"67\!5g"</f>
        <v>#VALUE!</v>
      </c>
      <c r="AT6" t="e">
        <f>Issue_Log!E82+"67\!5h"</f>
        <v>#VALUE!</v>
      </c>
      <c r="AU6" t="e">
        <f>Issue_Log!F82+"67\!5i"</f>
        <v>#VALUE!</v>
      </c>
      <c r="AV6" t="e">
        <f>Issue_Log!G82+"67\!5j"</f>
        <v>#VALUE!</v>
      </c>
      <c r="AW6" t="e">
        <f>Issue_Log!A83+"67\!5k"</f>
        <v>#VALUE!</v>
      </c>
      <c r="AX6" s="1" t="e">
        <f>Issue_Log!B83+"67\!5l"</f>
        <v>#VALUE!</v>
      </c>
      <c r="AY6" t="e">
        <f>Issue_Log!C83+"67\!5m"</f>
        <v>#VALUE!</v>
      </c>
      <c r="AZ6" t="e">
        <f>Issue_Log!D83+"67\!5n"</f>
        <v>#VALUE!</v>
      </c>
      <c r="BA6" t="e">
        <f>Issue_Log!E83+"67\!5o"</f>
        <v>#VALUE!</v>
      </c>
      <c r="BB6" t="e">
        <f>Issue_Log!F83+"67\!5p"</f>
        <v>#VALUE!</v>
      </c>
      <c r="BC6" t="e">
        <f>Issue_Log!G83+"67\!5q"</f>
        <v>#VALUE!</v>
      </c>
      <c r="BD6" t="e">
        <f>Issue_Log!A84+"67\!5r"</f>
        <v>#VALUE!</v>
      </c>
      <c r="BE6" s="1" t="e">
        <f>Issue_Log!B84+"67\!5s"</f>
        <v>#VALUE!</v>
      </c>
      <c r="BF6" t="e">
        <f>Issue_Log!C84+"67\!5t"</f>
        <v>#VALUE!</v>
      </c>
      <c r="BG6" t="e">
        <f>Issue_Log!D84+"67\!5u"</f>
        <v>#VALUE!</v>
      </c>
      <c r="BH6" t="e">
        <f>Issue_Log!E84+"67\!5v"</f>
        <v>#VALUE!</v>
      </c>
      <c r="BI6" t="e">
        <f>Issue_Log!F84+"67\!5w"</f>
        <v>#VALUE!</v>
      </c>
      <c r="BJ6" t="e">
        <f>Issue_Log!G84+"67\!5x"</f>
        <v>#VALUE!</v>
      </c>
      <c r="BK6" t="e">
        <f>Issue_Log!A85+"67\!5y"</f>
        <v>#VALUE!</v>
      </c>
      <c r="BL6" s="1" t="e">
        <f>Issue_Log!B85+"67\!5z"</f>
        <v>#VALUE!</v>
      </c>
      <c r="BM6" t="e">
        <f>Issue_Log!C85+"67\!5{"</f>
        <v>#VALUE!</v>
      </c>
      <c r="BN6" t="e">
        <f>Issue_Log!D85+"67\!5|"</f>
        <v>#VALUE!</v>
      </c>
      <c r="BO6" t="e">
        <f>Issue_Log!E85+"67\!5}"</f>
        <v>#VALUE!</v>
      </c>
      <c r="BP6" t="e">
        <f>Issue_Log!F85+"67\!5~"</f>
        <v>#VALUE!</v>
      </c>
      <c r="BQ6" t="e">
        <f>Issue_Log!G85+"67\!6#"</f>
        <v>#VALUE!</v>
      </c>
      <c r="BR6" t="e">
        <f>Issue_Log!A86+"67\!6$"</f>
        <v>#VALUE!</v>
      </c>
      <c r="BS6" s="1" t="e">
        <f>Issue_Log!B86+"67\!6%"</f>
        <v>#VALUE!</v>
      </c>
      <c r="BT6" t="e">
        <f>Issue_Log!C86+"67\!6&amp;"</f>
        <v>#VALUE!</v>
      </c>
      <c r="BU6" t="e">
        <f>Issue_Log!D86+"67\!6'"</f>
        <v>#VALUE!</v>
      </c>
      <c r="BV6" t="e">
        <f>Issue_Log!E86+"67\!6("</f>
        <v>#VALUE!</v>
      </c>
      <c r="BW6" t="e">
        <f>Issue_Log!F86+"67\!6)"</f>
        <v>#VALUE!</v>
      </c>
      <c r="BX6" t="e">
        <f>Issue_Log!G86+"67\!6."</f>
        <v>#VALUE!</v>
      </c>
      <c r="BY6" t="e">
        <f>Issue_Log!A87+"67\!6/"</f>
        <v>#VALUE!</v>
      </c>
      <c r="BZ6" s="1" t="e">
        <f>Issue_Log!B87+"67\!60"</f>
        <v>#VALUE!</v>
      </c>
      <c r="CA6" t="e">
        <f>Issue_Log!C87+"67\!61"</f>
        <v>#VALUE!</v>
      </c>
      <c r="CB6" t="e">
        <f>Issue_Log!D87+"67\!62"</f>
        <v>#VALUE!</v>
      </c>
      <c r="CC6" t="e">
        <f>Issue_Log!E87+"67\!63"</f>
        <v>#VALUE!</v>
      </c>
      <c r="CD6" t="e">
        <f>Issue_Log!F87+"67\!64"</f>
        <v>#VALUE!</v>
      </c>
      <c r="CE6" t="e">
        <f>Issue_Log!G87+"67\!65"</f>
        <v>#VALUE!</v>
      </c>
      <c r="CF6" t="e">
        <f>Issue_Log!A88+"67\!66"</f>
        <v>#VALUE!</v>
      </c>
      <c r="CG6" s="1" t="e">
        <f>Issue_Log!B88+"67\!67"</f>
        <v>#VALUE!</v>
      </c>
      <c r="CH6" t="e">
        <f>Issue_Log!C88+"67\!68"</f>
        <v>#VALUE!</v>
      </c>
      <c r="CI6" t="e">
        <f>Issue_Log!D88+"67\!69"</f>
        <v>#VALUE!</v>
      </c>
      <c r="CJ6" t="e">
        <f>Issue_Log!E88+"67\!6:"</f>
        <v>#VALUE!</v>
      </c>
      <c r="CK6" t="e">
        <f>Issue_Log!F88+"67\!6;"</f>
        <v>#VALUE!</v>
      </c>
      <c r="CL6" t="e">
        <f>Issue_Log!G88+"67\!6&lt;"</f>
        <v>#VALUE!</v>
      </c>
      <c r="CM6" t="e">
        <f>Issue_Log!A89+"67\!6="</f>
        <v>#VALUE!</v>
      </c>
      <c r="CN6" s="1" t="e">
        <f>Issue_Log!B89+"67\!6&gt;"</f>
        <v>#VALUE!</v>
      </c>
      <c r="CO6" t="e">
        <f>Issue_Log!C89+"67\!6?"</f>
        <v>#VALUE!</v>
      </c>
      <c r="CP6" t="e">
        <f>Issue_Log!D89+"67\!6@"</f>
        <v>#VALUE!</v>
      </c>
      <c r="CQ6" t="e">
        <f>Issue_Log!E89+"67\!6A"</f>
        <v>#VALUE!</v>
      </c>
      <c r="CR6" t="e">
        <f>Issue_Log!F89+"67\!6B"</f>
        <v>#VALUE!</v>
      </c>
      <c r="CS6" t="e">
        <f>Issue_Log!G89+"67\!6C"</f>
        <v>#VALUE!</v>
      </c>
      <c r="CT6" t="e">
        <f>Issue_Log!A90+"67\!6D"</f>
        <v>#VALUE!</v>
      </c>
      <c r="CU6" s="1" t="e">
        <f>Issue_Log!B90+"67\!6E"</f>
        <v>#VALUE!</v>
      </c>
      <c r="CV6" t="e">
        <f>Issue_Log!C90+"67\!6F"</f>
        <v>#VALUE!</v>
      </c>
      <c r="CW6" t="e">
        <f>Issue_Log!D90+"67\!6G"</f>
        <v>#VALUE!</v>
      </c>
      <c r="CX6" t="e">
        <f>Issue_Log!E90+"67\!6H"</f>
        <v>#VALUE!</v>
      </c>
      <c r="CY6" t="e">
        <f>Issue_Log!F90+"67\!6I"</f>
        <v>#VALUE!</v>
      </c>
      <c r="CZ6" t="e">
        <f>Issue_Log!G90+"67\!6J"</f>
        <v>#VALUE!</v>
      </c>
      <c r="DA6" t="e">
        <f>Issue_Log!A91+"67\!6K"</f>
        <v>#VALUE!</v>
      </c>
      <c r="DB6" s="1" t="e">
        <f>Issue_Log!B91+"67\!6L"</f>
        <v>#VALUE!</v>
      </c>
      <c r="DC6" t="e">
        <f>Issue_Log!C91+"67\!6M"</f>
        <v>#VALUE!</v>
      </c>
      <c r="DD6" t="e">
        <f>Issue_Log!D91+"67\!6N"</f>
        <v>#VALUE!</v>
      </c>
      <c r="DE6" t="e">
        <f>Issue_Log!E91+"67\!6O"</f>
        <v>#VALUE!</v>
      </c>
      <c r="DF6" t="e">
        <f>Issue_Log!F91+"67\!6P"</f>
        <v>#VALUE!</v>
      </c>
      <c r="DG6" t="e">
        <f>Issue_Log!G91+"67\!6Q"</f>
        <v>#VALUE!</v>
      </c>
      <c r="DH6" t="e">
        <f>Issue_Log!A92+"67\!6R"</f>
        <v>#VALUE!</v>
      </c>
      <c r="DI6" s="1" t="e">
        <f>Issue_Log!B92+"67\!6S"</f>
        <v>#VALUE!</v>
      </c>
      <c r="DJ6" t="e">
        <f>Issue_Log!C92+"67\!6T"</f>
        <v>#VALUE!</v>
      </c>
      <c r="DK6" t="e">
        <f>Issue_Log!D92+"67\!6U"</f>
        <v>#VALUE!</v>
      </c>
      <c r="DL6" t="e">
        <f>Issue_Log!E92+"67\!6V"</f>
        <v>#VALUE!</v>
      </c>
      <c r="DM6" t="e">
        <f>Issue_Log!F92+"67\!6W"</f>
        <v>#VALUE!</v>
      </c>
      <c r="DN6" t="e">
        <f>Issue_Log!G92+"67\!6X"</f>
        <v>#VALUE!</v>
      </c>
      <c r="DO6" t="e">
        <f>Issue_Log!A93+"67\!6Y"</f>
        <v>#VALUE!</v>
      </c>
      <c r="DP6" s="1" t="e">
        <f>Issue_Log!B93+"67\!6Z"</f>
        <v>#VALUE!</v>
      </c>
      <c r="DQ6" t="e">
        <f>Issue_Log!C93+"67\!6["</f>
        <v>#VALUE!</v>
      </c>
      <c r="DR6" t="e">
        <f>Issue_Log!D93+"67\!6\"</f>
        <v>#VALUE!</v>
      </c>
      <c r="DS6" t="e">
        <f>Issue_Log!E93+"67\!6]"</f>
        <v>#VALUE!</v>
      </c>
      <c r="DT6" t="e">
        <f>Issue_Log!F93+"67\!6^"</f>
        <v>#VALUE!</v>
      </c>
      <c r="DU6" t="e">
        <f>Issue_Log!G93+"67\!6_"</f>
        <v>#VALUE!</v>
      </c>
      <c r="DV6" t="e">
        <f>Issue_Log!A94+"67\!6`"</f>
        <v>#VALUE!</v>
      </c>
      <c r="DW6" s="1" t="e">
        <f>Issue_Log!B94+"67\!6a"</f>
        <v>#VALUE!</v>
      </c>
      <c r="DX6" t="e">
        <f>Issue_Log!C94+"67\!6b"</f>
        <v>#VALUE!</v>
      </c>
      <c r="DY6" t="e">
        <f>Issue_Log!D94+"67\!6c"</f>
        <v>#VALUE!</v>
      </c>
      <c r="DZ6" t="e">
        <f>Issue_Log!E94+"67\!6d"</f>
        <v>#VALUE!</v>
      </c>
      <c r="EA6" t="e">
        <f>Issue_Log!F94+"67\!6e"</f>
        <v>#VALUE!</v>
      </c>
      <c r="EB6" t="e">
        <f>Issue_Log!G94+"67\!6f"</f>
        <v>#VALUE!</v>
      </c>
      <c r="EC6" t="e">
        <f>Issue_Log!A95+"67\!6g"</f>
        <v>#VALUE!</v>
      </c>
      <c r="ED6" s="1" t="e">
        <f>Issue_Log!B95+"67\!6h"</f>
        <v>#VALUE!</v>
      </c>
      <c r="EE6" t="e">
        <f>Issue_Log!C95+"67\!6i"</f>
        <v>#VALUE!</v>
      </c>
      <c r="EF6" t="e">
        <f>Issue_Log!D95+"67\!6j"</f>
        <v>#VALUE!</v>
      </c>
      <c r="EG6" t="e">
        <f>Issue_Log!E95+"67\!6k"</f>
        <v>#VALUE!</v>
      </c>
      <c r="EH6" t="e">
        <f>Issue_Log!F95+"67\!6l"</f>
        <v>#VALUE!</v>
      </c>
      <c r="EI6" t="e">
        <f>Issue_Log!G95+"67\!6m"</f>
        <v>#VALUE!</v>
      </c>
      <c r="EJ6" t="e">
        <f>Issue_Log!A96+"67\!6n"</f>
        <v>#VALUE!</v>
      </c>
      <c r="EK6" s="1" t="e">
        <f>Issue_Log!B96+"67\!6o"</f>
        <v>#VALUE!</v>
      </c>
      <c r="EL6" t="e">
        <f>Issue_Log!C96+"67\!6p"</f>
        <v>#VALUE!</v>
      </c>
      <c r="EM6" t="e">
        <f>Issue_Log!D96+"67\!6q"</f>
        <v>#VALUE!</v>
      </c>
      <c r="EN6" t="e">
        <f>Issue_Log!E96+"67\!6r"</f>
        <v>#VALUE!</v>
      </c>
      <c r="EO6" t="e">
        <f>Issue_Log!F96+"67\!6s"</f>
        <v>#VALUE!</v>
      </c>
      <c r="EP6" t="e">
        <f>Issue_Log!G96+"67\!6t"</f>
        <v>#VALUE!</v>
      </c>
      <c r="EQ6" t="e">
        <f>Issue_Log!A97+"67\!6u"</f>
        <v>#VALUE!</v>
      </c>
      <c r="ER6" s="1" t="e">
        <f>Issue_Log!B97+"67\!6v"</f>
        <v>#VALUE!</v>
      </c>
      <c r="ES6" t="e">
        <f>Issue_Log!C97+"67\!6w"</f>
        <v>#VALUE!</v>
      </c>
      <c r="ET6" t="e">
        <f>Issue_Log!D97+"67\!6x"</f>
        <v>#VALUE!</v>
      </c>
      <c r="EU6" t="e">
        <f>Issue_Log!E97+"67\!6y"</f>
        <v>#VALUE!</v>
      </c>
      <c r="EV6" t="e">
        <f>Issue_Log!F97+"67\!6z"</f>
        <v>#VALUE!</v>
      </c>
      <c r="EW6" t="e">
        <f>Issue_Log!G97+"67\!6{"</f>
        <v>#VALUE!</v>
      </c>
      <c r="EX6" t="e">
        <f>Issue_Log!A98+"67\!6|"</f>
        <v>#VALUE!</v>
      </c>
      <c r="EY6" s="1" t="e">
        <f>Issue_Log!B98+"67\!6}"</f>
        <v>#VALUE!</v>
      </c>
      <c r="EZ6" t="e">
        <f>Issue_Log!C98+"67\!6~"</f>
        <v>#VALUE!</v>
      </c>
      <c r="FA6" t="e">
        <f>Issue_Log!D98+"67\!7#"</f>
        <v>#VALUE!</v>
      </c>
      <c r="FB6" t="e">
        <f>Issue_Log!E98+"67\!7$"</f>
        <v>#VALUE!</v>
      </c>
      <c r="FC6" t="e">
        <f>Issue_Log!F98+"67\!7%"</f>
        <v>#VALUE!</v>
      </c>
      <c r="FD6" t="e">
        <f>Issue_Log!G98+"67\!7&amp;"</f>
        <v>#VALUE!</v>
      </c>
      <c r="FE6" t="e">
        <f>Issue_Log!A99+"67\!7'"</f>
        <v>#VALUE!</v>
      </c>
      <c r="FF6" s="1" t="e">
        <f>Issue_Log!B99+"67\!7("</f>
        <v>#VALUE!</v>
      </c>
      <c r="FG6" t="e">
        <f>Issue_Log!C99+"67\!7)"</f>
        <v>#VALUE!</v>
      </c>
      <c r="FH6" t="e">
        <f>Issue_Log!D99+"67\!7."</f>
        <v>#VALUE!</v>
      </c>
      <c r="FI6" t="e">
        <f>Issue_Log!E99+"67\!7/"</f>
        <v>#VALUE!</v>
      </c>
      <c r="FJ6" t="e">
        <f>Issue_Log!F99+"67\!70"</f>
        <v>#VALUE!</v>
      </c>
      <c r="FK6" t="e">
        <f>Issue_Log!G99+"67\!71"</f>
        <v>#VALUE!</v>
      </c>
      <c r="FL6" t="e">
        <f>Issue_Log!A100+"67\!72"</f>
        <v>#VALUE!</v>
      </c>
      <c r="FM6" s="1" t="e">
        <f>Issue_Log!B100+"67\!73"</f>
        <v>#VALUE!</v>
      </c>
      <c r="FN6" t="e">
        <f>Issue_Log!C100+"67\!74"</f>
        <v>#VALUE!</v>
      </c>
      <c r="FO6" t="e">
        <f>Issue_Log!D100+"67\!75"</f>
        <v>#VALUE!</v>
      </c>
      <c r="FP6" t="e">
        <f>Issue_Log!E100+"67\!76"</f>
        <v>#VALUE!</v>
      </c>
      <c r="FQ6" t="e">
        <f>Issue_Log!F100+"67\!77"</f>
        <v>#VALUE!</v>
      </c>
      <c r="FR6" t="e">
        <f>Issue_Log!G100+"67\!78"</f>
        <v>#VALUE!</v>
      </c>
      <c r="FS6" t="e">
        <f>Issue_Log!A101+"67\!79"</f>
        <v>#VALUE!</v>
      </c>
      <c r="FT6" s="1" t="e">
        <f>Issue_Log!B101+"67\!7:"</f>
        <v>#VALUE!</v>
      </c>
      <c r="FU6" t="e">
        <f>Issue_Log!C101+"67\!7;"</f>
        <v>#VALUE!</v>
      </c>
      <c r="FV6" t="e">
        <f>Issue_Log!D101+"67\!7&lt;"</f>
        <v>#VALUE!</v>
      </c>
      <c r="FW6" t="e">
        <f>Issue_Log!E101+"67\!7="</f>
        <v>#VALUE!</v>
      </c>
      <c r="FX6" t="e">
        <f>Issue_Log!F101+"67\!7&gt;"</f>
        <v>#VALUE!</v>
      </c>
      <c r="FY6" t="e">
        <f>Issue_Log!G101+"67\!7?"</f>
        <v>#VALUE!</v>
      </c>
      <c r="FZ6" t="e">
        <f>Issue_Log!A102+"67\!7@"</f>
        <v>#VALUE!</v>
      </c>
      <c r="GA6" s="1" t="e">
        <f>Issue_Log!B102+"67\!7A"</f>
        <v>#VALUE!</v>
      </c>
      <c r="GB6" t="e">
        <f>Issue_Log!C102+"67\!7B"</f>
        <v>#VALUE!</v>
      </c>
      <c r="GC6" t="e">
        <f>Issue_Log!D102+"67\!7C"</f>
        <v>#VALUE!</v>
      </c>
      <c r="GD6" t="e">
        <f>Issue_Log!E102+"67\!7D"</f>
        <v>#VALUE!</v>
      </c>
      <c r="GE6" t="e">
        <f>Issue_Log!F102+"67\!7E"</f>
        <v>#VALUE!</v>
      </c>
      <c r="GF6" t="e">
        <f>Issue_Log!G102+"67\!7F"</f>
        <v>#VALUE!</v>
      </c>
      <c r="GG6" t="e">
        <f>Issue_Log!A103+"67\!7G"</f>
        <v>#VALUE!</v>
      </c>
      <c r="GH6" s="1" t="e">
        <f>Issue_Log!B103+"67\!7H"</f>
        <v>#VALUE!</v>
      </c>
      <c r="GI6" t="e">
        <f>Issue_Log!C103+"67\!7I"</f>
        <v>#VALUE!</v>
      </c>
      <c r="GJ6" t="e">
        <f>Issue_Log!D103+"67\!7J"</f>
        <v>#VALUE!</v>
      </c>
      <c r="GK6" t="e">
        <f>Issue_Log!E103+"67\!7K"</f>
        <v>#VALUE!</v>
      </c>
      <c r="GL6" t="e">
        <f>Issue_Log!F103+"67\!7L"</f>
        <v>#VALUE!</v>
      </c>
      <c r="GM6" t="e">
        <f>Issue_Log!G103+"67\!7M"</f>
        <v>#VALUE!</v>
      </c>
      <c r="GN6" t="e">
        <f>Issue_Log!A104+"67\!7N"</f>
        <v>#VALUE!</v>
      </c>
      <c r="GO6" s="1" t="e">
        <f>Issue_Log!B104+"67\!7O"</f>
        <v>#VALUE!</v>
      </c>
      <c r="GP6" t="e">
        <f>Issue_Log!C104+"67\!7P"</f>
        <v>#VALUE!</v>
      </c>
      <c r="GQ6" t="e">
        <f>Issue_Log!D104+"67\!7Q"</f>
        <v>#VALUE!</v>
      </c>
      <c r="GR6" t="e">
        <f>Issue_Log!E104+"67\!7R"</f>
        <v>#VALUE!</v>
      </c>
      <c r="GS6" t="e">
        <f>Issue_Log!F104+"67\!7S"</f>
        <v>#VALUE!</v>
      </c>
      <c r="GT6" t="e">
        <f>Issue_Log!G104+"67\!7T"</f>
        <v>#VALUE!</v>
      </c>
      <c r="GU6" t="e">
        <f>Issue_Log!A105+"67\!7U"</f>
        <v>#VALUE!</v>
      </c>
      <c r="GV6" s="1" t="e">
        <f>Issue_Log!B105+"67\!7V"</f>
        <v>#VALUE!</v>
      </c>
      <c r="GW6" t="e">
        <f>Issue_Log!C105+"67\!7W"</f>
        <v>#VALUE!</v>
      </c>
      <c r="GX6" t="e">
        <f>Issue_Log!D105+"67\!7X"</f>
        <v>#VALUE!</v>
      </c>
      <c r="GY6" t="e">
        <f>Issue_Log!E105+"67\!7Y"</f>
        <v>#VALUE!</v>
      </c>
      <c r="GZ6" t="e">
        <f>Issue_Log!F105+"67\!7Z"</f>
        <v>#VALUE!</v>
      </c>
      <c r="HA6" t="e">
        <f>Issue_Log!G105+"67\!7["</f>
        <v>#VALUE!</v>
      </c>
      <c r="HB6" t="e">
        <f>Issue_Log!A106+"67\!7\"</f>
        <v>#VALUE!</v>
      </c>
      <c r="HC6" s="1" t="e">
        <f>Issue_Log!B106+"67\!7]"</f>
        <v>#VALUE!</v>
      </c>
      <c r="HD6" t="e">
        <f>Issue_Log!C106+"67\!7^"</f>
        <v>#VALUE!</v>
      </c>
      <c r="HE6" t="e">
        <f>Issue_Log!D106+"67\!7_"</f>
        <v>#VALUE!</v>
      </c>
      <c r="HF6" t="e">
        <f>Issue_Log!E106+"67\!7`"</f>
        <v>#VALUE!</v>
      </c>
      <c r="HG6" t="e">
        <f>Issue_Log!F106+"67\!7a"</f>
        <v>#VALUE!</v>
      </c>
      <c r="HH6" t="e">
        <f>Issue_Log!G106+"67\!7b"</f>
        <v>#VALUE!</v>
      </c>
      <c r="HI6" t="e">
        <f>Issue_Log!A107+"67\!7c"</f>
        <v>#VALUE!</v>
      </c>
      <c r="HJ6" s="1" t="e">
        <f>Issue_Log!B107+"67\!7d"</f>
        <v>#VALUE!</v>
      </c>
      <c r="HK6" t="e">
        <f>Issue_Log!C107+"67\!7e"</f>
        <v>#VALUE!</v>
      </c>
      <c r="HL6" t="e">
        <f>Issue_Log!D107+"67\!7f"</f>
        <v>#VALUE!</v>
      </c>
      <c r="HM6" t="e">
        <f>Issue_Log!E107+"67\!7g"</f>
        <v>#VALUE!</v>
      </c>
      <c r="HN6" t="e">
        <f>Issue_Log!F107+"67\!7h"</f>
        <v>#VALUE!</v>
      </c>
      <c r="HO6" t="e">
        <f>Issue_Log!G107+"67\!7i"</f>
        <v>#VALUE!</v>
      </c>
      <c r="HP6" t="e">
        <f>Issue_Log!A108+"67\!7j"</f>
        <v>#VALUE!</v>
      </c>
      <c r="HQ6" s="1" t="e">
        <f>Issue_Log!B108+"67\!7k"</f>
        <v>#VALUE!</v>
      </c>
      <c r="HR6" t="e">
        <f>Issue_Log!C108+"67\!7l"</f>
        <v>#VALUE!</v>
      </c>
      <c r="HS6" t="e">
        <f>Issue_Log!D108+"67\!7m"</f>
        <v>#VALUE!</v>
      </c>
      <c r="HT6" t="e">
        <f>Issue_Log!E108+"67\!7n"</f>
        <v>#VALUE!</v>
      </c>
      <c r="HU6" t="e">
        <f>Issue_Log!F108+"67\!7o"</f>
        <v>#VALUE!</v>
      </c>
      <c r="HV6" t="e">
        <f>Issue_Log!G108+"67\!7p"</f>
        <v>#VALUE!</v>
      </c>
      <c r="HW6" t="e">
        <f>Issue_Log!A109+"67\!7q"</f>
        <v>#VALUE!</v>
      </c>
      <c r="HX6" s="1" t="e">
        <f>Issue_Log!B109+"67\!7r"</f>
        <v>#VALUE!</v>
      </c>
      <c r="HY6" t="e">
        <f>Issue_Log!C109+"67\!7s"</f>
        <v>#VALUE!</v>
      </c>
      <c r="HZ6" t="e">
        <f>Issue_Log!D109+"67\!7t"</f>
        <v>#VALUE!</v>
      </c>
      <c r="IA6" t="e">
        <f>Issue_Log!E109+"67\!7u"</f>
        <v>#VALUE!</v>
      </c>
      <c r="IB6" t="e">
        <f>Issue_Log!F109+"67\!7v"</f>
        <v>#VALUE!</v>
      </c>
      <c r="IC6" t="e">
        <f>Issue_Log!G109+"67\!7w"</f>
        <v>#VALUE!</v>
      </c>
      <c r="ID6" t="e">
        <f>Issue_Log!A110+"67\!7x"</f>
        <v>#VALUE!</v>
      </c>
      <c r="IE6" s="1" t="e">
        <f>Issue_Log!B110+"67\!7y"</f>
        <v>#VALUE!</v>
      </c>
      <c r="IF6" t="e">
        <f>Issue_Log!C110+"67\!7z"</f>
        <v>#VALUE!</v>
      </c>
      <c r="IG6" t="e">
        <f>Issue_Log!D110+"67\!7{"</f>
        <v>#VALUE!</v>
      </c>
      <c r="IH6" t="e">
        <f>Issue_Log!E110+"67\!7|"</f>
        <v>#VALUE!</v>
      </c>
      <c r="II6" t="e">
        <f>Issue_Log!F110+"67\!7}"</f>
        <v>#VALUE!</v>
      </c>
      <c r="IJ6" t="e">
        <f>Issue_Log!G110+"67\!7~"</f>
        <v>#VALUE!</v>
      </c>
      <c r="IK6" t="e">
        <f>Issue_Log!A111+"67\!8#"</f>
        <v>#VALUE!</v>
      </c>
      <c r="IL6" s="1" t="e">
        <f>Issue_Log!B111+"67\!8$"</f>
        <v>#VALUE!</v>
      </c>
      <c r="IM6" t="e">
        <f>Issue_Log!C111+"67\!8%"</f>
        <v>#VALUE!</v>
      </c>
      <c r="IN6" t="e">
        <f>Issue_Log!D111+"67\!8&amp;"</f>
        <v>#VALUE!</v>
      </c>
      <c r="IO6" t="e">
        <f>Issue_Log!E111+"67\!8'"</f>
        <v>#VALUE!</v>
      </c>
      <c r="IP6" t="e">
        <f>Issue_Log!F111+"67\!8("</f>
        <v>#VALUE!</v>
      </c>
      <c r="IQ6" t="e">
        <f>Issue_Log!G111+"67\!8)"</f>
        <v>#VALUE!</v>
      </c>
      <c r="IR6" t="e">
        <f>Issue_Log!A112+"67\!8."</f>
        <v>#VALUE!</v>
      </c>
      <c r="IS6" s="1" t="e">
        <f>Issue_Log!B112+"67\!8/"</f>
        <v>#VALUE!</v>
      </c>
      <c r="IT6" t="e">
        <f>Issue_Log!C112+"67\!80"</f>
        <v>#VALUE!</v>
      </c>
      <c r="IU6" t="e">
        <f>Issue_Log!D112+"67\!81"</f>
        <v>#VALUE!</v>
      </c>
      <c r="IV6" t="e">
        <f>Issue_Log!E112+"67\!82"</f>
        <v>#VALUE!</v>
      </c>
    </row>
    <row r="7" spans="1:256" x14ac:dyDescent="0.15">
      <c r="F7" t="e">
        <f>Issue_Log!F112+"67\!83"</f>
        <v>#VALUE!</v>
      </c>
      <c r="G7" t="e">
        <f>Issue_Log!G112+"67\!84"</f>
        <v>#VALUE!</v>
      </c>
      <c r="H7" t="e">
        <f>Issue_Log!A113+"67\!85"</f>
        <v>#VALUE!</v>
      </c>
      <c r="I7" s="1" t="e">
        <f>Issue_Log!B113+"67\!86"</f>
        <v>#VALUE!</v>
      </c>
      <c r="J7" t="e">
        <f>Issue_Log!C113+"67\!87"</f>
        <v>#VALUE!</v>
      </c>
      <c r="K7" t="e">
        <f>Issue_Log!D113+"67\!88"</f>
        <v>#VALUE!</v>
      </c>
      <c r="L7" t="e">
        <f>Issue_Log!E113+"67\!89"</f>
        <v>#VALUE!</v>
      </c>
      <c r="M7" t="e">
        <f>Issue_Log!F113+"67\!8:"</f>
        <v>#VALUE!</v>
      </c>
      <c r="N7" t="e">
        <f>Issue_Log!G113+"67\!8;"</f>
        <v>#VALUE!</v>
      </c>
      <c r="O7" t="e">
        <f>Issue_Log!A114+"67\!8&lt;"</f>
        <v>#VALUE!</v>
      </c>
      <c r="P7" s="1" t="e">
        <f>Issue_Log!B114+"67\!8="</f>
        <v>#VALUE!</v>
      </c>
      <c r="Q7" t="e">
        <f>Issue_Log!C114+"67\!8&gt;"</f>
        <v>#VALUE!</v>
      </c>
      <c r="R7" t="e">
        <f>Issue_Log!D114+"67\!8?"</f>
        <v>#VALUE!</v>
      </c>
      <c r="S7" t="e">
        <f>Issue_Log!E114+"67\!8@"</f>
        <v>#VALUE!</v>
      </c>
      <c r="T7" t="e">
        <f>Issue_Log!F114+"67\!8A"</f>
        <v>#VALUE!</v>
      </c>
      <c r="U7" t="e">
        <f>Issue_Log!G114+"67\!8B"</f>
        <v>#VALUE!</v>
      </c>
      <c r="V7" t="e">
        <f>Issue_Log!A115+"67\!8C"</f>
        <v>#VALUE!</v>
      </c>
      <c r="W7" s="1" t="e">
        <f>Issue_Log!B115+"67\!8D"</f>
        <v>#VALUE!</v>
      </c>
      <c r="X7" t="e">
        <f>Issue_Log!C115+"67\!8E"</f>
        <v>#VALUE!</v>
      </c>
      <c r="Y7" t="e">
        <f>Issue_Log!D115+"67\!8F"</f>
        <v>#VALUE!</v>
      </c>
      <c r="Z7" t="e">
        <f>Issue_Log!E115+"67\!8G"</f>
        <v>#VALUE!</v>
      </c>
      <c r="AA7" t="e">
        <f>Issue_Log!F115+"67\!8H"</f>
        <v>#VALUE!</v>
      </c>
      <c r="AB7" t="e">
        <f>Issue_Log!G115+"67\!8I"</f>
        <v>#VALUE!</v>
      </c>
      <c r="AC7" t="e">
        <f>Issue_Log!A116+"67\!8J"</f>
        <v>#VALUE!</v>
      </c>
      <c r="AD7" s="1" t="e">
        <f>Issue_Log!B116+"67\!8K"</f>
        <v>#VALUE!</v>
      </c>
      <c r="AE7" t="e">
        <f>Issue_Log!C116+"67\!8L"</f>
        <v>#VALUE!</v>
      </c>
      <c r="AF7" t="e">
        <f>Issue_Log!D116+"67\!8M"</f>
        <v>#VALUE!</v>
      </c>
      <c r="AG7" t="e">
        <f>Issue_Log!E116+"67\!8N"</f>
        <v>#VALUE!</v>
      </c>
      <c r="AH7" t="e">
        <f>Issue_Log!F116+"67\!8O"</f>
        <v>#VALUE!</v>
      </c>
      <c r="AI7" t="e">
        <f>Issue_Log!G116+"67\!8P"</f>
        <v>#VALUE!</v>
      </c>
      <c r="AJ7" t="e">
        <f>Issue_Log!A117+"67\!8Q"</f>
        <v>#VALUE!</v>
      </c>
      <c r="AK7" s="1" t="e">
        <f>Issue_Log!B117+"67\!8R"</f>
        <v>#VALUE!</v>
      </c>
      <c r="AL7" t="e">
        <f>Issue_Log!C117+"67\!8S"</f>
        <v>#VALUE!</v>
      </c>
      <c r="AM7" t="e">
        <f>Issue_Log!D117+"67\!8T"</f>
        <v>#VALUE!</v>
      </c>
      <c r="AN7" t="e">
        <f>Issue_Log!E117+"67\!8U"</f>
        <v>#VALUE!</v>
      </c>
      <c r="AO7" t="e">
        <f>Issue_Log!F117+"67\!8V"</f>
        <v>#VALUE!</v>
      </c>
      <c r="AP7" t="e">
        <f>Issue_Log!G117+"67\!8W"</f>
        <v>#VALUE!</v>
      </c>
      <c r="AQ7" t="e">
        <f>Issue_Log!A118+"67\!8X"</f>
        <v>#VALUE!</v>
      </c>
      <c r="AR7" s="1" t="e">
        <f>Issue_Log!B118+"67\!8Y"</f>
        <v>#VALUE!</v>
      </c>
      <c r="AS7" t="e">
        <f>Issue_Log!C118+"67\!8Z"</f>
        <v>#VALUE!</v>
      </c>
      <c r="AT7" t="e">
        <f>Issue_Log!D118+"67\!8["</f>
        <v>#VALUE!</v>
      </c>
      <c r="AU7" t="e">
        <f>Issue_Log!E118+"67\!8\"</f>
        <v>#VALUE!</v>
      </c>
      <c r="AV7" t="e">
        <f>Issue_Log!F118+"67\!8]"</f>
        <v>#VALUE!</v>
      </c>
      <c r="AW7" t="e">
        <f>Issue_Log!G118+"67\!8^"</f>
        <v>#VALUE!</v>
      </c>
      <c r="AX7" t="e">
        <f>Issue_Log!A119+"67\!8_"</f>
        <v>#VALUE!</v>
      </c>
      <c r="AY7" s="1" t="e">
        <f>Issue_Log!B119+"67\!8`"</f>
        <v>#VALUE!</v>
      </c>
      <c r="AZ7" t="e">
        <f>Issue_Log!C119+"67\!8a"</f>
        <v>#VALUE!</v>
      </c>
      <c r="BA7" t="e">
        <f>Issue_Log!D119+"67\!8b"</f>
        <v>#VALUE!</v>
      </c>
      <c r="BB7" t="e">
        <f>Issue_Log!E119+"67\!8c"</f>
        <v>#VALUE!</v>
      </c>
      <c r="BC7" t="e">
        <f>Issue_Log!F119+"67\!8d"</f>
        <v>#VALUE!</v>
      </c>
      <c r="BD7" t="e">
        <f>Issue_Log!G119+"67\!8e"</f>
        <v>#VALUE!</v>
      </c>
      <c r="BE7" t="e">
        <f>Issue_Log!A120+"67\!8f"</f>
        <v>#VALUE!</v>
      </c>
      <c r="BF7" s="1" t="e">
        <f>Issue_Log!B120+"67\!8g"</f>
        <v>#VALUE!</v>
      </c>
      <c r="BG7" t="e">
        <f>Issue_Log!C120+"67\!8h"</f>
        <v>#VALUE!</v>
      </c>
      <c r="BH7" t="e">
        <f>Issue_Log!D120+"67\!8i"</f>
        <v>#VALUE!</v>
      </c>
      <c r="BI7" t="e">
        <f>Issue_Log!E120+"67\!8j"</f>
        <v>#VALUE!</v>
      </c>
      <c r="BJ7" t="e">
        <f>Issue_Log!F120+"67\!8k"</f>
        <v>#VALUE!</v>
      </c>
      <c r="BK7" t="e">
        <f>Issue_Log!G120+"67\!8l"</f>
        <v>#VALUE!</v>
      </c>
      <c r="BL7" t="e">
        <f>Issue_Log!A121+"67\!8m"</f>
        <v>#VALUE!</v>
      </c>
      <c r="BM7" s="1" t="e">
        <f>Issue_Log!B121+"67\!8n"</f>
        <v>#VALUE!</v>
      </c>
      <c r="BN7" t="e">
        <f>Issue_Log!C121+"67\!8o"</f>
        <v>#VALUE!</v>
      </c>
      <c r="BO7" t="e">
        <f>Issue_Log!D121+"67\!8p"</f>
        <v>#VALUE!</v>
      </c>
      <c r="BP7" t="e">
        <f>Issue_Log!E121+"67\!8q"</f>
        <v>#VALUE!</v>
      </c>
      <c r="BQ7" t="e">
        <f>Issue_Log!F121+"67\!8r"</f>
        <v>#VALUE!</v>
      </c>
      <c r="BR7" t="e">
        <f>Issue_Log!G121+"67\!8s"</f>
        <v>#VALUE!</v>
      </c>
      <c r="BS7" t="e">
        <f>Issue_Log!A122+"67\!8t"</f>
        <v>#VALUE!</v>
      </c>
      <c r="BT7" s="1" t="e">
        <f>Issue_Log!B122+"67\!8u"</f>
        <v>#VALUE!</v>
      </c>
      <c r="BU7" t="e">
        <f>Issue_Log!C122+"67\!8v"</f>
        <v>#VALUE!</v>
      </c>
      <c r="BV7" t="e">
        <f>Issue_Log!D122+"67\!8w"</f>
        <v>#VALUE!</v>
      </c>
      <c r="BW7" t="e">
        <f>Issue_Log!E122+"67\!8x"</f>
        <v>#VALUE!</v>
      </c>
      <c r="BX7" t="e">
        <f>Issue_Log!F122+"67\!8y"</f>
        <v>#VALUE!</v>
      </c>
      <c r="BY7" t="e">
        <f>Issue_Log!G122+"67\!8z"</f>
        <v>#VALUE!</v>
      </c>
      <c r="BZ7" t="e">
        <f>Issue_Log!A123+"67\!8{"</f>
        <v>#VALUE!</v>
      </c>
      <c r="CA7" s="1" t="e">
        <f>Issue_Log!B123+"67\!8|"</f>
        <v>#VALUE!</v>
      </c>
      <c r="CB7" t="e">
        <f>Issue_Log!C123+"67\!8}"</f>
        <v>#VALUE!</v>
      </c>
      <c r="CC7" t="e">
        <f>Issue_Log!D123+"67\!8~"</f>
        <v>#VALUE!</v>
      </c>
      <c r="CD7" t="e">
        <f>Issue_Log!E123+"67\!9#"</f>
        <v>#VALUE!</v>
      </c>
      <c r="CE7" t="e">
        <f>Issue_Log!F123+"67\!9$"</f>
        <v>#VALUE!</v>
      </c>
      <c r="CF7" t="e">
        <f>Issue_Log!G123+"67\!9%"</f>
        <v>#VALUE!</v>
      </c>
      <c r="CG7" t="e">
        <f>Issue_Log!A124+"67\!9&amp;"</f>
        <v>#VALUE!</v>
      </c>
      <c r="CH7" s="1" t="e">
        <f>Issue_Log!B124+"67\!9'"</f>
        <v>#VALUE!</v>
      </c>
      <c r="CI7" t="e">
        <f>Issue_Log!C124+"67\!9("</f>
        <v>#VALUE!</v>
      </c>
      <c r="CJ7" t="e">
        <f>Issue_Log!D124+"67\!9)"</f>
        <v>#VALUE!</v>
      </c>
      <c r="CK7" t="e">
        <f>Issue_Log!E124+"67\!9."</f>
        <v>#VALUE!</v>
      </c>
      <c r="CL7" t="e">
        <f>Issue_Log!F124+"67\!9/"</f>
        <v>#VALUE!</v>
      </c>
      <c r="CM7" t="e">
        <f>Issue_Log!G124+"67\!90"</f>
        <v>#VALUE!</v>
      </c>
      <c r="CN7" t="e">
        <f>Issue_Log!A125+"67\!91"</f>
        <v>#VALUE!</v>
      </c>
      <c r="CO7" s="1" t="e">
        <f>Issue_Log!B125+"67\!92"</f>
        <v>#VALUE!</v>
      </c>
      <c r="CP7" t="e">
        <f>Issue_Log!C125+"67\!93"</f>
        <v>#VALUE!</v>
      </c>
      <c r="CQ7" t="e">
        <f>Issue_Log!D125+"67\!94"</f>
        <v>#VALUE!</v>
      </c>
      <c r="CR7" t="e">
        <f>Issue_Log!E125+"67\!95"</f>
        <v>#VALUE!</v>
      </c>
      <c r="CS7" t="e">
        <f>Issue_Log!F125+"67\!96"</f>
        <v>#VALUE!</v>
      </c>
      <c r="CT7" t="e">
        <f>Issue_Log!G125+"67\!97"</f>
        <v>#VALUE!</v>
      </c>
      <c r="CU7" t="e">
        <f>Issue_Log!A126+"67\!98"</f>
        <v>#VALUE!</v>
      </c>
      <c r="CV7" s="1" t="e">
        <f>Issue_Log!B126+"67\!99"</f>
        <v>#VALUE!</v>
      </c>
      <c r="CW7" t="e">
        <f>Issue_Log!C126+"67\!9:"</f>
        <v>#VALUE!</v>
      </c>
      <c r="CX7" t="e">
        <f>Issue_Log!D126+"67\!9;"</f>
        <v>#VALUE!</v>
      </c>
      <c r="CY7" t="e">
        <f>Issue_Log!E126+"67\!9&lt;"</f>
        <v>#VALUE!</v>
      </c>
      <c r="CZ7" t="e">
        <f>Issue_Log!F126+"67\!9="</f>
        <v>#VALUE!</v>
      </c>
      <c r="DA7" t="e">
        <f>Issue_Log!G126+"67\!9&gt;"</f>
        <v>#VALUE!</v>
      </c>
      <c r="DB7" t="e">
        <f>Issue_Log!A127+"67\!9?"</f>
        <v>#VALUE!</v>
      </c>
      <c r="DC7" s="1" t="e">
        <f>Issue_Log!B127+"67\!9@"</f>
        <v>#VALUE!</v>
      </c>
      <c r="DD7" t="e">
        <f>Issue_Log!C127+"67\!9A"</f>
        <v>#VALUE!</v>
      </c>
      <c r="DE7" t="e">
        <f>Issue_Log!D127+"67\!9B"</f>
        <v>#VALUE!</v>
      </c>
      <c r="DF7" t="e">
        <f>Issue_Log!E127+"67\!9C"</f>
        <v>#VALUE!</v>
      </c>
      <c r="DG7" t="e">
        <f>Issue_Log!F127+"67\!9D"</f>
        <v>#VALUE!</v>
      </c>
      <c r="DH7" t="e">
        <f>Issue_Log!G127+"67\!9E"</f>
        <v>#VALUE!</v>
      </c>
      <c r="DI7" t="e">
        <f>Issue_Log!A128+"67\!9F"</f>
        <v>#VALUE!</v>
      </c>
      <c r="DJ7" s="1" t="e">
        <f>Issue_Log!B128+"67\!9G"</f>
        <v>#VALUE!</v>
      </c>
      <c r="DK7" t="e">
        <f>Issue_Log!C128+"67\!9H"</f>
        <v>#VALUE!</v>
      </c>
      <c r="DL7" t="e">
        <f>Issue_Log!D128+"67\!9I"</f>
        <v>#VALUE!</v>
      </c>
      <c r="DM7" t="e">
        <f>Issue_Log!E128+"67\!9J"</f>
        <v>#VALUE!</v>
      </c>
      <c r="DN7" t="e">
        <f>Issue_Log!F128+"67\!9K"</f>
        <v>#VALUE!</v>
      </c>
      <c r="DO7" t="e">
        <f>Issue_Log!G128+"67\!9L"</f>
        <v>#VALUE!</v>
      </c>
      <c r="DP7" t="e">
        <f>Issue_Log!A129+"67\!9M"</f>
        <v>#VALUE!</v>
      </c>
      <c r="DQ7" s="1" t="e">
        <f>Issue_Log!B129+"67\!9N"</f>
        <v>#VALUE!</v>
      </c>
      <c r="DR7" t="e">
        <f>Issue_Log!C129+"67\!9O"</f>
        <v>#VALUE!</v>
      </c>
      <c r="DS7" t="e">
        <f>Issue_Log!D129+"67\!9P"</f>
        <v>#VALUE!</v>
      </c>
      <c r="DT7" t="e">
        <f>Issue_Log!E129+"67\!9Q"</f>
        <v>#VALUE!</v>
      </c>
      <c r="DU7" t="e">
        <f>Issue_Log!F129+"67\!9R"</f>
        <v>#VALUE!</v>
      </c>
      <c r="DV7" t="e">
        <f>Issue_Log!G129+"67\!9S"</f>
        <v>#VALUE!</v>
      </c>
      <c r="DW7" t="e">
        <f>Issue_Log!A130+"67\!9T"</f>
        <v>#VALUE!</v>
      </c>
      <c r="DX7" s="1" t="e">
        <f>Issue_Log!B130+"67\!9U"</f>
        <v>#VALUE!</v>
      </c>
      <c r="DY7" t="e">
        <f>Issue_Log!C130+"67\!9V"</f>
        <v>#VALUE!</v>
      </c>
      <c r="DZ7" t="e">
        <f>Issue_Log!D130+"67\!9W"</f>
        <v>#VALUE!</v>
      </c>
      <c r="EA7" t="e">
        <f>Issue_Log!E130+"67\!9X"</f>
        <v>#VALUE!</v>
      </c>
      <c r="EB7" t="e">
        <f>Issue_Log!F130+"67\!9Y"</f>
        <v>#VALUE!</v>
      </c>
      <c r="EC7" t="e">
        <f>Issue_Log!G130+"67\!9Z"</f>
        <v>#VALUE!</v>
      </c>
      <c r="ED7" t="e">
        <f>Issue_Log!A131+"67\!9["</f>
        <v>#VALUE!</v>
      </c>
      <c r="EE7" s="1" t="e">
        <f>Issue_Log!B131+"67\!9\"</f>
        <v>#VALUE!</v>
      </c>
      <c r="EF7" t="e">
        <f>Issue_Log!C131+"67\!9]"</f>
        <v>#VALUE!</v>
      </c>
      <c r="EG7" t="e">
        <f>Issue_Log!D131+"67\!9^"</f>
        <v>#VALUE!</v>
      </c>
      <c r="EH7" t="e">
        <f>Issue_Log!E131+"67\!9_"</f>
        <v>#VALUE!</v>
      </c>
      <c r="EI7" t="e">
        <f>Issue_Log!F131+"67\!9`"</f>
        <v>#VALUE!</v>
      </c>
      <c r="EJ7" t="e">
        <f>Issue_Log!G131+"67\!9a"</f>
        <v>#VALUE!</v>
      </c>
      <c r="EK7" t="e">
        <f>Issue_Log!A132+"67\!9b"</f>
        <v>#VALUE!</v>
      </c>
      <c r="EL7" s="1" t="e">
        <f>Issue_Log!B132+"67\!9c"</f>
        <v>#VALUE!</v>
      </c>
      <c r="EM7" t="e">
        <f>Issue_Log!C132+"67\!9d"</f>
        <v>#VALUE!</v>
      </c>
      <c r="EN7" t="e">
        <f>Issue_Log!D132+"67\!9e"</f>
        <v>#VALUE!</v>
      </c>
      <c r="EO7" t="e">
        <f>Issue_Log!E132+"67\!9f"</f>
        <v>#VALUE!</v>
      </c>
      <c r="EP7" t="e">
        <f>Issue_Log!F132+"67\!9g"</f>
        <v>#VALUE!</v>
      </c>
      <c r="EQ7" t="e">
        <f>Issue_Log!G132+"67\!9h"</f>
        <v>#VALUE!</v>
      </c>
      <c r="ER7" t="e">
        <f>Issue_Log!A133+"67\!9i"</f>
        <v>#VALUE!</v>
      </c>
      <c r="ES7" s="1" t="e">
        <f>Issue_Log!B133+"67\!9j"</f>
        <v>#VALUE!</v>
      </c>
      <c r="ET7" t="e">
        <f>Issue_Log!C133+"67\!9k"</f>
        <v>#VALUE!</v>
      </c>
      <c r="EU7" t="e">
        <f>Issue_Log!D133+"67\!9l"</f>
        <v>#VALUE!</v>
      </c>
      <c r="EV7" t="e">
        <f>Issue_Log!E133+"67\!9m"</f>
        <v>#VALUE!</v>
      </c>
      <c r="EW7" t="e">
        <f>Issue_Log!F133+"67\!9n"</f>
        <v>#VALUE!</v>
      </c>
      <c r="EX7" t="e">
        <f>Issue_Log!G133+"67\!9o"</f>
        <v>#VALUE!</v>
      </c>
      <c r="EY7" t="e">
        <f>Issue_Log!A134+"67\!9p"</f>
        <v>#VALUE!</v>
      </c>
      <c r="EZ7" s="1" t="e">
        <f>Issue_Log!B134+"67\!9q"</f>
        <v>#VALUE!</v>
      </c>
      <c r="FA7" t="e">
        <f>Issue_Log!C134+"67\!9r"</f>
        <v>#VALUE!</v>
      </c>
      <c r="FB7" t="e">
        <f>Issue_Log!D134+"67\!9s"</f>
        <v>#VALUE!</v>
      </c>
      <c r="FC7" t="e">
        <f>Issue_Log!E134+"67\!9t"</f>
        <v>#VALUE!</v>
      </c>
      <c r="FD7" t="e">
        <f>Issue_Log!F134+"67\!9u"</f>
        <v>#VALUE!</v>
      </c>
      <c r="FE7" t="e">
        <f>Issue_Log!G134+"67\!9v"</f>
        <v>#VALUE!</v>
      </c>
      <c r="FF7" t="e">
        <f>Issue_Log!A135+"67\!9w"</f>
        <v>#VALUE!</v>
      </c>
      <c r="FG7" s="1" t="e">
        <f>Issue_Log!B135+"67\!9x"</f>
        <v>#VALUE!</v>
      </c>
      <c r="FH7" t="e">
        <f>Issue_Log!C135+"67\!9y"</f>
        <v>#VALUE!</v>
      </c>
      <c r="FI7" t="e">
        <f>Issue_Log!D135+"67\!9z"</f>
        <v>#VALUE!</v>
      </c>
      <c r="FJ7" t="e">
        <f>Issue_Log!E135+"67\!9{"</f>
        <v>#VALUE!</v>
      </c>
      <c r="FK7" t="e">
        <f>Issue_Log!F135+"67\!9|"</f>
        <v>#VALUE!</v>
      </c>
      <c r="FL7" t="e">
        <f>Issue_Log!G135+"67\!9}"</f>
        <v>#VALUE!</v>
      </c>
      <c r="FM7" t="e">
        <f>Issue_Log!A136+"67\!9~"</f>
        <v>#VALUE!</v>
      </c>
      <c r="FN7" s="1" t="e">
        <f>Issue_Log!B136+"67\!:#"</f>
        <v>#VALUE!</v>
      </c>
      <c r="FO7" t="e">
        <f>Issue_Log!C136+"67\!:$"</f>
        <v>#VALUE!</v>
      </c>
      <c r="FP7" t="e">
        <f>Issue_Log!D136+"67\!:%"</f>
        <v>#VALUE!</v>
      </c>
      <c r="FQ7" t="e">
        <f>Issue_Log!E136+"67\!:&amp;"</f>
        <v>#VALUE!</v>
      </c>
      <c r="FR7" t="e">
        <f>Issue_Log!F136+"67\!:'"</f>
        <v>#VALUE!</v>
      </c>
      <c r="FS7" t="e">
        <f>Issue_Log!G136+"67\!:("</f>
        <v>#VALUE!</v>
      </c>
      <c r="FT7" t="e">
        <f>Issue_Log!A137+"67\!:)"</f>
        <v>#VALUE!</v>
      </c>
      <c r="FU7" s="1" t="e">
        <f>Issue_Log!B137+"67\!:."</f>
        <v>#VALUE!</v>
      </c>
      <c r="FV7" t="e">
        <f>Issue_Log!C137+"67\!:/"</f>
        <v>#VALUE!</v>
      </c>
      <c r="FW7" t="e">
        <f>Issue_Log!D137+"67\!:0"</f>
        <v>#VALUE!</v>
      </c>
      <c r="FX7" t="e">
        <f>Issue_Log!E137+"67\!:1"</f>
        <v>#VALUE!</v>
      </c>
      <c r="FY7" t="e">
        <f>Issue_Log!F137+"67\!:2"</f>
        <v>#VALUE!</v>
      </c>
      <c r="FZ7" t="e">
        <f>Issue_Log!G137+"67\!:3"</f>
        <v>#VALUE!</v>
      </c>
      <c r="GA7" t="e">
        <f>Issue_Log!A138+"67\!:4"</f>
        <v>#VALUE!</v>
      </c>
      <c r="GB7" t="e">
        <f>Issue_Log!B138+"67\!:5"</f>
        <v>#VALUE!</v>
      </c>
      <c r="GC7" t="e">
        <f>Issue_Log!C138+"67\!:6"</f>
        <v>#VALUE!</v>
      </c>
      <c r="GD7" t="e">
        <f>Issue_Log!D138+"67\!:7"</f>
        <v>#VALUE!</v>
      </c>
      <c r="GE7" t="e">
        <f>Issue_Log!E138+"67\!:8"</f>
        <v>#VALUE!</v>
      </c>
      <c r="GF7" t="e">
        <f>Issue_Log!F138+"67\!:9"</f>
        <v>#VALUE!</v>
      </c>
      <c r="GG7" t="e">
        <f>Issue_Log!G138+"67\!::"</f>
        <v>#VALUE!</v>
      </c>
      <c r="GH7" t="e">
        <f>Issue_Log!A139+"67\!:;"</f>
        <v>#VALUE!</v>
      </c>
      <c r="GI7" t="e">
        <f>Issue_Log!B139+"67\!:&lt;"</f>
        <v>#VALUE!</v>
      </c>
      <c r="GJ7" t="e">
        <f>Issue_Log!C139+"67\!:="</f>
        <v>#VALUE!</v>
      </c>
      <c r="GK7" t="e">
        <f>Issue_Log!D139+"67\!:&gt;"</f>
        <v>#VALUE!</v>
      </c>
      <c r="GL7" t="e">
        <f>Issue_Log!E139+"67\!:?"</f>
        <v>#VALUE!</v>
      </c>
      <c r="GM7" t="e">
        <f>Issue_Log!F139+"67\!:@"</f>
        <v>#VALUE!</v>
      </c>
      <c r="GN7" t="e">
        <f>Issue_Log!G139+"67\!:A"</f>
        <v>#VALUE!</v>
      </c>
      <c r="GO7" t="e">
        <f>Issue_Log!A140+"67\!:B"</f>
        <v>#VALUE!</v>
      </c>
      <c r="GP7" t="e">
        <f>Issue_Log!B140+"67\!:C"</f>
        <v>#VALUE!</v>
      </c>
      <c r="GQ7" t="e">
        <f>Issue_Log!C140+"67\!:D"</f>
        <v>#VALUE!</v>
      </c>
      <c r="GR7" t="e">
        <f>Issue_Log!D140+"67\!:E"</f>
        <v>#VALUE!</v>
      </c>
      <c r="GS7" t="e">
        <f>Issue_Log!E140+"67\!:F"</f>
        <v>#VALUE!</v>
      </c>
      <c r="GT7" t="e">
        <f>Issue_Log!F140+"67\!:G"</f>
        <v>#VALUE!</v>
      </c>
      <c r="GU7" t="e">
        <f>Issue_Log!G140+"67\!:H"</f>
        <v>#VALUE!</v>
      </c>
      <c r="GV7" t="e">
        <f>Issue_Log!A141+"67\!:I"</f>
        <v>#VALUE!</v>
      </c>
      <c r="GW7" t="e">
        <f>Issue_Log!B141+"67\!:J"</f>
        <v>#VALUE!</v>
      </c>
      <c r="GX7" t="e">
        <f>Issue_Log!C141+"67\!:K"</f>
        <v>#VALUE!</v>
      </c>
      <c r="GY7" t="e">
        <f>Issue_Log!D141+"67\!:L"</f>
        <v>#VALUE!</v>
      </c>
      <c r="GZ7" t="e">
        <f>Issue_Log!E141+"67\!:M"</f>
        <v>#VALUE!</v>
      </c>
      <c r="HA7" t="e">
        <f>Issue_Log!F141+"67\!:N"</f>
        <v>#VALUE!</v>
      </c>
      <c r="HB7" t="e">
        <f>Issue_Log!G141+"67\!:O"</f>
        <v>#VALUE!</v>
      </c>
      <c r="HC7" t="e">
        <f>Issue_Log!A142+"67\!:P"</f>
        <v>#VALUE!</v>
      </c>
      <c r="HD7" t="e">
        <f>Issue_Log!B142+"67\!:Q"</f>
        <v>#VALUE!</v>
      </c>
      <c r="HE7" t="e">
        <f>Issue_Log!C142+"67\!:R"</f>
        <v>#VALUE!</v>
      </c>
      <c r="HF7" t="e">
        <f>Issue_Log!D142+"67\!:S"</f>
        <v>#VALUE!</v>
      </c>
      <c r="HG7" t="e">
        <f>Issue_Log!E142+"67\!:T"</f>
        <v>#VALUE!</v>
      </c>
      <c r="HH7" t="e">
        <f>Issue_Log!F142+"67\!:U"</f>
        <v>#VALUE!</v>
      </c>
      <c r="HI7" t="e">
        <f>Issue_Log!G142+"67\!:V"</f>
        <v>#VALUE!</v>
      </c>
      <c r="HJ7" t="e">
        <f>Issue_Log!A143+"67\!:W"</f>
        <v>#VALUE!</v>
      </c>
      <c r="HK7" t="e">
        <f>Issue_Log!B143+"67\!:X"</f>
        <v>#VALUE!</v>
      </c>
      <c r="HL7" t="e">
        <f>Issue_Log!C143+"67\!:Y"</f>
        <v>#VALUE!</v>
      </c>
      <c r="HM7" t="e">
        <f>Issue_Log!D143+"67\!:Z"</f>
        <v>#VALUE!</v>
      </c>
      <c r="HN7" t="e">
        <f>Issue_Log!E143+"67\!:["</f>
        <v>#VALUE!</v>
      </c>
      <c r="HO7" t="e">
        <f>Issue_Log!F143+"67\!:\"</f>
        <v>#VALUE!</v>
      </c>
      <c r="HP7" t="e">
        <f>Issue_Log!G143+"67\!:]"</f>
        <v>#VALUE!</v>
      </c>
      <c r="HQ7" t="e">
        <f>Issue_Log!A144+"67\!:^"</f>
        <v>#VALUE!</v>
      </c>
      <c r="HR7" t="e">
        <f>Issue_Log!B145+"67\!:_"</f>
        <v>#VALUE!</v>
      </c>
      <c r="HS7" t="e">
        <f>Issue_Log!C145+"67\!:`"</f>
        <v>#VALUE!</v>
      </c>
      <c r="HT7" t="e">
        <f>Issue_Log!D145+"67\!:a"</f>
        <v>#VALUE!</v>
      </c>
      <c r="HU7" t="e">
        <f>Issue_Log!E145+"67\!:b"</f>
        <v>#VALUE!</v>
      </c>
      <c r="HV7" t="e">
        <f>Issue_Log!F145+"67\!:c"</f>
        <v>#VALUE!</v>
      </c>
      <c r="HW7" t="e">
        <f>Issue_Log!G145+"67\!:d"</f>
        <v>#VALUE!</v>
      </c>
      <c r="HX7" t="e">
        <f>Issue_Log!A145+"67\!:e"</f>
        <v>#VALUE!</v>
      </c>
      <c r="HY7" t="e">
        <f>Issue_Log!B146+"67\!:f"</f>
        <v>#VALUE!</v>
      </c>
      <c r="HZ7" t="e">
        <f>Issue_Log!C146+"67\!:g"</f>
        <v>#VALUE!</v>
      </c>
      <c r="IA7" t="e">
        <f>Issue_Log!D146+"67\!:h"</f>
        <v>#VALUE!</v>
      </c>
      <c r="IB7" t="e">
        <f>Issue_Log!E146+"67\!:i"</f>
        <v>#VALUE!</v>
      </c>
      <c r="IC7" t="e">
        <f>Issue_Log!F146+"67\!:j"</f>
        <v>#VALUE!</v>
      </c>
      <c r="ID7" t="e">
        <f>Issue_Log!G146+"67\!:k"</f>
        <v>#VALUE!</v>
      </c>
      <c r="IE7" t="e">
        <f>Issue_Log!A146+"67\!:l"</f>
        <v>#VALUE!</v>
      </c>
      <c r="IF7" t="e">
        <f>Issue_Log!B147+"67\!:m"</f>
        <v>#VALUE!</v>
      </c>
      <c r="IG7" t="e">
        <f>Issue_Log!C147+"67\!:n"</f>
        <v>#VALUE!</v>
      </c>
      <c r="IH7" t="e">
        <f>Issue_Log!D147+"67\!:o"</f>
        <v>#VALUE!</v>
      </c>
      <c r="II7" t="e">
        <f>Issue_Log!E147+"67\!:p"</f>
        <v>#VALUE!</v>
      </c>
      <c r="IJ7" t="e">
        <f>Issue_Log!F147+"67\!:q"</f>
        <v>#VALUE!</v>
      </c>
      <c r="IK7" t="e">
        <f>Issue_Log!G147+"67\!:r"</f>
        <v>#VALUE!</v>
      </c>
      <c r="IL7" t="e">
        <f>Issue_Log!A147+"67\!:s"</f>
        <v>#VALUE!</v>
      </c>
      <c r="IM7" t="e">
        <f>Issue_Log!B148+"67\!:t"</f>
        <v>#VALUE!</v>
      </c>
      <c r="IN7" t="e">
        <f>Issue_Log!C148+"67\!:u"</f>
        <v>#VALUE!</v>
      </c>
      <c r="IO7" t="e">
        <f>Issue_Log!D148+"67\!:v"</f>
        <v>#VALUE!</v>
      </c>
      <c r="IP7" t="e">
        <f>Issue_Log!E148+"67\!:w"</f>
        <v>#VALUE!</v>
      </c>
      <c r="IQ7" t="e">
        <f>Issue_Log!F148+"67\!:x"</f>
        <v>#VALUE!</v>
      </c>
      <c r="IR7" t="e">
        <f>Issue_Log!G148+"67\!:y"</f>
        <v>#VALUE!</v>
      </c>
      <c r="IS7" t="e">
        <f>Issue_Log!A148+"67\!:z"</f>
        <v>#VALUE!</v>
      </c>
      <c r="IT7" t="e">
        <f>Issue_Log!B150+"67\!:{"</f>
        <v>#VALUE!</v>
      </c>
      <c r="IU7" t="e">
        <f>Issue_Log!C150+"67\!:|"</f>
        <v>#VALUE!</v>
      </c>
      <c r="IV7" t="e">
        <f>Issue_Log!D150+"67\!:}"</f>
        <v>#VALUE!</v>
      </c>
    </row>
    <row r="8" spans="1:256" x14ac:dyDescent="0.15">
      <c r="F8" t="e">
        <f>Issue_Log!E150+"67\!:~"</f>
        <v>#VALUE!</v>
      </c>
      <c r="G8" t="e">
        <f>Issue_Log!F150+"67\!;#"</f>
        <v>#VALUE!</v>
      </c>
      <c r="H8" t="e">
        <f>Issue_Log!G150+"67\!;$"</f>
        <v>#VALUE!</v>
      </c>
      <c r="I8" t="e">
        <f>Issue_Log!A149+"67\!;%"</f>
        <v>#VALUE!</v>
      </c>
      <c r="J8" t="e">
        <f>Issue_Log!B151+"67\!;&amp;"</f>
        <v>#VALUE!</v>
      </c>
      <c r="K8" t="e">
        <f>Issue_Log!C151+"67\!;'"</f>
        <v>#VALUE!</v>
      </c>
      <c r="L8" t="e">
        <f>Issue_Log!D151+"67\!;("</f>
        <v>#VALUE!</v>
      </c>
      <c r="M8" t="e">
        <f>Issue_Log!E151+"67\!;)"</f>
        <v>#VALUE!</v>
      </c>
      <c r="N8" t="e">
        <f>Issue_Log!F151+"67\!;."</f>
        <v>#VALUE!</v>
      </c>
      <c r="O8" t="e">
        <f>Issue_Log!G151+"67\!;/"</f>
        <v>#VALUE!</v>
      </c>
      <c r="P8" t="e">
        <f>Issue_Log!A150+"67\!;0"</f>
        <v>#VALUE!</v>
      </c>
      <c r="Q8" t="e">
        <f>Issue_Log!B152+"67\!;1"</f>
        <v>#VALUE!</v>
      </c>
      <c r="R8" t="e">
        <f>Issue_Log!C152+"67\!;2"</f>
        <v>#VALUE!</v>
      </c>
      <c r="S8" t="e">
        <f>Issue_Log!D152+"67\!;3"</f>
        <v>#VALUE!</v>
      </c>
      <c r="T8" t="e">
        <f>Issue_Log!E152+"67\!;4"</f>
        <v>#VALUE!</v>
      </c>
      <c r="U8" t="e">
        <f>Issue_Log!F152+"67\!;5"</f>
        <v>#VALUE!</v>
      </c>
      <c r="V8" t="e">
        <f>Issue_Log!G152+"67\!;6"</f>
        <v>#VALUE!</v>
      </c>
      <c r="W8" t="e">
        <f>Issue_Log!A151+"67\!;7"</f>
        <v>#VALUE!</v>
      </c>
      <c r="X8" t="e">
        <f>Issue_Log!#REF!+"67\!;8"</f>
        <v>#REF!</v>
      </c>
      <c r="Y8" t="e">
        <f>Issue_Log!#REF!+"67\!;9"</f>
        <v>#REF!</v>
      </c>
      <c r="Z8" t="e">
        <f>Issue_Log!#REF!+"67\!;:"</f>
        <v>#REF!</v>
      </c>
      <c r="AA8" t="e">
        <f>Issue_Log!#REF!+"67\!;;"</f>
        <v>#REF!</v>
      </c>
      <c r="AB8" t="e">
        <f>Issue_Log!#REF!+"67\!;&lt;"</f>
        <v>#REF!</v>
      </c>
      <c r="AC8" t="e">
        <f>Issue_Log!#REF!+"67\!;="</f>
        <v>#REF!</v>
      </c>
      <c r="AD8" t="e">
        <f>Issue_Log!A152+"67\!;&gt;"</f>
        <v>#VALUE!</v>
      </c>
      <c r="AE8" t="e">
        <f>Issue_Log!#REF!+"67\!;?"</f>
        <v>#REF!</v>
      </c>
      <c r="AF8" t="e">
        <f>Issue_Log!#REF!+"67\!;@"</f>
        <v>#REF!</v>
      </c>
      <c r="AG8" t="e">
        <f>Issue_Log!#REF!+"67\!;A"</f>
        <v>#REF!</v>
      </c>
      <c r="AH8" t="e">
        <f>Issue_Log!#REF!+"67\!;B"</f>
        <v>#REF!</v>
      </c>
      <c r="AI8" t="e">
        <f>Issue_Log!#REF!+"67\!;C"</f>
        <v>#REF!</v>
      </c>
      <c r="AJ8" t="e">
        <f>Issue_Log!#REF!+"67\!;D"</f>
        <v>#REF!</v>
      </c>
      <c r="AK8" t="e">
        <f>Issue_Log!A153+"67\!;E"</f>
        <v>#VALUE!</v>
      </c>
      <c r="AL8" t="e">
        <f>Issue_Log!B154+"67\!;F"</f>
        <v>#VALUE!</v>
      </c>
      <c r="AM8" t="e">
        <f>Issue_Log!C154+"67\!;G"</f>
        <v>#VALUE!</v>
      </c>
      <c r="AN8" t="e">
        <f>Issue_Log!D154+"67\!;H"</f>
        <v>#VALUE!</v>
      </c>
      <c r="AO8" t="e">
        <f>Issue_Log!E154+"67\!;I"</f>
        <v>#VALUE!</v>
      </c>
      <c r="AP8" t="e">
        <f>Issue_Log!F154+"67\!;J"</f>
        <v>#VALUE!</v>
      </c>
      <c r="AQ8" t="e">
        <f>Issue_Log!G154+"67\!;K"</f>
        <v>#VALUE!</v>
      </c>
      <c r="AR8" t="e">
        <f>Issue_Log!A154+"67\!;L"</f>
        <v>#VALUE!</v>
      </c>
      <c r="AS8" t="e">
        <f>Issue_Log!#REF!+"67\!;M"</f>
        <v>#REF!</v>
      </c>
      <c r="AT8" t="e">
        <f>Issue_Log!#REF!+"67\!;N"</f>
        <v>#REF!</v>
      </c>
      <c r="AU8" t="e">
        <f>Issue_Log!#REF!+"67\!;O"</f>
        <v>#REF!</v>
      </c>
      <c r="AV8" t="e">
        <f>Issue_Log!#REF!+"67\!;P"</f>
        <v>#REF!</v>
      </c>
      <c r="AW8" t="e">
        <f>Issue_Log!#REF!+"67\!;Q"</f>
        <v>#REF!</v>
      </c>
      <c r="AX8" t="e">
        <f>Issue_Log!#REF!+"67\!;R"</f>
        <v>#REF!</v>
      </c>
      <c r="AY8" t="e">
        <f>Issue_Log!A155+"67\!;S"</f>
        <v>#VALUE!</v>
      </c>
      <c r="AZ8" t="e">
        <f>Issue_Log!B155+"67\!;T"</f>
        <v>#VALUE!</v>
      </c>
      <c r="BA8" t="e">
        <f>Issue_Log!C155+"67\!;U"</f>
        <v>#VALUE!</v>
      </c>
      <c r="BB8" t="e">
        <f>Issue_Log!D155+"67\!;V"</f>
        <v>#VALUE!</v>
      </c>
      <c r="BC8" t="e">
        <f>Issue_Log!E155+"67\!;W"</f>
        <v>#VALUE!</v>
      </c>
      <c r="BD8" t="e">
        <f>Issue_Log!F155+"67\!;X"</f>
        <v>#VALUE!</v>
      </c>
      <c r="BE8" t="e">
        <f>Issue_Log!G155+"67\!;Y"</f>
        <v>#VALUE!</v>
      </c>
      <c r="BF8" t="e">
        <f>Issue_Log!A156+"67\!;Z"</f>
        <v>#VALUE!</v>
      </c>
      <c r="BG8" t="e">
        <f>Issue_Log!B156+"67\!;["</f>
        <v>#VALUE!</v>
      </c>
      <c r="BH8" t="e">
        <f>Issue_Log!C156+"67\!;\"</f>
        <v>#VALUE!</v>
      </c>
      <c r="BI8" t="e">
        <f>Issue_Log!D156+"67\!;]"</f>
        <v>#VALUE!</v>
      </c>
      <c r="BJ8" t="e">
        <f>Issue_Log!E156+"67\!;^"</f>
        <v>#VALUE!</v>
      </c>
      <c r="BK8" t="e">
        <f>Issue_Log!F156+"67\!;_"</f>
        <v>#VALUE!</v>
      </c>
      <c r="BL8" t="e">
        <f>Issue_Log!G156+"67\!;`"</f>
        <v>#VALUE!</v>
      </c>
      <c r="BM8" t="e">
        <f>Issue_Log!A157+"67\!;a"</f>
        <v>#VALUE!</v>
      </c>
      <c r="BN8" t="e">
        <f>Issue_Log!B157+"67\!;b"</f>
        <v>#VALUE!</v>
      </c>
      <c r="BO8" t="e">
        <f>Issue_Log!C157+"67\!;c"</f>
        <v>#VALUE!</v>
      </c>
      <c r="BP8" t="e">
        <f>Issue_Log!D157+"67\!;d"</f>
        <v>#VALUE!</v>
      </c>
      <c r="BQ8" t="e">
        <f>Issue_Log!E157+"67\!;e"</f>
        <v>#VALUE!</v>
      </c>
      <c r="BR8" t="e">
        <f>Issue_Log!F157+"67\!;f"</f>
        <v>#VALUE!</v>
      </c>
      <c r="BS8" t="e">
        <f>Issue_Log!G157+"67\!;g"</f>
        <v>#VALUE!</v>
      </c>
      <c r="BT8" t="e">
        <f>Issue_Log!A158+"67\!;h"</f>
        <v>#VALUE!</v>
      </c>
      <c r="BU8" t="e">
        <f>Issue_Log!B159+"67\!;i"</f>
        <v>#VALUE!</v>
      </c>
      <c r="BV8" t="e">
        <f>Issue_Log!C159+"67\!;j"</f>
        <v>#VALUE!</v>
      </c>
      <c r="BW8" t="e">
        <f>Issue_Log!D159+"67\!;k"</f>
        <v>#VALUE!</v>
      </c>
      <c r="BX8" t="e">
        <f>Issue_Log!E159+"67\!;l"</f>
        <v>#VALUE!</v>
      </c>
      <c r="BY8" t="e">
        <f>Issue_Log!F159+"67\!;m"</f>
        <v>#VALUE!</v>
      </c>
      <c r="BZ8" t="e">
        <f>Issue_Log!G159+"67\!;n"</f>
        <v>#VALUE!</v>
      </c>
      <c r="CA8" t="e">
        <f>Issue_Log!A159+"67\!;o"</f>
        <v>#VALUE!</v>
      </c>
      <c r="CB8" t="e">
        <f>Issue_Log!#REF!+"67\!;p"</f>
        <v>#REF!</v>
      </c>
      <c r="CC8" t="e">
        <f>Issue_Log!#REF!+"67\!;q"</f>
        <v>#REF!</v>
      </c>
      <c r="CD8" t="e">
        <f>Issue_Log!#REF!+"67\!;r"</f>
        <v>#REF!</v>
      </c>
      <c r="CE8" t="e">
        <f>Issue_Log!#REF!+"67\!;s"</f>
        <v>#REF!</v>
      </c>
      <c r="CF8" t="e">
        <f>Issue_Log!#REF!+"67\!;t"</f>
        <v>#REF!</v>
      </c>
      <c r="CG8" t="e">
        <f>Issue_Log!#REF!+"67\!;u"</f>
        <v>#REF!</v>
      </c>
      <c r="CH8" t="e">
        <f>Issue_Log!A160+"67\!;v"</f>
        <v>#VALUE!</v>
      </c>
      <c r="CI8" t="e">
        <f>Issue_Log!B160+"67\!;w"</f>
        <v>#VALUE!</v>
      </c>
      <c r="CJ8" t="e">
        <f>Issue_Log!C160+"67\!;x"</f>
        <v>#VALUE!</v>
      </c>
      <c r="CK8" t="e">
        <f>Issue_Log!D160+"67\!;y"</f>
        <v>#VALUE!</v>
      </c>
      <c r="CL8" t="e">
        <f>Issue_Log!E160+"67\!;z"</f>
        <v>#VALUE!</v>
      </c>
      <c r="CM8" t="e">
        <f>Issue_Log!F160+"67\!;{"</f>
        <v>#VALUE!</v>
      </c>
      <c r="CN8" t="e">
        <f>Issue_Log!G160+"67\!;|"</f>
        <v>#VALUE!</v>
      </c>
      <c r="CO8" t="e">
        <f>Issue_Log!A161+"67\!;}"</f>
        <v>#VALUE!</v>
      </c>
      <c r="CP8" t="e">
        <f>Issue_Log!B161+"67\!;~"</f>
        <v>#VALUE!</v>
      </c>
      <c r="CQ8" t="e">
        <f>Issue_Log!C161+"67\!&lt;#"</f>
        <v>#VALUE!</v>
      </c>
      <c r="CR8" t="e">
        <f>Issue_Log!D161+"67\!&lt;$"</f>
        <v>#VALUE!</v>
      </c>
      <c r="CS8" t="e">
        <f>Issue_Log!E161+"67\!&lt;%"</f>
        <v>#VALUE!</v>
      </c>
      <c r="CT8" t="e">
        <f>Issue_Log!F161+"67\!&lt;&amp;"</f>
        <v>#VALUE!</v>
      </c>
      <c r="CU8" t="e">
        <f>Issue_Log!G161+"67\!&lt;'"</f>
        <v>#VALUE!</v>
      </c>
      <c r="CV8" t="e">
        <f>Issue_Log!A162+"67\!&lt;("</f>
        <v>#VALUE!</v>
      </c>
      <c r="CW8" t="e">
        <f>Issue_Log!B162+"67\!&lt;)"</f>
        <v>#VALUE!</v>
      </c>
      <c r="CX8" t="e">
        <f>Issue_Log!C162+"67\!&lt;."</f>
        <v>#VALUE!</v>
      </c>
      <c r="CY8" t="e">
        <f>Issue_Log!D162+"67\!&lt;/"</f>
        <v>#VALUE!</v>
      </c>
      <c r="CZ8" t="e">
        <f>Issue_Log!E162+"67\!&lt;0"</f>
        <v>#VALUE!</v>
      </c>
      <c r="DA8" t="e">
        <f>Issue_Log!F162+"67\!&lt;1"</f>
        <v>#VALUE!</v>
      </c>
      <c r="DB8" t="e">
        <f>Issue_Log!G162+"67\!&lt;2"</f>
        <v>#VALUE!</v>
      </c>
      <c r="DC8" t="e">
        <f>Issue_Log!A163+"67\!&lt;3"</f>
        <v>#VALUE!</v>
      </c>
      <c r="DD8" t="e">
        <f>Issue_Log!B163+"67\!&lt;4"</f>
        <v>#VALUE!</v>
      </c>
      <c r="DE8" t="e">
        <f>Issue_Log!C163+"67\!&lt;5"</f>
        <v>#VALUE!</v>
      </c>
      <c r="DF8" t="e">
        <f>Issue_Log!D163+"67\!&lt;6"</f>
        <v>#VALUE!</v>
      </c>
      <c r="DG8" t="e">
        <f>Issue_Log!E163+"67\!&lt;7"</f>
        <v>#VALUE!</v>
      </c>
      <c r="DH8" t="e">
        <f>Issue_Log!F163+"67\!&lt;8"</f>
        <v>#VALUE!</v>
      </c>
      <c r="DI8" t="e">
        <f>Issue_Log!G163+"67\!&lt;9"</f>
        <v>#VALUE!</v>
      </c>
      <c r="DJ8" t="e">
        <f>Issue_Log!A164+"67\!&lt;:"</f>
        <v>#VALUE!</v>
      </c>
      <c r="DK8" t="e">
        <f>Issue_Log!B164+"67\!&lt;;"</f>
        <v>#VALUE!</v>
      </c>
      <c r="DL8" t="e">
        <f>Issue_Log!C164+"67\!&lt;&lt;"</f>
        <v>#VALUE!</v>
      </c>
      <c r="DM8" t="e">
        <f>Issue_Log!D164+"67\!&lt;="</f>
        <v>#VALUE!</v>
      </c>
      <c r="DN8" t="e">
        <f>Issue_Log!E164+"67\!&lt;&gt;"</f>
        <v>#VALUE!</v>
      </c>
      <c r="DO8" t="e">
        <f>Issue_Log!F164+"67\!&lt;?"</f>
        <v>#VALUE!</v>
      </c>
      <c r="DP8" t="e">
        <f>Issue_Log!G164+"67\!&lt;@"</f>
        <v>#VALUE!</v>
      </c>
      <c r="DQ8" t="e">
        <f>Issue_Log!A165+"67\!&lt;A"</f>
        <v>#VALUE!</v>
      </c>
      <c r="DR8" t="e">
        <f>Issue_Log!B165+"67\!&lt;B"</f>
        <v>#VALUE!</v>
      </c>
      <c r="DS8" t="e">
        <f>Issue_Log!C165+"67\!&lt;C"</f>
        <v>#VALUE!</v>
      </c>
      <c r="DT8" t="e">
        <f>Issue_Log!D165+"67\!&lt;D"</f>
        <v>#VALUE!</v>
      </c>
      <c r="DU8" t="e">
        <f>Issue_Log!E165+"67\!&lt;E"</f>
        <v>#VALUE!</v>
      </c>
      <c r="DV8" t="e">
        <f>Issue_Log!F165+"67\!&lt;F"</f>
        <v>#VALUE!</v>
      </c>
      <c r="DW8" t="e">
        <f>Issue_Log!G165+"67\!&lt;G"</f>
        <v>#VALUE!</v>
      </c>
      <c r="DX8" t="e">
        <f>Issue_Log!A166+"67\!&lt;H"</f>
        <v>#VALUE!</v>
      </c>
      <c r="DY8" t="e">
        <f>Issue_Log!B166+"67\!&lt;I"</f>
        <v>#VALUE!</v>
      </c>
      <c r="DZ8" t="e">
        <f>Issue_Log!C166+"67\!&lt;J"</f>
        <v>#VALUE!</v>
      </c>
      <c r="EA8" t="e">
        <f>Issue_Log!D166+"67\!&lt;K"</f>
        <v>#VALUE!</v>
      </c>
      <c r="EB8" t="e">
        <f>Issue_Log!E166+"67\!&lt;L"</f>
        <v>#VALUE!</v>
      </c>
      <c r="EC8" t="e">
        <f>Issue_Log!F166+"67\!&lt;M"</f>
        <v>#VALUE!</v>
      </c>
      <c r="ED8" t="e">
        <f>Issue_Log!G166+"67\!&lt;N"</f>
        <v>#VALUE!</v>
      </c>
      <c r="EE8" t="e">
        <f>Issue_Log!A167+"67\!&lt;O"</f>
        <v>#VALUE!</v>
      </c>
      <c r="EF8" t="e">
        <f>Issue_Log!B167+"67\!&lt;P"</f>
        <v>#VALUE!</v>
      </c>
      <c r="EG8" t="e">
        <f>Issue_Log!C167+"67\!&lt;Q"</f>
        <v>#VALUE!</v>
      </c>
      <c r="EH8" t="e">
        <f>Issue_Log!D167+"67\!&lt;R"</f>
        <v>#VALUE!</v>
      </c>
      <c r="EI8" t="e">
        <f>Issue_Log!E167+"67\!&lt;S"</f>
        <v>#VALUE!</v>
      </c>
      <c r="EJ8" t="e">
        <f>Issue_Log!F167+"67\!&lt;T"</f>
        <v>#VALUE!</v>
      </c>
      <c r="EK8" t="e">
        <f>Issue_Log!G167+"67\!&lt;U"</f>
        <v>#VALUE!</v>
      </c>
      <c r="EL8" t="e">
        <f>Issue_Log!A168+"67\!&lt;V"</f>
        <v>#VALUE!</v>
      </c>
      <c r="EM8" t="e">
        <f>Issue_Log!B168+"67\!&lt;W"</f>
        <v>#VALUE!</v>
      </c>
      <c r="EN8" t="e">
        <f>Issue_Log!C168+"67\!&lt;X"</f>
        <v>#VALUE!</v>
      </c>
      <c r="EO8" t="e">
        <f>Issue_Log!D168+"67\!&lt;Y"</f>
        <v>#VALUE!</v>
      </c>
      <c r="EP8" t="e">
        <f>Issue_Log!E168+"67\!&lt;Z"</f>
        <v>#VALUE!</v>
      </c>
      <c r="EQ8" t="e">
        <f>Issue_Log!F168+"67\!&lt;["</f>
        <v>#VALUE!</v>
      </c>
      <c r="ER8" t="e">
        <f>Issue_Log!G168+"67\!&lt;\"</f>
        <v>#VALUE!</v>
      </c>
      <c r="ES8" t="e">
        <f>Issue_Log!A169+"67\!&lt;]"</f>
        <v>#VALUE!</v>
      </c>
      <c r="ET8" t="e">
        <f>Issue_Log!B169+"67\!&lt;^"</f>
        <v>#VALUE!</v>
      </c>
      <c r="EU8" t="e">
        <f>Issue_Log!C169+"67\!&lt;_"</f>
        <v>#VALUE!</v>
      </c>
      <c r="EV8" t="e">
        <f>Issue_Log!D169+"67\!&lt;`"</f>
        <v>#VALUE!</v>
      </c>
      <c r="EW8" t="e">
        <f>Issue_Log!E169+"67\!&lt;a"</f>
        <v>#VALUE!</v>
      </c>
      <c r="EX8" t="e">
        <f>Issue_Log!F169+"67\!&lt;b"</f>
        <v>#VALUE!</v>
      </c>
      <c r="EY8" t="e">
        <f>Issue_Log!G169+"67\!&lt;c"</f>
        <v>#VALUE!</v>
      </c>
      <c r="EZ8" t="e">
        <f>Issue_Log!A170+"67\!&lt;d"</f>
        <v>#VALUE!</v>
      </c>
      <c r="FA8" t="e">
        <f>Issue_Log!B170+"67\!&lt;e"</f>
        <v>#VALUE!</v>
      </c>
      <c r="FB8" t="e">
        <f>Issue_Log!C170+"67\!&lt;f"</f>
        <v>#VALUE!</v>
      </c>
      <c r="FC8" t="e">
        <f>Issue_Log!D170+"67\!&lt;g"</f>
        <v>#VALUE!</v>
      </c>
      <c r="FD8" t="e">
        <f>Issue_Log!E170+"67\!&lt;h"</f>
        <v>#VALUE!</v>
      </c>
      <c r="FE8" t="e">
        <f>Issue_Log!F170+"67\!&lt;i"</f>
        <v>#VALUE!</v>
      </c>
      <c r="FF8" t="e">
        <f>Issue_Log!G170+"67\!&lt;j"</f>
        <v>#VALUE!</v>
      </c>
      <c r="FG8" t="e">
        <f>Issue_Log!A171+"67\!&lt;k"</f>
        <v>#VALUE!</v>
      </c>
      <c r="FH8" t="e">
        <f>Issue_Log!B171+"67\!&lt;l"</f>
        <v>#VALUE!</v>
      </c>
      <c r="FI8" t="e">
        <f>Issue_Log!C171+"67\!&lt;m"</f>
        <v>#VALUE!</v>
      </c>
      <c r="FJ8" t="e">
        <f>Issue_Log!D171+"67\!&lt;n"</f>
        <v>#VALUE!</v>
      </c>
      <c r="FK8" t="e">
        <f>Issue_Log!E171+"67\!&lt;o"</f>
        <v>#VALUE!</v>
      </c>
      <c r="FL8" t="e">
        <f>Issue_Log!F171+"67\!&lt;p"</f>
        <v>#VALUE!</v>
      </c>
      <c r="FM8" t="e">
        <f>Issue_Log!G171+"67\!&lt;q"</f>
        <v>#VALUE!</v>
      </c>
      <c r="FN8" t="e">
        <f>Issue_Log!A172+"67\!&lt;r"</f>
        <v>#VALUE!</v>
      </c>
      <c r="FO8" t="e">
        <f>Issue_Log!B172+"67\!&lt;s"</f>
        <v>#VALUE!</v>
      </c>
      <c r="FP8" t="e">
        <f>Issue_Log!C172+"67\!&lt;t"</f>
        <v>#VALUE!</v>
      </c>
      <c r="FQ8" t="e">
        <f>Issue_Log!D172+"67\!&lt;u"</f>
        <v>#VALUE!</v>
      </c>
      <c r="FR8" t="e">
        <f>Issue_Log!E172+"67\!&lt;v"</f>
        <v>#VALUE!</v>
      </c>
      <c r="FS8" t="e">
        <f>Issue_Log!F172+"67\!&lt;w"</f>
        <v>#VALUE!</v>
      </c>
      <c r="FT8" t="e">
        <f>Issue_Log!G172+"67\!&lt;x"</f>
        <v>#VALUE!</v>
      </c>
      <c r="FU8" t="e">
        <f>Issue_Log!A173+"67\!&lt;y"</f>
        <v>#VALUE!</v>
      </c>
      <c r="FV8" t="e">
        <f>Issue_Log!B173+"67\!&lt;z"</f>
        <v>#VALUE!</v>
      </c>
      <c r="FW8" t="e">
        <f>Issue_Log!C173+"67\!&lt;{"</f>
        <v>#VALUE!</v>
      </c>
      <c r="FX8" t="e">
        <f>Issue_Log!D173+"67\!&lt;|"</f>
        <v>#VALUE!</v>
      </c>
      <c r="FY8" t="e">
        <f>Issue_Log!E173+"67\!&lt;}"</f>
        <v>#VALUE!</v>
      </c>
      <c r="FZ8" t="e">
        <f>Issue_Log!F173+"67\!&lt;~"</f>
        <v>#VALUE!</v>
      </c>
      <c r="GA8" t="e">
        <f>Issue_Log!G173+"67\!=#"</f>
        <v>#VALUE!</v>
      </c>
      <c r="GB8" t="e">
        <f>Issue_Log!A174+"67\!=$"</f>
        <v>#VALUE!</v>
      </c>
      <c r="GC8" t="e">
        <f>Issue_Log!B174+"67\!=%"</f>
        <v>#VALUE!</v>
      </c>
      <c r="GD8" t="e">
        <f>Issue_Log!C174+"67\!=&amp;"</f>
        <v>#VALUE!</v>
      </c>
      <c r="GE8" t="e">
        <f>Issue_Log!D174+"67\!='"</f>
        <v>#VALUE!</v>
      </c>
      <c r="GF8" t="e">
        <f>Issue_Log!E174+"67\!=("</f>
        <v>#VALUE!</v>
      </c>
      <c r="GG8" t="e">
        <f>Issue_Log!F174+"67\!=)"</f>
        <v>#VALUE!</v>
      </c>
      <c r="GH8" t="e">
        <f>Issue_Log!G174+"67\!=."</f>
        <v>#VALUE!</v>
      </c>
      <c r="GI8" t="e">
        <f>Issue_Log!A175+"67\!=/"</f>
        <v>#VALUE!</v>
      </c>
      <c r="GJ8" t="e">
        <f>Issue_Log!B175+"67\!=0"</f>
        <v>#VALUE!</v>
      </c>
      <c r="GK8" t="e">
        <f>Issue_Log!C175+"67\!=1"</f>
        <v>#VALUE!</v>
      </c>
      <c r="GL8" t="e">
        <f>Issue_Log!D175+"67\!=2"</f>
        <v>#VALUE!</v>
      </c>
      <c r="GM8" t="e">
        <f>Issue_Log!E175+"67\!=3"</f>
        <v>#VALUE!</v>
      </c>
      <c r="GN8" t="e">
        <f>Issue_Log!F175+"67\!=4"</f>
        <v>#VALUE!</v>
      </c>
      <c r="GO8" t="e">
        <f>Issue_Log!G175+"67\!=5"</f>
        <v>#VALUE!</v>
      </c>
      <c r="GP8" t="e">
        <f>Issue_Log!A176+"67\!=6"</f>
        <v>#VALUE!</v>
      </c>
      <c r="GQ8" t="e">
        <f>Issue_Log!B176+"67\!=7"</f>
        <v>#VALUE!</v>
      </c>
      <c r="GR8" t="e">
        <f>Issue_Log!C176+"67\!=8"</f>
        <v>#VALUE!</v>
      </c>
      <c r="GS8" t="e">
        <f>Issue_Log!D176+"67\!=9"</f>
        <v>#VALUE!</v>
      </c>
      <c r="GT8" t="e">
        <f>Issue_Log!E176+"67\!=:"</f>
        <v>#VALUE!</v>
      </c>
      <c r="GU8" t="e">
        <f>Issue_Log!F176+"67\!=;"</f>
        <v>#VALUE!</v>
      </c>
      <c r="GV8" t="e">
        <f>Issue_Log!G176+"67\!=&lt;"</f>
        <v>#VALUE!</v>
      </c>
      <c r="GW8" t="e">
        <f>Issue_Log!A177+"67\!=="</f>
        <v>#VALUE!</v>
      </c>
      <c r="GX8" t="e">
        <f>Issue_Log!B177+"67\!=&gt;"</f>
        <v>#VALUE!</v>
      </c>
      <c r="GY8" t="e">
        <f>Issue_Log!C177+"67\!=?"</f>
        <v>#VALUE!</v>
      </c>
      <c r="GZ8" t="e">
        <f>Issue_Log!D177+"67\!=@"</f>
        <v>#VALUE!</v>
      </c>
      <c r="HA8" t="e">
        <f>Issue_Log!E177+"67\!=A"</f>
        <v>#VALUE!</v>
      </c>
      <c r="HB8" t="e">
        <f>Issue_Log!F177+"67\!=B"</f>
        <v>#VALUE!</v>
      </c>
      <c r="HC8" t="e">
        <f>Issue_Log!G177+"67\!=C"</f>
        <v>#VALUE!</v>
      </c>
      <c r="HD8" t="e">
        <f>Issue_Log!A178+"67\!=D"</f>
        <v>#VALUE!</v>
      </c>
      <c r="HE8" t="e">
        <f>Issue_Log!B178+"67\!=E"</f>
        <v>#VALUE!</v>
      </c>
      <c r="HF8" t="e">
        <f>Issue_Log!C178+"67\!=F"</f>
        <v>#VALUE!</v>
      </c>
      <c r="HG8" t="e">
        <f>Issue_Log!D178+"67\!=G"</f>
        <v>#VALUE!</v>
      </c>
      <c r="HH8" t="e">
        <f>Issue_Log!E178+"67\!=H"</f>
        <v>#VALUE!</v>
      </c>
      <c r="HI8" t="e">
        <f>Issue_Log!F178+"67\!=I"</f>
        <v>#VALUE!</v>
      </c>
      <c r="HJ8" t="e">
        <f>Issue_Log!G178+"67\!=J"</f>
        <v>#VALUE!</v>
      </c>
      <c r="HK8" t="e">
        <f>Issue_Log!A179+"67\!=K"</f>
        <v>#VALUE!</v>
      </c>
      <c r="HL8" t="e">
        <f>Issue_Log!B179+"67\!=L"</f>
        <v>#VALUE!</v>
      </c>
      <c r="HM8" t="e">
        <f>Issue_Log!C179+"67\!=M"</f>
        <v>#VALUE!</v>
      </c>
      <c r="HN8" t="e">
        <f>Issue_Log!D179+"67\!=N"</f>
        <v>#VALUE!</v>
      </c>
      <c r="HO8" t="e">
        <f>Issue_Log!E179+"67\!=O"</f>
        <v>#VALUE!</v>
      </c>
      <c r="HP8" t="e">
        <f>Issue_Log!F179+"67\!=P"</f>
        <v>#VALUE!</v>
      </c>
      <c r="HQ8" t="e">
        <f>Issue_Log!G179+"67\!=Q"</f>
        <v>#VALUE!</v>
      </c>
      <c r="HR8" t="e">
        <f>Issue_Log!A180+"67\!=R"</f>
        <v>#VALUE!</v>
      </c>
      <c r="HS8" t="e">
        <f>Issue_Log!B180+"67\!=S"</f>
        <v>#VALUE!</v>
      </c>
      <c r="HT8" t="e">
        <f>Issue_Log!C180+"67\!=T"</f>
        <v>#VALUE!</v>
      </c>
      <c r="HU8" t="e">
        <f>Issue_Log!D180+"67\!=U"</f>
        <v>#VALUE!</v>
      </c>
      <c r="HV8" t="e">
        <f>Issue_Log!E180+"67\!=V"</f>
        <v>#VALUE!</v>
      </c>
      <c r="HW8" t="e">
        <f>Issue_Log!F180+"67\!=W"</f>
        <v>#VALUE!</v>
      </c>
      <c r="HX8" t="e">
        <f>Issue_Log!G180+"67\!=X"</f>
        <v>#VALUE!</v>
      </c>
      <c r="HY8" t="e">
        <f>Issue_Log!A181+"67\!=Y"</f>
        <v>#VALUE!</v>
      </c>
      <c r="HZ8" t="e">
        <f>Issue_Log!B181+"67\!=Z"</f>
        <v>#VALUE!</v>
      </c>
      <c r="IA8" t="e">
        <f>Issue_Log!C181+"67\!=["</f>
        <v>#VALUE!</v>
      </c>
      <c r="IB8" t="e">
        <f>Issue_Log!D181+"67\!=\"</f>
        <v>#VALUE!</v>
      </c>
      <c r="IC8" t="e">
        <f>Issue_Log!E181+"67\!=]"</f>
        <v>#VALUE!</v>
      </c>
      <c r="ID8" t="e">
        <f>Issue_Log!F181+"67\!=^"</f>
        <v>#VALUE!</v>
      </c>
      <c r="IE8" t="e">
        <f>Issue_Log!G181+"67\!=_"</f>
        <v>#VALUE!</v>
      </c>
      <c r="IF8" t="e">
        <f>Issue_Log!A182+"67\!=`"</f>
        <v>#VALUE!</v>
      </c>
      <c r="IG8" t="e">
        <f>Issue_Log!B182+"67\!=a"</f>
        <v>#VALUE!</v>
      </c>
      <c r="IH8" t="e">
        <f>Issue_Log!C182+"67\!=b"</f>
        <v>#VALUE!</v>
      </c>
      <c r="II8" t="e">
        <f>Issue_Log!D182+"67\!=c"</f>
        <v>#VALUE!</v>
      </c>
      <c r="IJ8" t="e">
        <f>Issue_Log!E182+"67\!=d"</f>
        <v>#VALUE!</v>
      </c>
      <c r="IK8" t="e">
        <f>Issue_Log!F182+"67\!=e"</f>
        <v>#VALUE!</v>
      </c>
      <c r="IL8" t="e">
        <f>Issue_Log!G182+"67\!=f"</f>
        <v>#VALUE!</v>
      </c>
      <c r="IM8" t="e">
        <f>Issue_Log!A183+"67\!=g"</f>
        <v>#VALUE!</v>
      </c>
      <c r="IN8" t="e">
        <f>Issue_Log!B183+"67\!=h"</f>
        <v>#VALUE!</v>
      </c>
      <c r="IO8" t="e">
        <f>Issue_Log!C183+"67\!=i"</f>
        <v>#VALUE!</v>
      </c>
      <c r="IP8" t="e">
        <f>Issue_Log!D183+"67\!=j"</f>
        <v>#VALUE!</v>
      </c>
      <c r="IQ8" t="e">
        <f>Issue_Log!E183+"67\!=k"</f>
        <v>#VALUE!</v>
      </c>
      <c r="IR8" t="e">
        <f>Issue_Log!F183+"67\!=l"</f>
        <v>#VALUE!</v>
      </c>
      <c r="IS8" t="e">
        <f>Issue_Log!G183+"67\!=m"</f>
        <v>#VALUE!</v>
      </c>
      <c r="IT8" t="e">
        <f>Issue_Log!A184+"67\!=n"</f>
        <v>#VALUE!</v>
      </c>
      <c r="IU8" t="e">
        <f>Issue_Log!B184+"67\!=o"</f>
        <v>#VALUE!</v>
      </c>
      <c r="IV8" t="e">
        <f>Issue_Log!C184+"67\!=p"</f>
        <v>#VALUE!</v>
      </c>
    </row>
    <row r="9" spans="1:256" x14ac:dyDescent="0.15">
      <c r="F9" t="e">
        <f>Issue_Log!D184+"67\!=q"</f>
        <v>#VALUE!</v>
      </c>
      <c r="G9" t="e">
        <f>Issue_Log!E184+"67\!=r"</f>
        <v>#VALUE!</v>
      </c>
      <c r="H9" t="e">
        <f>Issue_Log!F184+"67\!=s"</f>
        <v>#VALUE!</v>
      </c>
      <c r="I9" t="e">
        <f>Issue_Log!G184+"67\!=t"</f>
        <v>#VALUE!</v>
      </c>
      <c r="J9" t="e">
        <f>Issue_Log!A185+"67\!=u"</f>
        <v>#VALUE!</v>
      </c>
      <c r="K9" t="e">
        <f>Issue_Log!B185+"67\!=v"</f>
        <v>#VALUE!</v>
      </c>
      <c r="L9" t="e">
        <f>Issue_Log!C185+"67\!=w"</f>
        <v>#VALUE!</v>
      </c>
      <c r="M9" t="e">
        <f>Issue_Log!D185+"67\!=x"</f>
        <v>#VALUE!</v>
      </c>
      <c r="N9" t="e">
        <f>Issue_Log!E185+"67\!=y"</f>
        <v>#VALUE!</v>
      </c>
      <c r="O9" t="e">
        <f>Issue_Log!F185+"67\!=z"</f>
        <v>#VALUE!</v>
      </c>
      <c r="P9" t="e">
        <f>Issue_Log!G185+"67\!={"</f>
        <v>#VALUE!</v>
      </c>
      <c r="Q9" t="e">
        <f>Issue_Log!A186+"67\!=|"</f>
        <v>#VALUE!</v>
      </c>
      <c r="R9" t="e">
        <f>Issue_Log!B186+"67\!=}"</f>
        <v>#VALUE!</v>
      </c>
      <c r="S9" t="e">
        <f>Issue_Log!C186+"67\!=~"</f>
        <v>#VALUE!</v>
      </c>
      <c r="T9" t="e">
        <f>Issue_Log!D186+"67\!&gt;#"</f>
        <v>#VALUE!</v>
      </c>
      <c r="U9" t="e">
        <f>Issue_Log!E186+"67\!&gt;$"</f>
        <v>#VALUE!</v>
      </c>
      <c r="V9" t="e">
        <f>Issue_Log!F186+"67\!&gt;%"</f>
        <v>#VALUE!</v>
      </c>
      <c r="W9" t="e">
        <f>Issue_Log!G186+"67\!&gt;&amp;"</f>
        <v>#VALUE!</v>
      </c>
      <c r="X9" t="e">
        <f>Issue_Log!A187+"67\!&gt;'"</f>
        <v>#VALUE!</v>
      </c>
      <c r="Y9" t="e">
        <f>Issue_Log!B187+"67\!&gt;("</f>
        <v>#VALUE!</v>
      </c>
      <c r="Z9" t="e">
        <f>Issue_Log!C187+"67\!&gt;)"</f>
        <v>#VALUE!</v>
      </c>
      <c r="AA9" t="e">
        <f>Issue_Log!D187+"67\!&gt;."</f>
        <v>#VALUE!</v>
      </c>
      <c r="AB9" t="e">
        <f>Issue_Log!E187+"67\!&gt;/"</f>
        <v>#VALUE!</v>
      </c>
      <c r="AC9" t="e">
        <f>Issue_Log!F187+"67\!&gt;0"</f>
        <v>#VALUE!</v>
      </c>
      <c r="AD9" t="e">
        <f>Issue_Log!G187+"67\!&gt;1"</f>
        <v>#VALUE!</v>
      </c>
      <c r="AE9" t="e">
        <f>Issue_Log!A188+"67\!&gt;2"</f>
        <v>#VALUE!</v>
      </c>
      <c r="AF9" t="e">
        <f>Issue_Log!B188+"67\!&gt;3"</f>
        <v>#VALUE!</v>
      </c>
      <c r="AG9" t="e">
        <f>Issue_Log!C188+"67\!&gt;4"</f>
        <v>#VALUE!</v>
      </c>
      <c r="AH9" t="e">
        <f>Issue_Log!D188+"67\!&gt;5"</f>
        <v>#VALUE!</v>
      </c>
      <c r="AI9" t="e">
        <f>Issue_Log!E188+"67\!&gt;6"</f>
        <v>#VALUE!</v>
      </c>
      <c r="AJ9" t="e">
        <f>Issue_Log!F188+"67\!&gt;7"</f>
        <v>#VALUE!</v>
      </c>
      <c r="AK9" t="e">
        <f>Issue_Log!G188+"67\!&gt;8"</f>
        <v>#VALUE!</v>
      </c>
      <c r="AL9" t="e">
        <f>Issue_Log!A189+"67\!&gt;9"</f>
        <v>#VALUE!</v>
      </c>
      <c r="AM9" t="e">
        <f>Issue_Log!B189+"67\!&gt;:"</f>
        <v>#VALUE!</v>
      </c>
      <c r="AN9" t="e">
        <f>Issue_Log!C189+"67\!&gt;;"</f>
        <v>#VALUE!</v>
      </c>
      <c r="AO9" t="e">
        <f>Issue_Log!D189+"67\!&gt;&lt;"</f>
        <v>#VALUE!</v>
      </c>
      <c r="AP9" t="e">
        <f>Issue_Log!E189+"67\!&gt;="</f>
        <v>#VALUE!</v>
      </c>
      <c r="AQ9" t="e">
        <f>Issue_Log!F189+"67\!&gt;&gt;"</f>
        <v>#VALUE!</v>
      </c>
      <c r="AR9" t="e">
        <f>Issue_Log!G189+"67\!&gt;?"</f>
        <v>#VALUE!</v>
      </c>
      <c r="AS9" t="e">
        <f>Issue_Log!A190+"67\!&gt;@"</f>
        <v>#VALUE!</v>
      </c>
      <c r="AT9" t="e">
        <f>Issue_Log!B190+"67\!&gt;A"</f>
        <v>#VALUE!</v>
      </c>
      <c r="AU9" t="e">
        <f>Issue_Log!C190+"67\!&gt;B"</f>
        <v>#VALUE!</v>
      </c>
      <c r="AV9" t="e">
        <f>Issue_Log!D190+"67\!&gt;C"</f>
        <v>#VALUE!</v>
      </c>
      <c r="AW9" t="e">
        <f>Issue_Log!E190+"67\!&gt;D"</f>
        <v>#VALUE!</v>
      </c>
      <c r="AX9" t="e">
        <f>Issue_Log!F190+"67\!&gt;E"</f>
        <v>#VALUE!</v>
      </c>
      <c r="AY9" t="e">
        <f>Issue_Log!G190+"67\!&gt;F"</f>
        <v>#VALUE!</v>
      </c>
      <c r="AZ9" t="e">
        <f>Issue_Log!A191+"67\!&gt;G"</f>
        <v>#VALUE!</v>
      </c>
      <c r="BA9" t="e">
        <f>Issue_Log!B191+"67\!&gt;H"</f>
        <v>#VALUE!</v>
      </c>
      <c r="BB9" t="e">
        <f>Issue_Log!C191+"67\!&gt;I"</f>
        <v>#VALUE!</v>
      </c>
      <c r="BC9" t="e">
        <f>Issue_Log!D191+"67\!&gt;J"</f>
        <v>#VALUE!</v>
      </c>
      <c r="BD9" t="e">
        <f>Issue_Log!E191+"67\!&gt;K"</f>
        <v>#VALUE!</v>
      </c>
      <c r="BE9" t="e">
        <f>Issue_Log!F191+"67\!&gt;L"</f>
        <v>#VALUE!</v>
      </c>
      <c r="BF9" t="e">
        <f>Issue_Log!G191+"67\!&gt;M"</f>
        <v>#VALUE!</v>
      </c>
      <c r="BG9" t="e">
        <f>Issue_Log!A192+"67\!&gt;N"</f>
        <v>#VALUE!</v>
      </c>
      <c r="BH9" t="e">
        <f>Issue_Log!B192+"67\!&gt;O"</f>
        <v>#VALUE!</v>
      </c>
      <c r="BI9" t="e">
        <f>Issue_Log!C192+"67\!&gt;P"</f>
        <v>#VALUE!</v>
      </c>
      <c r="BJ9" t="e">
        <f>Issue_Log!D192+"67\!&gt;Q"</f>
        <v>#VALUE!</v>
      </c>
      <c r="BK9" t="e">
        <f>Issue_Log!E192+"67\!&gt;R"</f>
        <v>#VALUE!</v>
      </c>
      <c r="BL9" t="e">
        <f>Issue_Log!F192+"67\!&gt;S"</f>
        <v>#VALUE!</v>
      </c>
      <c r="BM9" t="e">
        <f>Issue_Log!G192+"67\!&gt;T"</f>
        <v>#VALUE!</v>
      </c>
      <c r="BN9" t="e">
        <f>Issue_Log!A193+"67\!&gt;U"</f>
        <v>#VALUE!</v>
      </c>
      <c r="BO9" t="e">
        <f>Issue_Log!B193+"67\!&gt;V"</f>
        <v>#VALUE!</v>
      </c>
      <c r="BP9" t="e">
        <f>Issue_Log!C193+"67\!&gt;W"</f>
        <v>#VALUE!</v>
      </c>
      <c r="BQ9" t="e">
        <f>Issue_Log!D193+"67\!&gt;X"</f>
        <v>#VALUE!</v>
      </c>
      <c r="BR9" t="e">
        <f>Issue_Log!E193+"67\!&gt;Y"</f>
        <v>#VALUE!</v>
      </c>
      <c r="BS9" t="e">
        <f>Issue_Log!F193+"67\!&gt;Z"</f>
        <v>#VALUE!</v>
      </c>
      <c r="BT9" t="e">
        <f>Issue_Log!G193+"67\!&gt;["</f>
        <v>#VALUE!</v>
      </c>
      <c r="BU9" t="e">
        <f>Issue_Log!A194+"67\!&gt;\"</f>
        <v>#VALUE!</v>
      </c>
      <c r="BV9" t="e">
        <f>Issue_Log!B194+"67\!&gt;]"</f>
        <v>#VALUE!</v>
      </c>
      <c r="BW9" t="e">
        <f>Issue_Log!C194+"67\!&gt;^"</f>
        <v>#VALUE!</v>
      </c>
      <c r="BX9" t="e">
        <f>Issue_Log!D194+"67\!&gt;_"</f>
        <v>#VALUE!</v>
      </c>
      <c r="BY9" t="e">
        <f>Issue_Log!E194+"67\!&gt;`"</f>
        <v>#VALUE!</v>
      </c>
      <c r="BZ9" t="e">
        <f>Issue_Log!F194+"67\!&gt;a"</f>
        <v>#VALUE!</v>
      </c>
      <c r="CA9" t="e">
        <f>Issue_Log!G194+"67\!&gt;b"</f>
        <v>#VALUE!</v>
      </c>
      <c r="CB9" t="e">
        <f>Issue_Log!A195+"67\!&gt;c"</f>
        <v>#VALUE!</v>
      </c>
      <c r="CC9" t="e">
        <f>Issue_Log!B195+"67\!&gt;d"</f>
        <v>#VALUE!</v>
      </c>
      <c r="CD9" t="e">
        <f>Issue_Log!C195+"67\!&gt;e"</f>
        <v>#VALUE!</v>
      </c>
      <c r="CE9" t="e">
        <f>Issue_Log!D195+"67\!&gt;f"</f>
        <v>#VALUE!</v>
      </c>
      <c r="CF9" t="e">
        <f>Issue_Log!E195+"67\!&gt;g"</f>
        <v>#VALUE!</v>
      </c>
      <c r="CG9" t="e">
        <f>Issue_Log!F195+"67\!&gt;h"</f>
        <v>#VALUE!</v>
      </c>
      <c r="CH9" t="e">
        <f>Issue_Log!G195+"67\!&gt;i"</f>
        <v>#VALUE!</v>
      </c>
      <c r="CI9" t="e">
        <f>Issue_Log!A196+"67\!&gt;j"</f>
        <v>#VALUE!</v>
      </c>
      <c r="CJ9" t="e">
        <f>Issue_Log!B196+"67\!&gt;k"</f>
        <v>#VALUE!</v>
      </c>
      <c r="CK9" t="e">
        <f>Issue_Log!C196+"67\!&gt;l"</f>
        <v>#VALUE!</v>
      </c>
      <c r="CL9" t="e">
        <f>Issue_Log!D196+"67\!&gt;m"</f>
        <v>#VALUE!</v>
      </c>
      <c r="CM9" t="e">
        <f>Issue_Log!E196+"67\!&gt;n"</f>
        <v>#VALUE!</v>
      </c>
      <c r="CN9" t="e">
        <f>Issue_Log!F196+"67\!&gt;o"</f>
        <v>#VALUE!</v>
      </c>
      <c r="CO9" t="e">
        <f>Issue_Log!G196+"67\!&gt;p"</f>
        <v>#VALUE!</v>
      </c>
      <c r="CP9" t="e">
        <f>Issue_Log!A197+"67\!&gt;q"</f>
        <v>#VALUE!</v>
      </c>
      <c r="CQ9" t="e">
        <f>Issue_Log!B197+"67\!&gt;r"</f>
        <v>#VALUE!</v>
      </c>
      <c r="CR9" t="e">
        <f>Issue_Log!C197+"67\!&gt;s"</f>
        <v>#VALUE!</v>
      </c>
      <c r="CS9" t="e">
        <f>Issue_Log!D197+"67\!&gt;t"</f>
        <v>#VALUE!</v>
      </c>
      <c r="CT9" t="e">
        <f>Issue_Log!E197+"67\!&gt;u"</f>
        <v>#VALUE!</v>
      </c>
      <c r="CU9" t="e">
        <f>Issue_Log!F197+"67\!&gt;v"</f>
        <v>#VALUE!</v>
      </c>
      <c r="CV9" t="e">
        <f>Issue_Log!G197+"67\!&gt;w"</f>
        <v>#VALUE!</v>
      </c>
      <c r="CW9" t="e">
        <f>Issue_Log!A198+"67\!&gt;x"</f>
        <v>#VALUE!</v>
      </c>
      <c r="CX9" t="e">
        <f>Issue_Log!B198+"67\!&gt;y"</f>
        <v>#VALUE!</v>
      </c>
      <c r="CY9" t="e">
        <f>Issue_Log!C198+"67\!&gt;z"</f>
        <v>#VALUE!</v>
      </c>
      <c r="CZ9" t="e">
        <f>Issue_Log!D198+"67\!&gt;{"</f>
        <v>#VALUE!</v>
      </c>
      <c r="DA9" t="e">
        <f>Issue_Log!E198+"67\!&gt;|"</f>
        <v>#VALUE!</v>
      </c>
      <c r="DB9" t="e">
        <f>Issue_Log!F198+"67\!&gt;}"</f>
        <v>#VALUE!</v>
      </c>
      <c r="DC9" t="e">
        <f>Issue_Log!G198+"67\!&gt;~"</f>
        <v>#VALUE!</v>
      </c>
      <c r="DD9" t="e">
        <f>Issue_Log!A199+"67\!?#"</f>
        <v>#VALUE!</v>
      </c>
      <c r="DE9" t="e">
        <f>Issue_Log!B199+"67\!?$"</f>
        <v>#VALUE!</v>
      </c>
      <c r="DF9" t="e">
        <f>Issue_Log!C199+"67\!?%"</f>
        <v>#VALUE!</v>
      </c>
      <c r="DG9" t="e">
        <f>Issue_Log!D199+"67\!?&amp;"</f>
        <v>#VALUE!</v>
      </c>
      <c r="DH9" t="e">
        <f>Issue_Log!E199+"67\!?'"</f>
        <v>#VALUE!</v>
      </c>
      <c r="DI9" t="e">
        <f>Issue_Log!F199+"67\!?("</f>
        <v>#VALUE!</v>
      </c>
      <c r="DJ9" t="e">
        <f>Issue_Log!G199+"67\!?)"</f>
        <v>#VALUE!</v>
      </c>
      <c r="DK9" t="e">
        <f>Issue_Log!A200+"67\!?."</f>
        <v>#VALUE!</v>
      </c>
      <c r="DL9" t="e">
        <f>Issue_Log!B200+"67\!?/"</f>
        <v>#VALUE!</v>
      </c>
      <c r="DM9" t="e">
        <f>Issue_Log!C200+"67\!?0"</f>
        <v>#VALUE!</v>
      </c>
      <c r="DN9" t="e">
        <f>Issue_Log!D200+"67\!?1"</f>
        <v>#VALUE!</v>
      </c>
      <c r="DO9" t="e">
        <f>Issue_Log!E200+"67\!?2"</f>
        <v>#VALUE!</v>
      </c>
      <c r="DP9" t="e">
        <f>Issue_Log!F200+"67\!?3"</f>
        <v>#VALUE!</v>
      </c>
      <c r="DQ9" t="e">
        <f>Issue_Log!G200+"67\!?4"</f>
        <v>#VALUE!</v>
      </c>
      <c r="DR9" t="e">
        <f>Issue_Log!A201+"67\!?5"</f>
        <v>#VALUE!</v>
      </c>
      <c r="DS9" t="e">
        <f>Issue_Log!B201+"67\!?6"</f>
        <v>#VALUE!</v>
      </c>
      <c r="DT9" t="e">
        <f>Issue_Log!C201+"67\!?7"</f>
        <v>#VALUE!</v>
      </c>
      <c r="DU9" t="e">
        <f>Issue_Log!D201+"67\!?8"</f>
        <v>#VALUE!</v>
      </c>
      <c r="DV9" t="e">
        <f>Issue_Log!E201+"67\!?9"</f>
        <v>#VALUE!</v>
      </c>
      <c r="DW9" t="e">
        <f>Issue_Log!F201+"67\!?:"</f>
        <v>#VALUE!</v>
      </c>
      <c r="DX9" t="e">
        <f>Issue_Log!G201+"67\!?;"</f>
        <v>#VALUE!</v>
      </c>
      <c r="DY9" t="e">
        <f>Issue_Log!A202+"67\!?&lt;"</f>
        <v>#VALUE!</v>
      </c>
      <c r="DZ9" t="e">
        <f>Issue_Log!B202+"67\!?="</f>
        <v>#VALUE!</v>
      </c>
      <c r="EA9" t="e">
        <f>Issue_Log!C202+"67\!?&gt;"</f>
        <v>#VALUE!</v>
      </c>
      <c r="EB9" t="e">
        <f>Issue_Log!D202+"67\!??"</f>
        <v>#VALUE!</v>
      </c>
      <c r="EC9" t="e">
        <f>Issue_Log!E202+"67\!?@"</f>
        <v>#VALUE!</v>
      </c>
      <c r="ED9" t="e">
        <f>Issue_Log!F202+"67\!?A"</f>
        <v>#VALUE!</v>
      </c>
      <c r="EE9" t="e">
        <f>Issue_Log!G202+"67\!?B"</f>
        <v>#VALUE!</v>
      </c>
      <c r="EF9" t="e">
        <f>Issue_Log!A203+"67\!?C"</f>
        <v>#VALUE!</v>
      </c>
      <c r="EG9" t="e">
        <f>Issue_Log!B203+"67\!?D"</f>
        <v>#VALUE!</v>
      </c>
      <c r="EH9" t="e">
        <f>Issue_Log!C203+"67\!?E"</f>
        <v>#VALUE!</v>
      </c>
      <c r="EI9" t="e">
        <f>Issue_Log!D203+"67\!?F"</f>
        <v>#VALUE!</v>
      </c>
      <c r="EJ9" t="e">
        <f>Issue_Log!E203+"67\!?G"</f>
        <v>#VALUE!</v>
      </c>
      <c r="EK9" t="e">
        <f>Issue_Log!F203+"67\!?H"</f>
        <v>#VALUE!</v>
      </c>
      <c r="EL9" t="e">
        <f>Issue_Log!G203+"67\!?I"</f>
        <v>#VALUE!</v>
      </c>
      <c r="EM9" t="e">
        <f>Issue_Log!A204+"67\!?J"</f>
        <v>#VALUE!</v>
      </c>
      <c r="EN9" t="e">
        <f>Issue_Log!B204+"67\!?K"</f>
        <v>#VALUE!</v>
      </c>
      <c r="EO9" t="e">
        <f>Issue_Log!C204+"67\!?L"</f>
        <v>#VALUE!</v>
      </c>
      <c r="EP9" t="e">
        <f>Issue_Log!D204+"67\!?M"</f>
        <v>#VALUE!</v>
      </c>
      <c r="EQ9" t="e">
        <f>Issue_Log!E204+"67\!?N"</f>
        <v>#VALUE!</v>
      </c>
      <c r="ER9" t="e">
        <f>Issue_Log!F204+"67\!?O"</f>
        <v>#VALUE!</v>
      </c>
      <c r="ES9" t="e">
        <f>Issue_Log!G204+"67\!?P"</f>
        <v>#VALUE!</v>
      </c>
      <c r="ET9" t="e">
        <f>Issue_Log!A205+"67\!?Q"</f>
        <v>#VALUE!</v>
      </c>
      <c r="EU9" t="e">
        <f>Issue_Log!B205+"67\!?R"</f>
        <v>#VALUE!</v>
      </c>
      <c r="EV9" t="e">
        <f>Issue_Log!C205+"67\!?S"</f>
        <v>#VALUE!</v>
      </c>
      <c r="EW9" t="e">
        <f>Issue_Log!D205+"67\!?T"</f>
        <v>#VALUE!</v>
      </c>
      <c r="EX9" t="e">
        <f>Issue_Log!E205+"67\!?U"</f>
        <v>#VALUE!</v>
      </c>
      <c r="EY9" t="e">
        <f>Issue_Log!F205+"67\!?V"</f>
        <v>#VALUE!</v>
      </c>
      <c r="EZ9" t="e">
        <f>Issue_Log!G205+"67\!?W"</f>
        <v>#VALUE!</v>
      </c>
      <c r="FA9" t="e">
        <f>Issue_Log!A206+"67\!?X"</f>
        <v>#VALUE!</v>
      </c>
      <c r="FB9" t="e">
        <f>Issue_Log!B206+"67\!?Y"</f>
        <v>#VALUE!</v>
      </c>
      <c r="FC9" t="e">
        <f>Issue_Log!C206+"67\!?Z"</f>
        <v>#VALUE!</v>
      </c>
      <c r="FD9" t="e">
        <f>Issue_Log!D206+"67\!?["</f>
        <v>#VALUE!</v>
      </c>
      <c r="FE9" t="e">
        <f>Issue_Log!E206+"67\!?\"</f>
        <v>#VALUE!</v>
      </c>
      <c r="FF9" t="e">
        <f>Issue_Log!F206+"67\!?]"</f>
        <v>#VALUE!</v>
      </c>
      <c r="FG9" t="e">
        <f>Issue_Log!G206+"67\!?^"</f>
        <v>#VALUE!</v>
      </c>
      <c r="FH9" t="e">
        <f>Issue_Log!A207+"67\!?_"</f>
        <v>#VALUE!</v>
      </c>
      <c r="FI9" t="e">
        <f>Issue_Log!B207+"67\!?`"</f>
        <v>#VALUE!</v>
      </c>
      <c r="FJ9" t="e">
        <f>Issue_Log!C207+"67\!?a"</f>
        <v>#VALUE!</v>
      </c>
      <c r="FK9" t="e">
        <f>Issue_Log!D207+"67\!?b"</f>
        <v>#VALUE!</v>
      </c>
      <c r="FL9" t="e">
        <f>Issue_Log!E207+"67\!?c"</f>
        <v>#VALUE!</v>
      </c>
      <c r="FM9" t="e">
        <f>Issue_Log!F207+"67\!?d"</f>
        <v>#VALUE!</v>
      </c>
      <c r="FN9" t="e">
        <f>Issue_Log!G207+"67\!?e"</f>
        <v>#VALUE!</v>
      </c>
      <c r="FO9" t="e">
        <f>Issue_Log!A208+"67\!?f"</f>
        <v>#VALUE!</v>
      </c>
      <c r="FP9" t="e">
        <f>Issue_Log!B208+"67\!?g"</f>
        <v>#VALUE!</v>
      </c>
      <c r="FQ9" t="e">
        <f>Issue_Log!C208+"67\!?h"</f>
        <v>#VALUE!</v>
      </c>
      <c r="FR9" t="e">
        <f>Issue_Log!D208+"67\!?i"</f>
        <v>#VALUE!</v>
      </c>
      <c r="FS9" t="e">
        <f>Issue_Log!E208+"67\!?j"</f>
        <v>#VALUE!</v>
      </c>
      <c r="FT9" t="e">
        <f>Issue_Log!F208+"67\!?k"</f>
        <v>#VALUE!</v>
      </c>
      <c r="FU9" t="e">
        <f>Issue_Log!G208+"67\!?l"</f>
        <v>#VALUE!</v>
      </c>
      <c r="FV9" t="e">
        <f>Issue_Log!A209+"67\!?m"</f>
        <v>#VALUE!</v>
      </c>
      <c r="FW9" t="e">
        <f>Issue_Log!B209+"67\!?n"</f>
        <v>#VALUE!</v>
      </c>
      <c r="FX9" t="e">
        <f>Issue_Log!C209+"67\!?o"</f>
        <v>#VALUE!</v>
      </c>
      <c r="FY9" t="e">
        <f>Issue_Log!D209+"67\!?p"</f>
        <v>#VALUE!</v>
      </c>
      <c r="FZ9" t="e">
        <f>Issue_Log!E209+"67\!?q"</f>
        <v>#VALUE!</v>
      </c>
      <c r="GA9" t="e">
        <f>Issue_Log!F209+"67\!?r"</f>
        <v>#VALUE!</v>
      </c>
      <c r="GB9" t="e">
        <f>Issue_Log!G209+"67\!?s"</f>
        <v>#VALUE!</v>
      </c>
      <c r="GC9" t="e">
        <f>Issue_Log!A210+"67\!?t"</f>
        <v>#VALUE!</v>
      </c>
      <c r="GD9" t="e">
        <f>Issue_Log!B210+"67\!?u"</f>
        <v>#VALUE!</v>
      </c>
      <c r="GE9" t="e">
        <f>Issue_Log!C210+"67\!?v"</f>
        <v>#VALUE!</v>
      </c>
      <c r="GF9" t="e">
        <f>Issue_Log!D210+"67\!?w"</f>
        <v>#VALUE!</v>
      </c>
      <c r="GG9" t="e">
        <f>Issue_Log!E210+"67\!?x"</f>
        <v>#VALUE!</v>
      </c>
      <c r="GH9" t="e">
        <f>Issue_Log!F210+"67\!?y"</f>
        <v>#VALUE!</v>
      </c>
      <c r="GI9" t="e">
        <f>Issue_Log!G210+"67\!?z"</f>
        <v>#VALUE!</v>
      </c>
      <c r="GJ9" t="e">
        <f>Issue_Log!A211+"67\!?{"</f>
        <v>#VALUE!</v>
      </c>
      <c r="GK9" t="e">
        <f>Issue_Log!B211+"67\!?|"</f>
        <v>#VALUE!</v>
      </c>
      <c r="GL9" t="e">
        <f>Issue_Log!C211+"67\!?}"</f>
        <v>#VALUE!</v>
      </c>
      <c r="GM9" t="e">
        <f>Issue_Log!D211+"67\!?~"</f>
        <v>#VALUE!</v>
      </c>
      <c r="GN9" t="e">
        <f>Issue_Log!E211+"67\!@#"</f>
        <v>#VALUE!</v>
      </c>
      <c r="GO9" t="e">
        <f>Issue_Log!F211+"67\!@$"</f>
        <v>#VALUE!</v>
      </c>
      <c r="GP9" t="e">
        <f>Issue_Log!G211+"67\!@%"</f>
        <v>#VALUE!</v>
      </c>
      <c r="GQ9" t="e">
        <f>Issue_Log!A212+"67\!@&amp;"</f>
        <v>#VALUE!</v>
      </c>
      <c r="GR9" t="e">
        <f>Issue_Log!B212+"67\!@'"</f>
        <v>#VALUE!</v>
      </c>
      <c r="GS9" t="e">
        <f>Issue_Log!C212+"67\!@("</f>
        <v>#VALUE!</v>
      </c>
      <c r="GT9" t="e">
        <f>Issue_Log!D212+"67\!@)"</f>
        <v>#VALUE!</v>
      </c>
      <c r="GU9" t="e">
        <f>Issue_Log!E212+"67\!@."</f>
        <v>#VALUE!</v>
      </c>
      <c r="GV9" t="e">
        <f>Issue_Log!F212+"67\!@/"</f>
        <v>#VALUE!</v>
      </c>
      <c r="GW9" t="e">
        <f>Issue_Log!G212+"67\!@0"</f>
        <v>#VALUE!</v>
      </c>
      <c r="GX9" t="e">
        <f>Issue_Log!A213+"67\!@1"</f>
        <v>#VALUE!</v>
      </c>
      <c r="GY9" t="e">
        <f>Issue_Log!B213+"67\!@2"</f>
        <v>#VALUE!</v>
      </c>
      <c r="GZ9" t="e">
        <f>Issue_Log!C213+"67\!@3"</f>
        <v>#VALUE!</v>
      </c>
      <c r="HA9" t="e">
        <f>Issue_Log!D213+"67\!@4"</f>
        <v>#VALUE!</v>
      </c>
      <c r="HB9" t="e">
        <f>Issue_Log!E213+"67\!@5"</f>
        <v>#VALUE!</v>
      </c>
      <c r="HC9" t="e">
        <f>Issue_Log!F213+"67\!@6"</f>
        <v>#VALUE!</v>
      </c>
      <c r="HD9" t="e">
        <f>Issue_Log!G213+"67\!@7"</f>
        <v>#VALUE!</v>
      </c>
      <c r="HE9" t="e">
        <f>Issue_Log!A214+"67\!@8"</f>
        <v>#VALUE!</v>
      </c>
      <c r="HF9" t="e">
        <f>Issue_Log!B214+"67\!@9"</f>
        <v>#VALUE!</v>
      </c>
      <c r="HG9" t="e">
        <f>Issue_Log!C214+"67\!@:"</f>
        <v>#VALUE!</v>
      </c>
      <c r="HH9" t="e">
        <f>Issue_Log!D214+"67\!@;"</f>
        <v>#VALUE!</v>
      </c>
      <c r="HI9" t="e">
        <f>Issue_Log!E214+"67\!@&lt;"</f>
        <v>#VALUE!</v>
      </c>
      <c r="HJ9" t="e">
        <f>Issue_Log!F214+"67\!@="</f>
        <v>#VALUE!</v>
      </c>
      <c r="HK9" t="e">
        <f>Issue_Log!G214+"67\!@&gt;"</f>
        <v>#VALUE!</v>
      </c>
      <c r="HL9" t="e">
        <f>Issue_Log!A215+"67\!@?"</f>
        <v>#VALUE!</v>
      </c>
      <c r="HM9" t="e">
        <f>Issue_Log!B215+"67\!@@"</f>
        <v>#VALUE!</v>
      </c>
      <c r="HN9" t="e">
        <f>Issue_Log!C215+"67\!@A"</f>
        <v>#VALUE!</v>
      </c>
      <c r="HO9" t="e">
        <f>Issue_Log!D215+"67\!@B"</f>
        <v>#VALUE!</v>
      </c>
      <c r="HP9" t="e">
        <f>Issue_Log!E215+"67\!@C"</f>
        <v>#VALUE!</v>
      </c>
      <c r="HQ9" t="e">
        <f>Issue_Log!F215+"67\!@D"</f>
        <v>#VALUE!</v>
      </c>
      <c r="HR9" t="e">
        <f>Issue_Log!G215+"67\!@E"</f>
        <v>#VALUE!</v>
      </c>
      <c r="HS9" t="e">
        <f>Issue_Log!A216+"67\!@F"</f>
        <v>#VALUE!</v>
      </c>
      <c r="HT9" t="e">
        <f>Issue_Log!B216+"67\!@G"</f>
        <v>#VALUE!</v>
      </c>
      <c r="HU9" t="e">
        <f>Issue_Log!C216+"67\!@H"</f>
        <v>#VALUE!</v>
      </c>
      <c r="HV9" t="e">
        <f>Issue_Log!D216+"67\!@I"</f>
        <v>#VALUE!</v>
      </c>
      <c r="HW9" t="e">
        <f>Issue_Log!E216+"67\!@J"</f>
        <v>#VALUE!</v>
      </c>
      <c r="HX9" t="e">
        <f>Issue_Log!F216+"67\!@K"</f>
        <v>#VALUE!</v>
      </c>
      <c r="HY9" t="e">
        <f>Issue_Log!G216+"67\!@L"</f>
        <v>#VALUE!</v>
      </c>
      <c r="HZ9" t="e">
        <f>Issue_Log!A217+"67\!@M"</f>
        <v>#VALUE!</v>
      </c>
      <c r="IA9" t="e">
        <f>Issue_Log!B217+"67\!@N"</f>
        <v>#VALUE!</v>
      </c>
      <c r="IB9" t="e">
        <f>Issue_Log!C217+"67\!@O"</f>
        <v>#VALUE!</v>
      </c>
      <c r="IC9" t="e">
        <f>Issue_Log!D217+"67\!@P"</f>
        <v>#VALUE!</v>
      </c>
      <c r="ID9" t="e">
        <f>Issue_Log!E217+"67\!@Q"</f>
        <v>#VALUE!</v>
      </c>
      <c r="IE9" t="e">
        <f>Issue_Log!F217+"67\!@R"</f>
        <v>#VALUE!</v>
      </c>
      <c r="IF9" t="e">
        <f>Issue_Log!G217+"67\!@S"</f>
        <v>#VALUE!</v>
      </c>
      <c r="IG9" t="e">
        <f>Issue_Log!A218+"67\!@T"</f>
        <v>#VALUE!</v>
      </c>
      <c r="IH9" t="e">
        <f>Issue_Log!B218+"67\!@U"</f>
        <v>#VALUE!</v>
      </c>
      <c r="II9" t="e">
        <f>Issue_Log!C218+"67\!@V"</f>
        <v>#VALUE!</v>
      </c>
      <c r="IJ9" t="e">
        <f>Issue_Log!D218+"67\!@W"</f>
        <v>#VALUE!</v>
      </c>
      <c r="IK9" t="e">
        <f>Issue_Log!E218+"67\!@X"</f>
        <v>#VALUE!</v>
      </c>
      <c r="IL9" t="e">
        <f>Issue_Log!F218+"67\!@Y"</f>
        <v>#VALUE!</v>
      </c>
      <c r="IM9" t="e">
        <f>Issue_Log!G218+"67\!@Z"</f>
        <v>#VALUE!</v>
      </c>
      <c r="IN9" t="e">
        <f>Issue_Log!A219+"67\!@["</f>
        <v>#VALUE!</v>
      </c>
      <c r="IO9" t="e">
        <f>Issue_Log!B219+"67\!@\"</f>
        <v>#VALUE!</v>
      </c>
      <c r="IP9" t="e">
        <f>Issue_Log!C219+"67\!@]"</f>
        <v>#VALUE!</v>
      </c>
      <c r="IQ9" t="e">
        <f>Issue_Log!D219+"67\!@^"</f>
        <v>#VALUE!</v>
      </c>
      <c r="IR9" t="e">
        <f>Issue_Log!E219+"67\!@_"</f>
        <v>#VALUE!</v>
      </c>
      <c r="IS9" t="e">
        <f>Issue_Log!F219+"67\!@`"</f>
        <v>#VALUE!</v>
      </c>
      <c r="IT9" t="e">
        <f>Issue_Log!G219+"67\!@a"</f>
        <v>#VALUE!</v>
      </c>
      <c r="IU9" t="e">
        <f>Issue_Log!A220+"67\!@b"</f>
        <v>#VALUE!</v>
      </c>
      <c r="IV9" t="e">
        <f>Issue_Log!B220+"67\!@c"</f>
        <v>#VALUE!</v>
      </c>
    </row>
    <row r="10" spans="1:256" x14ac:dyDescent="0.15">
      <c r="F10" t="e">
        <f>Issue_Log!C220+"67\!@d"</f>
        <v>#VALUE!</v>
      </c>
      <c r="G10" t="e">
        <f>Issue_Log!D220+"67\!@e"</f>
        <v>#VALUE!</v>
      </c>
      <c r="H10" t="e">
        <f>Issue_Log!E220+"67\!@f"</f>
        <v>#VALUE!</v>
      </c>
      <c r="I10" t="e">
        <f>Issue_Log!F220+"67\!@g"</f>
        <v>#VALUE!</v>
      </c>
      <c r="J10" t="e">
        <f>Issue_Log!G220+"67\!@h"</f>
        <v>#VALUE!</v>
      </c>
      <c r="K10" t="e">
        <f>Issue_Log!A221+"67\!@i"</f>
        <v>#VALUE!</v>
      </c>
      <c r="L10" t="e">
        <f>Issue_Log!B221+"67\!@j"</f>
        <v>#VALUE!</v>
      </c>
      <c r="M10" t="e">
        <f>Issue_Log!C221+"67\!@k"</f>
        <v>#VALUE!</v>
      </c>
      <c r="N10" t="e">
        <f>Issue_Log!D221+"67\!@l"</f>
        <v>#VALUE!</v>
      </c>
      <c r="O10" t="e">
        <f>Issue_Log!E221+"67\!@m"</f>
        <v>#VALUE!</v>
      </c>
      <c r="P10" t="e">
        <f>Issue_Log!F221+"67\!@n"</f>
        <v>#VALUE!</v>
      </c>
      <c r="Q10" t="e">
        <f>Issue_Log!G221+"67\!@o"</f>
        <v>#VALUE!</v>
      </c>
      <c r="R10" t="e">
        <f>Issue_Log!A222+"67\!@p"</f>
        <v>#VALUE!</v>
      </c>
      <c r="S10" t="e">
        <f>Issue_Log!B222+"67\!@q"</f>
        <v>#VALUE!</v>
      </c>
      <c r="T10" t="e">
        <f>Issue_Log!C222+"67\!@r"</f>
        <v>#VALUE!</v>
      </c>
      <c r="U10" t="e">
        <f>Issue_Log!D222+"67\!@s"</f>
        <v>#VALUE!</v>
      </c>
      <c r="V10" t="e">
        <f>Issue_Log!E222+"67\!@t"</f>
        <v>#VALUE!</v>
      </c>
      <c r="W10" t="e">
        <f>Issue_Log!F222+"67\!@u"</f>
        <v>#VALUE!</v>
      </c>
      <c r="X10" t="e">
        <f>Issue_Log!G222+"67\!@v"</f>
        <v>#VALUE!</v>
      </c>
      <c r="Y10" t="e">
        <f>Issue_Log!A223+"67\!@w"</f>
        <v>#VALUE!</v>
      </c>
      <c r="Z10" t="e">
        <f>Issue_Log!B223+"67\!@x"</f>
        <v>#VALUE!</v>
      </c>
      <c r="AA10" t="e">
        <f>Issue_Log!C223+"67\!@y"</f>
        <v>#VALUE!</v>
      </c>
      <c r="AB10" t="e">
        <f>Issue_Log!D223+"67\!@z"</f>
        <v>#VALUE!</v>
      </c>
      <c r="AC10" t="e">
        <f>Issue_Log!E223+"67\!@{"</f>
        <v>#VALUE!</v>
      </c>
      <c r="AD10" t="e">
        <f>Issue_Log!F223+"67\!@|"</f>
        <v>#VALUE!</v>
      </c>
      <c r="AE10" t="e">
        <f>Issue_Log!G223+"67\!@}"</f>
        <v>#VALUE!</v>
      </c>
      <c r="AF10" t="e">
        <f>Issue_Log!A224+"67\!@~"</f>
        <v>#VALUE!</v>
      </c>
      <c r="AG10" t="e">
        <f>Issue_Log!B224+"67\!A#"</f>
        <v>#VALUE!</v>
      </c>
      <c r="AH10" t="e">
        <f>Issue_Log!C224+"67\!A$"</f>
        <v>#VALUE!</v>
      </c>
      <c r="AI10" t="e">
        <f>Issue_Log!D224+"67\!A%"</f>
        <v>#VALUE!</v>
      </c>
      <c r="AJ10" t="e">
        <f>Issue_Log!E224+"67\!A&amp;"</f>
        <v>#VALUE!</v>
      </c>
      <c r="AK10" t="e">
        <f>Issue_Log!F224+"67\!A'"</f>
        <v>#VALUE!</v>
      </c>
      <c r="AL10" t="e">
        <f>Issue_Log!G224+"67\!A("</f>
        <v>#VALUE!</v>
      </c>
      <c r="AM10" t="e">
        <f>Issue_Log!A225+"67\!A)"</f>
        <v>#VALUE!</v>
      </c>
      <c r="AN10" t="e">
        <f>Issue_Log!B225+"67\!A."</f>
        <v>#VALUE!</v>
      </c>
      <c r="AO10" t="e">
        <f>Issue_Log!C225+"67\!A/"</f>
        <v>#VALUE!</v>
      </c>
      <c r="AP10" t="e">
        <f>Issue_Log!D225+"67\!A0"</f>
        <v>#VALUE!</v>
      </c>
      <c r="AQ10" t="e">
        <f>Issue_Log!E225+"67\!A1"</f>
        <v>#VALUE!</v>
      </c>
      <c r="AR10" t="e">
        <f>Issue_Log!F225+"67\!A2"</f>
        <v>#VALUE!</v>
      </c>
      <c r="AS10" t="e">
        <f>Issue_Log!G225+"67\!A3"</f>
        <v>#VALUE!</v>
      </c>
      <c r="AT10" t="e">
        <f>Issue_Log!A226+"67\!A4"</f>
        <v>#VALUE!</v>
      </c>
      <c r="AU10" t="e">
        <f>Issue_Log!B226+"67\!A5"</f>
        <v>#VALUE!</v>
      </c>
      <c r="AV10" t="e">
        <f>Issue_Log!C226+"67\!A6"</f>
        <v>#VALUE!</v>
      </c>
      <c r="AW10" t="e">
        <f>Issue_Log!D226+"67\!A7"</f>
        <v>#VALUE!</v>
      </c>
      <c r="AX10" t="e">
        <f>Issue_Log!E226+"67\!A8"</f>
        <v>#VALUE!</v>
      </c>
      <c r="AY10" t="e">
        <f>Issue_Log!F226+"67\!A9"</f>
        <v>#VALUE!</v>
      </c>
      <c r="AZ10" t="e">
        <f>Issue_Log!G226+"67\!A:"</f>
        <v>#VALUE!</v>
      </c>
      <c r="BA10" t="e">
        <f>Issue_Log!A227+"67\!A;"</f>
        <v>#VALUE!</v>
      </c>
      <c r="BB10" t="e">
        <f>Issue_Log!B227+"67\!A&lt;"</f>
        <v>#VALUE!</v>
      </c>
      <c r="BC10" t="e">
        <f>Issue_Log!C227+"67\!A="</f>
        <v>#VALUE!</v>
      </c>
      <c r="BD10" t="e">
        <f>Issue_Log!D227+"67\!A&gt;"</f>
        <v>#VALUE!</v>
      </c>
      <c r="BE10" t="e">
        <f>Issue_Log!E227+"67\!A?"</f>
        <v>#VALUE!</v>
      </c>
      <c r="BF10" t="e">
        <f>Issue_Log!F227+"67\!A@"</f>
        <v>#VALUE!</v>
      </c>
      <c r="BG10" t="e">
        <f>Issue_Log!G227+"67\!AA"</f>
        <v>#VALUE!</v>
      </c>
      <c r="BH10" t="e">
        <f>Issue_Log!A228+"67\!AB"</f>
        <v>#VALUE!</v>
      </c>
      <c r="BI10" t="e">
        <f>Issue_Log!B228+"67\!AC"</f>
        <v>#VALUE!</v>
      </c>
      <c r="BJ10" t="e">
        <f>Issue_Log!C228+"67\!AD"</f>
        <v>#VALUE!</v>
      </c>
      <c r="BK10" t="e">
        <f>Issue_Log!D228+"67\!AE"</f>
        <v>#VALUE!</v>
      </c>
      <c r="BL10" t="e">
        <f>Issue_Log!E228+"67\!AF"</f>
        <v>#VALUE!</v>
      </c>
      <c r="BM10" t="e">
        <f>Issue_Log!F228+"67\!AG"</f>
        <v>#VALUE!</v>
      </c>
      <c r="BN10" t="e">
        <f>Issue_Log!G228+"67\!AH"</f>
        <v>#VALUE!</v>
      </c>
      <c r="BO10" t="e">
        <f>Issue_Log!A229+"67\!AI"</f>
        <v>#VALUE!</v>
      </c>
      <c r="BP10" t="e">
        <f>Issue_Log!B229+"67\!AJ"</f>
        <v>#VALUE!</v>
      </c>
      <c r="BQ10" t="e">
        <f>Issue_Log!C229+"67\!AK"</f>
        <v>#VALUE!</v>
      </c>
      <c r="BR10" t="e">
        <f>Issue_Log!D229+"67\!AL"</f>
        <v>#VALUE!</v>
      </c>
      <c r="BS10" t="e">
        <f>Issue_Log!E229+"67\!AM"</f>
        <v>#VALUE!</v>
      </c>
      <c r="BT10" t="e">
        <f>Issue_Log!F229+"67\!AN"</f>
        <v>#VALUE!</v>
      </c>
      <c r="BU10" t="e">
        <f>Issue_Log!G229+"67\!AO"</f>
        <v>#VALUE!</v>
      </c>
      <c r="BV10" t="e">
        <f>Issue_Log!A230+"67\!AP"</f>
        <v>#VALUE!</v>
      </c>
      <c r="BW10" t="e">
        <f>Issue_Log!B230+"67\!AQ"</f>
        <v>#VALUE!</v>
      </c>
      <c r="BX10" t="e">
        <f>Issue_Log!C230+"67\!AR"</f>
        <v>#VALUE!</v>
      </c>
      <c r="BY10" t="e">
        <f>Issue_Log!D230+"67\!AS"</f>
        <v>#VALUE!</v>
      </c>
      <c r="BZ10" t="e">
        <f>Issue_Log!E230+"67\!AT"</f>
        <v>#VALUE!</v>
      </c>
      <c r="CA10" t="e">
        <f>Issue_Log!F230+"67\!AU"</f>
        <v>#VALUE!</v>
      </c>
      <c r="CB10" t="e">
        <f>Issue_Log!G230+"67\!AV"</f>
        <v>#VALUE!</v>
      </c>
      <c r="CC10" t="e">
        <f>Issue_Log!A231+"67\!AW"</f>
        <v>#VALUE!</v>
      </c>
      <c r="CD10" t="e">
        <f>Issue_Log!B231+"67\!AX"</f>
        <v>#VALUE!</v>
      </c>
      <c r="CE10" t="e">
        <f>Issue_Log!C231+"67\!AY"</f>
        <v>#VALUE!</v>
      </c>
      <c r="CF10" t="e">
        <f>Issue_Log!D231+"67\!AZ"</f>
        <v>#VALUE!</v>
      </c>
      <c r="CG10" t="e">
        <f>Issue_Log!E231+"67\!A["</f>
        <v>#VALUE!</v>
      </c>
      <c r="CH10" t="e">
        <f>Issue_Log!F231+"67\!A\"</f>
        <v>#VALUE!</v>
      </c>
      <c r="CI10" t="e">
        <f>Issue_Log!G231+"67\!A]"</f>
        <v>#VALUE!</v>
      </c>
      <c r="CJ10" t="e">
        <f>Issue_Log!A232+"67\!A^"</f>
        <v>#VALUE!</v>
      </c>
      <c r="CK10" t="e">
        <f>Issue_Log!B232+"67\!A_"</f>
        <v>#VALUE!</v>
      </c>
      <c r="CL10" t="e">
        <f>Issue_Log!C232+"67\!A`"</f>
        <v>#VALUE!</v>
      </c>
      <c r="CM10" t="e">
        <f>Issue_Log!D232+"67\!Aa"</f>
        <v>#VALUE!</v>
      </c>
      <c r="CN10" t="e">
        <f>Issue_Log!E232+"67\!Ab"</f>
        <v>#VALUE!</v>
      </c>
      <c r="CO10" t="e">
        <f>Issue_Log!F232+"67\!Ac"</f>
        <v>#VALUE!</v>
      </c>
      <c r="CP10" t="e">
        <f>Issue_Log!G232+"67\!Ad"</f>
        <v>#VALUE!</v>
      </c>
      <c r="CQ10" t="e">
        <f>Issue_Log!A233+"67\!Ae"</f>
        <v>#VALUE!</v>
      </c>
      <c r="CR10" t="e">
        <f>Issue_Log!B233+"67\!Af"</f>
        <v>#VALUE!</v>
      </c>
      <c r="CS10" t="e">
        <f>Issue_Log!C233+"67\!Ag"</f>
        <v>#VALUE!</v>
      </c>
      <c r="CT10" t="e">
        <f>Issue_Log!D233+"67\!Ah"</f>
        <v>#VALUE!</v>
      </c>
      <c r="CU10" t="e">
        <f>Issue_Log!E233+"67\!Ai"</f>
        <v>#VALUE!</v>
      </c>
      <c r="CV10" t="e">
        <f>Issue_Log!F233+"67\!Aj"</f>
        <v>#VALUE!</v>
      </c>
      <c r="CW10" t="e">
        <f>Issue_Log!G233+"67\!Ak"</f>
        <v>#VALUE!</v>
      </c>
      <c r="CX10" t="e">
        <f>Issue_Log!A234+"67\!Al"</f>
        <v>#VALUE!</v>
      </c>
      <c r="CY10" t="e">
        <f>Issue_Log!B234+"67\!Am"</f>
        <v>#VALUE!</v>
      </c>
      <c r="CZ10" t="e">
        <f>Issue_Log!C234+"67\!An"</f>
        <v>#VALUE!</v>
      </c>
      <c r="DA10" t="e">
        <f>Issue_Log!D234+"67\!Ao"</f>
        <v>#VALUE!</v>
      </c>
      <c r="DB10" t="e">
        <f>Issue_Log!E234+"67\!Ap"</f>
        <v>#VALUE!</v>
      </c>
      <c r="DC10" t="e">
        <f>Issue_Log!F234+"67\!Aq"</f>
        <v>#VALUE!</v>
      </c>
      <c r="DD10" t="e">
        <f>Issue_Log!G234+"67\!Ar"</f>
        <v>#VALUE!</v>
      </c>
      <c r="DE10" t="e">
        <f>Issue_Log!A235+"67\!As"</f>
        <v>#VALUE!</v>
      </c>
      <c r="DF10" t="e">
        <f>Issue_Log!B235+"67\!At"</f>
        <v>#VALUE!</v>
      </c>
      <c r="DG10" t="e">
        <f>Issue_Log!C235+"67\!Au"</f>
        <v>#VALUE!</v>
      </c>
      <c r="DH10" t="e">
        <f>Issue_Log!D235+"67\!Av"</f>
        <v>#VALUE!</v>
      </c>
      <c r="DI10" t="e">
        <f>Issue_Log!E235+"67\!Aw"</f>
        <v>#VALUE!</v>
      </c>
      <c r="DJ10" t="e">
        <f>Issue_Log!F235+"67\!Ax"</f>
        <v>#VALUE!</v>
      </c>
      <c r="DK10" t="e">
        <f>Issue_Log!G235+"67\!Ay"</f>
        <v>#VALUE!</v>
      </c>
      <c r="DL10" t="e">
        <f>Issue_Log!A236+"67\!Az"</f>
        <v>#VALUE!</v>
      </c>
      <c r="DM10" t="e">
        <f>Issue_Log!B236+"67\!A{"</f>
        <v>#VALUE!</v>
      </c>
      <c r="DN10" t="e">
        <f>Issue_Log!C236+"67\!A|"</f>
        <v>#VALUE!</v>
      </c>
      <c r="DO10" t="e">
        <f>Issue_Log!D236+"67\!A}"</f>
        <v>#VALUE!</v>
      </c>
      <c r="DP10" t="e">
        <f>Issue_Log!E236+"67\!A~"</f>
        <v>#VALUE!</v>
      </c>
      <c r="DQ10" t="e">
        <f>Issue_Log!F236+"67\!B#"</f>
        <v>#VALUE!</v>
      </c>
      <c r="DR10" t="e">
        <f>Issue_Log!G236+"67\!B$"</f>
        <v>#VALUE!</v>
      </c>
      <c r="DS10" t="e">
        <f>Issue_Log!A237+"67\!B%"</f>
        <v>#VALUE!</v>
      </c>
      <c r="DT10" t="e">
        <f>Issue_Log!B237+"67\!B&amp;"</f>
        <v>#VALUE!</v>
      </c>
      <c r="DU10" t="e">
        <f>Issue_Log!C237+"67\!B'"</f>
        <v>#VALUE!</v>
      </c>
      <c r="DV10" t="e">
        <f>Issue_Log!D237+"67\!B("</f>
        <v>#VALUE!</v>
      </c>
      <c r="DW10" t="e">
        <f>Issue_Log!E237+"67\!B)"</f>
        <v>#VALUE!</v>
      </c>
      <c r="DX10" t="e">
        <f>Issue_Log!F237+"67\!B."</f>
        <v>#VALUE!</v>
      </c>
      <c r="DY10" t="e">
        <f>Issue_Log!G237+"67\!B/"</f>
        <v>#VALUE!</v>
      </c>
      <c r="DZ10" t="e">
        <f>Issue_Log!A238+"67\!B0"</f>
        <v>#VALUE!</v>
      </c>
      <c r="EA10" t="e">
        <f>Issue_Log!B238+"67\!B1"</f>
        <v>#VALUE!</v>
      </c>
      <c r="EB10" t="e">
        <f>Issue_Log!C238+"67\!B2"</f>
        <v>#VALUE!</v>
      </c>
      <c r="EC10" t="e">
        <f>Issue_Log!D238+"67\!B3"</f>
        <v>#VALUE!</v>
      </c>
      <c r="ED10" t="e">
        <f>Issue_Log!E238+"67\!B4"</f>
        <v>#VALUE!</v>
      </c>
      <c r="EE10" t="e">
        <f>Issue_Log!F238+"67\!B5"</f>
        <v>#VALUE!</v>
      </c>
      <c r="EF10" t="e">
        <f>Issue_Log!G238+"67\!B6"</f>
        <v>#VALUE!</v>
      </c>
      <c r="EG10" t="e">
        <f>Issue_Log!A239+"67\!B7"</f>
        <v>#VALUE!</v>
      </c>
      <c r="EH10" t="e">
        <f>Issue_Log!B239+"67\!B8"</f>
        <v>#VALUE!</v>
      </c>
      <c r="EI10" t="e">
        <f>Issue_Log!C239+"67\!B9"</f>
        <v>#VALUE!</v>
      </c>
      <c r="EJ10" t="e">
        <f>Issue_Log!D239+"67\!B:"</f>
        <v>#VALUE!</v>
      </c>
      <c r="EK10" t="e">
        <f>Issue_Log!E239+"67\!B;"</f>
        <v>#VALUE!</v>
      </c>
      <c r="EL10" t="e">
        <f>Issue_Log!F239+"67\!B&lt;"</f>
        <v>#VALUE!</v>
      </c>
      <c r="EM10" t="e">
        <f>Issue_Log!G239+"67\!B="</f>
        <v>#VALUE!</v>
      </c>
      <c r="EN10" t="e">
        <f>Issue_Log!A240+"67\!B&gt;"</f>
        <v>#VALUE!</v>
      </c>
      <c r="EO10" t="e">
        <f>Issue_Log!B240+"67\!B?"</f>
        <v>#VALUE!</v>
      </c>
      <c r="EP10" t="e">
        <f>Issue_Log!C240+"67\!B@"</f>
        <v>#VALUE!</v>
      </c>
      <c r="EQ10" t="e">
        <f>Issue_Log!D240+"67\!BA"</f>
        <v>#VALUE!</v>
      </c>
      <c r="ER10" t="e">
        <f>Issue_Log!E240+"67\!BB"</f>
        <v>#VALUE!</v>
      </c>
      <c r="ES10" t="e">
        <f>Issue_Log!F240+"67\!BC"</f>
        <v>#VALUE!</v>
      </c>
      <c r="ET10" t="e">
        <f>Issue_Log!G240+"67\!BD"</f>
        <v>#VALUE!</v>
      </c>
      <c r="EU10" t="e">
        <f>Issue_Log!A241+"67\!BE"</f>
        <v>#VALUE!</v>
      </c>
      <c r="EV10" t="e">
        <f>Issue_Log!B241+"67\!BF"</f>
        <v>#VALUE!</v>
      </c>
      <c r="EW10" t="e">
        <f>Issue_Log!C241+"67\!BG"</f>
        <v>#VALUE!</v>
      </c>
      <c r="EX10" t="e">
        <f>Issue_Log!D241+"67\!BH"</f>
        <v>#VALUE!</v>
      </c>
      <c r="EY10" t="e">
        <f>Issue_Log!E241+"67\!BI"</f>
        <v>#VALUE!</v>
      </c>
      <c r="EZ10" t="e">
        <f>Issue_Log!F241+"67\!BJ"</f>
        <v>#VALUE!</v>
      </c>
      <c r="FA10" t="e">
        <f>Issue_Log!G241+"67\!BK"</f>
        <v>#VALUE!</v>
      </c>
      <c r="FB10" t="e">
        <f>Issue_Log!A242+"67\!BL"</f>
        <v>#VALUE!</v>
      </c>
      <c r="FC10" t="e">
        <f>Issue_Log!B242+"67\!BM"</f>
        <v>#VALUE!</v>
      </c>
      <c r="FD10" t="e">
        <f>Issue_Log!C242+"67\!BN"</f>
        <v>#VALUE!</v>
      </c>
      <c r="FE10" t="e">
        <f>Issue_Log!D242+"67\!BO"</f>
        <v>#VALUE!</v>
      </c>
      <c r="FF10" t="e">
        <f>Issue_Log!E242+"67\!BP"</f>
        <v>#VALUE!</v>
      </c>
      <c r="FG10" t="e">
        <f>Issue_Log!F242+"67\!BQ"</f>
        <v>#VALUE!</v>
      </c>
      <c r="FH10" t="e">
        <f>Issue_Log!G242+"67\!BR"</f>
        <v>#VALUE!</v>
      </c>
      <c r="FI10" t="e">
        <f>Issue_Log!A243+"67\!BS"</f>
        <v>#VALUE!</v>
      </c>
      <c r="FJ10" t="e">
        <f>Issue_Log!B243+"67\!BT"</f>
        <v>#VALUE!</v>
      </c>
      <c r="FK10" t="e">
        <f>Issue_Log!C243+"67\!BU"</f>
        <v>#VALUE!</v>
      </c>
      <c r="FL10" t="e">
        <f>Issue_Log!D243+"67\!BV"</f>
        <v>#VALUE!</v>
      </c>
      <c r="FM10" t="e">
        <f>Issue_Log!E243+"67\!BW"</f>
        <v>#VALUE!</v>
      </c>
      <c r="FN10" t="e">
        <f>Issue_Log!F243+"67\!BX"</f>
        <v>#VALUE!</v>
      </c>
      <c r="FO10" t="e">
        <f>Issue_Log!G243+"67\!BY"</f>
        <v>#VALUE!</v>
      </c>
      <c r="FP10" t="e">
        <f>Issue_Log!A244+"67\!BZ"</f>
        <v>#VALUE!</v>
      </c>
      <c r="FQ10" t="e">
        <f>Issue_Log!B244+"67\!B["</f>
        <v>#VALUE!</v>
      </c>
      <c r="FR10" t="e">
        <f>Issue_Log!C244+"67\!B\"</f>
        <v>#VALUE!</v>
      </c>
      <c r="FS10" t="e">
        <f>Issue_Log!D244+"67\!B]"</f>
        <v>#VALUE!</v>
      </c>
      <c r="FT10" t="e">
        <f>Issue_Log!E244+"67\!B^"</f>
        <v>#VALUE!</v>
      </c>
      <c r="FU10" t="e">
        <f>Issue_Log!F244+"67\!B_"</f>
        <v>#VALUE!</v>
      </c>
      <c r="FV10" t="e">
        <f>Issue_Log!G244+"67\!B`"</f>
        <v>#VALUE!</v>
      </c>
      <c r="FW10" t="e">
        <f>Issue_Log!A245+"67\!Ba"</f>
        <v>#VALUE!</v>
      </c>
      <c r="FX10" t="e">
        <f>Issue_Log!B245+"67\!Bb"</f>
        <v>#VALUE!</v>
      </c>
      <c r="FY10" t="e">
        <f>Issue_Log!C245+"67\!Bc"</f>
        <v>#VALUE!</v>
      </c>
      <c r="FZ10" t="e">
        <f>Issue_Log!D245+"67\!Bd"</f>
        <v>#VALUE!</v>
      </c>
      <c r="GA10" t="e">
        <f>Issue_Log!E245+"67\!Be"</f>
        <v>#VALUE!</v>
      </c>
      <c r="GB10" t="e">
        <f>Issue_Log!F245+"67\!Bf"</f>
        <v>#VALUE!</v>
      </c>
      <c r="GC10" t="e">
        <f>Issue_Log!G245+"67\!Bg"</f>
        <v>#VALUE!</v>
      </c>
      <c r="GD10" t="e">
        <f>Issue_Log!A246+"67\!Bh"</f>
        <v>#VALUE!</v>
      </c>
      <c r="GE10" t="e">
        <f>Issue_Log!B246+"67\!Bi"</f>
        <v>#VALUE!</v>
      </c>
      <c r="GF10" t="e">
        <f>Issue_Log!C246+"67\!Bj"</f>
        <v>#VALUE!</v>
      </c>
      <c r="GG10" t="e">
        <f>Issue_Log!D246+"67\!Bk"</f>
        <v>#VALUE!</v>
      </c>
      <c r="GH10" t="e">
        <f>Issue_Log!E246+"67\!Bl"</f>
        <v>#VALUE!</v>
      </c>
      <c r="GI10" t="e">
        <f>Issue_Log!F246+"67\!Bm"</f>
        <v>#VALUE!</v>
      </c>
      <c r="GJ10" t="e">
        <f>Issue_Log!G246+"67\!Bn"</f>
        <v>#VALUE!</v>
      </c>
      <c r="GK10" t="e">
        <f>Issue_Log!A247+"67\!Bo"</f>
        <v>#VALUE!</v>
      </c>
      <c r="GL10" t="e">
        <f>Issue_Log!B247+"67\!Bp"</f>
        <v>#VALUE!</v>
      </c>
      <c r="GM10" t="e">
        <f>Issue_Log!C247+"67\!Bq"</f>
        <v>#VALUE!</v>
      </c>
      <c r="GN10" t="e">
        <f>Issue_Log!D247+"67\!Br"</f>
        <v>#VALUE!</v>
      </c>
      <c r="GO10" t="e">
        <f>Issue_Log!E247+"67\!Bs"</f>
        <v>#VALUE!</v>
      </c>
      <c r="GP10" t="e">
        <f>Issue_Log!F247+"67\!Bt"</f>
        <v>#VALUE!</v>
      </c>
      <c r="GQ10" t="e">
        <f>Issue_Log!G247+"67\!Bu"</f>
        <v>#VALUE!</v>
      </c>
      <c r="GR10" t="e">
        <f>Issue_Log!A248+"67\!Bv"</f>
        <v>#VALUE!</v>
      </c>
      <c r="GS10" t="e">
        <f>Issue_Log!B248+"67\!Bw"</f>
        <v>#VALUE!</v>
      </c>
      <c r="GT10" t="e">
        <f>Issue_Log!C248+"67\!Bx"</f>
        <v>#VALUE!</v>
      </c>
      <c r="GU10" t="e">
        <f>Issue_Log!D248+"67\!By"</f>
        <v>#VALUE!</v>
      </c>
      <c r="GV10" t="e">
        <f>Issue_Log!E248+"67\!Bz"</f>
        <v>#VALUE!</v>
      </c>
      <c r="GW10" t="e">
        <f>Issue_Log!F248+"67\!B{"</f>
        <v>#VALUE!</v>
      </c>
      <c r="GX10" t="e">
        <f>Issue_Log!G248+"67\!B|"</f>
        <v>#VALUE!</v>
      </c>
      <c r="GY10" t="e">
        <f>Issue_Log!A249+"67\!B}"</f>
        <v>#VALUE!</v>
      </c>
      <c r="GZ10" t="e">
        <f>Issue_Log!B249+"67\!B~"</f>
        <v>#VALUE!</v>
      </c>
      <c r="HA10" t="e">
        <f>Issue_Log!C249+"67\!C#"</f>
        <v>#VALUE!</v>
      </c>
      <c r="HB10" t="e">
        <f>Issue_Log!D249+"67\!C$"</f>
        <v>#VALUE!</v>
      </c>
      <c r="HC10" t="e">
        <f>Issue_Log!E249+"67\!C%"</f>
        <v>#VALUE!</v>
      </c>
      <c r="HD10" t="e">
        <f>Issue_Log!F249+"67\!C&amp;"</f>
        <v>#VALUE!</v>
      </c>
      <c r="HE10" t="e">
        <f>Issue_Log!G249+"67\!C'"</f>
        <v>#VALUE!</v>
      </c>
      <c r="HF10" t="e">
        <f>Issue_Log!A250+"67\!C("</f>
        <v>#VALUE!</v>
      </c>
      <c r="HG10" t="e">
        <f>Issue_Log!B250+"67\!C)"</f>
        <v>#VALUE!</v>
      </c>
      <c r="HH10" t="e">
        <f>Issue_Log!C250+"67\!C."</f>
        <v>#VALUE!</v>
      </c>
      <c r="HI10" t="e">
        <f>Issue_Log!D250+"67\!C/"</f>
        <v>#VALUE!</v>
      </c>
      <c r="HJ10" t="e">
        <f>Issue_Log!E250+"67\!C0"</f>
        <v>#VALUE!</v>
      </c>
      <c r="HK10" t="e">
        <f>Issue_Log!F250+"67\!C1"</f>
        <v>#VALUE!</v>
      </c>
      <c r="HL10" t="e">
        <f>Issue_Log!G250+"67\!C2"</f>
        <v>#VALUE!</v>
      </c>
      <c r="HM10" t="e">
        <f>Issue_Log!A251+"67\!C3"</f>
        <v>#VALUE!</v>
      </c>
      <c r="HN10" t="e">
        <f>Issue_Log!B251+"67\!C4"</f>
        <v>#VALUE!</v>
      </c>
      <c r="HO10" t="e">
        <f>Issue_Log!C251+"67\!C5"</f>
        <v>#VALUE!</v>
      </c>
      <c r="HP10" t="e">
        <f>Issue_Log!D251+"67\!C6"</f>
        <v>#VALUE!</v>
      </c>
      <c r="HQ10" t="e">
        <f>Issue_Log!E251+"67\!C7"</f>
        <v>#VALUE!</v>
      </c>
      <c r="HR10" t="e">
        <f>Issue_Log!F251+"67\!C8"</f>
        <v>#VALUE!</v>
      </c>
      <c r="HS10" t="e">
        <f>Issue_Log!G251+"67\!C9"</f>
        <v>#VALUE!</v>
      </c>
      <c r="HT10" t="e">
        <f>Issue_Log!A252+"67\!C:"</f>
        <v>#VALUE!</v>
      </c>
      <c r="HU10" t="e">
        <f>Issue_Log!B252+"67\!C;"</f>
        <v>#VALUE!</v>
      </c>
      <c r="HV10" t="e">
        <f>Issue_Log!C252+"67\!C&lt;"</f>
        <v>#VALUE!</v>
      </c>
      <c r="HW10" t="e">
        <f>Issue_Log!D252+"67\!C="</f>
        <v>#VALUE!</v>
      </c>
      <c r="HX10" t="e">
        <f>Issue_Log!E252+"67\!C&gt;"</f>
        <v>#VALUE!</v>
      </c>
      <c r="HY10" t="e">
        <f>Issue_Log!F252+"67\!C?"</f>
        <v>#VALUE!</v>
      </c>
      <c r="HZ10" t="e">
        <f>Issue_Log!G252+"67\!C@"</f>
        <v>#VALUE!</v>
      </c>
      <c r="IA10" t="e">
        <f>Issue_Log!A253+"67\!CA"</f>
        <v>#VALUE!</v>
      </c>
      <c r="IB10" t="e">
        <f>Issue_Log!B253+"67\!CB"</f>
        <v>#VALUE!</v>
      </c>
      <c r="IC10" t="e">
        <f>Issue_Log!C253+"67\!CC"</f>
        <v>#VALUE!</v>
      </c>
      <c r="ID10" t="e">
        <f>Issue_Log!D253+"67\!CD"</f>
        <v>#VALUE!</v>
      </c>
      <c r="IE10" t="e">
        <f>Issue_Log!E253+"67\!CE"</f>
        <v>#VALUE!</v>
      </c>
      <c r="IF10" t="e">
        <f>Issue_Log!F253+"67\!CF"</f>
        <v>#VALUE!</v>
      </c>
      <c r="IG10" t="e">
        <f>Issue_Log!G253+"67\!CG"</f>
        <v>#VALUE!</v>
      </c>
      <c r="IH10" t="e">
        <f>Issue_Log!A254+"67\!CH"</f>
        <v>#VALUE!</v>
      </c>
      <c r="II10" t="e">
        <f>Issue_Log!B254+"67\!CI"</f>
        <v>#VALUE!</v>
      </c>
      <c r="IJ10" t="e">
        <f>Issue_Log!C254+"67\!CJ"</f>
        <v>#VALUE!</v>
      </c>
      <c r="IK10" t="e">
        <f>Issue_Log!D254+"67\!CK"</f>
        <v>#VALUE!</v>
      </c>
      <c r="IL10" t="e">
        <f>Issue_Log!E254+"67\!CL"</f>
        <v>#VALUE!</v>
      </c>
      <c r="IM10" t="e">
        <f>Issue_Log!F254+"67\!CM"</f>
        <v>#VALUE!</v>
      </c>
      <c r="IN10" t="e">
        <f>Issue_Log!G254+"67\!CN"</f>
        <v>#VALUE!</v>
      </c>
      <c r="IO10" t="e">
        <f>Issue_Log!A255+"67\!CO"</f>
        <v>#VALUE!</v>
      </c>
      <c r="IP10" t="e">
        <f>Issue_Log!B255+"67\!CP"</f>
        <v>#VALUE!</v>
      </c>
      <c r="IQ10" t="e">
        <f>Issue_Log!C255+"67\!CQ"</f>
        <v>#VALUE!</v>
      </c>
      <c r="IR10" t="e">
        <f>Issue_Log!D255+"67\!CR"</f>
        <v>#VALUE!</v>
      </c>
      <c r="IS10" t="e">
        <f>Issue_Log!E255+"67\!CS"</f>
        <v>#VALUE!</v>
      </c>
      <c r="IT10" t="e">
        <f>Issue_Log!F255+"67\!CT"</f>
        <v>#VALUE!</v>
      </c>
      <c r="IU10" t="e">
        <f>Issue_Log!G255+"67\!CU"</f>
        <v>#VALUE!</v>
      </c>
      <c r="IV10" t="e">
        <f>Issue_Log!A256+"67\!CV"</f>
        <v>#VALUE!</v>
      </c>
    </row>
    <row r="11" spans="1:256" x14ac:dyDescent="0.15">
      <c r="F11" t="e">
        <f>Issue_Log!B256+"67\!CW"</f>
        <v>#VALUE!</v>
      </c>
      <c r="G11" t="e">
        <f>Issue_Log!C256+"67\!CX"</f>
        <v>#VALUE!</v>
      </c>
      <c r="H11" t="e">
        <f>Issue_Log!D256+"67\!CY"</f>
        <v>#VALUE!</v>
      </c>
      <c r="I11" t="e">
        <f>Issue_Log!E256+"67\!CZ"</f>
        <v>#VALUE!</v>
      </c>
      <c r="J11" t="e">
        <f>Issue_Log!F256+"67\!C["</f>
        <v>#VALUE!</v>
      </c>
      <c r="K11" t="e">
        <f>Issue_Log!G256+"67\!C\"</f>
        <v>#VALUE!</v>
      </c>
      <c r="L11" t="e">
        <f>Issue_Log!A257+"67\!C]"</f>
        <v>#VALUE!</v>
      </c>
      <c r="M11" t="e">
        <f>Issue_Log!B257+"67\!C^"</f>
        <v>#VALUE!</v>
      </c>
      <c r="N11" t="e">
        <f>Issue_Log!C257+"67\!C_"</f>
        <v>#VALUE!</v>
      </c>
      <c r="O11" t="e">
        <f>Issue_Log!D257+"67\!C`"</f>
        <v>#VALUE!</v>
      </c>
      <c r="P11" t="e">
        <f>Issue_Log!E257+"67\!Ca"</f>
        <v>#VALUE!</v>
      </c>
      <c r="Q11" t="e">
        <f>Issue_Log!F257+"67\!Cb"</f>
        <v>#VALUE!</v>
      </c>
      <c r="R11" t="e">
        <f>Issue_Log!G257+"67\!Cc"</f>
        <v>#VALUE!</v>
      </c>
      <c r="S11" t="e">
        <f>Issue_Log!A258+"67\!Cd"</f>
        <v>#VALUE!</v>
      </c>
      <c r="T11" t="e">
        <f>Issue_Log!B258+"67\!Ce"</f>
        <v>#VALUE!</v>
      </c>
      <c r="U11" t="e">
        <f>Issue_Log!C258+"67\!Cf"</f>
        <v>#VALUE!</v>
      </c>
      <c r="V11" t="e">
        <f>Issue_Log!D258+"67\!Cg"</f>
        <v>#VALUE!</v>
      </c>
      <c r="W11" t="e">
        <f>Issue_Log!E258+"67\!Ch"</f>
        <v>#VALUE!</v>
      </c>
      <c r="X11" t="e">
        <f>Issue_Log!F258+"67\!Ci"</f>
        <v>#VALUE!</v>
      </c>
      <c r="Y11" t="e">
        <f>Issue_Log!G258+"67\!Cj"</f>
        <v>#VALUE!</v>
      </c>
      <c r="Z11" t="e">
        <f>Issue_Log!A259+"67\!Ck"</f>
        <v>#VALUE!</v>
      </c>
      <c r="AA11" t="e">
        <f>Issue_Log!B259+"67\!Cl"</f>
        <v>#VALUE!</v>
      </c>
      <c r="AB11" t="e">
        <f>Issue_Log!C259+"67\!Cm"</f>
        <v>#VALUE!</v>
      </c>
      <c r="AC11" t="e">
        <f>Issue_Log!D259+"67\!Cn"</f>
        <v>#VALUE!</v>
      </c>
      <c r="AD11" t="e">
        <f>Issue_Log!E259+"67\!Co"</f>
        <v>#VALUE!</v>
      </c>
      <c r="AE11" t="e">
        <f>Issue_Log!F259+"67\!Cp"</f>
        <v>#VALUE!</v>
      </c>
      <c r="AF11" t="e">
        <f>Issue_Log!G259+"67\!Cq"</f>
        <v>#VALUE!</v>
      </c>
      <c r="AG11" t="e">
        <f>Issue_Log!A260+"67\!Cr"</f>
        <v>#VALUE!</v>
      </c>
      <c r="AH11" t="e">
        <f>Issue_Log!B260+"67\!Cs"</f>
        <v>#VALUE!</v>
      </c>
      <c r="AI11" t="e">
        <f>Issue_Log!C260+"67\!Ct"</f>
        <v>#VALUE!</v>
      </c>
      <c r="AJ11" t="e">
        <f>Issue_Log!D260+"67\!Cu"</f>
        <v>#VALUE!</v>
      </c>
      <c r="AK11" t="e">
        <f>Issue_Log!E260+"67\!Cv"</f>
        <v>#VALUE!</v>
      </c>
      <c r="AL11" t="e">
        <f>Issue_Log!F260+"67\!Cw"</f>
        <v>#VALUE!</v>
      </c>
      <c r="AM11" t="e">
        <f>Issue_Log!G260+"67\!Cx"</f>
        <v>#VALUE!</v>
      </c>
      <c r="AN11" t="e">
        <f>Issue_Log!A261+"67\!Cy"</f>
        <v>#VALUE!</v>
      </c>
      <c r="AO11" t="e">
        <f>Issue_Log!B261+"67\!Cz"</f>
        <v>#VALUE!</v>
      </c>
      <c r="AP11" t="e">
        <f>Issue_Log!C261+"67\!C{"</f>
        <v>#VALUE!</v>
      </c>
      <c r="AQ11" t="e">
        <f>Issue_Log!D261+"67\!C|"</f>
        <v>#VALUE!</v>
      </c>
      <c r="AR11" t="e">
        <f>Issue_Log!E261+"67\!C}"</f>
        <v>#VALUE!</v>
      </c>
      <c r="AS11" t="e">
        <f>Issue_Log!F261+"67\!C~"</f>
        <v>#VALUE!</v>
      </c>
      <c r="AT11" t="e">
        <f>Issue_Log!G261+"67\!D#"</f>
        <v>#VALUE!</v>
      </c>
      <c r="AU11" t="e">
        <f>Issue_Log!A262+"67\!D$"</f>
        <v>#VALUE!</v>
      </c>
      <c r="AV11" t="e">
        <f>Issue_Log!B262+"67\!D%"</f>
        <v>#VALUE!</v>
      </c>
      <c r="AW11" t="e">
        <f>Issue_Log!C262+"67\!D&amp;"</f>
        <v>#VALUE!</v>
      </c>
      <c r="AX11" t="e">
        <f>Issue_Log!D262+"67\!D'"</f>
        <v>#VALUE!</v>
      </c>
      <c r="AY11" t="e">
        <f>Issue_Log!E262+"67\!D("</f>
        <v>#VALUE!</v>
      </c>
      <c r="AZ11" t="e">
        <f>Issue_Log!F262+"67\!D)"</f>
        <v>#VALUE!</v>
      </c>
      <c r="BA11" t="e">
        <f>Issue_Log!G262+"67\!D."</f>
        <v>#VALUE!</v>
      </c>
      <c r="BB11" t="e">
        <f>Issue_Log!A263+"67\!D/"</f>
        <v>#VALUE!</v>
      </c>
      <c r="BC11" t="e">
        <f>Issue_Log!B263+"67\!D0"</f>
        <v>#VALUE!</v>
      </c>
      <c r="BD11" t="e">
        <f>Issue_Log!C263+"67\!D1"</f>
        <v>#VALUE!</v>
      </c>
      <c r="BE11" t="e">
        <f>Issue_Log!D263+"67\!D2"</f>
        <v>#VALUE!</v>
      </c>
      <c r="BF11" t="e">
        <f>Issue_Log!E263+"67\!D3"</f>
        <v>#VALUE!</v>
      </c>
      <c r="BG11" t="e">
        <f>Issue_Log!F263+"67\!D4"</f>
        <v>#VALUE!</v>
      </c>
      <c r="BH11" t="e">
        <f>Issue_Log!G263+"67\!D5"</f>
        <v>#VALUE!</v>
      </c>
      <c r="BI11" t="e">
        <f>Issue_Log!A264+"67\!D6"</f>
        <v>#VALUE!</v>
      </c>
      <c r="BJ11" t="e">
        <f>Issue_Log!B264+"67\!D7"</f>
        <v>#VALUE!</v>
      </c>
      <c r="BK11" t="e">
        <f>Issue_Log!C264+"67\!D8"</f>
        <v>#VALUE!</v>
      </c>
      <c r="BL11" t="e">
        <f>Issue_Log!D264+"67\!D9"</f>
        <v>#VALUE!</v>
      </c>
      <c r="BM11" t="e">
        <f>Issue_Log!E264+"67\!D:"</f>
        <v>#VALUE!</v>
      </c>
      <c r="BN11" t="e">
        <f>Issue_Log!F264+"67\!D;"</f>
        <v>#VALUE!</v>
      </c>
      <c r="BO11" t="e">
        <f>Issue_Log!G264+"67\!D&lt;"</f>
        <v>#VALUE!</v>
      </c>
      <c r="BP11" t="e">
        <f>Issue_Log!A265+"67\!D="</f>
        <v>#VALUE!</v>
      </c>
      <c r="BQ11" t="e">
        <f>Issue_Log!B265+"67\!D&gt;"</f>
        <v>#VALUE!</v>
      </c>
      <c r="BR11" t="e">
        <f>Issue_Log!C265+"67\!D?"</f>
        <v>#VALUE!</v>
      </c>
      <c r="BS11" t="e">
        <f>Issue_Log!D265+"67\!D@"</f>
        <v>#VALUE!</v>
      </c>
      <c r="BT11" t="e">
        <f>Issue_Log!E265+"67\!DA"</f>
        <v>#VALUE!</v>
      </c>
      <c r="BU11" t="e">
        <f>Issue_Log!F265+"67\!DB"</f>
        <v>#VALUE!</v>
      </c>
      <c r="BV11" t="e">
        <f>Issue_Log!G265+"67\!DC"</f>
        <v>#VALUE!</v>
      </c>
      <c r="BW11" t="e">
        <f>Issue_Log!A266+"67\!DD"</f>
        <v>#VALUE!</v>
      </c>
      <c r="BX11" t="e">
        <f>Issue_Log!B266+"67\!DE"</f>
        <v>#VALUE!</v>
      </c>
      <c r="BY11" t="e">
        <f>Issue_Log!C266+"67\!DF"</f>
        <v>#VALUE!</v>
      </c>
      <c r="BZ11" t="e">
        <f>Issue_Log!D266+"67\!DG"</f>
        <v>#VALUE!</v>
      </c>
      <c r="CA11" t="e">
        <f>Issue_Log!E266+"67\!DH"</f>
        <v>#VALUE!</v>
      </c>
      <c r="CB11" t="e">
        <f>Issue_Log!F266+"67\!DI"</f>
        <v>#VALUE!</v>
      </c>
      <c r="CC11" t="e">
        <f>Issue_Log!G266+"67\!DJ"</f>
        <v>#VALUE!</v>
      </c>
      <c r="CD11" t="e">
        <f>Issue_Log!A267+"67\!DK"</f>
        <v>#VALUE!</v>
      </c>
      <c r="CE11" t="e">
        <f>Issue_Log!B267+"67\!DL"</f>
        <v>#VALUE!</v>
      </c>
      <c r="CF11" t="e">
        <f>Issue_Log!C267+"67\!DM"</f>
        <v>#VALUE!</v>
      </c>
      <c r="CG11" t="e">
        <f>Issue_Log!D267+"67\!DN"</f>
        <v>#VALUE!</v>
      </c>
      <c r="CH11" t="e">
        <f>Issue_Log!E267+"67\!DO"</f>
        <v>#VALUE!</v>
      </c>
      <c r="CI11" t="e">
        <f>Issue_Log!F267+"67\!DP"</f>
        <v>#VALUE!</v>
      </c>
      <c r="CJ11" t="e">
        <f>Issue_Log!G267+"67\!DQ"</f>
        <v>#VALUE!</v>
      </c>
      <c r="CK11" t="e">
        <f>Issue_Log!A268+"67\!DR"</f>
        <v>#VALUE!</v>
      </c>
      <c r="CL11" t="e">
        <f>Issue_Log!B268+"67\!DS"</f>
        <v>#VALUE!</v>
      </c>
      <c r="CM11" t="e">
        <f>Issue_Log!C268+"67\!DT"</f>
        <v>#VALUE!</v>
      </c>
      <c r="CN11" t="e">
        <f>Issue_Log!D268+"67\!DU"</f>
        <v>#VALUE!</v>
      </c>
      <c r="CO11" t="e">
        <f>Issue_Log!E268+"67\!DV"</f>
        <v>#VALUE!</v>
      </c>
      <c r="CP11" t="e">
        <f>Issue_Log!F268+"67\!DW"</f>
        <v>#VALUE!</v>
      </c>
      <c r="CQ11" t="e">
        <f>Issue_Log!G268+"67\!DX"</f>
        <v>#VALUE!</v>
      </c>
      <c r="CR11" t="e">
        <f>Issue_Log!A269+"67\!DY"</f>
        <v>#VALUE!</v>
      </c>
      <c r="CS11" t="e">
        <f>Issue_Log!B269+"67\!DZ"</f>
        <v>#VALUE!</v>
      </c>
      <c r="CT11" t="e">
        <f>Issue_Log!C269+"67\!D["</f>
        <v>#VALUE!</v>
      </c>
      <c r="CU11" t="e">
        <f>Issue_Log!D269+"67\!D\"</f>
        <v>#VALUE!</v>
      </c>
      <c r="CV11" t="e">
        <f>Issue_Log!E269+"67\!D]"</f>
        <v>#VALUE!</v>
      </c>
      <c r="CW11" t="e">
        <f>Issue_Log!F269+"67\!D^"</f>
        <v>#VALUE!</v>
      </c>
      <c r="CX11" t="e">
        <f>Issue_Log!G269+"67\!D_"</f>
        <v>#VALUE!</v>
      </c>
      <c r="CY11" t="e">
        <f>Issue_Log!A270+"67\!D`"</f>
        <v>#VALUE!</v>
      </c>
      <c r="CZ11" t="e">
        <f>Issue_Log!B270+"67\!Da"</f>
        <v>#VALUE!</v>
      </c>
      <c r="DA11" t="e">
        <f>Issue_Log!C270+"67\!Db"</f>
        <v>#VALUE!</v>
      </c>
      <c r="DB11" t="e">
        <f>Issue_Log!D270+"67\!Dc"</f>
        <v>#VALUE!</v>
      </c>
      <c r="DC11" t="e">
        <f>Issue_Log!E270+"67\!Dd"</f>
        <v>#VALUE!</v>
      </c>
      <c r="DD11" t="e">
        <f>Issue_Log!F270+"67\!De"</f>
        <v>#VALUE!</v>
      </c>
      <c r="DE11" t="e">
        <f>Issue_Log!G270+"67\!Df"</f>
        <v>#VALUE!</v>
      </c>
      <c r="DF11" t="e">
        <f>Issue_Log!A271+"67\!Dg"</f>
        <v>#VALUE!</v>
      </c>
      <c r="DG11" t="e">
        <f>Issue_Log!B271+"67\!Dh"</f>
        <v>#VALUE!</v>
      </c>
      <c r="DH11" t="e">
        <f>Issue_Log!C271+"67\!Di"</f>
        <v>#VALUE!</v>
      </c>
      <c r="DI11" t="e">
        <f>Issue_Log!D271+"67\!Dj"</f>
        <v>#VALUE!</v>
      </c>
      <c r="DJ11" t="e">
        <f>Issue_Log!E271+"67\!Dk"</f>
        <v>#VALUE!</v>
      </c>
      <c r="DK11" t="e">
        <f>Issue_Log!F271+"67\!Dl"</f>
        <v>#VALUE!</v>
      </c>
      <c r="DL11" t="e">
        <f>Issue_Log!G271+"67\!Dm"</f>
        <v>#VALUE!</v>
      </c>
      <c r="DM11" t="e">
        <f>Issue_Log!A272+"67\!Dn"</f>
        <v>#VALUE!</v>
      </c>
      <c r="DN11" t="e">
        <f>Issue_Log!B272+"67\!Do"</f>
        <v>#VALUE!</v>
      </c>
      <c r="DO11" t="e">
        <f>Issue_Log!C272+"67\!Dp"</f>
        <v>#VALUE!</v>
      </c>
      <c r="DP11" t="e">
        <f>Issue_Log!D272+"67\!Dq"</f>
        <v>#VALUE!</v>
      </c>
      <c r="DQ11" t="e">
        <f>Issue_Log!E272+"67\!Dr"</f>
        <v>#VALUE!</v>
      </c>
      <c r="DR11" t="e">
        <f>Issue_Log!F272+"67\!Ds"</f>
        <v>#VALUE!</v>
      </c>
      <c r="DS11" t="e">
        <f>Issue_Log!G272+"67\!Dt"</f>
        <v>#VALUE!</v>
      </c>
      <c r="DT11" t="e">
        <f>Issue_Log!A273+"67\!Du"</f>
        <v>#VALUE!</v>
      </c>
      <c r="DU11" t="e">
        <f>Issue_Log!B273+"67\!Dv"</f>
        <v>#VALUE!</v>
      </c>
      <c r="DV11" t="e">
        <f>Issue_Log!C273+"67\!Dw"</f>
        <v>#VALUE!</v>
      </c>
      <c r="DW11" t="e">
        <f>Issue_Log!D273+"67\!Dx"</f>
        <v>#VALUE!</v>
      </c>
      <c r="DX11" t="e">
        <f>Issue_Log!E273+"67\!Dy"</f>
        <v>#VALUE!</v>
      </c>
      <c r="DY11" t="e">
        <f>Issue_Log!F273+"67\!Dz"</f>
        <v>#VALUE!</v>
      </c>
      <c r="DZ11" t="e">
        <f>Issue_Log!G273+"67\!D{"</f>
        <v>#VALUE!</v>
      </c>
      <c r="EA11" t="e">
        <f>Issue_Log!A274+"67\!D|"</f>
        <v>#VALUE!</v>
      </c>
      <c r="EB11" t="e">
        <f>Issue_Log!B274+"67\!D}"</f>
        <v>#VALUE!</v>
      </c>
      <c r="EC11" t="e">
        <f>Issue_Log!C274+"67\!D~"</f>
        <v>#VALUE!</v>
      </c>
      <c r="ED11" t="e">
        <f>Issue_Log!D274+"67\!E#"</f>
        <v>#VALUE!</v>
      </c>
      <c r="EE11" t="e">
        <f>Issue_Log!E274+"67\!E$"</f>
        <v>#VALUE!</v>
      </c>
      <c r="EF11" t="e">
        <f>Issue_Log!F274+"67\!E%"</f>
        <v>#VALUE!</v>
      </c>
      <c r="EG11" t="e">
        <f>Issue_Log!G274+"67\!E&amp;"</f>
        <v>#VALUE!</v>
      </c>
      <c r="EH11" t="e">
        <f>Issue_Log!A275+"67\!E'"</f>
        <v>#VALUE!</v>
      </c>
      <c r="EI11" t="e">
        <f>Issue_Log!B275+"67\!E("</f>
        <v>#VALUE!</v>
      </c>
      <c r="EJ11" t="e">
        <f>Issue_Log!C275+"67\!E)"</f>
        <v>#VALUE!</v>
      </c>
      <c r="EK11" t="e">
        <f>Issue_Log!D275+"67\!E."</f>
        <v>#VALUE!</v>
      </c>
      <c r="EL11" t="e">
        <f>Issue_Log!E275+"67\!E/"</f>
        <v>#VALUE!</v>
      </c>
      <c r="EM11" t="e">
        <f>Issue_Log!F275+"67\!E0"</f>
        <v>#VALUE!</v>
      </c>
      <c r="EN11" t="e">
        <f>Issue_Log!G275+"67\!E1"</f>
        <v>#VALUE!</v>
      </c>
      <c r="EO11" t="e">
        <f>Issue_Log!A276+"67\!E2"</f>
        <v>#VALUE!</v>
      </c>
      <c r="EP11" t="e">
        <f>Issue_Log!B276+"67\!E3"</f>
        <v>#VALUE!</v>
      </c>
      <c r="EQ11" t="e">
        <f>Issue_Log!C276+"67\!E4"</f>
        <v>#VALUE!</v>
      </c>
      <c r="ER11" t="e">
        <f>Issue_Log!D276+"67\!E5"</f>
        <v>#VALUE!</v>
      </c>
      <c r="ES11" t="e">
        <f>Issue_Log!E276+"67\!E6"</f>
        <v>#VALUE!</v>
      </c>
      <c r="ET11" t="e">
        <f>Issue_Log!F276+"67\!E7"</f>
        <v>#VALUE!</v>
      </c>
      <c r="EU11" t="e">
        <f>Issue_Log!G276+"67\!E8"</f>
        <v>#VALUE!</v>
      </c>
      <c r="EV11" t="e">
        <f>Issue_Log!A277+"67\!E9"</f>
        <v>#VALUE!</v>
      </c>
      <c r="EW11" t="e">
        <f>Issue_Log!B277+"67\!E:"</f>
        <v>#VALUE!</v>
      </c>
      <c r="EX11" t="e">
        <f>Issue_Log!C277+"67\!E;"</f>
        <v>#VALUE!</v>
      </c>
      <c r="EY11" t="e">
        <f>Issue_Log!D277+"67\!E&lt;"</f>
        <v>#VALUE!</v>
      </c>
      <c r="EZ11" t="e">
        <f>Issue_Log!E277+"67\!E="</f>
        <v>#VALUE!</v>
      </c>
      <c r="FA11" t="e">
        <f>Issue_Log!F277+"67\!E&gt;"</f>
        <v>#VALUE!</v>
      </c>
      <c r="FB11" t="e">
        <f>Issue_Log!G277+"67\!E?"</f>
        <v>#VALUE!</v>
      </c>
      <c r="FC11" t="e">
        <f>Issue_Log!A278+"67\!E@"</f>
        <v>#VALUE!</v>
      </c>
      <c r="FD11" t="e">
        <f>Issue_Log!B278+"67\!EA"</f>
        <v>#VALUE!</v>
      </c>
      <c r="FE11" t="e">
        <f>Issue_Log!C278+"67\!EB"</f>
        <v>#VALUE!</v>
      </c>
      <c r="FF11" t="e">
        <f>Issue_Log!D278+"67\!EC"</f>
        <v>#VALUE!</v>
      </c>
      <c r="FG11" t="e">
        <f>Issue_Log!E278+"67\!ED"</f>
        <v>#VALUE!</v>
      </c>
      <c r="FH11" t="e">
        <f>Issue_Log!F278+"67\!EE"</f>
        <v>#VALUE!</v>
      </c>
      <c r="FI11" t="e">
        <f>Issue_Log!G278+"67\!EF"</f>
        <v>#VALUE!</v>
      </c>
      <c r="FJ11" t="e">
        <f>Issue_Log!A279+"67\!EG"</f>
        <v>#VALUE!</v>
      </c>
      <c r="FK11" t="e">
        <f>Issue_Log!B279+"67\!EH"</f>
        <v>#VALUE!</v>
      </c>
      <c r="FL11" t="e">
        <f>Issue_Log!C279+"67\!EI"</f>
        <v>#VALUE!</v>
      </c>
      <c r="FM11" t="e">
        <f>Issue_Log!D279+"67\!EJ"</f>
        <v>#VALUE!</v>
      </c>
      <c r="FN11" t="e">
        <f>Issue_Log!E279+"67\!EK"</f>
        <v>#VALUE!</v>
      </c>
      <c r="FO11" t="e">
        <f>Issue_Log!F279+"67\!EL"</f>
        <v>#VALUE!</v>
      </c>
      <c r="FP11" t="e">
        <f>Issue_Log!G279+"67\!EM"</f>
        <v>#VALUE!</v>
      </c>
      <c r="FQ11" t="e">
        <f>Issue_Log!A280+"67\!EN"</f>
        <v>#VALUE!</v>
      </c>
      <c r="FR11" t="e">
        <f>Issue_Log!B280+"67\!EO"</f>
        <v>#VALUE!</v>
      </c>
      <c r="FS11" t="e">
        <f>Issue_Log!C280+"67\!EP"</f>
        <v>#VALUE!</v>
      </c>
      <c r="FT11" t="e">
        <f>Issue_Log!D280+"67\!EQ"</f>
        <v>#VALUE!</v>
      </c>
      <c r="FU11" t="e">
        <f>Issue_Log!E280+"67\!ER"</f>
        <v>#VALUE!</v>
      </c>
      <c r="FV11" t="e">
        <f>Issue_Log!F280+"67\!ES"</f>
        <v>#VALUE!</v>
      </c>
      <c r="FW11" t="e">
        <f>Issue_Log!G280+"67\!ET"</f>
        <v>#VALUE!</v>
      </c>
      <c r="FX11" t="e">
        <f>Issue_Log!A281+"67\!EU"</f>
        <v>#VALUE!</v>
      </c>
      <c r="FY11" t="e">
        <f>Issue_Log!B281+"67\!EV"</f>
        <v>#VALUE!</v>
      </c>
      <c r="FZ11" t="e">
        <f>Issue_Log!C281+"67\!EW"</f>
        <v>#VALUE!</v>
      </c>
      <c r="GA11" t="e">
        <f>Issue_Log!D281+"67\!EX"</f>
        <v>#VALUE!</v>
      </c>
      <c r="GB11" t="e">
        <f>Issue_Log!E281+"67\!EY"</f>
        <v>#VALUE!</v>
      </c>
      <c r="GC11" t="e">
        <f>Issue_Log!F281+"67\!EZ"</f>
        <v>#VALUE!</v>
      </c>
      <c r="GD11" t="e">
        <f>Issue_Log!G281+"67\!E["</f>
        <v>#VALUE!</v>
      </c>
      <c r="GE11" t="e">
        <f>Issue_Log!A282+"67\!E\"</f>
        <v>#VALUE!</v>
      </c>
      <c r="GF11" t="e">
        <f>Issue_Log!B282+"67\!E]"</f>
        <v>#VALUE!</v>
      </c>
      <c r="GG11" t="e">
        <f>Issue_Log!C282+"67\!E^"</f>
        <v>#VALUE!</v>
      </c>
      <c r="GH11" t="e">
        <f>Issue_Log!D282+"67\!E_"</f>
        <v>#VALUE!</v>
      </c>
      <c r="GI11" t="e">
        <f>Issue_Log!E282+"67\!E`"</f>
        <v>#VALUE!</v>
      </c>
      <c r="GJ11" t="e">
        <f>Issue_Log!F282+"67\!Ea"</f>
        <v>#VALUE!</v>
      </c>
      <c r="GK11" t="e">
        <f>Issue_Log!G282+"67\!Eb"</f>
        <v>#VALUE!</v>
      </c>
      <c r="GL11" t="e">
        <f>Issue_Log!A283+"67\!Ec"</f>
        <v>#VALUE!</v>
      </c>
      <c r="GM11" t="e">
        <f>Issue_Log!B283+"67\!Ed"</f>
        <v>#VALUE!</v>
      </c>
      <c r="GN11" t="e">
        <f>Issue_Log!C283+"67\!Ee"</f>
        <v>#VALUE!</v>
      </c>
      <c r="GO11" t="e">
        <f>Issue_Log!D283+"67\!Ef"</f>
        <v>#VALUE!</v>
      </c>
      <c r="GP11" t="e">
        <f>Issue_Log!E283+"67\!Eg"</f>
        <v>#VALUE!</v>
      </c>
      <c r="GQ11" t="e">
        <f>Issue_Log!F283+"67\!Eh"</f>
        <v>#VALUE!</v>
      </c>
      <c r="GR11" t="e">
        <f>Issue_Log!G283+"67\!Ei"</f>
        <v>#VALUE!</v>
      </c>
      <c r="GS11" t="e">
        <f>Issue_Log!A284+"67\!Ej"</f>
        <v>#VALUE!</v>
      </c>
      <c r="GT11" t="e">
        <f>Issue_Log!B284+"67\!Ek"</f>
        <v>#VALUE!</v>
      </c>
      <c r="GU11" t="e">
        <f>Issue_Log!C284+"67\!El"</f>
        <v>#VALUE!</v>
      </c>
      <c r="GV11" t="e">
        <f>Issue_Log!D284+"67\!Em"</f>
        <v>#VALUE!</v>
      </c>
      <c r="GW11" t="e">
        <f>Issue_Log!E284+"67\!En"</f>
        <v>#VALUE!</v>
      </c>
      <c r="GX11" t="e">
        <f>Issue_Log!F284+"67\!Eo"</f>
        <v>#VALUE!</v>
      </c>
      <c r="GY11" t="e">
        <f>Issue_Log!G284+"67\!Ep"</f>
        <v>#VALUE!</v>
      </c>
      <c r="GZ11" t="e">
        <f>Issue_Log!A285+"67\!Eq"</f>
        <v>#VALUE!</v>
      </c>
      <c r="HA11" t="e">
        <f>Issue_Log!B285+"67\!Er"</f>
        <v>#VALUE!</v>
      </c>
      <c r="HB11" t="e">
        <f>Issue_Log!C285+"67\!Es"</f>
        <v>#VALUE!</v>
      </c>
      <c r="HC11" t="e">
        <f>Issue_Log!D285+"67\!Et"</f>
        <v>#VALUE!</v>
      </c>
      <c r="HD11" t="e">
        <f>Issue_Log!E285+"67\!Eu"</f>
        <v>#VALUE!</v>
      </c>
      <c r="HE11" t="e">
        <f>Issue_Log!F285+"67\!Ev"</f>
        <v>#VALUE!</v>
      </c>
      <c r="HF11" t="e">
        <f>Issue_Log!G285+"67\!Ew"</f>
        <v>#VALUE!</v>
      </c>
      <c r="HG11" t="e">
        <f>Issue_Log!A286+"67\!Ex"</f>
        <v>#VALUE!</v>
      </c>
      <c r="HH11" t="e">
        <f>Issue_Log!B286+"67\!Ey"</f>
        <v>#VALUE!</v>
      </c>
      <c r="HI11" t="e">
        <f>Issue_Log!C286+"67\!Ez"</f>
        <v>#VALUE!</v>
      </c>
      <c r="HJ11" t="e">
        <f>Issue_Log!D286+"67\!E{"</f>
        <v>#VALUE!</v>
      </c>
      <c r="HK11" t="e">
        <f>Issue_Log!E286+"67\!E|"</f>
        <v>#VALUE!</v>
      </c>
      <c r="HL11" t="e">
        <f>Issue_Log!F286+"67\!E}"</f>
        <v>#VALUE!</v>
      </c>
      <c r="HM11" t="e">
        <f>Issue_Log!G286+"67\!E~"</f>
        <v>#VALUE!</v>
      </c>
      <c r="HN11" t="e">
        <f>Issue_Log!A287+"67\!F#"</f>
        <v>#VALUE!</v>
      </c>
      <c r="HO11" t="e">
        <f>Issue_Log!B287+"67\!F$"</f>
        <v>#VALUE!</v>
      </c>
      <c r="HP11" t="e">
        <f>Issue_Log!C287+"67\!F%"</f>
        <v>#VALUE!</v>
      </c>
      <c r="HQ11" t="e">
        <f>Issue_Log!D287+"67\!F&amp;"</f>
        <v>#VALUE!</v>
      </c>
      <c r="HR11" t="e">
        <f>Issue_Log!E287+"67\!F'"</f>
        <v>#VALUE!</v>
      </c>
      <c r="HS11" t="e">
        <f>Issue_Log!F287+"67\!F("</f>
        <v>#VALUE!</v>
      </c>
      <c r="HT11" t="e">
        <f>Issue_Log!G287+"67\!F)"</f>
        <v>#VALUE!</v>
      </c>
      <c r="HU11" t="e">
        <f>Issue_Log!A288+"67\!F."</f>
        <v>#VALUE!</v>
      </c>
      <c r="HV11" t="e">
        <f>Issue_Log!B288+"67\!F/"</f>
        <v>#VALUE!</v>
      </c>
      <c r="HW11" t="e">
        <f>Issue_Log!C288+"67\!F0"</f>
        <v>#VALUE!</v>
      </c>
      <c r="HX11" t="e">
        <f>Issue_Log!D288+"67\!F1"</f>
        <v>#VALUE!</v>
      </c>
      <c r="HY11" t="e">
        <f>Issue_Log!E288+"67\!F2"</f>
        <v>#VALUE!</v>
      </c>
      <c r="HZ11" t="e">
        <f>Issue_Log!F288+"67\!F3"</f>
        <v>#VALUE!</v>
      </c>
      <c r="IA11" t="e">
        <f>Issue_Log!G288+"67\!F4"</f>
        <v>#VALUE!</v>
      </c>
      <c r="IB11" t="e">
        <f>Issue_Log!A289+"67\!F5"</f>
        <v>#VALUE!</v>
      </c>
      <c r="IC11" t="e">
        <f>Issue_Log!B289+"67\!F6"</f>
        <v>#VALUE!</v>
      </c>
      <c r="ID11" t="e">
        <f>Issue_Log!C289+"67\!F7"</f>
        <v>#VALUE!</v>
      </c>
      <c r="IE11" t="e">
        <f>Issue_Log!D289+"67\!F8"</f>
        <v>#VALUE!</v>
      </c>
      <c r="IF11" t="e">
        <f>Issue_Log!E289+"67\!F9"</f>
        <v>#VALUE!</v>
      </c>
      <c r="IG11" t="e">
        <f>Issue_Log!F289+"67\!F:"</f>
        <v>#VALUE!</v>
      </c>
      <c r="IH11" t="e">
        <f>Issue_Log!G289+"67\!F;"</f>
        <v>#VALUE!</v>
      </c>
      <c r="II11" t="e">
        <f>Issue_Log!A290+"67\!F&lt;"</f>
        <v>#VALUE!</v>
      </c>
      <c r="IJ11" t="e">
        <f>Issue_Log!B290+"67\!F="</f>
        <v>#VALUE!</v>
      </c>
      <c r="IK11" t="e">
        <f>Issue_Log!C290+"67\!F&gt;"</f>
        <v>#VALUE!</v>
      </c>
      <c r="IL11" t="e">
        <f>Issue_Log!D290+"67\!F?"</f>
        <v>#VALUE!</v>
      </c>
      <c r="IM11" t="e">
        <f>Issue_Log!E290+"67\!F@"</f>
        <v>#VALUE!</v>
      </c>
      <c r="IN11" t="e">
        <f>Issue_Log!F290+"67\!FA"</f>
        <v>#VALUE!</v>
      </c>
      <c r="IO11" t="e">
        <f>Issue_Log!G290+"67\!FB"</f>
        <v>#VALUE!</v>
      </c>
      <c r="IP11" t="e">
        <f>Issue_Log!A291+"67\!FC"</f>
        <v>#VALUE!</v>
      </c>
      <c r="IQ11" t="e">
        <f>Issue_Log!B291+"67\!FD"</f>
        <v>#VALUE!</v>
      </c>
      <c r="IR11" t="e">
        <f>Issue_Log!C291+"67\!FE"</f>
        <v>#VALUE!</v>
      </c>
      <c r="IS11" t="e">
        <f>Issue_Log!D291+"67\!FF"</f>
        <v>#VALUE!</v>
      </c>
      <c r="IT11" t="e">
        <f>Issue_Log!E291+"67\!FG"</f>
        <v>#VALUE!</v>
      </c>
      <c r="IU11" t="e">
        <f>Issue_Log!F291+"67\!FH"</f>
        <v>#VALUE!</v>
      </c>
      <c r="IV11" t="e">
        <f>Issue_Log!G291+"67\!FI"</f>
        <v>#VALUE!</v>
      </c>
    </row>
    <row r="12" spans="1:256" x14ac:dyDescent="0.15">
      <c r="F12" t="e">
        <f>Issue_Log!A292+"67\!FJ"</f>
        <v>#VALUE!</v>
      </c>
      <c r="G12" t="e">
        <f>Issue_Log!B292+"67\!FK"</f>
        <v>#VALUE!</v>
      </c>
      <c r="H12" t="e">
        <f>Issue_Log!C292+"67\!FL"</f>
        <v>#VALUE!</v>
      </c>
      <c r="I12" t="e">
        <f>Issue_Log!D292+"67\!FM"</f>
        <v>#VALUE!</v>
      </c>
      <c r="J12" t="e">
        <f>Issue_Log!E292+"67\!FN"</f>
        <v>#VALUE!</v>
      </c>
      <c r="K12" t="e">
        <f>Issue_Log!F292+"67\!FO"</f>
        <v>#VALUE!</v>
      </c>
      <c r="L12" t="e">
        <f>Issue_Log!G292+"67\!FP"</f>
        <v>#VALUE!</v>
      </c>
      <c r="M12" t="e">
        <f>Issue_Log!A293+"67\!FQ"</f>
        <v>#VALUE!</v>
      </c>
      <c r="N12" t="e">
        <f>Issue_Log!B293+"67\!FR"</f>
        <v>#VALUE!</v>
      </c>
      <c r="O12" t="e">
        <f>Issue_Log!C293+"67\!FS"</f>
        <v>#VALUE!</v>
      </c>
      <c r="P12" t="e">
        <f>Issue_Log!D293+"67\!FT"</f>
        <v>#VALUE!</v>
      </c>
      <c r="Q12" t="e">
        <f>Issue_Log!E293+"67\!FU"</f>
        <v>#VALUE!</v>
      </c>
      <c r="R12" t="e">
        <f>Issue_Log!F293+"67\!FV"</f>
        <v>#VALUE!</v>
      </c>
      <c r="S12" t="e">
        <f>Issue_Log!G293+"67\!FW"</f>
        <v>#VALUE!</v>
      </c>
      <c r="T12" t="e">
        <f>Issue_Log!A294+"67\!FX"</f>
        <v>#VALUE!</v>
      </c>
      <c r="U12" t="e">
        <f>Issue_Log!B294+"67\!FY"</f>
        <v>#VALUE!</v>
      </c>
      <c r="V12" t="e">
        <f>Issue_Log!C294+"67\!FZ"</f>
        <v>#VALUE!</v>
      </c>
      <c r="W12" t="e">
        <f>Issue_Log!D294+"67\!F["</f>
        <v>#VALUE!</v>
      </c>
      <c r="X12" t="e">
        <f>Issue_Log!E294+"67\!F\"</f>
        <v>#VALUE!</v>
      </c>
      <c r="Y12" t="e">
        <f>Issue_Log!F294+"67\!F]"</f>
        <v>#VALUE!</v>
      </c>
      <c r="Z12" t="e">
        <f>Issue_Log!G294+"67\!F^"</f>
        <v>#VALUE!</v>
      </c>
      <c r="AA12" t="e">
        <f>Issue_Log!A295+"67\!F_"</f>
        <v>#VALUE!</v>
      </c>
      <c r="AB12" t="e">
        <f>Issue_Log!B295+"67\!F`"</f>
        <v>#VALUE!</v>
      </c>
      <c r="AC12" t="e">
        <f>Issue_Log!C295+"67\!Fa"</f>
        <v>#VALUE!</v>
      </c>
      <c r="AD12" t="e">
        <f>Issue_Log!D295+"67\!Fb"</f>
        <v>#VALUE!</v>
      </c>
      <c r="AE12" t="e">
        <f>Issue_Log!E295+"67\!Fc"</f>
        <v>#VALUE!</v>
      </c>
      <c r="AF12" t="e">
        <f>Issue_Log!F295+"67\!Fd"</f>
        <v>#VALUE!</v>
      </c>
      <c r="AG12" t="e">
        <f>Issue_Log!G295+"67\!Fe"</f>
        <v>#VALUE!</v>
      </c>
      <c r="AH12" t="e">
        <f>Issue_Log!A296+"67\!Ff"</f>
        <v>#VALUE!</v>
      </c>
      <c r="AI12" t="e">
        <f>Issue_Log!B296+"67\!Fg"</f>
        <v>#VALUE!</v>
      </c>
      <c r="AJ12" t="e">
        <f>Issue_Log!C296+"67\!Fh"</f>
        <v>#VALUE!</v>
      </c>
      <c r="AK12" t="e">
        <f>Issue_Log!D296+"67\!Fi"</f>
        <v>#VALUE!</v>
      </c>
      <c r="AL12" t="e">
        <f>Issue_Log!E296+"67\!Fj"</f>
        <v>#VALUE!</v>
      </c>
      <c r="AM12" t="e">
        <f>Issue_Log!F296+"67\!Fk"</f>
        <v>#VALUE!</v>
      </c>
      <c r="AN12" t="e">
        <f>Issue_Log!G296+"67\!Fl"</f>
        <v>#VALUE!</v>
      </c>
      <c r="AO12" t="e">
        <f>Issue_Log!A297+"67\!Fm"</f>
        <v>#VALUE!</v>
      </c>
      <c r="AP12" t="e">
        <f>Issue_Log!B297+"67\!Fn"</f>
        <v>#VALUE!</v>
      </c>
      <c r="AQ12" t="e">
        <f>Issue_Log!C297+"67\!Fo"</f>
        <v>#VALUE!</v>
      </c>
      <c r="AR12" t="e">
        <f>Issue_Log!D297+"67\!Fp"</f>
        <v>#VALUE!</v>
      </c>
      <c r="AS12" t="e">
        <f>Issue_Log!E297+"67\!Fq"</f>
        <v>#VALUE!</v>
      </c>
      <c r="AT12" t="e">
        <f>Issue_Log!F297+"67\!Fr"</f>
        <v>#VALUE!</v>
      </c>
      <c r="AU12" t="e">
        <f>Issue_Log!G297+"67\!Fs"</f>
        <v>#VALUE!</v>
      </c>
      <c r="AV12" t="e">
        <f>Issue_Log!A298+"67\!Ft"</f>
        <v>#VALUE!</v>
      </c>
      <c r="AW12" t="e">
        <f>Issue_Log!B298+"67\!Fu"</f>
        <v>#VALUE!</v>
      </c>
      <c r="AX12" t="e">
        <f>Issue_Log!C298+"67\!Fv"</f>
        <v>#VALUE!</v>
      </c>
      <c r="AY12" t="e">
        <f>Issue_Log!D298+"67\!Fw"</f>
        <v>#VALUE!</v>
      </c>
      <c r="AZ12" t="e">
        <f>Issue_Log!E298+"67\!Fx"</f>
        <v>#VALUE!</v>
      </c>
      <c r="BA12" t="e">
        <f>Issue_Log!F298+"67\!Fy"</f>
        <v>#VALUE!</v>
      </c>
      <c r="BB12" t="e">
        <f>Issue_Log!G298+"67\!Fz"</f>
        <v>#VALUE!</v>
      </c>
      <c r="BC12" t="e">
        <f>Issue_Log!A299+"67\!F{"</f>
        <v>#VALUE!</v>
      </c>
      <c r="BD12" t="e">
        <f>Issue_Log!B299+"67\!F|"</f>
        <v>#VALUE!</v>
      </c>
      <c r="BE12" t="e">
        <f>Issue_Log!C299+"67\!F}"</f>
        <v>#VALUE!</v>
      </c>
      <c r="BF12" t="e">
        <f>Issue_Log!D299+"67\!F~"</f>
        <v>#VALUE!</v>
      </c>
      <c r="BG12" t="e">
        <f>Issue_Log!E299+"67\!G#"</f>
        <v>#VALUE!</v>
      </c>
      <c r="BH12" t="e">
        <f>Issue_Log!F299+"67\!G$"</f>
        <v>#VALUE!</v>
      </c>
      <c r="BI12" t="e">
        <f>Issue_Log!G299+"67\!G%"</f>
        <v>#VALUE!</v>
      </c>
      <c r="BJ12" t="e">
        <f>Issue_Log!A300+"67\!G&amp;"</f>
        <v>#VALUE!</v>
      </c>
      <c r="BK12" t="e">
        <f>Issue_Log!B300+"67\!G'"</f>
        <v>#VALUE!</v>
      </c>
      <c r="BL12" t="e">
        <f>Issue_Log!C300+"67\!G("</f>
        <v>#VALUE!</v>
      </c>
      <c r="BM12" t="e">
        <f>Issue_Log!D300+"67\!G)"</f>
        <v>#VALUE!</v>
      </c>
      <c r="BN12" t="e">
        <f>Issue_Log!E300+"67\!G."</f>
        <v>#VALUE!</v>
      </c>
      <c r="BO12" t="e">
        <f>Issue_Log!F300+"67\!G/"</f>
        <v>#VALUE!</v>
      </c>
      <c r="BP12" t="e">
        <f>Issue_Log!G300+"67\!G0"</f>
        <v>#VALUE!</v>
      </c>
      <c r="BQ12" t="e">
        <f>Issue_Log!A301+"67\!G1"</f>
        <v>#VALUE!</v>
      </c>
      <c r="BR12" t="e">
        <f>Issue_Log!B301+"67\!G2"</f>
        <v>#VALUE!</v>
      </c>
      <c r="BS12" t="e">
        <f>Issue_Log!C301+"67\!G3"</f>
        <v>#VALUE!</v>
      </c>
      <c r="BT12" t="e">
        <f>Issue_Log!D301+"67\!G4"</f>
        <v>#VALUE!</v>
      </c>
      <c r="BU12" t="e">
        <f>Issue_Log!E301+"67\!G5"</f>
        <v>#VALUE!</v>
      </c>
      <c r="BV12" t="e">
        <f>Issue_Log!F301+"67\!G6"</f>
        <v>#VALUE!</v>
      </c>
      <c r="BW12" t="e">
        <f>Issue_Log!G301+"67\!G7"</f>
        <v>#VALUE!</v>
      </c>
      <c r="BX12" t="e">
        <f>Issue_Log!A302+"67\!G8"</f>
        <v>#VALUE!</v>
      </c>
      <c r="BY12" t="e">
        <f>Issue_Log!B302+"67\!G9"</f>
        <v>#VALUE!</v>
      </c>
      <c r="BZ12" t="e">
        <f>Issue_Log!C302+"67\!G:"</f>
        <v>#VALUE!</v>
      </c>
      <c r="CA12" t="e">
        <f>Issue_Log!D302+"67\!G;"</f>
        <v>#VALUE!</v>
      </c>
      <c r="CB12" t="e">
        <f>Issue_Log!E302+"67\!G&lt;"</f>
        <v>#VALUE!</v>
      </c>
      <c r="CC12" t="e">
        <f>Issue_Log!F302+"67\!G="</f>
        <v>#VALUE!</v>
      </c>
      <c r="CD12" t="e">
        <f>Issue_Log!G302+"67\!G&gt;"</f>
        <v>#VALUE!</v>
      </c>
      <c r="CE12" t="e">
        <f>Issue_Log!A303+"67\!G?"</f>
        <v>#VALUE!</v>
      </c>
      <c r="CF12" t="e">
        <f>Issue_Log!B303+"67\!G@"</f>
        <v>#VALUE!</v>
      </c>
      <c r="CG12" t="e">
        <f>Issue_Log!C303+"67\!GA"</f>
        <v>#VALUE!</v>
      </c>
      <c r="CH12" t="e">
        <f>Issue_Log!D303+"67\!GB"</f>
        <v>#VALUE!</v>
      </c>
      <c r="CI12" t="e">
        <f>Issue_Log!E303+"67\!GC"</f>
        <v>#VALUE!</v>
      </c>
      <c r="CJ12" t="e">
        <f>Issue_Log!F303+"67\!GD"</f>
        <v>#VALUE!</v>
      </c>
      <c r="CK12" t="e">
        <f>Issue_Log!G303+"67\!GE"</f>
        <v>#VALUE!</v>
      </c>
      <c r="CL12" t="e">
        <f>Issue_Log!A304+"67\!GF"</f>
        <v>#VALUE!</v>
      </c>
      <c r="CM12" t="e">
        <f>Issue_Log!B304+"67\!GG"</f>
        <v>#VALUE!</v>
      </c>
      <c r="CN12" t="e">
        <f>Issue_Log!C304+"67\!GH"</f>
        <v>#VALUE!</v>
      </c>
      <c r="CO12" t="e">
        <f>Issue_Log!D304+"67\!GI"</f>
        <v>#VALUE!</v>
      </c>
      <c r="CP12" t="e">
        <f>Issue_Log!E304+"67\!GJ"</f>
        <v>#VALUE!</v>
      </c>
      <c r="CQ12" t="e">
        <f>Issue_Log!F304+"67\!GK"</f>
        <v>#VALUE!</v>
      </c>
      <c r="CR12" t="e">
        <f>Issue_Log!G304+"67\!GL"</f>
        <v>#VALUE!</v>
      </c>
      <c r="CS12" t="e">
        <f>Issue_Log!A305+"67\!GM"</f>
        <v>#VALUE!</v>
      </c>
      <c r="CT12" t="e">
        <f>Issue_Log!B305+"67\!GN"</f>
        <v>#VALUE!</v>
      </c>
      <c r="CU12" t="e">
        <f>Issue_Log!C305+"67\!GO"</f>
        <v>#VALUE!</v>
      </c>
      <c r="CV12" t="e">
        <f>Issue_Log!D305+"67\!GP"</f>
        <v>#VALUE!</v>
      </c>
      <c r="CW12" t="e">
        <f>Issue_Log!E305+"67\!GQ"</f>
        <v>#VALUE!</v>
      </c>
      <c r="CX12" t="e">
        <f>Issue_Log!F305+"67\!GR"</f>
        <v>#VALUE!</v>
      </c>
      <c r="CY12" t="e">
        <f>Issue_Log!G305+"67\!GS"</f>
        <v>#VALUE!</v>
      </c>
      <c r="CZ12" t="e">
        <f>Issue_Log!A306+"67\!GT"</f>
        <v>#VALUE!</v>
      </c>
      <c r="DA12" t="e">
        <f>Issue_Log!B306+"67\!GU"</f>
        <v>#VALUE!</v>
      </c>
      <c r="DB12" t="e">
        <f>Issue_Log!C306+"67\!GV"</f>
        <v>#VALUE!</v>
      </c>
      <c r="DC12" t="e">
        <f>Issue_Log!D306+"67\!GW"</f>
        <v>#VALUE!</v>
      </c>
      <c r="DD12" t="e">
        <f>Issue_Log!E306+"67\!GX"</f>
        <v>#VALUE!</v>
      </c>
      <c r="DE12" t="e">
        <f>Issue_Log!F306+"67\!GY"</f>
        <v>#VALUE!</v>
      </c>
      <c r="DF12" t="e">
        <f>Issue_Log!G306+"67\!GZ"</f>
        <v>#VALUE!</v>
      </c>
      <c r="DG12" t="e">
        <f>Issue_Log!A307+"67\!G["</f>
        <v>#VALUE!</v>
      </c>
      <c r="DH12" t="e">
        <f>Issue_Log!B307+"67\!G\"</f>
        <v>#VALUE!</v>
      </c>
      <c r="DI12" t="e">
        <f>Issue_Log!C307+"67\!G]"</f>
        <v>#VALUE!</v>
      </c>
      <c r="DJ12" t="e">
        <f>Issue_Log!D307+"67\!G^"</f>
        <v>#VALUE!</v>
      </c>
      <c r="DK12" t="e">
        <f>Issue_Log!E307+"67\!G_"</f>
        <v>#VALUE!</v>
      </c>
      <c r="DL12" t="e">
        <f>Issue_Log!F307+"67\!G`"</f>
        <v>#VALUE!</v>
      </c>
      <c r="DM12" t="e">
        <f>Issue_Log!G307+"67\!Ga"</f>
        <v>#VALUE!</v>
      </c>
      <c r="DN12" t="e">
        <f>Issue_Log!A308+"67\!Gb"</f>
        <v>#VALUE!</v>
      </c>
      <c r="DO12" t="e">
        <f>Issue_Log!B308+"67\!Gc"</f>
        <v>#VALUE!</v>
      </c>
      <c r="DP12" t="e">
        <f>Issue_Log!C308+"67\!Gd"</f>
        <v>#VALUE!</v>
      </c>
      <c r="DQ12" t="e">
        <f>Issue_Log!D308+"67\!Ge"</f>
        <v>#VALUE!</v>
      </c>
      <c r="DR12" t="e">
        <f>Issue_Log!E308+"67\!Gf"</f>
        <v>#VALUE!</v>
      </c>
      <c r="DS12" t="e">
        <f>Issue_Log!F308+"67\!Gg"</f>
        <v>#VALUE!</v>
      </c>
      <c r="DT12" t="e">
        <f>Issue_Log!G308+"67\!Gh"</f>
        <v>#VALUE!</v>
      </c>
      <c r="DU12" t="e">
        <f>Issue_Log!A309+"67\!Gi"</f>
        <v>#VALUE!</v>
      </c>
      <c r="DV12" t="e">
        <f>Issue_Log!B309+"67\!Gj"</f>
        <v>#VALUE!</v>
      </c>
      <c r="DW12" t="e">
        <f>Issue_Log!C309+"67\!Gk"</f>
        <v>#VALUE!</v>
      </c>
      <c r="DX12" t="e">
        <f>Issue_Log!D309+"67\!Gl"</f>
        <v>#VALUE!</v>
      </c>
      <c r="DY12" t="e">
        <f>Issue_Log!E309+"67\!Gm"</f>
        <v>#VALUE!</v>
      </c>
      <c r="DZ12" t="e">
        <f>Issue_Log!F309+"67\!Gn"</f>
        <v>#VALUE!</v>
      </c>
      <c r="EA12" t="e">
        <f>Issue_Log!G309+"67\!Go"</f>
        <v>#VALUE!</v>
      </c>
      <c r="EB12" t="e">
        <f>Issue_Log!A310+"67\!Gp"</f>
        <v>#VALUE!</v>
      </c>
      <c r="EC12" t="e">
        <f>Issue_Log!B310+"67\!Gq"</f>
        <v>#VALUE!</v>
      </c>
      <c r="ED12" t="e">
        <f>Issue_Log!C310+"67\!Gr"</f>
        <v>#VALUE!</v>
      </c>
      <c r="EE12" t="e">
        <f>Issue_Log!D310+"67\!Gs"</f>
        <v>#VALUE!</v>
      </c>
      <c r="EF12" t="e">
        <f>Issue_Log!E310+"67\!Gt"</f>
        <v>#VALUE!</v>
      </c>
      <c r="EG12" t="e">
        <f>Issue_Log!F310+"67\!Gu"</f>
        <v>#VALUE!</v>
      </c>
      <c r="EH12" t="e">
        <f>Issue_Log!G310+"67\!Gv"</f>
        <v>#VALUE!</v>
      </c>
      <c r="EI12" t="e">
        <f>Issue_Log!A311+"67\!Gw"</f>
        <v>#VALUE!</v>
      </c>
      <c r="EJ12" t="e">
        <f>Issue_Log!B311+"67\!Gx"</f>
        <v>#VALUE!</v>
      </c>
      <c r="EK12" t="e">
        <f>Issue_Log!C311+"67\!Gy"</f>
        <v>#VALUE!</v>
      </c>
      <c r="EL12" t="e">
        <f>Issue_Log!D311+"67\!Gz"</f>
        <v>#VALUE!</v>
      </c>
      <c r="EM12" t="e">
        <f>Issue_Log!E311+"67\!G{"</f>
        <v>#VALUE!</v>
      </c>
      <c r="EN12" t="e">
        <f>Issue_Log!F311+"67\!G|"</f>
        <v>#VALUE!</v>
      </c>
      <c r="EO12" t="e">
        <f>Issue_Log!G311+"67\!G}"</f>
        <v>#VALUE!</v>
      </c>
      <c r="EP12" t="e">
        <f>Issue_Log!A312+"67\!G~"</f>
        <v>#VALUE!</v>
      </c>
      <c r="EQ12" t="e">
        <f>Issue_Log!B312+"67\!H#"</f>
        <v>#VALUE!</v>
      </c>
      <c r="ER12" t="e">
        <f>Issue_Log!C312+"67\!H$"</f>
        <v>#VALUE!</v>
      </c>
      <c r="ES12" t="e">
        <f>Issue_Log!D312+"67\!H%"</f>
        <v>#VALUE!</v>
      </c>
      <c r="ET12" t="e">
        <f>Issue_Log!E312+"67\!H&amp;"</f>
        <v>#VALUE!</v>
      </c>
      <c r="EU12" t="e">
        <f>Issue_Log!F312+"67\!H'"</f>
        <v>#VALUE!</v>
      </c>
      <c r="EV12" t="e">
        <f>Issue_Log!G312+"67\!H("</f>
        <v>#VALUE!</v>
      </c>
      <c r="EW12" t="e">
        <f>Issue_Log!A313+"67\!H)"</f>
        <v>#VALUE!</v>
      </c>
      <c r="EX12" t="e">
        <f>Issue_Log!B313+"67\!H."</f>
        <v>#VALUE!</v>
      </c>
      <c r="EY12" t="e">
        <f>Issue_Log!C313+"67\!H/"</f>
        <v>#VALUE!</v>
      </c>
      <c r="EZ12" t="e">
        <f>Issue_Log!D313+"67\!H0"</f>
        <v>#VALUE!</v>
      </c>
      <c r="FA12" t="e">
        <f>Issue_Log!E313+"67\!H1"</f>
        <v>#VALUE!</v>
      </c>
      <c r="FB12" t="e">
        <f>Issue_Log!F313+"67\!H2"</f>
        <v>#VALUE!</v>
      </c>
      <c r="FC12" t="e">
        <f>Issue_Log!G313+"67\!H3"</f>
        <v>#VALUE!</v>
      </c>
      <c r="FD12" t="e">
        <f>Issue_Log!A314+"67\!H4"</f>
        <v>#VALUE!</v>
      </c>
      <c r="FE12" t="e">
        <f>Issue_Log!B314+"67\!H5"</f>
        <v>#VALUE!</v>
      </c>
      <c r="FF12" t="e">
        <f>Issue_Log!C314+"67\!H6"</f>
        <v>#VALUE!</v>
      </c>
      <c r="FG12" t="e">
        <f>Issue_Log!D314+"67\!H7"</f>
        <v>#VALUE!</v>
      </c>
      <c r="FH12" t="e">
        <f>Issue_Log!E314+"67\!H8"</f>
        <v>#VALUE!</v>
      </c>
      <c r="FI12" t="e">
        <f>Issue_Log!F314+"67\!H9"</f>
        <v>#VALUE!</v>
      </c>
      <c r="FJ12" t="e">
        <f>Issue_Log!G314+"67\!H:"</f>
        <v>#VALUE!</v>
      </c>
      <c r="FK12" t="e">
        <f>Issue_Log!A315+"67\!H;"</f>
        <v>#VALUE!</v>
      </c>
      <c r="FL12" t="e">
        <f>Issue_Log!B315+"67\!H&lt;"</f>
        <v>#VALUE!</v>
      </c>
      <c r="FM12" t="e">
        <f>Issue_Log!C315+"67\!H="</f>
        <v>#VALUE!</v>
      </c>
      <c r="FN12" t="e">
        <f>Issue_Log!D315+"67\!H&gt;"</f>
        <v>#VALUE!</v>
      </c>
      <c r="FO12" t="e">
        <f>Issue_Log!E315+"67\!H?"</f>
        <v>#VALUE!</v>
      </c>
      <c r="FP12" t="e">
        <f>Issue_Log!F315+"67\!H@"</f>
        <v>#VALUE!</v>
      </c>
      <c r="FQ12" t="e">
        <f>Issue_Log!G315+"67\!HA"</f>
        <v>#VALUE!</v>
      </c>
      <c r="FR12" t="e">
        <f>Issue_Log!A316+"67\!HB"</f>
        <v>#VALUE!</v>
      </c>
      <c r="FS12" t="e">
        <f>Issue_Log!B316+"67\!HC"</f>
        <v>#VALUE!</v>
      </c>
      <c r="FT12" t="e">
        <f>Issue_Log!C316+"67\!HD"</f>
        <v>#VALUE!</v>
      </c>
      <c r="FU12" t="e">
        <f>Issue_Log!D316+"67\!HE"</f>
        <v>#VALUE!</v>
      </c>
      <c r="FV12" t="e">
        <f>Issue_Log!E316+"67\!HF"</f>
        <v>#VALUE!</v>
      </c>
      <c r="FW12" t="e">
        <f>Issue_Log!F316+"67\!HG"</f>
        <v>#VALUE!</v>
      </c>
      <c r="FX12" t="e">
        <f>Issue_Log!G316+"67\!HH"</f>
        <v>#VALUE!</v>
      </c>
      <c r="FY12" t="e">
        <f>Issue_Log!A317+"67\!HI"</f>
        <v>#VALUE!</v>
      </c>
      <c r="FZ12" t="e">
        <f>Issue_Log!B317+"67\!HJ"</f>
        <v>#VALUE!</v>
      </c>
      <c r="GA12" t="e">
        <f>Issue_Log!C317+"67\!HK"</f>
        <v>#VALUE!</v>
      </c>
      <c r="GB12" t="e">
        <f>Issue_Log!D317+"67\!HL"</f>
        <v>#VALUE!</v>
      </c>
      <c r="GC12" t="e">
        <f>Issue_Log!E317+"67\!HM"</f>
        <v>#VALUE!</v>
      </c>
      <c r="GD12" t="e">
        <f>Issue_Log!F317+"67\!HN"</f>
        <v>#VALUE!</v>
      </c>
      <c r="GE12" t="e">
        <f>Issue_Log!G317+"67\!HO"</f>
        <v>#VALUE!</v>
      </c>
      <c r="GF12" t="e">
        <f>Issue_Log!A318+"67\!HP"</f>
        <v>#VALUE!</v>
      </c>
      <c r="GG12" t="e">
        <f>Issue_Log!B318+"67\!HQ"</f>
        <v>#VALUE!</v>
      </c>
      <c r="GH12" t="e">
        <f>Issue_Log!C318+"67\!HR"</f>
        <v>#VALUE!</v>
      </c>
      <c r="GI12" t="e">
        <f>Issue_Log!D318+"67\!HS"</f>
        <v>#VALUE!</v>
      </c>
      <c r="GJ12" t="e">
        <f>Issue_Log!E318+"67\!HT"</f>
        <v>#VALUE!</v>
      </c>
      <c r="GK12" t="e">
        <f>Issue_Log!F318+"67\!HU"</f>
        <v>#VALUE!</v>
      </c>
      <c r="GL12" t="e">
        <f>Issue_Log!G318+"67\!HV"</f>
        <v>#VALUE!</v>
      </c>
      <c r="GM12" t="e">
        <f>Issue_Log!A319+"67\!HW"</f>
        <v>#VALUE!</v>
      </c>
      <c r="GN12" t="e">
        <f>Issue_Log!B319+"67\!HX"</f>
        <v>#VALUE!</v>
      </c>
      <c r="GO12" t="e">
        <f>Issue_Log!C319+"67\!HY"</f>
        <v>#VALUE!</v>
      </c>
      <c r="GP12" t="e">
        <f>Issue_Log!D319+"67\!HZ"</f>
        <v>#VALUE!</v>
      </c>
      <c r="GQ12" t="e">
        <f>Issue_Log!E319+"67\!H["</f>
        <v>#VALUE!</v>
      </c>
      <c r="GR12" t="e">
        <f>Issue_Log!F319+"67\!H\"</f>
        <v>#VALUE!</v>
      </c>
      <c r="GS12" t="e">
        <f>Issue_Log!G319+"67\!H]"</f>
        <v>#VALUE!</v>
      </c>
      <c r="GT12" t="e">
        <f>Issue_Log!A320+"67\!H^"</f>
        <v>#VALUE!</v>
      </c>
      <c r="GU12" t="e">
        <f>Issue_Log!B320+"67\!H_"</f>
        <v>#VALUE!</v>
      </c>
      <c r="GV12" t="e">
        <f>Issue_Log!C320+"67\!H`"</f>
        <v>#VALUE!</v>
      </c>
      <c r="GW12" t="e">
        <f>Issue_Log!D320+"67\!Ha"</f>
        <v>#VALUE!</v>
      </c>
      <c r="GX12" t="e">
        <f>Issue_Log!E320+"67\!Hb"</f>
        <v>#VALUE!</v>
      </c>
      <c r="GY12" t="e">
        <f>Issue_Log!F320+"67\!Hc"</f>
        <v>#VALUE!</v>
      </c>
      <c r="GZ12" t="e">
        <f>Issue_Log!G320+"67\!Hd"</f>
        <v>#VALUE!</v>
      </c>
      <c r="HA12" t="e">
        <f>Issue_Log!A321+"67\!He"</f>
        <v>#VALUE!</v>
      </c>
      <c r="HB12" t="e">
        <f>Issue_Log!B321+"67\!Hf"</f>
        <v>#VALUE!</v>
      </c>
      <c r="HC12" t="e">
        <f>Issue_Log!C321+"67\!Hg"</f>
        <v>#VALUE!</v>
      </c>
      <c r="HD12" t="e">
        <f>Issue_Log!D321+"67\!Hh"</f>
        <v>#VALUE!</v>
      </c>
      <c r="HE12" t="e">
        <f>Issue_Log!E321+"67\!Hi"</f>
        <v>#VALUE!</v>
      </c>
      <c r="HF12" t="e">
        <f>Issue_Log!F321+"67\!Hj"</f>
        <v>#VALUE!</v>
      </c>
      <c r="HG12" t="e">
        <f>Issue_Log!G321+"67\!Hk"</f>
        <v>#VALUE!</v>
      </c>
      <c r="HH12" t="e">
        <f>Issue_Log!A322+"67\!Hl"</f>
        <v>#VALUE!</v>
      </c>
      <c r="HI12" t="e">
        <f>Issue_Log!B322+"67\!Hm"</f>
        <v>#VALUE!</v>
      </c>
      <c r="HJ12" t="e">
        <f>Issue_Log!C322+"67\!Hn"</f>
        <v>#VALUE!</v>
      </c>
      <c r="HK12" t="e">
        <f>Issue_Log!D322+"67\!Ho"</f>
        <v>#VALUE!</v>
      </c>
      <c r="HL12" t="e">
        <f>Issue_Log!E322+"67\!Hp"</f>
        <v>#VALUE!</v>
      </c>
      <c r="HM12" t="e">
        <f>Issue_Log!F322+"67\!Hq"</f>
        <v>#VALUE!</v>
      </c>
      <c r="HN12" t="e">
        <f>Issue_Log!G322+"67\!Hr"</f>
        <v>#VALUE!</v>
      </c>
      <c r="HO12" t="e">
        <f>Issue_Log!A323+"67\!Hs"</f>
        <v>#VALUE!</v>
      </c>
      <c r="HP12" t="e">
        <f>Issue_Log!B323+"67\!Ht"</f>
        <v>#VALUE!</v>
      </c>
      <c r="HQ12" t="e">
        <f>Issue_Log!C323+"67\!Hu"</f>
        <v>#VALUE!</v>
      </c>
      <c r="HR12" t="e">
        <f>Issue_Log!D323+"67\!Hv"</f>
        <v>#VALUE!</v>
      </c>
      <c r="HS12" t="e">
        <f>Issue_Log!E323+"67\!Hw"</f>
        <v>#VALUE!</v>
      </c>
      <c r="HT12" t="e">
        <f>Issue_Log!F323+"67\!Hx"</f>
        <v>#VALUE!</v>
      </c>
      <c r="HU12" t="e">
        <f>Issue_Log!G323+"67\!Hy"</f>
        <v>#VALUE!</v>
      </c>
      <c r="HV12" t="e">
        <f>Issue_Log!A324+"67\!Hz"</f>
        <v>#VALUE!</v>
      </c>
      <c r="HW12" t="e">
        <f>Issue_Log!B324+"67\!H{"</f>
        <v>#VALUE!</v>
      </c>
      <c r="HX12" t="e">
        <f>Issue_Log!C324+"67\!H|"</f>
        <v>#VALUE!</v>
      </c>
      <c r="HY12" t="e">
        <f>Issue_Log!D324+"67\!H}"</f>
        <v>#VALUE!</v>
      </c>
      <c r="HZ12" t="e">
        <f>Issue_Log!E324+"67\!H~"</f>
        <v>#VALUE!</v>
      </c>
      <c r="IA12" t="e">
        <f>Issue_Log!F324+"67\!I#"</f>
        <v>#VALUE!</v>
      </c>
      <c r="IB12" t="e">
        <f>Issue_Log!G324+"67\!I$"</f>
        <v>#VALUE!</v>
      </c>
      <c r="IC12" t="e">
        <f>Issue_Log!A325+"67\!I%"</f>
        <v>#VALUE!</v>
      </c>
      <c r="ID12" t="e">
        <f>Issue_Log!B325+"67\!I&amp;"</f>
        <v>#VALUE!</v>
      </c>
      <c r="IE12" t="e">
        <f>Issue_Log!C325+"67\!I'"</f>
        <v>#VALUE!</v>
      </c>
      <c r="IF12" t="e">
        <f>Issue_Log!D325+"67\!I("</f>
        <v>#VALUE!</v>
      </c>
      <c r="IG12" t="e">
        <f>Issue_Log!E325+"67\!I)"</f>
        <v>#VALUE!</v>
      </c>
      <c r="IH12" t="e">
        <f>Issue_Log!F325+"67\!I."</f>
        <v>#VALUE!</v>
      </c>
      <c r="II12" t="e">
        <f>Issue_Log!G325+"67\!I/"</f>
        <v>#VALUE!</v>
      </c>
      <c r="IJ12" t="e">
        <f>Issue_Log!A326+"67\!I0"</f>
        <v>#VALUE!</v>
      </c>
      <c r="IK12" t="e">
        <f>Issue_Log!B326+"67\!I1"</f>
        <v>#VALUE!</v>
      </c>
      <c r="IL12" t="e">
        <f>Issue_Log!C326+"67\!I2"</f>
        <v>#VALUE!</v>
      </c>
      <c r="IM12" t="e">
        <f>Issue_Log!D326+"67\!I3"</f>
        <v>#VALUE!</v>
      </c>
      <c r="IN12" t="e">
        <f>Issue_Log!E326+"67\!I4"</f>
        <v>#VALUE!</v>
      </c>
      <c r="IO12" t="e">
        <f>Issue_Log!F326+"67\!I5"</f>
        <v>#VALUE!</v>
      </c>
      <c r="IP12" t="e">
        <f>Issue_Log!G326+"67\!I6"</f>
        <v>#VALUE!</v>
      </c>
      <c r="IQ12" t="e">
        <f>Issue_Log!A327+"67\!I7"</f>
        <v>#VALUE!</v>
      </c>
      <c r="IR12" t="e">
        <f>Issue_Log!B327+"67\!I8"</f>
        <v>#VALUE!</v>
      </c>
      <c r="IS12" t="e">
        <f>Issue_Log!C327+"67\!I9"</f>
        <v>#VALUE!</v>
      </c>
      <c r="IT12" t="e">
        <f>Issue_Log!D327+"67\!I:"</f>
        <v>#VALUE!</v>
      </c>
      <c r="IU12" t="e">
        <f>Issue_Log!E327+"67\!I;"</f>
        <v>#VALUE!</v>
      </c>
      <c r="IV12" t="e">
        <f>Issue_Log!F327+"67\!I&lt;"</f>
        <v>#VALUE!</v>
      </c>
    </row>
    <row r="13" spans="1:256" x14ac:dyDescent="0.15">
      <c r="F13" t="e">
        <f>Issue_Log!G327+"67\!I="</f>
        <v>#VALUE!</v>
      </c>
      <c r="G13" t="e">
        <f>Issue_Log!A328+"67\!I&gt;"</f>
        <v>#VALUE!</v>
      </c>
      <c r="H13" t="e">
        <f>Issue_Log!B328+"67\!I?"</f>
        <v>#VALUE!</v>
      </c>
      <c r="I13" t="e">
        <f>Issue_Log!C328+"67\!I@"</f>
        <v>#VALUE!</v>
      </c>
      <c r="J13" t="e">
        <f>Issue_Log!D328+"67\!IA"</f>
        <v>#VALUE!</v>
      </c>
      <c r="K13" t="e">
        <f>Issue_Log!E328+"67\!IB"</f>
        <v>#VALUE!</v>
      </c>
      <c r="L13" t="e">
        <f>Issue_Log!F328+"67\!IC"</f>
        <v>#VALUE!</v>
      </c>
      <c r="M13" t="e">
        <f>Issue_Log!G328+"67\!ID"</f>
        <v>#VALUE!</v>
      </c>
      <c r="N13" t="e">
        <f>Issue_Log!A329+"67\!IE"</f>
        <v>#VALUE!</v>
      </c>
      <c r="O13" t="e">
        <f>Issue_Log!B329+"67\!IF"</f>
        <v>#VALUE!</v>
      </c>
      <c r="P13" t="e">
        <f>Issue_Log!C329+"67\!IG"</f>
        <v>#VALUE!</v>
      </c>
      <c r="Q13" t="e">
        <f>Issue_Log!D329+"67\!IH"</f>
        <v>#VALUE!</v>
      </c>
      <c r="R13" t="e">
        <f>Issue_Log!E329+"67\!II"</f>
        <v>#VALUE!</v>
      </c>
      <c r="S13" t="e">
        <f>Issue_Log!F329+"67\!IJ"</f>
        <v>#VALUE!</v>
      </c>
      <c r="T13" t="e">
        <f>Issue_Log!G329+"67\!IK"</f>
        <v>#VALUE!</v>
      </c>
      <c r="U13" t="e">
        <f>Issue_Log!A330+"67\!IL"</f>
        <v>#VALUE!</v>
      </c>
      <c r="V13" t="e">
        <f>Issue_Log!B330+"67\!IM"</f>
        <v>#VALUE!</v>
      </c>
      <c r="W13" t="e">
        <f>Issue_Log!C330+"67\!IN"</f>
        <v>#VALUE!</v>
      </c>
      <c r="X13" t="e">
        <f>Issue_Log!D330+"67\!IO"</f>
        <v>#VALUE!</v>
      </c>
      <c r="Y13" t="e">
        <f>Issue_Log!E330+"67\!IP"</f>
        <v>#VALUE!</v>
      </c>
      <c r="Z13" t="e">
        <f>Issue_Log!F330+"67\!IQ"</f>
        <v>#VALUE!</v>
      </c>
      <c r="AA13" t="e">
        <f>Issue_Log!G330+"67\!IR"</f>
        <v>#VALUE!</v>
      </c>
      <c r="AB13" t="e">
        <f>Issue_Log!A331+"67\!IS"</f>
        <v>#VALUE!</v>
      </c>
      <c r="AC13" t="e">
        <f>Issue_Log!B331+"67\!IT"</f>
        <v>#VALUE!</v>
      </c>
      <c r="AD13" t="e">
        <f>Issue_Log!C331+"67\!IU"</f>
        <v>#VALUE!</v>
      </c>
      <c r="AE13" t="e">
        <f>Issue_Log!D331+"67\!IV"</f>
        <v>#VALUE!</v>
      </c>
      <c r="AF13" t="e">
        <f>Issue_Log!E331+"67\!IW"</f>
        <v>#VALUE!</v>
      </c>
      <c r="AG13" t="e">
        <f>Issue_Log!F331+"67\!IX"</f>
        <v>#VALUE!</v>
      </c>
      <c r="AH13" t="e">
        <f>Issue_Log!G331+"67\!IY"</f>
        <v>#VALUE!</v>
      </c>
      <c r="AI13" t="e">
        <f>Issue_Log!A332+"67\!IZ"</f>
        <v>#VALUE!</v>
      </c>
      <c r="AJ13" t="e">
        <f>Issue_Log!B332+"67\!I["</f>
        <v>#VALUE!</v>
      </c>
      <c r="AK13" t="e">
        <f>Issue_Log!C332+"67\!I\"</f>
        <v>#VALUE!</v>
      </c>
      <c r="AL13" t="e">
        <f>Issue_Log!D332+"67\!I]"</f>
        <v>#VALUE!</v>
      </c>
      <c r="AM13" t="e">
        <f>Issue_Log!E332+"67\!I^"</f>
        <v>#VALUE!</v>
      </c>
      <c r="AN13" t="e">
        <f>Issue_Log!F332+"67\!I_"</f>
        <v>#VALUE!</v>
      </c>
      <c r="AO13" t="e">
        <f>Issue_Log!G332+"67\!I`"</f>
        <v>#VALUE!</v>
      </c>
      <c r="AP13" t="e">
        <f>Issue_Log!A333+"67\!Ia"</f>
        <v>#VALUE!</v>
      </c>
      <c r="AQ13" t="e">
        <f>Issue_Log!B333+"67\!Ib"</f>
        <v>#VALUE!</v>
      </c>
      <c r="AR13" t="e">
        <f>Issue_Log!C333+"67\!Ic"</f>
        <v>#VALUE!</v>
      </c>
      <c r="AS13" t="e">
        <f>Issue_Log!D333+"67\!Id"</f>
        <v>#VALUE!</v>
      </c>
      <c r="AT13" t="e">
        <f>Issue_Log!E333+"67\!Ie"</f>
        <v>#VALUE!</v>
      </c>
      <c r="AU13" t="e">
        <f>Issue_Log!F333+"67\!If"</f>
        <v>#VALUE!</v>
      </c>
      <c r="AV13" t="e">
        <f>Issue_Log!G333+"67\!Ig"</f>
        <v>#VALUE!</v>
      </c>
      <c r="AW13" t="e">
        <f>Issue_Log!A334+"67\!Ih"</f>
        <v>#VALUE!</v>
      </c>
      <c r="AX13" t="e">
        <f>Issue_Log!B334+"67\!Ii"</f>
        <v>#VALUE!</v>
      </c>
      <c r="AY13" t="e">
        <f>Issue_Log!C334+"67\!Ij"</f>
        <v>#VALUE!</v>
      </c>
      <c r="AZ13" t="e">
        <f>Issue_Log!D334+"67\!Ik"</f>
        <v>#VALUE!</v>
      </c>
      <c r="BA13" t="e">
        <f>Issue_Log!E334+"67\!Il"</f>
        <v>#VALUE!</v>
      </c>
      <c r="BB13" t="e">
        <f>Issue_Log!F334+"67\!Im"</f>
        <v>#VALUE!</v>
      </c>
      <c r="BC13" t="e">
        <f>Issue_Log!G334+"67\!In"</f>
        <v>#VALUE!</v>
      </c>
      <c r="BD13" t="e">
        <f>Issue_Log!A335+"67\!Io"</f>
        <v>#VALUE!</v>
      </c>
      <c r="BE13" t="e">
        <f>Issue_Log!B335+"67\!Ip"</f>
        <v>#VALUE!</v>
      </c>
      <c r="BF13" t="e">
        <f>Issue_Log!C335+"67\!Iq"</f>
        <v>#VALUE!</v>
      </c>
      <c r="BG13" t="e">
        <f>Issue_Log!D335+"67\!Ir"</f>
        <v>#VALUE!</v>
      </c>
      <c r="BH13" t="e">
        <f>Issue_Log!E335+"67\!Is"</f>
        <v>#VALUE!</v>
      </c>
      <c r="BI13" t="e">
        <f>Issue_Log!F335+"67\!It"</f>
        <v>#VALUE!</v>
      </c>
      <c r="BJ13" t="e">
        <f>Issue_Log!G335+"67\!Iu"</f>
        <v>#VALUE!</v>
      </c>
      <c r="BK13" t="e">
        <f>Issue_Log!A336+"67\!Iv"</f>
        <v>#VALUE!</v>
      </c>
      <c r="BL13" t="e">
        <f>Issue_Log!B336+"67\!Iw"</f>
        <v>#VALUE!</v>
      </c>
      <c r="BM13" t="e">
        <f>Issue_Log!C336+"67\!Ix"</f>
        <v>#VALUE!</v>
      </c>
      <c r="BN13" t="e">
        <f>Issue_Log!D336+"67\!Iy"</f>
        <v>#VALUE!</v>
      </c>
      <c r="BO13" t="e">
        <f>Issue_Log!E336+"67\!Iz"</f>
        <v>#VALUE!</v>
      </c>
      <c r="BP13" t="e">
        <f>Issue_Log!F336+"67\!I{"</f>
        <v>#VALUE!</v>
      </c>
      <c r="BQ13" t="e">
        <f>Issue_Log!G336+"67\!I|"</f>
        <v>#VALUE!</v>
      </c>
      <c r="BR13" t="e">
        <f>Issue_Log!A337+"67\!I}"</f>
        <v>#VALUE!</v>
      </c>
      <c r="BS13" t="e">
        <f>Issue_Log!B337+"67\!I~"</f>
        <v>#VALUE!</v>
      </c>
      <c r="BT13" t="e">
        <f>Issue_Log!C337+"67\!J#"</f>
        <v>#VALUE!</v>
      </c>
      <c r="BU13" t="e">
        <f>Issue_Log!D337+"67\!J$"</f>
        <v>#VALUE!</v>
      </c>
      <c r="BV13" t="e">
        <f>Issue_Log!E337+"67\!J%"</f>
        <v>#VALUE!</v>
      </c>
      <c r="BW13" t="e">
        <f>Issue_Log!F337+"67\!J&amp;"</f>
        <v>#VALUE!</v>
      </c>
      <c r="BX13" t="e">
        <f>Issue_Log!G337+"67\!J'"</f>
        <v>#VALUE!</v>
      </c>
      <c r="BY13" t="e">
        <f>Issue_Log!A338+"67\!J("</f>
        <v>#VALUE!</v>
      </c>
      <c r="BZ13" t="e">
        <f>Issue_Log!B338+"67\!J)"</f>
        <v>#VALUE!</v>
      </c>
      <c r="CA13" t="e">
        <f>Issue_Log!C338+"67\!J."</f>
        <v>#VALUE!</v>
      </c>
      <c r="CB13" t="e">
        <f>Issue_Log!D338+"67\!J/"</f>
        <v>#VALUE!</v>
      </c>
      <c r="CC13" t="e">
        <f>Issue_Log!E338+"67\!J0"</f>
        <v>#VALUE!</v>
      </c>
      <c r="CD13" t="e">
        <f>Issue_Log!F338+"67\!J1"</f>
        <v>#VALUE!</v>
      </c>
      <c r="CE13" t="e">
        <f>Issue_Log!G338+"67\!J2"</f>
        <v>#VALUE!</v>
      </c>
      <c r="CF13" t="e">
        <f>Issue_Log!A339+"67\!J3"</f>
        <v>#VALUE!</v>
      </c>
      <c r="CG13" t="e">
        <f>Issue_Log!B339+"67\!J4"</f>
        <v>#VALUE!</v>
      </c>
      <c r="CH13" t="e">
        <f>Issue_Log!C339+"67\!J5"</f>
        <v>#VALUE!</v>
      </c>
      <c r="CI13" t="e">
        <f>Issue_Log!D339+"67\!J6"</f>
        <v>#VALUE!</v>
      </c>
      <c r="CJ13" t="e">
        <f>Issue_Log!E339+"67\!J7"</f>
        <v>#VALUE!</v>
      </c>
      <c r="CK13" t="e">
        <f>Issue_Log!F339+"67\!J8"</f>
        <v>#VALUE!</v>
      </c>
      <c r="CL13" t="e">
        <f>Issue_Log!G339+"67\!J9"</f>
        <v>#VALUE!</v>
      </c>
      <c r="CM13" t="e">
        <f>Issue_Log!A340+"67\!J:"</f>
        <v>#VALUE!</v>
      </c>
      <c r="CN13" t="e">
        <f>Issue_Log!B340+"67\!J;"</f>
        <v>#VALUE!</v>
      </c>
      <c r="CO13" t="e">
        <f>Issue_Log!C340+"67\!J&lt;"</f>
        <v>#VALUE!</v>
      </c>
      <c r="CP13" t="e">
        <f>Issue_Log!D340+"67\!J="</f>
        <v>#VALUE!</v>
      </c>
      <c r="CQ13" t="e">
        <f>Issue_Log!E340+"67\!J&gt;"</f>
        <v>#VALUE!</v>
      </c>
      <c r="CR13" t="e">
        <f>Issue_Log!F340+"67\!J?"</f>
        <v>#VALUE!</v>
      </c>
      <c r="CS13" t="e">
        <f>Issue_Log!G340+"67\!J@"</f>
        <v>#VALUE!</v>
      </c>
      <c r="CT13" t="e">
        <f>Issue_Log!A341+"67\!JA"</f>
        <v>#VALUE!</v>
      </c>
      <c r="CU13" t="e">
        <f>Issue_Log!B341+"67\!JB"</f>
        <v>#VALUE!</v>
      </c>
      <c r="CV13" t="e">
        <f>Issue_Log!C341+"67\!JC"</f>
        <v>#VALUE!</v>
      </c>
      <c r="CW13" t="e">
        <f>Issue_Log!D341+"67\!JD"</f>
        <v>#VALUE!</v>
      </c>
      <c r="CX13" t="e">
        <f>Issue_Log!E341+"67\!JE"</f>
        <v>#VALUE!</v>
      </c>
      <c r="CY13" t="e">
        <f>Issue_Log!F341+"67\!JF"</f>
        <v>#VALUE!</v>
      </c>
      <c r="CZ13" t="e">
        <f>Issue_Log!G341+"67\!JG"</f>
        <v>#VALUE!</v>
      </c>
      <c r="DA13" t="e">
        <f>Issue_Log!A342+"67\!JH"</f>
        <v>#VALUE!</v>
      </c>
      <c r="DB13" t="e">
        <f>Issue_Log!B342+"67\!JI"</f>
        <v>#VALUE!</v>
      </c>
      <c r="DC13" t="e">
        <f>Issue_Log!C342+"67\!JJ"</f>
        <v>#VALUE!</v>
      </c>
      <c r="DD13" t="e">
        <f>Issue_Log!D342+"67\!JK"</f>
        <v>#VALUE!</v>
      </c>
      <c r="DE13" t="e">
        <f>Issue_Log!E342+"67\!JL"</f>
        <v>#VALUE!</v>
      </c>
      <c r="DF13" t="e">
        <f>Issue_Log!F342+"67\!JM"</f>
        <v>#VALUE!</v>
      </c>
      <c r="DG13" t="e">
        <f>Issue_Log!G342+"67\!JN"</f>
        <v>#VALUE!</v>
      </c>
      <c r="DH13" t="e">
        <f>Issue_Log!A343+"67\!JO"</f>
        <v>#VALUE!</v>
      </c>
      <c r="DI13" t="e">
        <f>Issue_Log!B343+"67\!JP"</f>
        <v>#VALUE!</v>
      </c>
      <c r="DJ13" t="e">
        <f>Issue_Log!C343+"67\!JQ"</f>
        <v>#VALUE!</v>
      </c>
      <c r="DK13" t="e">
        <f>Issue_Log!D343+"67\!JR"</f>
        <v>#VALUE!</v>
      </c>
      <c r="DL13" t="e">
        <f>Issue_Log!E343+"67\!JS"</f>
        <v>#VALUE!</v>
      </c>
      <c r="DM13" t="e">
        <f>Issue_Log!F343+"67\!JT"</f>
        <v>#VALUE!</v>
      </c>
      <c r="DN13" t="e">
        <f>Issue_Log!G343+"67\!JU"</f>
        <v>#VALUE!</v>
      </c>
      <c r="DO13" t="e">
        <f>Issue_Log!A344+"67\!JV"</f>
        <v>#VALUE!</v>
      </c>
      <c r="DP13" t="e">
        <f>Issue_Log!B344+"67\!JW"</f>
        <v>#VALUE!</v>
      </c>
      <c r="DQ13" t="e">
        <f>Issue_Log!C344+"67\!JX"</f>
        <v>#VALUE!</v>
      </c>
      <c r="DR13" t="e">
        <f>Issue_Log!D344+"67\!JY"</f>
        <v>#VALUE!</v>
      </c>
      <c r="DS13" t="e">
        <f>Issue_Log!E344+"67\!JZ"</f>
        <v>#VALUE!</v>
      </c>
      <c r="DT13" t="e">
        <f>Issue_Log!F344+"67\!J["</f>
        <v>#VALUE!</v>
      </c>
      <c r="DU13" t="e">
        <f>Issue_Log!G344+"67\!J\"</f>
        <v>#VALUE!</v>
      </c>
      <c r="DV13" t="e">
        <f>Issue_Log!A345+"67\!J]"</f>
        <v>#VALUE!</v>
      </c>
      <c r="DW13" t="e">
        <f>Issue_Log!B345+"67\!J^"</f>
        <v>#VALUE!</v>
      </c>
      <c r="DX13" t="e">
        <f>Issue_Log!C345+"67\!J_"</f>
        <v>#VALUE!</v>
      </c>
      <c r="DY13" t="e">
        <f>Issue_Log!D345+"67\!J`"</f>
        <v>#VALUE!</v>
      </c>
      <c r="DZ13" t="e">
        <f>Issue_Log!E345+"67\!Ja"</f>
        <v>#VALUE!</v>
      </c>
      <c r="EA13" t="e">
        <f>Issue_Log!F345+"67\!Jb"</f>
        <v>#VALUE!</v>
      </c>
      <c r="EB13" t="e">
        <f>Issue_Log!G345+"67\!Jc"</f>
        <v>#VALUE!</v>
      </c>
      <c r="EC13" t="e">
        <f>Issue_Log!A346+"67\!Jd"</f>
        <v>#VALUE!</v>
      </c>
      <c r="ED13" t="e">
        <f>Issue_Log!B346+"67\!Je"</f>
        <v>#VALUE!</v>
      </c>
      <c r="EE13" t="e">
        <f>Issue_Log!C346+"67\!Jf"</f>
        <v>#VALUE!</v>
      </c>
      <c r="EF13" t="e">
        <f>Issue_Log!D346+"67\!Jg"</f>
        <v>#VALUE!</v>
      </c>
      <c r="EG13" t="e">
        <f>Issue_Log!E346+"67\!Jh"</f>
        <v>#VALUE!</v>
      </c>
      <c r="EH13" t="e">
        <f>Issue_Log!F346+"67\!Ji"</f>
        <v>#VALUE!</v>
      </c>
      <c r="EI13" t="e">
        <f>Issue_Log!G346+"67\!Jj"</f>
        <v>#VALUE!</v>
      </c>
      <c r="EJ13" t="e">
        <f>Issue_Log!A347+"67\!Jk"</f>
        <v>#VALUE!</v>
      </c>
      <c r="EK13" t="e">
        <f>Issue_Log!B347+"67\!Jl"</f>
        <v>#VALUE!</v>
      </c>
      <c r="EL13" t="e">
        <f>Issue_Log!C347+"67\!Jm"</f>
        <v>#VALUE!</v>
      </c>
      <c r="EM13" t="e">
        <f>Issue_Log!D347+"67\!Jn"</f>
        <v>#VALUE!</v>
      </c>
      <c r="EN13" t="e">
        <f>Issue_Log!E347+"67\!Jo"</f>
        <v>#VALUE!</v>
      </c>
      <c r="EO13" t="e">
        <f>Issue_Log!F347+"67\!Jp"</f>
        <v>#VALUE!</v>
      </c>
      <c r="EP13" t="e">
        <f>Issue_Log!G347+"67\!Jq"</f>
        <v>#VALUE!</v>
      </c>
      <c r="EQ13" t="e">
        <f>Issue_Log!A348+"67\!Jr"</f>
        <v>#VALUE!</v>
      </c>
      <c r="ER13" t="e">
        <f>Issue_Log!B348+"67\!Js"</f>
        <v>#VALUE!</v>
      </c>
      <c r="ES13" t="e">
        <f>Issue_Log!C348+"67\!Jt"</f>
        <v>#VALUE!</v>
      </c>
      <c r="ET13" t="e">
        <f>Issue_Log!D348+"67\!Ju"</f>
        <v>#VALUE!</v>
      </c>
      <c r="EU13" t="e">
        <f>Issue_Log!E348+"67\!Jv"</f>
        <v>#VALUE!</v>
      </c>
      <c r="EV13" t="e">
        <f>Issue_Log!F348+"67\!Jw"</f>
        <v>#VALUE!</v>
      </c>
      <c r="EW13" t="e">
        <f>Issue_Log!G348+"67\!Jx"</f>
        <v>#VALUE!</v>
      </c>
      <c r="EX13" t="e">
        <f>Issue_Log!A349+"67\!Jy"</f>
        <v>#VALUE!</v>
      </c>
      <c r="EY13" t="e">
        <f>Issue_Log!B349+"67\!Jz"</f>
        <v>#VALUE!</v>
      </c>
      <c r="EZ13" t="e">
        <f>Issue_Log!C349+"67\!J{"</f>
        <v>#VALUE!</v>
      </c>
      <c r="FA13" t="e">
        <f>Issue_Log!D349+"67\!J|"</f>
        <v>#VALUE!</v>
      </c>
      <c r="FB13" t="e">
        <f>Issue_Log!E349+"67\!J}"</f>
        <v>#VALUE!</v>
      </c>
      <c r="FC13" t="e">
        <f>Issue_Log!F349+"67\!J~"</f>
        <v>#VALUE!</v>
      </c>
      <c r="FD13" t="e">
        <f>Issue_Log!G349+"67\!K#"</f>
        <v>#VALUE!</v>
      </c>
      <c r="FE13" t="e">
        <f>Issue_Log!A350+"67\!K$"</f>
        <v>#VALUE!</v>
      </c>
      <c r="FF13" t="e">
        <f>Issue_Log!B350+"67\!K%"</f>
        <v>#VALUE!</v>
      </c>
      <c r="FG13" t="e">
        <f>Issue_Log!C350+"67\!K&amp;"</f>
        <v>#VALUE!</v>
      </c>
      <c r="FH13" t="e">
        <f>Issue_Log!D350+"67\!K'"</f>
        <v>#VALUE!</v>
      </c>
      <c r="FI13" t="e">
        <f>Issue_Log!E350+"67\!K("</f>
        <v>#VALUE!</v>
      </c>
      <c r="FJ13" t="e">
        <f>Issue_Log!F350+"67\!K)"</f>
        <v>#VALUE!</v>
      </c>
      <c r="FK13" t="e">
        <f>Issue_Log!G350+"67\!K."</f>
        <v>#VALUE!</v>
      </c>
      <c r="FL13" t="e">
        <f>Issue_Log!A351+"67\!K/"</f>
        <v>#VALUE!</v>
      </c>
      <c r="FM13" t="e">
        <f>Issue_Log!B351+"67\!K0"</f>
        <v>#VALUE!</v>
      </c>
      <c r="FN13" t="e">
        <f>Issue_Log!C351+"67\!K1"</f>
        <v>#VALUE!</v>
      </c>
      <c r="FO13" t="e">
        <f>Issue_Log!D351+"67\!K2"</f>
        <v>#VALUE!</v>
      </c>
      <c r="FP13" t="e">
        <f>Issue_Log!E351+"67\!K3"</f>
        <v>#VALUE!</v>
      </c>
      <c r="FQ13" t="e">
        <f>Issue_Log!F351+"67\!K4"</f>
        <v>#VALUE!</v>
      </c>
      <c r="FR13" t="e">
        <f>Issue_Log!G351+"67\!K5"</f>
        <v>#VALUE!</v>
      </c>
      <c r="FS13" t="e">
        <f>Issue_Log!A352+"67\!K6"</f>
        <v>#VALUE!</v>
      </c>
      <c r="FT13" t="e">
        <f>Issue_Log!B352+"67\!K7"</f>
        <v>#VALUE!</v>
      </c>
      <c r="FU13" t="e">
        <f>Issue_Log!C352+"67\!K8"</f>
        <v>#VALUE!</v>
      </c>
      <c r="FV13" t="e">
        <f>Issue_Log!D352+"67\!K9"</f>
        <v>#VALUE!</v>
      </c>
      <c r="FW13" t="e">
        <f>Issue_Log!E352+"67\!K:"</f>
        <v>#VALUE!</v>
      </c>
      <c r="FX13" t="e">
        <f>Issue_Log!F352+"67\!K;"</f>
        <v>#VALUE!</v>
      </c>
      <c r="FY13" t="e">
        <f>Issue_Log!G352+"67\!K&lt;"</f>
        <v>#VALUE!</v>
      </c>
      <c r="FZ13" t="e">
        <f>Issue_Log!A353+"67\!K="</f>
        <v>#VALUE!</v>
      </c>
      <c r="GA13" t="e">
        <f>Issue_Log!B353+"67\!K&gt;"</f>
        <v>#VALUE!</v>
      </c>
      <c r="GB13" t="e">
        <f>Issue_Log!C353+"67\!K?"</f>
        <v>#VALUE!</v>
      </c>
      <c r="GC13" t="e">
        <f>Issue_Log!D353+"67\!K@"</f>
        <v>#VALUE!</v>
      </c>
      <c r="GD13" t="e">
        <f>Issue_Log!E353+"67\!KA"</f>
        <v>#VALUE!</v>
      </c>
      <c r="GE13" t="e">
        <f>Issue_Log!F353+"67\!KB"</f>
        <v>#VALUE!</v>
      </c>
      <c r="GF13" t="e">
        <f>Issue_Log!G353+"67\!KC"</f>
        <v>#VALUE!</v>
      </c>
      <c r="GG13" t="e">
        <f>Issue_Log!A354+"67\!KD"</f>
        <v>#VALUE!</v>
      </c>
      <c r="GH13" t="e">
        <f>Issue_Log!B354+"67\!KE"</f>
        <v>#VALUE!</v>
      </c>
      <c r="GI13" t="e">
        <f>Issue_Log!C354+"67\!KF"</f>
        <v>#VALUE!</v>
      </c>
      <c r="GJ13" t="e">
        <f>Issue_Log!D354+"67\!KG"</f>
        <v>#VALUE!</v>
      </c>
      <c r="GK13" t="e">
        <f>Issue_Log!E354+"67\!KH"</f>
        <v>#VALUE!</v>
      </c>
      <c r="GL13" t="e">
        <f>Issue_Log!F354+"67\!KI"</f>
        <v>#VALUE!</v>
      </c>
      <c r="GM13" t="e">
        <f>Issue_Log!G354+"67\!KJ"</f>
        <v>#VALUE!</v>
      </c>
      <c r="GN13" t="e">
        <f>Issue_Log!A355+"67\!KK"</f>
        <v>#VALUE!</v>
      </c>
      <c r="GO13" t="e">
        <f>Issue_Log!B355+"67\!KL"</f>
        <v>#VALUE!</v>
      </c>
      <c r="GP13" t="e">
        <f>Issue_Log!C355+"67\!KM"</f>
        <v>#VALUE!</v>
      </c>
      <c r="GQ13" t="e">
        <f>Issue_Log!D355+"67\!KN"</f>
        <v>#VALUE!</v>
      </c>
      <c r="GR13" t="e">
        <f>Issue_Log!E355+"67\!KO"</f>
        <v>#VALUE!</v>
      </c>
      <c r="GS13" t="e">
        <f>Issue_Log!F355+"67\!KP"</f>
        <v>#VALUE!</v>
      </c>
      <c r="GT13" t="e">
        <f>Issue_Log!G355+"67\!KQ"</f>
        <v>#VALUE!</v>
      </c>
      <c r="GU13" t="e">
        <f>Issue_Log!A356+"67\!KR"</f>
        <v>#VALUE!</v>
      </c>
      <c r="GV13" t="e">
        <f>Issue_Log!B356+"67\!KS"</f>
        <v>#VALUE!</v>
      </c>
      <c r="GW13" t="e">
        <f>Issue_Log!C356+"67\!KT"</f>
        <v>#VALUE!</v>
      </c>
      <c r="GX13" t="e">
        <f>Issue_Log!D356+"67\!KU"</f>
        <v>#VALUE!</v>
      </c>
      <c r="GY13" t="e">
        <f>Issue_Log!E356+"67\!KV"</f>
        <v>#VALUE!</v>
      </c>
      <c r="GZ13" t="e">
        <f>Issue_Log!F356+"67\!KW"</f>
        <v>#VALUE!</v>
      </c>
      <c r="HA13" t="e">
        <f>Issue_Log!G356+"67\!KX"</f>
        <v>#VALUE!</v>
      </c>
      <c r="HB13" t="e">
        <f>Issue_Log!A357+"67\!KY"</f>
        <v>#VALUE!</v>
      </c>
      <c r="HC13" t="e">
        <f>Issue_Log!B357+"67\!KZ"</f>
        <v>#VALUE!</v>
      </c>
      <c r="HD13" t="e">
        <f>Issue_Log!C357+"67\!K["</f>
        <v>#VALUE!</v>
      </c>
      <c r="HE13" t="e">
        <f>Issue_Log!D357+"67\!K\"</f>
        <v>#VALUE!</v>
      </c>
      <c r="HF13" t="e">
        <f>Issue_Log!E357+"67\!K]"</f>
        <v>#VALUE!</v>
      </c>
      <c r="HG13" t="e">
        <f>Issue_Log!F357+"67\!K^"</f>
        <v>#VALUE!</v>
      </c>
      <c r="HH13" t="e">
        <f>Issue_Log!G357+"67\!K_"</f>
        <v>#VALUE!</v>
      </c>
      <c r="HI13" t="e">
        <f>Issue_Log!A358+"67\!K`"</f>
        <v>#VALUE!</v>
      </c>
      <c r="HJ13" t="e">
        <f>Issue_Log!B358+"67\!Ka"</f>
        <v>#VALUE!</v>
      </c>
      <c r="HK13" t="e">
        <f>Issue_Log!C358+"67\!Kb"</f>
        <v>#VALUE!</v>
      </c>
      <c r="HL13" t="e">
        <f>Issue_Log!D358+"67\!Kc"</f>
        <v>#VALUE!</v>
      </c>
      <c r="HM13" t="e">
        <f>Issue_Log!E358+"67\!Kd"</f>
        <v>#VALUE!</v>
      </c>
      <c r="HN13" t="e">
        <f>Issue_Log!F358+"67\!Ke"</f>
        <v>#VALUE!</v>
      </c>
      <c r="HO13" t="e">
        <f>Issue_Log!G358+"67\!Kf"</f>
        <v>#VALUE!</v>
      </c>
      <c r="HP13" t="e">
        <f>Issue_Log!A359+"67\!Kg"</f>
        <v>#VALUE!</v>
      </c>
      <c r="HQ13" t="e">
        <f>Issue_Log!B359+"67\!Kh"</f>
        <v>#VALUE!</v>
      </c>
      <c r="HR13" t="e">
        <f>Issue_Log!C359+"67\!Ki"</f>
        <v>#VALUE!</v>
      </c>
      <c r="HS13" t="e">
        <f>Issue_Log!D359+"67\!Kj"</f>
        <v>#VALUE!</v>
      </c>
      <c r="HT13" t="e">
        <f>Issue_Log!E359+"67\!Kk"</f>
        <v>#VALUE!</v>
      </c>
      <c r="HU13" t="e">
        <f>Issue_Log!F359+"67\!Kl"</f>
        <v>#VALUE!</v>
      </c>
      <c r="HV13" t="e">
        <f>Issue_Log!G359+"67\!Km"</f>
        <v>#VALUE!</v>
      </c>
      <c r="HW13" t="e">
        <f>Issue_Log!A360+"67\!Kn"</f>
        <v>#VALUE!</v>
      </c>
      <c r="HX13" t="e">
        <f>Issue_Log!B360+"67\!Ko"</f>
        <v>#VALUE!</v>
      </c>
      <c r="HY13" t="e">
        <f>Issue_Log!C360+"67\!Kp"</f>
        <v>#VALUE!</v>
      </c>
      <c r="HZ13" t="e">
        <f>Issue_Log!D360+"67\!Kq"</f>
        <v>#VALUE!</v>
      </c>
      <c r="IA13" t="e">
        <f>Issue_Log!E360+"67\!Kr"</f>
        <v>#VALUE!</v>
      </c>
      <c r="IB13" t="e">
        <f>Issue_Log!F360+"67\!Ks"</f>
        <v>#VALUE!</v>
      </c>
      <c r="IC13" t="e">
        <f>Issue_Log!G360+"67\!Kt"</f>
        <v>#VALUE!</v>
      </c>
      <c r="ID13" t="e">
        <f>Issue_Log!A361+"67\!Ku"</f>
        <v>#VALUE!</v>
      </c>
      <c r="IE13" t="e">
        <f>Issue_Log!B361+"67\!Kv"</f>
        <v>#VALUE!</v>
      </c>
      <c r="IF13" t="e">
        <f>Issue_Log!C361+"67\!Kw"</f>
        <v>#VALUE!</v>
      </c>
      <c r="IG13" t="e">
        <f>Issue_Log!D361+"67\!Kx"</f>
        <v>#VALUE!</v>
      </c>
      <c r="IH13" t="e">
        <f>Issue_Log!E361+"67\!Ky"</f>
        <v>#VALUE!</v>
      </c>
      <c r="II13" t="e">
        <f>Issue_Log!F361+"67\!Kz"</f>
        <v>#VALUE!</v>
      </c>
      <c r="IJ13" t="e">
        <f>Issue_Log!G361+"67\!K{"</f>
        <v>#VALUE!</v>
      </c>
      <c r="IK13" t="e">
        <f>Issue_Log!A362+"67\!K|"</f>
        <v>#VALUE!</v>
      </c>
      <c r="IL13" t="e">
        <f>Issue_Log!B362+"67\!K}"</f>
        <v>#VALUE!</v>
      </c>
      <c r="IM13" t="e">
        <f>Issue_Log!C362+"67\!K~"</f>
        <v>#VALUE!</v>
      </c>
      <c r="IN13" t="e">
        <f>Issue_Log!D362+"67\!L#"</f>
        <v>#VALUE!</v>
      </c>
      <c r="IO13" t="e">
        <f>Issue_Log!E362+"67\!L$"</f>
        <v>#VALUE!</v>
      </c>
      <c r="IP13" t="e">
        <f>Issue_Log!F362+"67\!L%"</f>
        <v>#VALUE!</v>
      </c>
      <c r="IQ13" t="e">
        <f>Issue_Log!G362+"67\!L&amp;"</f>
        <v>#VALUE!</v>
      </c>
      <c r="IR13" t="e">
        <f>Issue_Log!A363+"67\!L'"</f>
        <v>#VALUE!</v>
      </c>
      <c r="IS13" t="e">
        <f>Issue_Log!B363+"67\!L("</f>
        <v>#VALUE!</v>
      </c>
      <c r="IT13" t="e">
        <f>Issue_Log!C363+"67\!L)"</f>
        <v>#VALUE!</v>
      </c>
      <c r="IU13" t="e">
        <f>Issue_Log!D363+"67\!L."</f>
        <v>#VALUE!</v>
      </c>
      <c r="IV13" t="e">
        <f>Issue_Log!E363+"67\!L/"</f>
        <v>#VALUE!</v>
      </c>
    </row>
    <row r="14" spans="1:256" x14ac:dyDescent="0.15">
      <c r="F14" t="e">
        <f>Issue_Log!F363+"67\!L0"</f>
        <v>#VALUE!</v>
      </c>
      <c r="G14" t="e">
        <f>Issue_Log!G363+"67\!L1"</f>
        <v>#VALUE!</v>
      </c>
      <c r="H14" t="e">
        <f>Issue_Log!A364+"67\!L2"</f>
        <v>#VALUE!</v>
      </c>
      <c r="I14" t="e">
        <f>Issue_Log!B364+"67\!L3"</f>
        <v>#VALUE!</v>
      </c>
      <c r="J14" t="e">
        <f>Issue_Log!C364+"67\!L4"</f>
        <v>#VALUE!</v>
      </c>
      <c r="K14" t="e">
        <f>Issue_Log!D364+"67\!L5"</f>
        <v>#VALUE!</v>
      </c>
      <c r="L14" t="e">
        <f>Issue_Log!E364+"67\!L6"</f>
        <v>#VALUE!</v>
      </c>
      <c r="M14" t="e">
        <f>Issue_Log!F364+"67\!L7"</f>
        <v>#VALUE!</v>
      </c>
      <c r="N14" t="e">
        <f>Issue_Log!G364+"67\!L8"</f>
        <v>#VALUE!</v>
      </c>
      <c r="O14" t="e">
        <f>Issue_Log!A365+"67\!L9"</f>
        <v>#VALUE!</v>
      </c>
      <c r="P14" t="e">
        <f>Issue_Log!B365+"67\!L:"</f>
        <v>#VALUE!</v>
      </c>
      <c r="Q14" t="e">
        <f>Issue_Log!C365+"67\!L;"</f>
        <v>#VALUE!</v>
      </c>
      <c r="R14" t="e">
        <f>Issue_Log!D365+"67\!L&lt;"</f>
        <v>#VALUE!</v>
      </c>
      <c r="S14" t="e">
        <f>Issue_Log!E365+"67\!L="</f>
        <v>#VALUE!</v>
      </c>
      <c r="T14" t="e">
        <f>Issue_Log!F365+"67\!L&gt;"</f>
        <v>#VALUE!</v>
      </c>
      <c r="U14" t="e">
        <f>Issue_Log!G365+"67\!L?"</f>
        <v>#VALUE!</v>
      </c>
      <c r="V14" t="e">
        <f>Issue_Log!A366+"67\!L@"</f>
        <v>#VALUE!</v>
      </c>
      <c r="W14" t="e">
        <f>Issue_Log!B366+"67\!LA"</f>
        <v>#VALUE!</v>
      </c>
      <c r="X14" t="e">
        <f>Issue_Log!C366+"67\!LB"</f>
        <v>#VALUE!</v>
      </c>
      <c r="Y14" t="e">
        <f>Issue_Log!D366+"67\!LC"</f>
        <v>#VALUE!</v>
      </c>
      <c r="Z14" t="e">
        <f>Issue_Log!E366+"67\!LD"</f>
        <v>#VALUE!</v>
      </c>
      <c r="AA14" t="e">
        <f>Issue_Log!F366+"67\!LE"</f>
        <v>#VALUE!</v>
      </c>
      <c r="AB14" t="e">
        <f>Issue_Log!G366+"67\!LF"</f>
        <v>#VALUE!</v>
      </c>
      <c r="AC14" t="e">
        <f>Issue_Log!A367+"67\!LG"</f>
        <v>#VALUE!</v>
      </c>
      <c r="AD14" t="e">
        <f>Issue_Log!B367+"67\!LH"</f>
        <v>#VALUE!</v>
      </c>
      <c r="AE14" t="e">
        <f>Issue_Log!C367+"67\!LI"</f>
        <v>#VALUE!</v>
      </c>
      <c r="AF14" t="e">
        <f>Issue_Log!D367+"67\!LJ"</f>
        <v>#VALUE!</v>
      </c>
      <c r="AG14" t="e">
        <f>Issue_Log!E367+"67\!LK"</f>
        <v>#VALUE!</v>
      </c>
      <c r="AH14" t="e">
        <f>Issue_Log!F367+"67\!LL"</f>
        <v>#VALUE!</v>
      </c>
      <c r="AI14" t="e">
        <f>Issue_Log!G367+"67\!LM"</f>
        <v>#VALUE!</v>
      </c>
      <c r="AJ14" t="e">
        <f>Issue_Log!A368+"67\!LN"</f>
        <v>#VALUE!</v>
      </c>
      <c r="AK14" t="e">
        <f>Issue_Log!B368+"67\!LO"</f>
        <v>#VALUE!</v>
      </c>
      <c r="AL14" t="e">
        <f>Issue_Log!C368+"67\!LP"</f>
        <v>#VALUE!</v>
      </c>
      <c r="AM14" t="e">
        <f>Issue_Log!D368+"67\!LQ"</f>
        <v>#VALUE!</v>
      </c>
      <c r="AN14" t="e">
        <f>Issue_Log!E368+"67\!LR"</f>
        <v>#VALUE!</v>
      </c>
      <c r="AO14" t="e">
        <f>Issue_Log!F368+"67\!LS"</f>
        <v>#VALUE!</v>
      </c>
      <c r="AP14" t="e">
        <f>Issue_Log!G368+"67\!LT"</f>
        <v>#VALUE!</v>
      </c>
      <c r="AQ14" t="e">
        <f>Issue_Log!A369+"67\!LU"</f>
        <v>#VALUE!</v>
      </c>
      <c r="AR14" t="e">
        <f>Issue_Log!B369+"67\!LV"</f>
        <v>#VALUE!</v>
      </c>
      <c r="AS14" t="e">
        <f>Issue_Log!C369+"67\!LW"</f>
        <v>#VALUE!</v>
      </c>
      <c r="AT14" t="e">
        <f>Issue_Log!D369+"67\!LX"</f>
        <v>#VALUE!</v>
      </c>
      <c r="AU14" t="e">
        <f>Issue_Log!E369+"67\!LY"</f>
        <v>#VALUE!</v>
      </c>
      <c r="AV14" t="e">
        <f>Issue_Log!F369+"67\!LZ"</f>
        <v>#VALUE!</v>
      </c>
      <c r="AW14" t="e">
        <f>Issue_Log!G369+"67\!L["</f>
        <v>#VALUE!</v>
      </c>
      <c r="AX14" t="e">
        <f>Issue_Log!A370+"67\!L\"</f>
        <v>#VALUE!</v>
      </c>
      <c r="AY14" t="e">
        <f>Issue_Log!B370+"67\!L]"</f>
        <v>#VALUE!</v>
      </c>
      <c r="AZ14" t="e">
        <f>Issue_Log!C370+"67\!L^"</f>
        <v>#VALUE!</v>
      </c>
      <c r="BA14" t="e">
        <f>Issue_Log!D370+"67\!L_"</f>
        <v>#VALUE!</v>
      </c>
      <c r="BB14" t="e">
        <f>Issue_Log!E370+"67\!L`"</f>
        <v>#VALUE!</v>
      </c>
      <c r="BC14" t="e">
        <f>Issue_Log!F370+"67\!La"</f>
        <v>#VALUE!</v>
      </c>
      <c r="BD14" t="e">
        <f>Issue_Log!G370+"67\!Lb"</f>
        <v>#VALUE!</v>
      </c>
      <c r="BE14" t="e">
        <f>Issue_Log!A371+"67\!Lc"</f>
        <v>#VALUE!</v>
      </c>
      <c r="BF14" t="e">
        <f>Issue_Log!B371+"67\!Ld"</f>
        <v>#VALUE!</v>
      </c>
      <c r="BG14" t="e">
        <f>Issue_Log!C371+"67\!Le"</f>
        <v>#VALUE!</v>
      </c>
      <c r="BH14" t="e">
        <f>Issue_Log!D371+"67\!Lf"</f>
        <v>#VALUE!</v>
      </c>
      <c r="BI14" t="e">
        <f>Issue_Log!E371+"67\!Lg"</f>
        <v>#VALUE!</v>
      </c>
      <c r="BJ14" t="e">
        <f>Issue_Log!F371+"67\!Lh"</f>
        <v>#VALUE!</v>
      </c>
      <c r="BK14" t="e">
        <f>Issue_Log!G371+"67\!Li"</f>
        <v>#VALUE!</v>
      </c>
      <c r="BL14" t="e">
        <f>Issue_Log!A372+"67\!Lj"</f>
        <v>#VALUE!</v>
      </c>
      <c r="BM14" t="e">
        <f>Issue_Log!B372+"67\!Lk"</f>
        <v>#VALUE!</v>
      </c>
      <c r="BN14" t="e">
        <f>Issue_Log!C372+"67\!Ll"</f>
        <v>#VALUE!</v>
      </c>
      <c r="BO14" t="e">
        <f>Issue_Log!D372+"67\!Lm"</f>
        <v>#VALUE!</v>
      </c>
      <c r="BP14" t="e">
        <f>Issue_Log!E372+"67\!Ln"</f>
        <v>#VALUE!</v>
      </c>
      <c r="BQ14" t="e">
        <f>Issue_Log!F372+"67\!Lo"</f>
        <v>#VALUE!</v>
      </c>
      <c r="BR14" t="e">
        <f>Issue_Log!G372+"67\!Lp"</f>
        <v>#VALUE!</v>
      </c>
      <c r="BS14" t="e">
        <f>Issue_Log!A373+"67\!Lq"</f>
        <v>#VALUE!</v>
      </c>
      <c r="BT14" t="e">
        <f>Issue_Log!B373+"67\!Lr"</f>
        <v>#VALUE!</v>
      </c>
      <c r="BU14" t="e">
        <f>Issue_Log!C373+"67\!Ls"</f>
        <v>#VALUE!</v>
      </c>
      <c r="BV14" t="e">
        <f>Issue_Log!D373+"67\!Lt"</f>
        <v>#VALUE!</v>
      </c>
      <c r="BW14" t="e">
        <f>Issue_Log!E373+"67\!Lu"</f>
        <v>#VALUE!</v>
      </c>
      <c r="BX14" t="e">
        <f>Issue_Log!F373+"67\!Lv"</f>
        <v>#VALUE!</v>
      </c>
      <c r="BY14" t="e">
        <f>Issue_Log!G373+"67\!Lw"</f>
        <v>#VALUE!</v>
      </c>
      <c r="BZ14" t="e">
        <f>Issue_Log!A374+"67\!Lx"</f>
        <v>#VALUE!</v>
      </c>
      <c r="CA14" t="e">
        <f>Issue_Log!B374+"67\!Ly"</f>
        <v>#VALUE!</v>
      </c>
      <c r="CB14" t="e">
        <f>Issue_Log!C374+"67\!Lz"</f>
        <v>#VALUE!</v>
      </c>
      <c r="CC14" t="e">
        <f>Issue_Log!D374+"67\!L{"</f>
        <v>#VALUE!</v>
      </c>
      <c r="CD14" t="e">
        <f>Issue_Log!E374+"67\!L|"</f>
        <v>#VALUE!</v>
      </c>
      <c r="CE14" t="e">
        <f>Issue_Log!F374+"67\!L}"</f>
        <v>#VALUE!</v>
      </c>
      <c r="CF14" t="e">
        <f>Issue_Log!G374+"67\!L~"</f>
        <v>#VALUE!</v>
      </c>
      <c r="CG14" t="e">
        <f>Issue_Log!A375+"67\!M#"</f>
        <v>#VALUE!</v>
      </c>
      <c r="CH14" t="e">
        <f>Issue_Log!B375+"67\!M$"</f>
        <v>#VALUE!</v>
      </c>
      <c r="CI14" t="e">
        <f>Issue_Log!C375+"67\!M%"</f>
        <v>#VALUE!</v>
      </c>
      <c r="CJ14" t="e">
        <f>Issue_Log!D375+"67\!M&amp;"</f>
        <v>#VALUE!</v>
      </c>
      <c r="CK14" t="e">
        <f>Issue_Log!E375+"67\!M'"</f>
        <v>#VALUE!</v>
      </c>
      <c r="CL14" t="e">
        <f>Issue_Log!F375+"67\!M("</f>
        <v>#VALUE!</v>
      </c>
      <c r="CM14" t="e">
        <f>Issue_Log!G375+"67\!M)"</f>
        <v>#VALUE!</v>
      </c>
      <c r="CN14" t="e">
        <f>Issue_Log!A376+"67\!M."</f>
        <v>#VALUE!</v>
      </c>
      <c r="CO14" t="e">
        <f>Issue_Log!B376+"67\!M/"</f>
        <v>#VALUE!</v>
      </c>
      <c r="CP14" t="e">
        <f>Issue_Log!C376+"67\!M0"</f>
        <v>#VALUE!</v>
      </c>
      <c r="CQ14" t="e">
        <f>Issue_Log!D376+"67\!M1"</f>
        <v>#VALUE!</v>
      </c>
      <c r="CR14" t="e">
        <f>Issue_Log!E376+"67\!M2"</f>
        <v>#VALUE!</v>
      </c>
      <c r="CS14" t="e">
        <f>Issue_Log!F376+"67\!M3"</f>
        <v>#VALUE!</v>
      </c>
      <c r="CT14" t="e">
        <f>Issue_Log!G376+"67\!M4"</f>
        <v>#VALUE!</v>
      </c>
      <c r="CU14" t="e">
        <f>Issue_Log!A377+"67\!M5"</f>
        <v>#VALUE!</v>
      </c>
      <c r="CV14" t="e">
        <f>Issue_Log!B377+"67\!M6"</f>
        <v>#VALUE!</v>
      </c>
      <c r="CW14" t="e">
        <f>Issue_Log!C377+"67\!M7"</f>
        <v>#VALUE!</v>
      </c>
      <c r="CX14" t="e">
        <f>Issue_Log!D377+"67\!M8"</f>
        <v>#VALUE!</v>
      </c>
      <c r="CY14" t="e">
        <f>Issue_Log!E377+"67\!M9"</f>
        <v>#VALUE!</v>
      </c>
      <c r="CZ14" t="e">
        <f>Issue_Log!F377+"67\!M:"</f>
        <v>#VALUE!</v>
      </c>
      <c r="DA14" t="e">
        <f>Issue_Log!G377+"67\!M;"</f>
        <v>#VALUE!</v>
      </c>
      <c r="DB14" t="e">
        <f>Issue_Log!A378+"67\!M&lt;"</f>
        <v>#VALUE!</v>
      </c>
      <c r="DC14" t="e">
        <f>Issue_Log!B378+"67\!M="</f>
        <v>#VALUE!</v>
      </c>
      <c r="DD14" t="e">
        <f>Issue_Log!C378+"67\!M&gt;"</f>
        <v>#VALUE!</v>
      </c>
      <c r="DE14" t="e">
        <f>Issue_Log!D378+"67\!M?"</f>
        <v>#VALUE!</v>
      </c>
      <c r="DF14" t="e">
        <f>Issue_Log!E378+"67\!M@"</f>
        <v>#VALUE!</v>
      </c>
      <c r="DG14" t="e">
        <f>Issue_Log!F378+"67\!MA"</f>
        <v>#VALUE!</v>
      </c>
      <c r="DH14" t="e">
        <f>Issue_Log!G378+"67\!MB"</f>
        <v>#VALUE!</v>
      </c>
      <c r="DI14" t="e">
        <f>Issue_Log!A379+"67\!MC"</f>
        <v>#VALUE!</v>
      </c>
      <c r="DJ14" t="e">
        <f>Issue_Log!B379+"67\!MD"</f>
        <v>#VALUE!</v>
      </c>
      <c r="DK14" t="e">
        <f>Issue_Log!C379+"67\!ME"</f>
        <v>#VALUE!</v>
      </c>
      <c r="DL14" t="e">
        <f>Issue_Log!D379+"67\!MF"</f>
        <v>#VALUE!</v>
      </c>
      <c r="DM14" t="e">
        <f>Issue_Log!E379+"67\!MG"</f>
        <v>#VALUE!</v>
      </c>
      <c r="DN14" t="e">
        <f>Issue_Log!F379+"67\!MH"</f>
        <v>#VALUE!</v>
      </c>
      <c r="DO14" t="e">
        <f>Issue_Log!G379+"67\!MI"</f>
        <v>#VALUE!</v>
      </c>
      <c r="DP14" t="e">
        <f>Issue_Log!A380+"67\!MJ"</f>
        <v>#VALUE!</v>
      </c>
      <c r="DQ14" t="e">
        <f>Issue_Log!B380+"67\!MK"</f>
        <v>#VALUE!</v>
      </c>
      <c r="DR14" t="e">
        <f>Issue_Log!C380+"67\!ML"</f>
        <v>#VALUE!</v>
      </c>
      <c r="DS14" t="e">
        <f>Issue_Log!D380+"67\!MM"</f>
        <v>#VALUE!</v>
      </c>
      <c r="DT14" t="e">
        <f>Issue_Log!E380+"67\!MN"</f>
        <v>#VALUE!</v>
      </c>
      <c r="DU14" t="e">
        <f>Issue_Log!F380+"67\!MO"</f>
        <v>#VALUE!</v>
      </c>
      <c r="DV14" t="e">
        <f>Issue_Log!G380+"67\!MP"</f>
        <v>#VALUE!</v>
      </c>
      <c r="DW14" t="e">
        <f>Issue_Log!A381+"67\!MQ"</f>
        <v>#VALUE!</v>
      </c>
      <c r="DX14" t="e">
        <f>Issue_Log!B381+"67\!MR"</f>
        <v>#VALUE!</v>
      </c>
      <c r="DY14" t="e">
        <f>Issue_Log!C381+"67\!MS"</f>
        <v>#VALUE!</v>
      </c>
      <c r="DZ14" t="e">
        <f>Issue_Log!D381+"67\!MT"</f>
        <v>#VALUE!</v>
      </c>
      <c r="EA14" t="e">
        <f>Issue_Log!E381+"67\!MU"</f>
        <v>#VALUE!</v>
      </c>
      <c r="EB14" t="e">
        <f>Issue_Log!F381+"67\!MV"</f>
        <v>#VALUE!</v>
      </c>
      <c r="EC14" t="e">
        <f>Issue_Log!G381+"67\!MW"</f>
        <v>#VALUE!</v>
      </c>
      <c r="ED14" t="e">
        <f>Issue_Log!A382+"67\!MX"</f>
        <v>#VALUE!</v>
      </c>
      <c r="EE14" t="e">
        <f>Issue_Log!B382+"67\!MY"</f>
        <v>#VALUE!</v>
      </c>
      <c r="EF14" t="e">
        <f>Issue_Log!C382+"67\!MZ"</f>
        <v>#VALUE!</v>
      </c>
      <c r="EG14" t="e">
        <f>Issue_Log!D382+"67\!M["</f>
        <v>#VALUE!</v>
      </c>
      <c r="EH14" t="e">
        <f>Issue_Log!E382+"67\!M\"</f>
        <v>#VALUE!</v>
      </c>
      <c r="EI14" t="e">
        <f>Issue_Log!F382+"67\!M]"</f>
        <v>#VALUE!</v>
      </c>
      <c r="EJ14" t="e">
        <f>Issue_Log!G382+"67\!M^"</f>
        <v>#VALUE!</v>
      </c>
      <c r="EK14" t="e">
        <f>Issue_Log!A383+"67\!M_"</f>
        <v>#VALUE!</v>
      </c>
      <c r="EL14" t="e">
        <f>Issue_Log!B383+"67\!M`"</f>
        <v>#VALUE!</v>
      </c>
      <c r="EM14" t="e">
        <f>Issue_Log!C383+"67\!Ma"</f>
        <v>#VALUE!</v>
      </c>
      <c r="EN14" t="e">
        <f>Issue_Log!D383+"67\!Mb"</f>
        <v>#VALUE!</v>
      </c>
      <c r="EO14" t="e">
        <f>Issue_Log!E383+"67\!Mc"</f>
        <v>#VALUE!</v>
      </c>
      <c r="EP14" t="e">
        <f>Issue_Log!F383+"67\!Md"</f>
        <v>#VALUE!</v>
      </c>
      <c r="EQ14" t="e">
        <f>Issue_Log!G383+"67\!Me"</f>
        <v>#VALUE!</v>
      </c>
      <c r="ER14" t="e">
        <f>Issue_Log!A384+"67\!Mf"</f>
        <v>#VALUE!</v>
      </c>
      <c r="ES14" t="e">
        <f>Issue_Log!B384+"67\!Mg"</f>
        <v>#VALUE!</v>
      </c>
      <c r="ET14" t="e">
        <f>Issue_Log!C384+"67\!Mh"</f>
        <v>#VALUE!</v>
      </c>
      <c r="EU14" t="e">
        <f>Issue_Log!D384+"67\!Mi"</f>
        <v>#VALUE!</v>
      </c>
      <c r="EV14" t="e">
        <f>Issue_Log!E384+"67\!Mj"</f>
        <v>#VALUE!</v>
      </c>
      <c r="EW14" t="e">
        <f>Issue_Log!F384+"67\!Mk"</f>
        <v>#VALUE!</v>
      </c>
      <c r="EX14" t="e">
        <f>Issue_Log!G384+"67\!Ml"</f>
        <v>#VALUE!</v>
      </c>
      <c r="EY14" t="e">
        <f>Issue_Log!A385+"67\!Mm"</f>
        <v>#VALUE!</v>
      </c>
      <c r="EZ14" t="e">
        <f>Issue_Log!B385+"67\!Mn"</f>
        <v>#VALUE!</v>
      </c>
      <c r="FA14" t="e">
        <f>Issue_Log!C385+"67\!Mo"</f>
        <v>#VALUE!</v>
      </c>
      <c r="FB14" t="e">
        <f>Issue_Log!D385+"67\!Mp"</f>
        <v>#VALUE!</v>
      </c>
      <c r="FC14" t="e">
        <f>Issue_Log!E385+"67\!Mq"</f>
        <v>#VALUE!</v>
      </c>
      <c r="FD14" t="e">
        <f>Issue_Log!F385+"67\!Mr"</f>
        <v>#VALUE!</v>
      </c>
      <c r="FE14" t="e">
        <f>Issue_Log!G385+"67\!Ms"</f>
        <v>#VALUE!</v>
      </c>
      <c r="FF14" t="e">
        <f>Issue_Log!A386+"67\!Mt"</f>
        <v>#VALUE!</v>
      </c>
      <c r="FG14" t="e">
        <f>Issue_Log!B386+"67\!Mu"</f>
        <v>#VALUE!</v>
      </c>
      <c r="FH14" t="e">
        <f>Issue_Log!C386+"67\!Mv"</f>
        <v>#VALUE!</v>
      </c>
      <c r="FI14" t="e">
        <f>Issue_Log!D386+"67\!Mw"</f>
        <v>#VALUE!</v>
      </c>
      <c r="FJ14" t="e">
        <f>Issue_Log!E386+"67\!Mx"</f>
        <v>#VALUE!</v>
      </c>
      <c r="FK14" t="e">
        <f>Issue_Log!F386+"67\!My"</f>
        <v>#VALUE!</v>
      </c>
      <c r="FL14" t="e">
        <f>Issue_Log!G386+"67\!Mz"</f>
        <v>#VALUE!</v>
      </c>
      <c r="FM14" t="e">
        <f>Issue_Log!A387+"67\!M{"</f>
        <v>#VALUE!</v>
      </c>
      <c r="FN14" t="e">
        <f>Issue_Log!B387+"67\!M|"</f>
        <v>#VALUE!</v>
      </c>
      <c r="FO14" t="e">
        <f>Issue_Log!C387+"67\!M}"</f>
        <v>#VALUE!</v>
      </c>
      <c r="FP14" t="e">
        <f>Issue_Log!D387+"67\!M~"</f>
        <v>#VALUE!</v>
      </c>
      <c r="FQ14" t="e">
        <f>Issue_Log!E387+"67\!N#"</f>
        <v>#VALUE!</v>
      </c>
      <c r="FR14" t="e">
        <f>Issue_Log!F387+"67\!N$"</f>
        <v>#VALUE!</v>
      </c>
      <c r="FS14" t="e">
        <f>Issue_Log!G387+"67\!N%"</f>
        <v>#VALUE!</v>
      </c>
      <c r="FT14" t="e">
        <f>Issue_Log!A388+"67\!N&amp;"</f>
        <v>#VALUE!</v>
      </c>
      <c r="FU14" t="e">
        <f>Issue_Log!B388+"67\!N'"</f>
        <v>#VALUE!</v>
      </c>
      <c r="FV14" t="e">
        <f>Issue_Log!C388+"67\!N("</f>
        <v>#VALUE!</v>
      </c>
      <c r="FW14" t="e">
        <f>Issue_Log!D388+"67\!N)"</f>
        <v>#VALUE!</v>
      </c>
      <c r="FX14" t="e">
        <f>Issue_Log!E388+"67\!N."</f>
        <v>#VALUE!</v>
      </c>
      <c r="FY14" t="e">
        <f>Issue_Log!F388+"67\!N/"</f>
        <v>#VALUE!</v>
      </c>
      <c r="FZ14" t="e">
        <f>Issue_Log!G388+"67\!N0"</f>
        <v>#VALUE!</v>
      </c>
      <c r="GA14" t="e">
        <f>Issue_Log!A389+"67\!N1"</f>
        <v>#VALUE!</v>
      </c>
      <c r="GB14" t="e">
        <f>Issue_Log!B389+"67\!N2"</f>
        <v>#VALUE!</v>
      </c>
      <c r="GC14" t="e">
        <f>Issue_Log!C389+"67\!N3"</f>
        <v>#VALUE!</v>
      </c>
      <c r="GD14" t="e">
        <f>Issue_Log!D389+"67\!N4"</f>
        <v>#VALUE!</v>
      </c>
      <c r="GE14" t="e">
        <f>Issue_Log!E389+"67\!N5"</f>
        <v>#VALUE!</v>
      </c>
      <c r="GF14" t="e">
        <f>Issue_Log!F389+"67\!N6"</f>
        <v>#VALUE!</v>
      </c>
      <c r="GG14" t="e">
        <f>Issue_Log!G389+"67\!N7"</f>
        <v>#VALUE!</v>
      </c>
      <c r="GH14" t="e">
        <f>Issue_Log!A390+"67\!N8"</f>
        <v>#VALUE!</v>
      </c>
      <c r="GI14" t="e">
        <f>Issue_Log!B390+"67\!N9"</f>
        <v>#VALUE!</v>
      </c>
      <c r="GJ14" t="e">
        <f>Issue_Log!C390+"67\!N:"</f>
        <v>#VALUE!</v>
      </c>
      <c r="GK14" t="e">
        <f>Issue_Log!D390+"67\!N;"</f>
        <v>#VALUE!</v>
      </c>
      <c r="GL14" t="e">
        <f>Issue_Log!E390+"67\!N&lt;"</f>
        <v>#VALUE!</v>
      </c>
      <c r="GM14" t="e">
        <f>Issue_Log!F390+"67\!N="</f>
        <v>#VALUE!</v>
      </c>
      <c r="GN14" t="e">
        <f>Issue_Log!G390+"67\!N&gt;"</f>
        <v>#VALUE!</v>
      </c>
      <c r="GO14" t="e">
        <f>Issue_Log!A391+"67\!N?"</f>
        <v>#VALUE!</v>
      </c>
      <c r="GP14" t="e">
        <f>Issue_Log!B391+"67\!N@"</f>
        <v>#VALUE!</v>
      </c>
      <c r="GQ14" t="e">
        <f>Issue_Log!C391+"67\!NA"</f>
        <v>#VALUE!</v>
      </c>
      <c r="GR14" t="e">
        <f>Issue_Log!D391+"67\!NB"</f>
        <v>#VALUE!</v>
      </c>
      <c r="GS14" t="e">
        <f>Issue_Log!E391+"67\!NC"</f>
        <v>#VALUE!</v>
      </c>
      <c r="GT14" t="e">
        <f>Issue_Log!F391+"67\!ND"</f>
        <v>#VALUE!</v>
      </c>
      <c r="GU14" t="e">
        <f>Issue_Log!G391+"67\!NE"</f>
        <v>#VALUE!</v>
      </c>
      <c r="GV14" t="e">
        <f>Issue_Log!A392+"67\!NF"</f>
        <v>#VALUE!</v>
      </c>
      <c r="GW14" t="e">
        <f>Issue_Log!B392+"67\!NG"</f>
        <v>#VALUE!</v>
      </c>
      <c r="GX14" t="e">
        <f>Issue_Log!C392+"67\!NH"</f>
        <v>#VALUE!</v>
      </c>
      <c r="GY14" t="e">
        <f>Issue_Log!D392+"67\!NI"</f>
        <v>#VALUE!</v>
      </c>
      <c r="GZ14" t="e">
        <f>Issue_Log!E392+"67\!NJ"</f>
        <v>#VALUE!</v>
      </c>
      <c r="HA14" t="e">
        <f>Issue_Log!F392+"67\!NK"</f>
        <v>#VALUE!</v>
      </c>
      <c r="HB14" t="e">
        <f>Issue_Log!G392+"67\!NL"</f>
        <v>#VALUE!</v>
      </c>
      <c r="HC14" t="e">
        <f>Issue_Log!A393+"67\!NM"</f>
        <v>#VALUE!</v>
      </c>
      <c r="HD14" t="e">
        <f>Issue_Log!B393+"67\!NN"</f>
        <v>#VALUE!</v>
      </c>
      <c r="HE14" t="e">
        <f>Issue_Log!C393+"67\!NO"</f>
        <v>#VALUE!</v>
      </c>
      <c r="HF14" t="e">
        <f>Issue_Log!D393+"67\!NP"</f>
        <v>#VALUE!</v>
      </c>
      <c r="HG14" t="e">
        <f>Issue_Log!E393+"67\!NQ"</f>
        <v>#VALUE!</v>
      </c>
      <c r="HH14" t="e">
        <f>Issue_Log!F393+"67\!NR"</f>
        <v>#VALUE!</v>
      </c>
      <c r="HI14" t="e">
        <f>Issue_Log!G393+"67\!NS"</f>
        <v>#VALUE!</v>
      </c>
      <c r="HJ14" t="e">
        <f>Issue_Log!A394+"67\!NT"</f>
        <v>#VALUE!</v>
      </c>
      <c r="HK14" t="e">
        <f>Issue_Log!B394+"67\!NU"</f>
        <v>#VALUE!</v>
      </c>
      <c r="HL14" t="e">
        <f>Issue_Log!C394+"67\!NV"</f>
        <v>#VALUE!</v>
      </c>
      <c r="HM14" t="e">
        <f>Issue_Log!D394+"67\!NW"</f>
        <v>#VALUE!</v>
      </c>
      <c r="HN14" t="e">
        <f>Issue_Log!E394+"67\!NX"</f>
        <v>#VALUE!</v>
      </c>
      <c r="HO14" t="e">
        <f>Issue_Log!F394+"67\!NY"</f>
        <v>#VALUE!</v>
      </c>
      <c r="HP14" t="e">
        <f>Issue_Log!G394+"67\!NZ"</f>
        <v>#VALUE!</v>
      </c>
      <c r="HQ14" t="e">
        <f>Issue_Log!A395+"67\!N["</f>
        <v>#VALUE!</v>
      </c>
      <c r="HR14" t="e">
        <f>Issue_Log!B395+"67\!N\"</f>
        <v>#VALUE!</v>
      </c>
      <c r="HS14" t="e">
        <f>Issue_Log!C395+"67\!N]"</f>
        <v>#VALUE!</v>
      </c>
      <c r="HT14" t="e">
        <f>Issue_Log!D395+"67\!N^"</f>
        <v>#VALUE!</v>
      </c>
      <c r="HU14" t="e">
        <f>Issue_Log!E395+"67\!N_"</f>
        <v>#VALUE!</v>
      </c>
      <c r="HV14" t="e">
        <f>Issue_Log!F395+"67\!N`"</f>
        <v>#VALUE!</v>
      </c>
      <c r="HW14" t="e">
        <f>Issue_Log!G395+"67\!Na"</f>
        <v>#VALUE!</v>
      </c>
      <c r="HX14" t="e">
        <f>Issue_Log!A396+"67\!Nb"</f>
        <v>#VALUE!</v>
      </c>
      <c r="HY14" t="e">
        <f>Issue_Log!B396+"67\!Nc"</f>
        <v>#VALUE!</v>
      </c>
      <c r="HZ14" t="e">
        <f>Issue_Log!C396+"67\!Nd"</f>
        <v>#VALUE!</v>
      </c>
      <c r="IA14" t="e">
        <f>Issue_Log!D396+"67\!Ne"</f>
        <v>#VALUE!</v>
      </c>
      <c r="IB14" t="e">
        <f>Issue_Log!E396+"67\!Nf"</f>
        <v>#VALUE!</v>
      </c>
      <c r="IC14" t="e">
        <f>Issue_Log!F396+"67\!Ng"</f>
        <v>#VALUE!</v>
      </c>
      <c r="ID14" t="e">
        <f>Issue_Log!G396+"67\!Nh"</f>
        <v>#VALUE!</v>
      </c>
      <c r="IE14" t="e">
        <f>Issue_Log!A397+"67\!Ni"</f>
        <v>#VALUE!</v>
      </c>
      <c r="IF14" t="e">
        <f>Issue_Log!B397+"67\!Nj"</f>
        <v>#VALUE!</v>
      </c>
      <c r="IG14" t="e">
        <f>Issue_Log!C397+"67\!Nk"</f>
        <v>#VALUE!</v>
      </c>
      <c r="IH14" t="e">
        <f>Issue_Log!D397+"67\!Nl"</f>
        <v>#VALUE!</v>
      </c>
      <c r="II14" t="e">
        <f>Issue_Log!E397+"67\!Nm"</f>
        <v>#VALUE!</v>
      </c>
      <c r="IJ14" t="e">
        <f>Issue_Log!F397+"67\!Nn"</f>
        <v>#VALUE!</v>
      </c>
      <c r="IK14" t="e">
        <f>Issue_Log!G397+"67\!No"</f>
        <v>#VALUE!</v>
      </c>
      <c r="IL14" t="e">
        <f>Issue_Log!A398+"67\!Np"</f>
        <v>#VALUE!</v>
      </c>
      <c r="IM14" t="e">
        <f>Issue_Log!B398+"67\!Nq"</f>
        <v>#VALUE!</v>
      </c>
      <c r="IN14" t="e">
        <f>Issue_Log!C398+"67\!Nr"</f>
        <v>#VALUE!</v>
      </c>
      <c r="IO14" t="e">
        <f>Issue_Log!D398+"67\!Ns"</f>
        <v>#VALUE!</v>
      </c>
      <c r="IP14" t="e">
        <f>Issue_Log!E398+"67\!Nt"</f>
        <v>#VALUE!</v>
      </c>
      <c r="IQ14" t="e">
        <f>Issue_Log!F398+"67\!Nu"</f>
        <v>#VALUE!</v>
      </c>
      <c r="IR14" t="e">
        <f>Issue_Log!G398+"67\!Nv"</f>
        <v>#VALUE!</v>
      </c>
      <c r="IS14" t="e">
        <f>Issue_Log!A399+"67\!Nw"</f>
        <v>#VALUE!</v>
      </c>
      <c r="IT14" t="e">
        <f>Issue_Log!B399+"67\!Nx"</f>
        <v>#VALUE!</v>
      </c>
      <c r="IU14" t="e">
        <f>Issue_Log!C399+"67\!Ny"</f>
        <v>#VALUE!</v>
      </c>
      <c r="IV14" t="e">
        <f>Issue_Log!D399+"67\!Nz"</f>
        <v>#VALUE!</v>
      </c>
    </row>
    <row r="15" spans="1:256" x14ac:dyDescent="0.15">
      <c r="F15" t="e">
        <f>Issue_Log!E399+"67\!N{"</f>
        <v>#VALUE!</v>
      </c>
      <c r="G15" t="e">
        <f>Issue_Log!F399+"67\!N|"</f>
        <v>#VALUE!</v>
      </c>
      <c r="H15" t="e">
        <f>Issue_Log!G399+"67\!N}"</f>
        <v>#VALUE!</v>
      </c>
      <c r="I15" t="e">
        <f>Issue_Log!A400+"67\!N~"</f>
        <v>#VALUE!</v>
      </c>
      <c r="J15" t="e">
        <f>Issue_Log!B400+"67\!O#"</f>
        <v>#VALUE!</v>
      </c>
      <c r="K15" t="e">
        <f>Issue_Log!C400+"67\!O$"</f>
        <v>#VALUE!</v>
      </c>
      <c r="L15" t="e">
        <f>Issue_Log!D400+"67\!O%"</f>
        <v>#VALUE!</v>
      </c>
      <c r="M15" t="e">
        <f>Issue_Log!E400+"67\!O&amp;"</f>
        <v>#VALUE!</v>
      </c>
      <c r="N15" t="e">
        <f>Issue_Log!F400+"67\!O'"</f>
        <v>#VALUE!</v>
      </c>
      <c r="O15" t="e">
        <f>Issue_Log!G400+"67\!O("</f>
        <v>#VALUE!</v>
      </c>
      <c r="P15" t="e">
        <f>Issue_Log!A401+"67\!O)"</f>
        <v>#VALUE!</v>
      </c>
      <c r="Q15" t="e">
        <f>Issue_Log!B401+"67\!O."</f>
        <v>#VALUE!</v>
      </c>
      <c r="R15" t="e">
        <f>Issue_Log!C401+"67\!O/"</f>
        <v>#VALUE!</v>
      </c>
      <c r="S15" t="e">
        <f>Issue_Log!D401+"67\!O0"</f>
        <v>#VALUE!</v>
      </c>
      <c r="T15" t="e">
        <f>Issue_Log!E401+"67\!O1"</f>
        <v>#VALUE!</v>
      </c>
      <c r="U15" t="e">
        <f>Issue_Log!F401+"67\!O2"</f>
        <v>#VALUE!</v>
      </c>
      <c r="V15" t="e">
        <f>Issue_Log!G401+"67\!O3"</f>
        <v>#VALUE!</v>
      </c>
      <c r="W15" t="e">
        <f>Issue_Log!A402+"67\!O4"</f>
        <v>#VALUE!</v>
      </c>
      <c r="X15" t="e">
        <f>Issue_Log!B402+"67\!O5"</f>
        <v>#VALUE!</v>
      </c>
      <c r="Y15" t="e">
        <f>Issue_Log!C402+"67\!O6"</f>
        <v>#VALUE!</v>
      </c>
      <c r="Z15" t="e">
        <f>Issue_Log!D402+"67\!O7"</f>
        <v>#VALUE!</v>
      </c>
      <c r="AA15" t="e">
        <f>Issue_Log!E402+"67\!O8"</f>
        <v>#VALUE!</v>
      </c>
      <c r="AB15" t="e">
        <f>Issue_Log!F402+"67\!O9"</f>
        <v>#VALUE!</v>
      </c>
      <c r="AC15" t="e">
        <f>Issue_Log!G402+"67\!O:"</f>
        <v>#VALUE!</v>
      </c>
      <c r="AD15" t="e">
        <f>Issue_Log!A403+"67\!O;"</f>
        <v>#VALUE!</v>
      </c>
      <c r="AE15" t="e">
        <f>Issue_Log!B403+"67\!O&lt;"</f>
        <v>#VALUE!</v>
      </c>
      <c r="AF15" t="e">
        <f>Issue_Log!C403+"67\!O="</f>
        <v>#VALUE!</v>
      </c>
      <c r="AG15" t="e">
        <f>Issue_Log!D403+"67\!O&gt;"</f>
        <v>#VALUE!</v>
      </c>
      <c r="AH15" t="e">
        <f>Issue_Log!E403+"67\!O?"</f>
        <v>#VALUE!</v>
      </c>
      <c r="AI15" t="e">
        <f>Issue_Log!F403+"67\!O@"</f>
        <v>#VALUE!</v>
      </c>
      <c r="AJ15" t="e">
        <f>Issue_Log!G403+"67\!OA"</f>
        <v>#VALUE!</v>
      </c>
      <c r="AK15" t="e">
        <f>Issue_Log!A404+"67\!OB"</f>
        <v>#VALUE!</v>
      </c>
      <c r="AL15" t="e">
        <f>Issue_Log!B404+"67\!OC"</f>
        <v>#VALUE!</v>
      </c>
      <c r="AM15" t="e">
        <f>Issue_Log!C404+"67\!OD"</f>
        <v>#VALUE!</v>
      </c>
      <c r="AN15" t="e">
        <f>Issue_Log!D404+"67\!OE"</f>
        <v>#VALUE!</v>
      </c>
      <c r="AO15" t="e">
        <f>Issue_Log!E404+"67\!OF"</f>
        <v>#VALUE!</v>
      </c>
      <c r="AP15" t="e">
        <f>Issue_Log!F404+"67\!OG"</f>
        <v>#VALUE!</v>
      </c>
      <c r="AQ15" t="e">
        <f>Issue_Log!G404+"67\!OH"</f>
        <v>#VALUE!</v>
      </c>
      <c r="AR15" t="e">
        <f>Issue_Log!A405+"67\!OI"</f>
        <v>#VALUE!</v>
      </c>
      <c r="AS15" t="e">
        <f>Issue_Log!B405+"67\!OJ"</f>
        <v>#VALUE!</v>
      </c>
      <c r="AT15" t="e">
        <f>Issue_Log!C405+"67\!OK"</f>
        <v>#VALUE!</v>
      </c>
      <c r="AU15" t="e">
        <f>Issue_Log!D405+"67\!OL"</f>
        <v>#VALUE!</v>
      </c>
      <c r="AV15" t="e">
        <f>Issue_Log!E405+"67\!OM"</f>
        <v>#VALUE!</v>
      </c>
      <c r="AW15" t="e">
        <f>Issue_Log!F405+"67\!ON"</f>
        <v>#VALUE!</v>
      </c>
      <c r="AX15" t="e">
        <f>Issue_Log!G405+"67\!OO"</f>
        <v>#VALUE!</v>
      </c>
      <c r="AY15" t="e">
        <f>Issue_Log!A406+"67\!OP"</f>
        <v>#VALUE!</v>
      </c>
      <c r="AZ15" t="e">
        <f>Issue_Log!B406+"67\!OQ"</f>
        <v>#VALUE!</v>
      </c>
      <c r="BA15" t="e">
        <f>Issue_Log!C406+"67\!OR"</f>
        <v>#VALUE!</v>
      </c>
      <c r="BB15" t="e">
        <f>Issue_Log!D406+"67\!OS"</f>
        <v>#VALUE!</v>
      </c>
      <c r="BC15" t="e">
        <f>Issue_Log!E406+"67\!OT"</f>
        <v>#VALUE!</v>
      </c>
      <c r="BD15" t="e">
        <f>Issue_Log!F406+"67\!OU"</f>
        <v>#VALUE!</v>
      </c>
      <c r="BE15" t="e">
        <f>Issue_Log!G406+"67\!OV"</f>
        <v>#VALUE!</v>
      </c>
      <c r="BF15" t="e">
        <f>Issue_Log!A407+"67\!OW"</f>
        <v>#VALUE!</v>
      </c>
      <c r="BG15" t="e">
        <f>Issue_Log!B407+"67\!OX"</f>
        <v>#VALUE!</v>
      </c>
      <c r="BH15" t="e">
        <f>Issue_Log!C407+"67\!OY"</f>
        <v>#VALUE!</v>
      </c>
      <c r="BI15" t="e">
        <f>Issue_Log!D407+"67\!OZ"</f>
        <v>#VALUE!</v>
      </c>
      <c r="BJ15" t="e">
        <f>Issue_Log!E407+"67\!O["</f>
        <v>#VALUE!</v>
      </c>
      <c r="BK15" t="e">
        <f>Issue_Log!F407+"67\!O\"</f>
        <v>#VALUE!</v>
      </c>
      <c r="BL15" t="e">
        <f>Issue_Log!G407+"67\!O]"</f>
        <v>#VALUE!</v>
      </c>
      <c r="BM15" t="e">
        <f>Issue_Log!A408+"67\!O^"</f>
        <v>#VALUE!</v>
      </c>
      <c r="BN15" t="e">
        <f>Issue_Log!B408+"67\!O_"</f>
        <v>#VALUE!</v>
      </c>
      <c r="BO15" t="e">
        <f>Issue_Log!C408+"67\!O`"</f>
        <v>#VALUE!</v>
      </c>
      <c r="BP15" t="e">
        <f>Issue_Log!D408+"67\!Oa"</f>
        <v>#VALUE!</v>
      </c>
      <c r="BQ15" t="e">
        <f>Issue_Log!E408+"67\!Ob"</f>
        <v>#VALUE!</v>
      </c>
      <c r="BR15" t="e">
        <f>Issue_Log!F408+"67\!Oc"</f>
        <v>#VALUE!</v>
      </c>
      <c r="BS15" t="e">
        <f>Issue_Log!G408+"67\!Od"</f>
        <v>#VALUE!</v>
      </c>
      <c r="BT15" t="e">
        <f>Issue_Log!A409+"67\!Oe"</f>
        <v>#VALUE!</v>
      </c>
      <c r="BU15" t="e">
        <f>Issue_Log!B409+"67\!Of"</f>
        <v>#VALUE!</v>
      </c>
      <c r="BV15" t="e">
        <f>Issue_Log!C409+"67\!Og"</f>
        <v>#VALUE!</v>
      </c>
      <c r="BW15" t="e">
        <f>Issue_Log!D409+"67\!Oh"</f>
        <v>#VALUE!</v>
      </c>
      <c r="BX15" t="e">
        <f>Issue_Log!E409+"67\!Oi"</f>
        <v>#VALUE!</v>
      </c>
      <c r="BY15" t="e">
        <f>Issue_Log!F409+"67\!Oj"</f>
        <v>#VALUE!</v>
      </c>
      <c r="BZ15" t="e">
        <f>Issue_Log!G409+"67\!Ok"</f>
        <v>#VALUE!</v>
      </c>
      <c r="CA15" t="e">
        <f>Issue_Log!A410+"67\!Ol"</f>
        <v>#VALUE!</v>
      </c>
      <c r="CB15" t="e">
        <f>Issue_Log!B410+"67\!Om"</f>
        <v>#VALUE!</v>
      </c>
      <c r="CC15" t="e">
        <f>Issue_Log!C410+"67\!On"</f>
        <v>#VALUE!</v>
      </c>
      <c r="CD15" t="e">
        <f>Issue_Log!D410+"67\!Oo"</f>
        <v>#VALUE!</v>
      </c>
      <c r="CE15" t="e">
        <f>Issue_Log!E410+"67\!Op"</f>
        <v>#VALUE!</v>
      </c>
      <c r="CF15" t="e">
        <f>Issue_Log!F410+"67\!Oq"</f>
        <v>#VALUE!</v>
      </c>
      <c r="CG15" t="e">
        <f>Issue_Log!G410+"67\!Or"</f>
        <v>#VALUE!</v>
      </c>
      <c r="CH15" t="e">
        <f>Issue_Log!A411+"67\!Os"</f>
        <v>#VALUE!</v>
      </c>
      <c r="CI15" t="e">
        <f>Issue_Log!B411+"67\!Ot"</f>
        <v>#VALUE!</v>
      </c>
      <c r="CJ15" t="e">
        <f>Issue_Log!C411+"67\!Ou"</f>
        <v>#VALUE!</v>
      </c>
      <c r="CK15" t="e">
        <f>Issue_Log!D411+"67\!Ov"</f>
        <v>#VALUE!</v>
      </c>
      <c r="CL15" t="e">
        <f>Issue_Log!E411+"67\!Ow"</f>
        <v>#VALUE!</v>
      </c>
      <c r="CM15" t="e">
        <f>Issue_Log!F411+"67\!Ox"</f>
        <v>#VALUE!</v>
      </c>
      <c r="CN15" t="e">
        <f>Issue_Log!G411+"67\!Oy"</f>
        <v>#VALUE!</v>
      </c>
      <c r="CO15" t="e">
        <f>Issue_Log!A412+"67\!Oz"</f>
        <v>#VALUE!</v>
      </c>
      <c r="CP15" t="e">
        <f>Issue_Log!B412+"67\!O{"</f>
        <v>#VALUE!</v>
      </c>
      <c r="CQ15" t="e">
        <f>Issue_Log!C412+"67\!O|"</f>
        <v>#VALUE!</v>
      </c>
      <c r="CR15" t="e">
        <f>Issue_Log!D412+"67\!O}"</f>
        <v>#VALUE!</v>
      </c>
      <c r="CS15" t="e">
        <f>Issue_Log!E412+"67\!O~"</f>
        <v>#VALUE!</v>
      </c>
      <c r="CT15" t="e">
        <f>Issue_Log!F412+"67\!P#"</f>
        <v>#VALUE!</v>
      </c>
      <c r="CU15" t="e">
        <f>Issue_Log!G412+"67\!P$"</f>
        <v>#VALUE!</v>
      </c>
      <c r="CV15" t="e">
        <f>Issue_Log!A413+"67\!P%"</f>
        <v>#VALUE!</v>
      </c>
      <c r="CW15" t="e">
        <f>Issue_Log!B413+"67\!P&amp;"</f>
        <v>#VALUE!</v>
      </c>
      <c r="CX15" t="e">
        <f>Issue_Log!C413+"67\!P'"</f>
        <v>#VALUE!</v>
      </c>
      <c r="CY15" t="e">
        <f>Issue_Log!D413+"67\!P("</f>
        <v>#VALUE!</v>
      </c>
      <c r="CZ15" t="e">
        <f>Issue_Log!E413+"67\!P)"</f>
        <v>#VALUE!</v>
      </c>
      <c r="DA15" t="e">
        <f>Issue_Log!F413+"67\!P."</f>
        <v>#VALUE!</v>
      </c>
      <c r="DB15" t="e">
        <f>Issue_Log!G413+"67\!P/"</f>
        <v>#VALUE!</v>
      </c>
      <c r="DC15" t="e">
        <f>Issue_Log!A414+"67\!P0"</f>
        <v>#VALUE!</v>
      </c>
      <c r="DD15" t="e">
        <f>Issue_Log!B414+"67\!P1"</f>
        <v>#VALUE!</v>
      </c>
      <c r="DE15" t="e">
        <f>Issue_Log!C414+"67\!P2"</f>
        <v>#VALUE!</v>
      </c>
      <c r="DF15" t="e">
        <f>Issue_Log!D414+"67\!P3"</f>
        <v>#VALUE!</v>
      </c>
      <c r="DG15" t="e">
        <f>Issue_Log!E414+"67\!P4"</f>
        <v>#VALUE!</v>
      </c>
      <c r="DH15" t="e">
        <f>Issue_Log!F414+"67\!P5"</f>
        <v>#VALUE!</v>
      </c>
      <c r="DI15" t="e">
        <f>Issue_Log!G414+"67\!P6"</f>
        <v>#VALUE!</v>
      </c>
      <c r="DJ15" t="e">
        <f>Issue_Log!A415+"67\!P7"</f>
        <v>#VALUE!</v>
      </c>
      <c r="DK15" t="e">
        <f>Issue_Log!B415+"67\!P8"</f>
        <v>#VALUE!</v>
      </c>
      <c r="DL15" t="e">
        <f>Issue_Log!C415+"67\!P9"</f>
        <v>#VALUE!</v>
      </c>
      <c r="DM15" t="e">
        <f>Issue_Log!D415+"67\!P:"</f>
        <v>#VALUE!</v>
      </c>
      <c r="DN15" t="e">
        <f>Issue_Log!E415+"67\!P;"</f>
        <v>#VALUE!</v>
      </c>
      <c r="DO15" t="e">
        <f>Issue_Log!F415+"67\!P&lt;"</f>
        <v>#VALUE!</v>
      </c>
      <c r="DP15" t="e">
        <f>Issue_Log!G415+"67\!P="</f>
        <v>#VALUE!</v>
      </c>
      <c r="DQ15" t="e">
        <f>Issue_Log!A416+"67\!P&gt;"</f>
        <v>#VALUE!</v>
      </c>
      <c r="DR15" t="e">
        <f>Issue_Log!B416+"67\!P?"</f>
        <v>#VALUE!</v>
      </c>
      <c r="DS15" t="e">
        <f>Issue_Log!C416+"67\!P@"</f>
        <v>#VALUE!</v>
      </c>
      <c r="DT15" t="e">
        <f>Issue_Log!D416+"67\!PA"</f>
        <v>#VALUE!</v>
      </c>
      <c r="DU15" t="e">
        <f>Issue_Log!E416+"67\!PB"</f>
        <v>#VALUE!</v>
      </c>
      <c r="DV15" t="e">
        <f>Issue_Log!F416+"67\!PC"</f>
        <v>#VALUE!</v>
      </c>
      <c r="DW15" t="e">
        <f>Issue_Log!G416+"67\!PD"</f>
        <v>#VALUE!</v>
      </c>
      <c r="DX15" t="e">
        <f>Issue_Log!A417+"67\!PE"</f>
        <v>#VALUE!</v>
      </c>
      <c r="DY15" t="e">
        <f>Issue_Log!B417+"67\!PF"</f>
        <v>#VALUE!</v>
      </c>
      <c r="DZ15" t="e">
        <f>Issue_Log!C417+"67\!PG"</f>
        <v>#VALUE!</v>
      </c>
      <c r="EA15" t="e">
        <f>Issue_Log!D417+"67\!PH"</f>
        <v>#VALUE!</v>
      </c>
      <c r="EB15" t="e">
        <f>Issue_Log!E417+"67\!PI"</f>
        <v>#VALUE!</v>
      </c>
      <c r="EC15" t="e">
        <f>Issue_Log!F417+"67\!PJ"</f>
        <v>#VALUE!</v>
      </c>
      <c r="ED15" t="e">
        <f>Issue_Log!G417+"67\!PK"</f>
        <v>#VALUE!</v>
      </c>
      <c r="EE15" t="e">
        <f>Issue_Log!A418+"67\!PL"</f>
        <v>#VALUE!</v>
      </c>
      <c r="EF15" t="e">
        <f>Issue_Log!B418+"67\!PM"</f>
        <v>#VALUE!</v>
      </c>
      <c r="EG15" t="e">
        <f>Issue_Log!C418+"67\!PN"</f>
        <v>#VALUE!</v>
      </c>
      <c r="EH15" t="e">
        <f>Issue_Log!D418+"67\!PO"</f>
        <v>#VALUE!</v>
      </c>
      <c r="EI15" t="e">
        <f>Issue_Log!E418+"67\!PP"</f>
        <v>#VALUE!</v>
      </c>
      <c r="EJ15" t="e">
        <f>Issue_Log!F418+"67\!PQ"</f>
        <v>#VALUE!</v>
      </c>
      <c r="EK15" t="e">
        <f>Issue_Log!G418+"67\!PR"</f>
        <v>#VALUE!</v>
      </c>
      <c r="EL15" t="e">
        <f>Issue_Log!A419+"67\!PS"</f>
        <v>#VALUE!</v>
      </c>
      <c r="EM15" t="e">
        <f>Issue_Log!B419+"67\!PT"</f>
        <v>#VALUE!</v>
      </c>
      <c r="EN15" t="e">
        <f>Issue_Log!C419+"67\!PU"</f>
        <v>#VALUE!</v>
      </c>
      <c r="EO15" t="e">
        <f>Issue_Log!D419+"67\!PV"</f>
        <v>#VALUE!</v>
      </c>
      <c r="EP15" t="e">
        <f>Issue_Log!E419+"67\!PW"</f>
        <v>#VALUE!</v>
      </c>
      <c r="EQ15" t="e">
        <f>Issue_Log!F419+"67\!PX"</f>
        <v>#VALUE!</v>
      </c>
      <c r="ER15" t="e">
        <f>Issue_Log!G419+"67\!PY"</f>
        <v>#VALUE!</v>
      </c>
      <c r="ES15" t="e">
        <f>Issue_Log!A420+"67\!PZ"</f>
        <v>#VALUE!</v>
      </c>
      <c r="ET15" t="e">
        <f>Issue_Log!B420+"67\!P["</f>
        <v>#VALUE!</v>
      </c>
      <c r="EU15" t="e">
        <f>Issue_Log!C420+"67\!P\"</f>
        <v>#VALUE!</v>
      </c>
      <c r="EV15" t="e">
        <f>Issue_Log!D420+"67\!P]"</f>
        <v>#VALUE!</v>
      </c>
      <c r="EW15" t="e">
        <f>Issue_Log!E420+"67\!P^"</f>
        <v>#VALUE!</v>
      </c>
      <c r="EX15" t="e">
        <f>Issue_Log!F420+"67\!P_"</f>
        <v>#VALUE!</v>
      </c>
      <c r="EY15" t="e">
        <f>Issue_Log!G420+"67\!P`"</f>
        <v>#VALUE!</v>
      </c>
      <c r="EZ15" t="e">
        <f>Issue_Log!A421+"67\!Pa"</f>
        <v>#VALUE!</v>
      </c>
      <c r="FA15" t="e">
        <f>Issue_Log!B421+"67\!Pb"</f>
        <v>#VALUE!</v>
      </c>
      <c r="FB15" t="e">
        <f>Issue_Log!C421+"67\!Pc"</f>
        <v>#VALUE!</v>
      </c>
      <c r="FC15" t="e">
        <f>Issue_Log!D421+"67\!Pd"</f>
        <v>#VALUE!</v>
      </c>
      <c r="FD15" t="e">
        <f>Issue_Log!E421+"67\!Pe"</f>
        <v>#VALUE!</v>
      </c>
      <c r="FE15" t="e">
        <f>Issue_Log!F421+"67\!Pf"</f>
        <v>#VALUE!</v>
      </c>
      <c r="FF15" t="e">
        <f>Issue_Log!G421+"67\!Pg"</f>
        <v>#VALUE!</v>
      </c>
      <c r="FG15" t="e">
        <f>Issue_Log!A422+"67\!Ph"</f>
        <v>#VALUE!</v>
      </c>
      <c r="FH15" t="e">
        <f>Issue_Log!B422+"67\!Pi"</f>
        <v>#VALUE!</v>
      </c>
      <c r="FI15" t="e">
        <f>Issue_Log!C422+"67\!Pj"</f>
        <v>#VALUE!</v>
      </c>
      <c r="FJ15" t="e">
        <f>Issue_Log!D422+"67\!Pk"</f>
        <v>#VALUE!</v>
      </c>
      <c r="FK15" t="e">
        <f>Issue_Log!E422+"67\!Pl"</f>
        <v>#VALUE!</v>
      </c>
      <c r="FL15" t="e">
        <f>Issue_Log!F422+"67\!Pm"</f>
        <v>#VALUE!</v>
      </c>
      <c r="FM15" t="e">
        <f>Issue_Log!G422+"67\!Pn"</f>
        <v>#VALUE!</v>
      </c>
      <c r="FN15" t="e">
        <f>Issue_Log!A423+"67\!Po"</f>
        <v>#VALUE!</v>
      </c>
      <c r="FO15" t="e">
        <f>Issue_Log!B423+"67\!Pp"</f>
        <v>#VALUE!</v>
      </c>
      <c r="FP15" t="e">
        <f>Issue_Log!C423+"67\!Pq"</f>
        <v>#VALUE!</v>
      </c>
      <c r="FQ15" t="e">
        <f>Issue_Log!D423+"67\!Pr"</f>
        <v>#VALUE!</v>
      </c>
      <c r="FR15" t="e">
        <f>Issue_Log!E423+"67\!Ps"</f>
        <v>#VALUE!</v>
      </c>
      <c r="FS15" t="e">
        <f>Issue_Log!F423+"67\!Pt"</f>
        <v>#VALUE!</v>
      </c>
      <c r="FT15" t="e">
        <f>Issue_Log!G423+"67\!Pu"</f>
        <v>#VALUE!</v>
      </c>
      <c r="FU15" t="e">
        <f>Issue_Log!A424+"67\!Pv"</f>
        <v>#VALUE!</v>
      </c>
      <c r="FV15" t="e">
        <f>Issue_Log!B424+"67\!Pw"</f>
        <v>#VALUE!</v>
      </c>
      <c r="FW15" t="e">
        <f>Issue_Log!C424+"67\!Px"</f>
        <v>#VALUE!</v>
      </c>
      <c r="FX15" t="e">
        <f>Issue_Log!D424+"67\!Py"</f>
        <v>#VALUE!</v>
      </c>
      <c r="FY15" t="e">
        <f>Issue_Log!E424+"67\!Pz"</f>
        <v>#VALUE!</v>
      </c>
      <c r="FZ15" t="e">
        <f>Issue_Log!F424+"67\!P{"</f>
        <v>#VALUE!</v>
      </c>
      <c r="GA15" t="e">
        <f>Issue_Log!G424+"67\!P|"</f>
        <v>#VALUE!</v>
      </c>
      <c r="GB15" t="e">
        <f>Issue_Log!A425+"67\!P}"</f>
        <v>#VALUE!</v>
      </c>
      <c r="GC15" t="e">
        <f>Issue_Log!B425+"67\!P~"</f>
        <v>#VALUE!</v>
      </c>
      <c r="GD15" t="e">
        <f>Issue_Log!C425+"67\!Q#"</f>
        <v>#VALUE!</v>
      </c>
      <c r="GE15" t="e">
        <f>Issue_Log!D425+"67\!Q$"</f>
        <v>#VALUE!</v>
      </c>
      <c r="GF15" t="e">
        <f>Issue_Log!E425+"67\!Q%"</f>
        <v>#VALUE!</v>
      </c>
      <c r="GG15" t="e">
        <f>Issue_Log!F425+"67\!Q&amp;"</f>
        <v>#VALUE!</v>
      </c>
      <c r="GH15" t="e">
        <f>Issue_Log!G425+"67\!Q'"</f>
        <v>#VALUE!</v>
      </c>
      <c r="GI15" t="e">
        <f>Issue_Log!A426+"67\!Q("</f>
        <v>#VALUE!</v>
      </c>
      <c r="GJ15" t="e">
        <f>Issue_Log!B426+"67\!Q)"</f>
        <v>#VALUE!</v>
      </c>
      <c r="GK15" t="e">
        <f>Issue_Log!C426+"67\!Q."</f>
        <v>#VALUE!</v>
      </c>
      <c r="GL15" t="e">
        <f>Issue_Log!D426+"67\!Q/"</f>
        <v>#VALUE!</v>
      </c>
      <c r="GM15" t="e">
        <f>Issue_Log!E426+"67\!Q0"</f>
        <v>#VALUE!</v>
      </c>
      <c r="GN15" t="e">
        <f>Issue_Log!F426+"67\!Q1"</f>
        <v>#VALUE!</v>
      </c>
      <c r="GO15" t="e">
        <f>Issue_Log!G426+"67\!Q2"</f>
        <v>#VALUE!</v>
      </c>
      <c r="GP15" t="e">
        <f>Issue_Log!A427+"67\!Q3"</f>
        <v>#VALUE!</v>
      </c>
      <c r="GQ15" t="e">
        <f>Issue_Log!B427+"67\!Q4"</f>
        <v>#VALUE!</v>
      </c>
      <c r="GR15" t="e">
        <f>Issue_Log!C427+"67\!Q5"</f>
        <v>#VALUE!</v>
      </c>
      <c r="GS15" t="e">
        <f>Issue_Log!D427+"67\!Q6"</f>
        <v>#VALUE!</v>
      </c>
      <c r="GT15" t="e">
        <f>Issue_Log!E427+"67\!Q7"</f>
        <v>#VALUE!</v>
      </c>
      <c r="GU15" t="e">
        <f>Issue_Log!F427+"67\!Q8"</f>
        <v>#VALUE!</v>
      </c>
      <c r="GV15" t="e">
        <f>Issue_Log!G427+"67\!Q9"</f>
        <v>#VALUE!</v>
      </c>
      <c r="GW15" t="e">
        <f>Issue_Log!A428+"67\!Q:"</f>
        <v>#VALUE!</v>
      </c>
      <c r="GX15" t="e">
        <f>Issue_Log!B428+"67\!Q;"</f>
        <v>#VALUE!</v>
      </c>
      <c r="GY15" t="e">
        <f>Issue_Log!C428+"67\!Q&lt;"</f>
        <v>#VALUE!</v>
      </c>
      <c r="GZ15" t="e">
        <f>Issue_Log!D428+"67\!Q="</f>
        <v>#VALUE!</v>
      </c>
      <c r="HA15" t="e">
        <f>Issue_Log!E428+"67\!Q&gt;"</f>
        <v>#VALUE!</v>
      </c>
      <c r="HB15" t="e">
        <f>Issue_Log!F428+"67\!Q?"</f>
        <v>#VALUE!</v>
      </c>
      <c r="HC15" t="e">
        <f>Issue_Log!G428+"67\!Q@"</f>
        <v>#VALUE!</v>
      </c>
      <c r="HD15" t="e">
        <f>Issue_Log!A429+"67\!QA"</f>
        <v>#VALUE!</v>
      </c>
      <c r="HE15" t="e">
        <f>Issue_Log!B429+"67\!QB"</f>
        <v>#VALUE!</v>
      </c>
      <c r="HF15" t="e">
        <f>Issue_Log!C429+"67\!QC"</f>
        <v>#VALUE!</v>
      </c>
      <c r="HG15" t="e">
        <f>Issue_Log!D429+"67\!QD"</f>
        <v>#VALUE!</v>
      </c>
      <c r="HH15" t="e">
        <f>Issue_Log!E429+"67\!QE"</f>
        <v>#VALUE!</v>
      </c>
      <c r="HI15" t="e">
        <f>Issue_Log!F429+"67\!QF"</f>
        <v>#VALUE!</v>
      </c>
      <c r="HJ15" t="e">
        <f>Issue_Log!G429+"67\!QG"</f>
        <v>#VALUE!</v>
      </c>
      <c r="HK15" t="e">
        <f>Issue_Log!A430+"67\!QH"</f>
        <v>#VALUE!</v>
      </c>
      <c r="HL15" t="e">
        <f>Issue_Log!B430+"67\!QI"</f>
        <v>#VALUE!</v>
      </c>
      <c r="HM15" t="e">
        <f>Issue_Log!C430+"67\!QJ"</f>
        <v>#VALUE!</v>
      </c>
      <c r="HN15" t="e">
        <f>Issue_Log!D430+"67\!QK"</f>
        <v>#VALUE!</v>
      </c>
      <c r="HO15" t="e">
        <f>Issue_Log!E430+"67\!QL"</f>
        <v>#VALUE!</v>
      </c>
      <c r="HP15" t="e">
        <f>Issue_Log!F430+"67\!QM"</f>
        <v>#VALUE!</v>
      </c>
      <c r="HQ15" t="e">
        <f>Issue_Log!G430+"67\!QN"</f>
        <v>#VALUE!</v>
      </c>
      <c r="HR15" t="e">
        <f>Issue_Log!A431+"67\!QO"</f>
        <v>#VALUE!</v>
      </c>
      <c r="HS15" t="e">
        <f>Issue_Log!B431+"67\!QP"</f>
        <v>#VALUE!</v>
      </c>
      <c r="HT15" t="e">
        <f>Issue_Log!C431+"67\!QQ"</f>
        <v>#VALUE!</v>
      </c>
      <c r="HU15" t="e">
        <f>Issue_Log!D431+"67\!QR"</f>
        <v>#VALUE!</v>
      </c>
      <c r="HV15" t="e">
        <f>Issue_Log!E431+"67\!QS"</f>
        <v>#VALUE!</v>
      </c>
      <c r="HW15" t="e">
        <f>Issue_Log!F431+"67\!QT"</f>
        <v>#VALUE!</v>
      </c>
      <c r="HX15" t="e">
        <f>Issue_Log!G431+"67\!QU"</f>
        <v>#VALUE!</v>
      </c>
      <c r="HY15" t="e">
        <f>Issue_Log!A432+"67\!QV"</f>
        <v>#VALUE!</v>
      </c>
      <c r="HZ15" t="e">
        <f>Issue_Log!B432+"67\!QW"</f>
        <v>#VALUE!</v>
      </c>
      <c r="IA15" t="e">
        <f>Issue_Log!C432+"67\!QX"</f>
        <v>#VALUE!</v>
      </c>
      <c r="IB15" t="e">
        <f>Issue_Log!D432+"67\!QY"</f>
        <v>#VALUE!</v>
      </c>
      <c r="IC15" t="e">
        <f>Issue_Log!E432+"67\!QZ"</f>
        <v>#VALUE!</v>
      </c>
      <c r="ID15" t="e">
        <f>Issue_Log!F432+"67\!Q["</f>
        <v>#VALUE!</v>
      </c>
      <c r="IE15" t="e">
        <f>Issue_Log!G432+"67\!Q\"</f>
        <v>#VALUE!</v>
      </c>
      <c r="IF15" t="e">
        <f>Issue_Log!A433+"67\!Q]"</f>
        <v>#VALUE!</v>
      </c>
      <c r="IG15" t="e">
        <f>Issue_Log!B433+"67\!Q^"</f>
        <v>#VALUE!</v>
      </c>
      <c r="IH15" t="e">
        <f>Issue_Log!C433+"67\!Q_"</f>
        <v>#VALUE!</v>
      </c>
      <c r="II15" t="e">
        <f>Issue_Log!D433+"67\!Q`"</f>
        <v>#VALUE!</v>
      </c>
      <c r="IJ15" t="e">
        <f>Issue_Log!E433+"67\!Qa"</f>
        <v>#VALUE!</v>
      </c>
      <c r="IK15" t="e">
        <f>Issue_Log!F433+"67\!Qb"</f>
        <v>#VALUE!</v>
      </c>
      <c r="IL15" t="e">
        <f>Issue_Log!G433+"67\!Qc"</f>
        <v>#VALUE!</v>
      </c>
      <c r="IM15" t="e">
        <f>Issue_Log!A434+"67\!Qd"</f>
        <v>#VALUE!</v>
      </c>
      <c r="IN15" t="e">
        <f>Issue_Log!B434+"67\!Qe"</f>
        <v>#VALUE!</v>
      </c>
      <c r="IO15" t="e">
        <f>Issue_Log!C434+"67\!Qf"</f>
        <v>#VALUE!</v>
      </c>
      <c r="IP15" t="e">
        <f>Issue_Log!D434+"67\!Qg"</f>
        <v>#VALUE!</v>
      </c>
      <c r="IQ15" t="e">
        <f>Issue_Log!E434+"67\!Qh"</f>
        <v>#VALUE!</v>
      </c>
      <c r="IR15" t="e">
        <f>Issue_Log!F434+"67\!Qi"</f>
        <v>#VALUE!</v>
      </c>
      <c r="IS15" t="e">
        <f>Issue_Log!G434+"67\!Qj"</f>
        <v>#VALUE!</v>
      </c>
      <c r="IT15" t="e">
        <f>Issue_Log!A435+"67\!Qk"</f>
        <v>#VALUE!</v>
      </c>
      <c r="IU15" t="e">
        <f>Issue_Log!B435+"67\!Ql"</f>
        <v>#VALUE!</v>
      </c>
      <c r="IV15" t="e">
        <f>Issue_Log!C435+"67\!Qm"</f>
        <v>#VALUE!</v>
      </c>
    </row>
    <row r="16" spans="1:256" x14ac:dyDescent="0.15">
      <c r="F16" t="e">
        <f>Issue_Log!D435+"67\!Qn"</f>
        <v>#VALUE!</v>
      </c>
      <c r="G16" t="e">
        <f>Issue_Log!E435+"67\!Qo"</f>
        <v>#VALUE!</v>
      </c>
      <c r="H16" t="e">
        <f>Issue_Log!F435+"67\!Qp"</f>
        <v>#VALUE!</v>
      </c>
      <c r="I16" t="e">
        <f>Issue_Log!G435+"67\!Qq"</f>
        <v>#VALUE!</v>
      </c>
      <c r="J16" t="e">
        <f>Issue_Log!A436+"67\!Qr"</f>
        <v>#VALUE!</v>
      </c>
      <c r="K16" t="e">
        <f>Issue_Log!B436+"67\!Qs"</f>
        <v>#VALUE!</v>
      </c>
      <c r="L16" t="e">
        <f>Issue_Log!C436+"67\!Qt"</f>
        <v>#VALUE!</v>
      </c>
      <c r="M16" t="e">
        <f>Issue_Log!D436+"67\!Qu"</f>
        <v>#VALUE!</v>
      </c>
      <c r="N16" t="e">
        <f>Issue_Log!E436+"67\!Qv"</f>
        <v>#VALUE!</v>
      </c>
      <c r="O16" t="e">
        <f>Issue_Log!F436+"67\!Qw"</f>
        <v>#VALUE!</v>
      </c>
      <c r="P16" t="e">
        <f>Issue_Log!G436+"67\!Qx"</f>
        <v>#VALUE!</v>
      </c>
      <c r="Q16" t="e">
        <f>Issue_Log!A437+"67\!Qy"</f>
        <v>#VALUE!</v>
      </c>
      <c r="R16" t="e">
        <f>Issue_Log!B437+"67\!Qz"</f>
        <v>#VALUE!</v>
      </c>
      <c r="S16" t="e">
        <f>Issue_Log!C437+"67\!Q{"</f>
        <v>#VALUE!</v>
      </c>
      <c r="T16" t="e">
        <f>Issue_Log!D437+"67\!Q|"</f>
        <v>#VALUE!</v>
      </c>
      <c r="U16" t="e">
        <f>Issue_Log!E437+"67\!Q}"</f>
        <v>#VALUE!</v>
      </c>
      <c r="V16" t="e">
        <f>Issue_Log!F437+"67\!Q~"</f>
        <v>#VALUE!</v>
      </c>
      <c r="W16" t="e">
        <f>Issue_Log!G437+"67\!R#"</f>
        <v>#VALUE!</v>
      </c>
      <c r="X16" t="e">
        <f>Issue_Log!A438+"67\!R$"</f>
        <v>#VALUE!</v>
      </c>
      <c r="Y16" t="e">
        <f>Issue_Log!B438+"67\!R%"</f>
        <v>#VALUE!</v>
      </c>
      <c r="Z16" t="e">
        <f>Issue_Log!C438+"67\!R&amp;"</f>
        <v>#VALUE!</v>
      </c>
      <c r="AA16" t="e">
        <f>Issue_Log!D438+"67\!R'"</f>
        <v>#VALUE!</v>
      </c>
      <c r="AB16" t="e">
        <f>Issue_Log!E438+"67\!R("</f>
        <v>#VALUE!</v>
      </c>
      <c r="AC16" t="e">
        <f>Issue_Log!F438+"67\!R)"</f>
        <v>#VALUE!</v>
      </c>
      <c r="AD16" t="e">
        <f>Issue_Log!G438+"67\!R."</f>
        <v>#VALUE!</v>
      </c>
      <c r="AE16" t="e">
        <f>Issue_Log!A439+"67\!R/"</f>
        <v>#VALUE!</v>
      </c>
      <c r="AF16" t="e">
        <f>Issue_Log!B439+"67\!R0"</f>
        <v>#VALUE!</v>
      </c>
      <c r="AG16" t="e">
        <f>Issue_Log!C439+"67\!R1"</f>
        <v>#VALUE!</v>
      </c>
      <c r="AH16" t="e">
        <f>Issue_Log!D439+"67\!R2"</f>
        <v>#VALUE!</v>
      </c>
      <c r="AI16" t="e">
        <f>Issue_Log!E439+"67\!R3"</f>
        <v>#VALUE!</v>
      </c>
      <c r="AJ16" t="e">
        <f>Issue_Log!F439+"67\!R4"</f>
        <v>#VALUE!</v>
      </c>
      <c r="AK16" t="e">
        <f>Issue_Log!G439+"67\!R5"</f>
        <v>#VALUE!</v>
      </c>
      <c r="AL16" t="e">
        <f>Issue_Log!A440+"67\!R6"</f>
        <v>#VALUE!</v>
      </c>
      <c r="AM16" t="e">
        <f>Issue_Log!B440+"67\!R7"</f>
        <v>#VALUE!</v>
      </c>
      <c r="AN16" t="e">
        <f>Issue_Log!C440+"67\!R8"</f>
        <v>#VALUE!</v>
      </c>
      <c r="AO16" t="e">
        <f>Issue_Log!D440+"67\!R9"</f>
        <v>#VALUE!</v>
      </c>
      <c r="AP16" t="e">
        <f>Issue_Log!E440+"67\!R:"</f>
        <v>#VALUE!</v>
      </c>
      <c r="AQ16" t="e">
        <f>Issue_Log!F440+"67\!R;"</f>
        <v>#VALUE!</v>
      </c>
      <c r="AR16" t="e">
        <f>Issue_Log!G440+"67\!R&lt;"</f>
        <v>#VALUE!</v>
      </c>
      <c r="AS16" t="e">
        <f>Issue_Log!A441+"67\!R="</f>
        <v>#VALUE!</v>
      </c>
      <c r="AT16" t="e">
        <f>Issue_Log!B441+"67\!R&gt;"</f>
        <v>#VALUE!</v>
      </c>
      <c r="AU16" t="e">
        <f>Issue_Log!C441+"67\!R?"</f>
        <v>#VALUE!</v>
      </c>
      <c r="AV16" t="e">
        <f>Issue_Log!D441+"67\!R@"</f>
        <v>#VALUE!</v>
      </c>
      <c r="AW16" t="e">
        <f>Issue_Log!E441+"67\!RA"</f>
        <v>#VALUE!</v>
      </c>
      <c r="AX16" t="e">
        <f>Issue_Log!F441+"67\!RB"</f>
        <v>#VALUE!</v>
      </c>
      <c r="AY16" t="e">
        <f>Issue_Log!G441+"67\!RC"</f>
        <v>#VALUE!</v>
      </c>
      <c r="AZ16" t="e">
        <f>Issue_Log!A442+"67\!RD"</f>
        <v>#VALUE!</v>
      </c>
      <c r="BA16" t="e">
        <f>Issue_Log!B442+"67\!RE"</f>
        <v>#VALUE!</v>
      </c>
      <c r="BB16" t="e">
        <f>Issue_Log!C442+"67\!RF"</f>
        <v>#VALUE!</v>
      </c>
      <c r="BC16" t="e">
        <f>Issue_Log!D442+"67\!RG"</f>
        <v>#VALUE!</v>
      </c>
      <c r="BD16" t="e">
        <f>Issue_Log!E442+"67\!RH"</f>
        <v>#VALUE!</v>
      </c>
      <c r="BE16" t="e">
        <f>Issue_Log!F442+"67\!RI"</f>
        <v>#VALUE!</v>
      </c>
      <c r="BF16" t="e">
        <f>Issue_Log!G442+"67\!RJ"</f>
        <v>#VALUE!</v>
      </c>
      <c r="BG16" t="e">
        <f>Issue_Log!A443+"67\!RK"</f>
        <v>#VALUE!</v>
      </c>
      <c r="BH16" t="e">
        <f>Issue_Log!B443+"67\!RL"</f>
        <v>#VALUE!</v>
      </c>
      <c r="BI16" t="e">
        <f>Issue_Log!C443+"67\!RM"</f>
        <v>#VALUE!</v>
      </c>
      <c r="BJ16" t="e">
        <f>Issue_Log!D443+"67\!RN"</f>
        <v>#VALUE!</v>
      </c>
      <c r="BK16" t="e">
        <f>Issue_Log!E443+"67\!RO"</f>
        <v>#VALUE!</v>
      </c>
      <c r="BL16" t="e">
        <f>Issue_Log!F443+"67\!RP"</f>
        <v>#VALUE!</v>
      </c>
      <c r="BM16" t="e">
        <f>Issue_Log!G443+"67\!RQ"</f>
        <v>#VALUE!</v>
      </c>
      <c r="BN16" t="e">
        <f>Issue_Log!A444+"67\!RR"</f>
        <v>#VALUE!</v>
      </c>
      <c r="BO16" t="e">
        <f>Issue_Log!B444+"67\!RS"</f>
        <v>#VALUE!</v>
      </c>
      <c r="BP16" t="e">
        <f>Issue_Log!C444+"67\!RT"</f>
        <v>#VALUE!</v>
      </c>
      <c r="BQ16" t="e">
        <f>Issue_Log!D444+"67\!RU"</f>
        <v>#VALUE!</v>
      </c>
      <c r="BR16" t="e">
        <f>Issue_Log!E444+"67\!RV"</f>
        <v>#VALUE!</v>
      </c>
      <c r="BS16" t="e">
        <f>Issue_Log!F444+"67\!RW"</f>
        <v>#VALUE!</v>
      </c>
      <c r="BT16" t="e">
        <f>Issue_Log!G444+"67\!RX"</f>
        <v>#VALUE!</v>
      </c>
      <c r="BU16" t="e">
        <f>Issue_Log!A445+"67\!RY"</f>
        <v>#VALUE!</v>
      </c>
      <c r="BV16" t="e">
        <f>Issue_Log!B445+"67\!RZ"</f>
        <v>#VALUE!</v>
      </c>
      <c r="BW16" t="e">
        <f>Issue_Log!C445+"67\!R["</f>
        <v>#VALUE!</v>
      </c>
      <c r="BX16" t="e">
        <f>Issue_Log!D445+"67\!R\"</f>
        <v>#VALUE!</v>
      </c>
      <c r="BY16" t="e">
        <f>Issue_Log!E445+"67\!R]"</f>
        <v>#VALUE!</v>
      </c>
      <c r="BZ16" t="e">
        <f>Issue_Log!F445+"67\!R^"</f>
        <v>#VALUE!</v>
      </c>
      <c r="CA16" t="e">
        <f>Issue_Log!G445+"67\!R_"</f>
        <v>#VALUE!</v>
      </c>
      <c r="CB16" t="e">
        <f>Issue_Log!A446+"67\!R`"</f>
        <v>#VALUE!</v>
      </c>
      <c r="CC16" t="e">
        <f>Issue_Log!B446+"67\!Ra"</f>
        <v>#VALUE!</v>
      </c>
      <c r="CD16" t="e">
        <f>Issue_Log!C446+"67\!Rb"</f>
        <v>#VALUE!</v>
      </c>
      <c r="CE16" t="e">
        <f>Issue_Log!D446+"67\!Rc"</f>
        <v>#VALUE!</v>
      </c>
      <c r="CF16" t="e">
        <f>Issue_Log!E446+"67\!Rd"</f>
        <v>#VALUE!</v>
      </c>
      <c r="CG16" t="e">
        <f>Issue_Log!F446+"67\!Re"</f>
        <v>#VALUE!</v>
      </c>
      <c r="CH16" t="e">
        <f>Issue_Log!G446+"67\!Rf"</f>
        <v>#VALUE!</v>
      </c>
      <c r="CI16" t="e">
        <f>Issue_Log!A447+"67\!Rg"</f>
        <v>#VALUE!</v>
      </c>
      <c r="CJ16" t="e">
        <f>Issue_Log!B447+"67\!Rh"</f>
        <v>#VALUE!</v>
      </c>
      <c r="CK16" t="e">
        <f>Issue_Log!C447+"67\!Ri"</f>
        <v>#VALUE!</v>
      </c>
      <c r="CL16" t="e">
        <f>Issue_Log!D447+"67\!Rj"</f>
        <v>#VALUE!</v>
      </c>
      <c r="CM16" t="e">
        <f>Issue_Log!E447+"67\!Rk"</f>
        <v>#VALUE!</v>
      </c>
      <c r="CN16" t="e">
        <f>Issue_Log!F447+"67\!Rl"</f>
        <v>#VALUE!</v>
      </c>
      <c r="CO16" t="e">
        <f>Issue_Log!G447+"67\!Rm"</f>
        <v>#VALUE!</v>
      </c>
      <c r="CP16" t="e">
        <f>Issue_Log!A448+"67\!Rn"</f>
        <v>#VALUE!</v>
      </c>
      <c r="CQ16" t="e">
        <f>Issue_Log!B448+"67\!Ro"</f>
        <v>#VALUE!</v>
      </c>
      <c r="CR16" t="e">
        <f>Issue_Log!C448+"67\!Rp"</f>
        <v>#VALUE!</v>
      </c>
      <c r="CS16" t="e">
        <f>Issue_Log!D448+"67\!Rq"</f>
        <v>#VALUE!</v>
      </c>
      <c r="CT16" t="e">
        <f>Issue_Log!E448+"67\!Rr"</f>
        <v>#VALUE!</v>
      </c>
      <c r="CU16" t="e">
        <f>Issue_Log!F448+"67\!Rs"</f>
        <v>#VALUE!</v>
      </c>
      <c r="CV16" t="e">
        <f>Issue_Log!G448+"67\!Rt"</f>
        <v>#VALUE!</v>
      </c>
      <c r="CW16" t="e">
        <f>Issue_Log!A449+"67\!Ru"</f>
        <v>#VALUE!</v>
      </c>
      <c r="CX16" t="e">
        <f>Issue_Log!B449+"67\!Rv"</f>
        <v>#VALUE!</v>
      </c>
      <c r="CY16" t="e">
        <f>Issue_Log!C449+"67\!Rw"</f>
        <v>#VALUE!</v>
      </c>
      <c r="CZ16" t="e">
        <f>Issue_Log!D449+"67\!Rx"</f>
        <v>#VALUE!</v>
      </c>
      <c r="DA16" t="e">
        <f>Issue_Log!E449+"67\!Ry"</f>
        <v>#VALUE!</v>
      </c>
      <c r="DB16" t="e">
        <f>Issue_Log!F449+"67\!Rz"</f>
        <v>#VALUE!</v>
      </c>
      <c r="DC16" t="e">
        <f>Issue_Log!G449+"67\!R{"</f>
        <v>#VALUE!</v>
      </c>
      <c r="DD16" t="e">
        <f>Issue_Log!A450+"67\!R|"</f>
        <v>#VALUE!</v>
      </c>
      <c r="DE16" t="e">
        <f>Issue_Log!B450+"67\!R}"</f>
        <v>#VALUE!</v>
      </c>
      <c r="DF16" t="e">
        <f>Issue_Log!C450+"67\!R~"</f>
        <v>#VALUE!</v>
      </c>
      <c r="DG16" t="e">
        <f>Issue_Log!D450+"67\!S#"</f>
        <v>#VALUE!</v>
      </c>
      <c r="DH16" t="e">
        <f>Issue_Log!E450+"67\!S$"</f>
        <v>#VALUE!</v>
      </c>
      <c r="DI16" t="e">
        <f>Issue_Log!F450+"67\!S%"</f>
        <v>#VALUE!</v>
      </c>
      <c r="DJ16" t="e">
        <f>Issue_Log!G450+"67\!S&amp;"</f>
        <v>#VALUE!</v>
      </c>
      <c r="DK16" t="e">
        <f>Issue_Log!A451+"67\!S'"</f>
        <v>#VALUE!</v>
      </c>
      <c r="DL16" t="e">
        <f>Issue_Log!B451+"67\!S("</f>
        <v>#VALUE!</v>
      </c>
      <c r="DM16" t="e">
        <f>Issue_Log!C451+"67\!S)"</f>
        <v>#VALUE!</v>
      </c>
      <c r="DN16" t="e">
        <f>Issue_Log!D451+"67\!S."</f>
        <v>#VALUE!</v>
      </c>
      <c r="DO16" t="e">
        <f>Issue_Log!E451+"67\!S/"</f>
        <v>#VALUE!</v>
      </c>
      <c r="DP16" t="e">
        <f>Issue_Log!F451+"67\!S0"</f>
        <v>#VALUE!</v>
      </c>
      <c r="DQ16" t="e">
        <f>Issue_Log!G451+"67\!S1"</f>
        <v>#VALUE!</v>
      </c>
      <c r="DR16" t="e">
        <f>Score!A:A*"67\!S2"</f>
        <v>#VALUE!</v>
      </c>
      <c r="DS16" t="e">
        <f>Score!B:B*"67\!S3"</f>
        <v>#VALUE!</v>
      </c>
      <c r="DT16" t="e">
        <f>Score!C:C*"67\!S4"</f>
        <v>#VALUE!</v>
      </c>
      <c r="DU16" t="e">
        <f>Score!#REF!*"67\!S5"</f>
        <v>#REF!</v>
      </c>
      <c r="DV16" t="e">
        <f>Score!D:D*"67\!S6"</f>
        <v>#VALUE!</v>
      </c>
      <c r="DW16" t="e">
        <f>Score!E:E*"67\!S7"</f>
        <v>#VALUE!</v>
      </c>
      <c r="DX16" t="e">
        <f>Score!F:F*"67\!S8"</f>
        <v>#VALUE!</v>
      </c>
      <c r="DY16" t="e">
        <f>Score!G:G*"67\!S9"</f>
        <v>#VALUE!</v>
      </c>
      <c r="DZ16" t="e">
        <f>Score!H:H*"67\!S:"</f>
        <v>#VALUE!</v>
      </c>
      <c r="EA16" t="e">
        <f>Score!I:I*"67\!S;"</f>
        <v>#VALUE!</v>
      </c>
      <c r="EB16" t="e">
        <f>Score!J:J*"67\!S&lt;"</f>
        <v>#VALUE!</v>
      </c>
      <c r="EC16" t="e">
        <f>Score!K:K*"67\!S="</f>
        <v>#VALUE!</v>
      </c>
      <c r="ED16" t="e">
        <f>Score!L:L*"67\!S&gt;"</f>
        <v>#VALUE!</v>
      </c>
      <c r="EE16" t="e">
        <f>Score!M:M*"67\!S?"</f>
        <v>#VALUE!</v>
      </c>
      <c r="EF16" t="e">
        <f>Score!N:N*"67\!S@"</f>
        <v>#VALUE!</v>
      </c>
      <c r="EG16" t="e">
        <f>Score!O:O*"67\!SA"</f>
        <v>#VALUE!</v>
      </c>
      <c r="EH16" t="e">
        <f>Score!P:P*"67\!SB"</f>
        <v>#VALUE!</v>
      </c>
      <c r="EI16" t="e">
        <f>Score!Q:Q*"67\!SC"</f>
        <v>#VALUE!</v>
      </c>
      <c r="EJ16" t="e">
        <f>Score!R:R*"67\!SD"</f>
        <v>#VALUE!</v>
      </c>
      <c r="EK16" t="e">
        <f>Score!S:S*"67\!SE"</f>
        <v>#VALUE!</v>
      </c>
      <c r="EL16" t="e">
        <f>Score!T:T*"67\!SF"</f>
        <v>#VALUE!</v>
      </c>
      <c r="EM16" t="e">
        <f>Score!U:U*"67\!SG"</f>
        <v>#VALUE!</v>
      </c>
      <c r="EN16" t="e">
        <f>Score!V:V*"67\!SH"</f>
        <v>#VALUE!</v>
      </c>
      <c r="EO16" t="e">
        <f>Score!W:W*"67\!SI"</f>
        <v>#VALUE!</v>
      </c>
      <c r="EP16" t="e">
        <f>Score!X:X*"67\!SJ"</f>
        <v>#VALUE!</v>
      </c>
      <c r="EQ16" t="e">
        <f>Score!Y:Y*"67\!SK"</f>
        <v>#VALUE!</v>
      </c>
      <c r="ER16" t="e">
        <f>Score!Z:Z*"67\!SL"</f>
        <v>#VALUE!</v>
      </c>
      <c r="ES16" t="e">
        <f>Score!AA:AA*"67\!SM"</f>
        <v>#VALUE!</v>
      </c>
      <c r="ET16" t="e">
        <f>Score!AB:AB*"67\!SN"</f>
        <v>#VALUE!</v>
      </c>
      <c r="EU16" t="e">
        <f>Score!AC:AC*"67\!SO"</f>
        <v>#VALUE!</v>
      </c>
      <c r="EV16" t="e">
        <f>Score!AD:AD*"67\!SP"</f>
        <v>#VALUE!</v>
      </c>
      <c r="EW16" t="e">
        <f>Score!AE:AE*"67\!SQ"</f>
        <v>#VALUE!</v>
      </c>
      <c r="EX16" t="e">
        <f>Score!AF:AF*"67\!SR"</f>
        <v>#VALUE!</v>
      </c>
      <c r="EY16" t="e">
        <f>Score!AG:AG*"67\!SS"</f>
        <v>#VALUE!</v>
      </c>
      <c r="EZ16" t="e">
        <f>Score!AH:AH*"67\!ST"</f>
        <v>#VALUE!</v>
      </c>
      <c r="FA16" t="e">
        <f>Score!AI:AI*"67\!SU"</f>
        <v>#VALUE!</v>
      </c>
      <c r="FB16" t="e">
        <f>Score!AJ:AJ*"67\!SV"</f>
        <v>#VALUE!</v>
      </c>
      <c r="FC16" t="e">
        <f>Score!AK:AK*"67\!SW"</f>
        <v>#VALUE!</v>
      </c>
      <c r="FD16" t="e">
        <f>Score!AL:AL*"67\!SX"</f>
        <v>#VALUE!</v>
      </c>
      <c r="FE16" t="e">
        <f>Score!AM:AM*"67\!SY"</f>
        <v>#VALUE!</v>
      </c>
      <c r="FF16" t="e">
        <f>Score!AN:AN*"67\!SZ"</f>
        <v>#VALUE!</v>
      </c>
      <c r="FG16" t="e">
        <f>Score!AO:AO*"67\!S["</f>
        <v>#VALUE!</v>
      </c>
      <c r="FH16" t="e">
        <f>Score!AP:AP*"67\!S\"</f>
        <v>#VALUE!</v>
      </c>
      <c r="FI16" t="e">
        <f>Score!AQ:AQ*"67\!S]"</f>
        <v>#VALUE!</v>
      </c>
      <c r="FJ16" t="e">
        <f>Score!AR:AR*"67\!S^"</f>
        <v>#VALUE!</v>
      </c>
      <c r="FK16" t="e">
        <f>Score!AS:AS*"67\!S_"</f>
        <v>#VALUE!</v>
      </c>
      <c r="FL16" t="e">
        <f>Score!AT:AT*"67\!S`"</f>
        <v>#VALUE!</v>
      </c>
      <c r="FM16" t="e">
        <f>Score!AU:AU*"67\!Sa"</f>
        <v>#VALUE!</v>
      </c>
      <c r="FN16" t="e">
        <f>Score!AV:AV*"67\!Sb"</f>
        <v>#VALUE!</v>
      </c>
      <c r="FO16" t="e">
        <f>Score!AW:AW*"67\!Sc"</f>
        <v>#VALUE!</v>
      </c>
      <c r="FP16" t="e">
        <f>Score!AX:AX*"67\!Sd"</f>
        <v>#VALUE!</v>
      </c>
      <c r="FQ16" t="e">
        <f>Score!1:1-"67\!Se"</f>
        <v>#VALUE!</v>
      </c>
      <c r="FR16" t="e">
        <f>Score!2:2-"67\!Sf"</f>
        <v>#VALUE!</v>
      </c>
      <c r="FS16" t="e">
        <f>Score!3:3-"67\!Sg"</f>
        <v>#VALUE!</v>
      </c>
      <c r="FT16" t="e">
        <f>Score!4:4-"67\!Sh"</f>
        <v>#VALUE!</v>
      </c>
      <c r="FU16" t="e">
        <f>Score!5:5-"67\!Si"</f>
        <v>#VALUE!</v>
      </c>
      <c r="FV16" t="e">
        <f>Score!19:19-"67\!Sj"</f>
        <v>#VALUE!</v>
      </c>
      <c r="FW16" t="e">
        <f>Score!6:6-"67\!Sk"</f>
        <v>#VALUE!</v>
      </c>
      <c r="FX16" t="e">
        <f>Score!8:8-"67\!Sl"</f>
        <v>#VALUE!</v>
      </c>
      <c r="FY16" t="e">
        <f>Score!9:9-"67\!Sm"</f>
        <v>#VALUE!</v>
      </c>
      <c r="FZ16" t="e">
        <f>Score!10:10-"67\!Sn"</f>
        <v>#VALUE!</v>
      </c>
      <c r="GA16" t="e">
        <f>Score!11:11-"67\!So"</f>
        <v>#VALUE!</v>
      </c>
      <c r="GB16" t="e">
        <f>Score!15:15-"67\!Sp"</f>
        <v>#VALUE!</v>
      </c>
      <c r="GC16" t="e">
        <f>Score!#REF!-"67\!Sq"</f>
        <v>#REF!</v>
      </c>
      <c r="GD16" t="e">
        <f>Score!20:20-"67\!Sr"</f>
        <v>#VALUE!</v>
      </c>
      <c r="GE16" t="e">
        <f>Score!17:17-"67\!Ss"</f>
        <v>#VALUE!</v>
      </c>
      <c r="GF16" t="e">
        <f>Score!18:18-"67\!St"</f>
        <v>#VALUE!</v>
      </c>
      <c r="GG16" t="e">
        <f>Score!#REF!-"67\!Su"</f>
        <v>#REF!</v>
      </c>
      <c r="GH16" t="e">
        <f>Score!#REF!-"67\!Sv"</f>
        <v>#REF!</v>
      </c>
      <c r="GI16" t="e">
        <f>Score!21:21-"67\!Sw"</f>
        <v>#VALUE!</v>
      </c>
      <c r="GJ16" t="e">
        <f>Score!22:22-"67\!Sx"</f>
        <v>#VALUE!</v>
      </c>
      <c r="GK16" t="e">
        <f>Score!23:23-"67\!Sy"</f>
        <v>#VALUE!</v>
      </c>
      <c r="GL16" t="e">
        <f>Score!24:24-"67\!Sz"</f>
        <v>#VALUE!</v>
      </c>
      <c r="GM16" t="e">
        <f>Score!25:25-"67\!S{"</f>
        <v>#VALUE!</v>
      </c>
      <c r="GN16" t="e">
        <f>Score!#REF!-"67\!S|"</f>
        <v>#REF!</v>
      </c>
      <c r="GO16" t="e">
        <f>Score!#REF!-"67\!S}"</f>
        <v>#REF!</v>
      </c>
      <c r="GP16" t="e">
        <f>Score!26:26-"67\!S~"</f>
        <v>#VALUE!</v>
      </c>
      <c r="GQ16" t="e">
        <f>Score!27:27-"67\!T#"</f>
        <v>#VALUE!</v>
      </c>
      <c r="GR16" t="e">
        <f>Score!28:28-"67\!T$"</f>
        <v>#VALUE!</v>
      </c>
      <c r="GS16" t="e">
        <f>Score!29:29-"67\!T%"</f>
        <v>#VALUE!</v>
      </c>
      <c r="GT16" t="e">
        <f>Score!30:30-"67\!T&amp;"</f>
        <v>#VALUE!</v>
      </c>
      <c r="GU16" t="e">
        <f>Score!31:31-"67\!T'"</f>
        <v>#VALUE!</v>
      </c>
      <c r="GV16" t="e">
        <f>Score!32:32-"67\!T("</f>
        <v>#VALUE!</v>
      </c>
      <c r="GW16" t="e">
        <f>Score!33:33-"67\!T)"</f>
        <v>#VALUE!</v>
      </c>
      <c r="GX16" t="e">
        <f>Score!34:34-"67\!T."</f>
        <v>#VALUE!</v>
      </c>
      <c r="GY16" t="e">
        <f>Score!35:35-"67\!T/"</f>
        <v>#VALUE!</v>
      </c>
      <c r="GZ16" t="e">
        <f>Score!36:36-"67\!T0"</f>
        <v>#VALUE!</v>
      </c>
      <c r="HA16" t="e">
        <f>Score!37:37-"67\!T1"</f>
        <v>#VALUE!</v>
      </c>
      <c r="HB16" t="e">
        <f>Score!38:38-"67\!T2"</f>
        <v>#VALUE!</v>
      </c>
      <c r="HC16" t="e">
        <f>Score!39:39-"67\!T3"</f>
        <v>#VALUE!</v>
      </c>
      <c r="HD16" t="e">
        <f>Score!40:40-"67\!T4"</f>
        <v>#VALUE!</v>
      </c>
      <c r="HE16" t="e">
        <f>Score!41:41-"67\!T5"</f>
        <v>#VALUE!</v>
      </c>
      <c r="HF16" t="e">
        <f>Score!42:42-"67\!T6"</f>
        <v>#VALUE!</v>
      </c>
      <c r="HG16" t="e">
        <f>Score!43:43-"67\!T7"</f>
        <v>#VALUE!</v>
      </c>
      <c r="HH16" t="e">
        <f>Score!44:44-"67\!T8"</f>
        <v>#VALUE!</v>
      </c>
      <c r="HI16" t="e">
        <f>Score!45:45-"67\!T9"</f>
        <v>#VALUE!</v>
      </c>
      <c r="HJ16" t="e">
        <f>Score!46:46-"67\!T:"</f>
        <v>#VALUE!</v>
      </c>
      <c r="HK16" t="e">
        <f>Score!47:47-"67\!T;"</f>
        <v>#VALUE!</v>
      </c>
      <c r="HL16" t="e">
        <f>Score!48:48-"67\!T&lt;"</f>
        <v>#VALUE!</v>
      </c>
      <c r="HM16" t="e">
        <f>Score!49:49-"67\!T="</f>
        <v>#VALUE!</v>
      </c>
      <c r="HN16" t="e">
        <f>Score!50:50-"67\!T&gt;"</f>
        <v>#VALUE!</v>
      </c>
      <c r="HO16" t="e">
        <f>Score!51:51-"67\!T?"</f>
        <v>#VALUE!</v>
      </c>
      <c r="HP16" t="e">
        <f>Score!52:52-"67\!T@"</f>
        <v>#VALUE!</v>
      </c>
      <c r="HQ16" t="e">
        <f>Score!53:53-"67\!TA"</f>
        <v>#VALUE!</v>
      </c>
      <c r="HR16" t="e">
        <f>Score!54:54-"67\!TB"</f>
        <v>#VALUE!</v>
      </c>
      <c r="HS16" t="e">
        <f>Score!55:55-"67\!TC"</f>
        <v>#VALUE!</v>
      </c>
      <c r="HT16" t="e">
        <f>Score!56:56-"67\!TD"</f>
        <v>#VALUE!</v>
      </c>
      <c r="HU16" t="e">
        <f>Score!57:57-"67\!TE"</f>
        <v>#VALUE!</v>
      </c>
      <c r="HV16" t="e">
        <f>Score!58:58-"67\!TF"</f>
        <v>#VALUE!</v>
      </c>
      <c r="HW16" t="e">
        <f>Score!59:59-"67\!TG"</f>
        <v>#VALUE!</v>
      </c>
      <c r="HX16" t="e">
        <f>Score!60:60-"67\!TH"</f>
        <v>#VALUE!</v>
      </c>
      <c r="HY16" t="e">
        <f>Score!61:61-"67\!TI"</f>
        <v>#VALUE!</v>
      </c>
      <c r="HZ16" t="e">
        <f>Score!62:62-"67\!TJ"</f>
        <v>#VALUE!</v>
      </c>
      <c r="IA16" t="e">
        <f>Score!63:63-"67\!TK"</f>
        <v>#VALUE!</v>
      </c>
      <c r="IB16" t="e">
        <f>Score!64:64-"67\!TL"</f>
        <v>#VALUE!</v>
      </c>
      <c r="IC16" t="e">
        <f>Score!65:65-"67\!TM"</f>
        <v>#VALUE!</v>
      </c>
      <c r="ID16" t="e">
        <f>Score!66:66-"67\!TN"</f>
        <v>#VALUE!</v>
      </c>
      <c r="IE16" t="e">
        <f>Score!67:67-"67\!TO"</f>
        <v>#VALUE!</v>
      </c>
      <c r="IF16" t="e">
        <f>Score!68:68-"67\!TP"</f>
        <v>#VALUE!</v>
      </c>
      <c r="IG16" t="e">
        <f>Score!69:69-"67\!TQ"</f>
        <v>#VALUE!</v>
      </c>
      <c r="IH16" t="e">
        <f>Score!70:70-"67\!TR"</f>
        <v>#VALUE!</v>
      </c>
      <c r="II16" t="e">
        <f>Score!71:71-"67\!TS"</f>
        <v>#VALUE!</v>
      </c>
      <c r="IJ16" t="e">
        <f>Score!72:72-"67\!TT"</f>
        <v>#VALUE!</v>
      </c>
      <c r="IK16" t="e">
        <f>Score!73:73-"67\!TU"</f>
        <v>#VALUE!</v>
      </c>
      <c r="IL16" t="e">
        <f>Score!74:74-"67\!TV"</f>
        <v>#VALUE!</v>
      </c>
      <c r="IM16" t="e">
        <f>Score!75:75-"67\!TW"</f>
        <v>#VALUE!</v>
      </c>
      <c r="IN16" t="e">
        <f>Score!76:76-"67\!TX"</f>
        <v>#VALUE!</v>
      </c>
      <c r="IO16" t="e">
        <f>Score!77:77-"67\!TY"</f>
        <v>#VALUE!</v>
      </c>
      <c r="IP16" t="e">
        <f>Score!78:78-"67\!TZ"</f>
        <v>#VALUE!</v>
      </c>
      <c r="IQ16" t="e">
        <f>Score!79:79-"67\!T["</f>
        <v>#VALUE!</v>
      </c>
      <c r="IR16" t="e">
        <f>Score!80:80-"67\!T\"</f>
        <v>#VALUE!</v>
      </c>
      <c r="IS16" t="e">
        <f>Score!81:81-"67\!T]"</f>
        <v>#VALUE!</v>
      </c>
      <c r="IT16" t="e">
        <f>Score!82:82-"67\!T^"</f>
        <v>#VALUE!</v>
      </c>
      <c r="IU16" t="e">
        <f>Score!83:83-"67\!T_"</f>
        <v>#VALUE!</v>
      </c>
      <c r="IV16" t="e">
        <f>Score!84:84-"67\!T`"</f>
        <v>#VALUE!</v>
      </c>
    </row>
    <row r="17" spans="6:256" x14ac:dyDescent="0.15">
      <c r="F17" t="e">
        <f>Score!85:85-"67\!Ta"</f>
        <v>#VALUE!</v>
      </c>
      <c r="G17" t="e">
        <f>Score!86:86-"67\!Tb"</f>
        <v>#VALUE!</v>
      </c>
      <c r="H17" t="e">
        <f>Score!87:87-"67\!Tc"</f>
        <v>#VALUE!</v>
      </c>
      <c r="I17" t="e">
        <f>Score!88:88-"67\!Td"</f>
        <v>#VALUE!</v>
      </c>
      <c r="J17" t="e">
        <f>Score!89:89-"67\!Te"</f>
        <v>#VALUE!</v>
      </c>
      <c r="K17" t="e">
        <f>Score!90:90-"67\!Tf"</f>
        <v>#VALUE!</v>
      </c>
      <c r="L17" t="e">
        <f>Score!91:91-"67\!Tg"</f>
        <v>#VALUE!</v>
      </c>
      <c r="M17" t="e">
        <f>Score!92:92-"67\!Th"</f>
        <v>#VALUE!</v>
      </c>
      <c r="N17" t="e">
        <f>Score!93:93-"67\!Ti"</f>
        <v>#VALUE!</v>
      </c>
      <c r="O17" t="e">
        <f>Score!94:94-"67\!Tj"</f>
        <v>#VALUE!</v>
      </c>
      <c r="P17" t="e">
        <f>Score!95:95-"67\!Tk"</f>
        <v>#VALUE!</v>
      </c>
      <c r="Q17" t="e">
        <f>Score!96:96-"67\!Tl"</f>
        <v>#VALUE!</v>
      </c>
      <c r="R17" t="e">
        <f>Score!97:97-"67\!Tm"</f>
        <v>#VALUE!</v>
      </c>
      <c r="S17" t="e">
        <f>Score!98:98-"67\!Tn"</f>
        <v>#VALUE!</v>
      </c>
      <c r="T17" t="e">
        <f>Score!99:99-"67\!To"</f>
        <v>#VALUE!</v>
      </c>
      <c r="U17" t="e">
        <f>Score!100:100-"67\!Tp"</f>
        <v>#VALUE!</v>
      </c>
      <c r="V17" t="e">
        <f>Score!101:101-"67\!Tq"</f>
        <v>#VALUE!</v>
      </c>
      <c r="W17" t="e">
        <f>Score!102:102-"67\!Tr"</f>
        <v>#VALUE!</v>
      </c>
      <c r="X17" t="e">
        <f>Score!103:103-"67\!Ts"</f>
        <v>#VALUE!</v>
      </c>
      <c r="Y17" t="e">
        <f>Score!104:104-"67\!Tt"</f>
        <v>#VALUE!</v>
      </c>
      <c r="Z17" t="e">
        <f>Score!105:105-"67\!Tu"</f>
        <v>#VALUE!</v>
      </c>
      <c r="AA17" t="e">
        <f>Score!106:106-"67\!Tv"</f>
        <v>#VALUE!</v>
      </c>
      <c r="AB17" t="e">
        <f>Score!107:107-"67\!Tw"</f>
        <v>#VALUE!</v>
      </c>
      <c r="AC17" t="e">
        <f>Score!108:108-"67\!Tx"</f>
        <v>#VALUE!</v>
      </c>
      <c r="AD17" t="e">
        <f>Score!109:109-"67\!Ty"</f>
        <v>#VALUE!</v>
      </c>
      <c r="AE17" t="e">
        <f>Score!110:110-"67\!Tz"</f>
        <v>#VALUE!</v>
      </c>
      <c r="AF17" t="e">
        <f>Score!111:111-"67\!T{"</f>
        <v>#VALUE!</v>
      </c>
      <c r="AG17" t="e">
        <f>Score!112:112-"67\!T|"</f>
        <v>#VALUE!</v>
      </c>
      <c r="AH17" t="e">
        <f>Score!113:113-"67\!T}"</f>
        <v>#VALUE!</v>
      </c>
      <c r="AI17" t="e">
        <f>Score!114:114-"67\!T~"</f>
        <v>#VALUE!</v>
      </c>
      <c r="AJ17" t="e">
        <f>Score!115:115-"67\!U#"</f>
        <v>#VALUE!</v>
      </c>
      <c r="AK17" t="e">
        <f>Score!116:116-"67\!U$"</f>
        <v>#VALUE!</v>
      </c>
      <c r="AL17" t="e">
        <f>Score!117:117-"67\!U%"</f>
        <v>#VALUE!</v>
      </c>
      <c r="AM17" t="e">
        <f>Score!118:118-"67\!U&amp;"</f>
        <v>#VALUE!</v>
      </c>
      <c r="AN17" t="e">
        <f>Score!119:119-"67\!U'"</f>
        <v>#VALUE!</v>
      </c>
      <c r="AO17" t="e">
        <f>Score!120:120-"67\!U("</f>
        <v>#VALUE!</v>
      </c>
      <c r="AP17" t="e">
        <f>Score!121:121-"67\!U)"</f>
        <v>#VALUE!</v>
      </c>
      <c r="AQ17" t="e">
        <f>Score!122:122-"67\!U."</f>
        <v>#VALUE!</v>
      </c>
      <c r="AR17" t="e">
        <f>Score!123:123-"67\!U/"</f>
        <v>#VALUE!</v>
      </c>
      <c r="AS17" t="e">
        <f>Score!124:124-"67\!U0"</f>
        <v>#VALUE!</v>
      </c>
      <c r="AT17" t="e">
        <f>Score!125:125-"67\!U1"</f>
        <v>#VALUE!</v>
      </c>
      <c r="AU17" t="e">
        <f>Score!126:126-"67\!U2"</f>
        <v>#VALUE!</v>
      </c>
      <c r="AV17" t="e">
        <f>Score!127:127-"67\!U3"</f>
        <v>#VALUE!</v>
      </c>
      <c r="AW17" t="e">
        <f>Score!128:128-"67\!U4"</f>
        <v>#VALUE!</v>
      </c>
      <c r="AX17" t="e">
        <f>Score!129:129-"67\!U5"</f>
        <v>#VALUE!</v>
      </c>
      <c r="AY17" t="e">
        <f>Score!130:130-"67\!U6"</f>
        <v>#VALUE!</v>
      </c>
      <c r="AZ17" t="e">
        <f>Score!131:131-"67\!U7"</f>
        <v>#VALUE!</v>
      </c>
      <c r="BA17" t="e">
        <f>Score!132:132-"67\!U8"</f>
        <v>#VALUE!</v>
      </c>
      <c r="BB17" t="e">
        <f>Score!133:133-"67\!U9"</f>
        <v>#VALUE!</v>
      </c>
      <c r="BC17" t="e">
        <f>Score!134:134-"67\!U:"</f>
        <v>#VALUE!</v>
      </c>
      <c r="BD17" t="e">
        <f>Score!135:135-"67\!U;"</f>
        <v>#VALUE!</v>
      </c>
      <c r="BE17" t="e">
        <f>Score!136:136-"67\!U&lt;"</f>
        <v>#VALUE!</v>
      </c>
      <c r="BF17" t="e">
        <f>Score!137:137-"67\!U="</f>
        <v>#VALUE!</v>
      </c>
      <c r="BG17" t="e">
        <f>Score!138:138-"67\!U&gt;"</f>
        <v>#VALUE!</v>
      </c>
      <c r="BH17" t="e">
        <f>Score!139:139-"67\!U?"</f>
        <v>#VALUE!</v>
      </c>
      <c r="BI17" t="e">
        <f>Score!140:140-"67\!U@"</f>
        <v>#VALUE!</v>
      </c>
      <c r="BJ17" t="e">
        <f>Score!141:141-"67\!UA"</f>
        <v>#VALUE!</v>
      </c>
      <c r="BK17" t="e">
        <f>Score!142:142-"67\!UB"</f>
        <v>#VALUE!</v>
      </c>
      <c r="BL17" t="e">
        <f>Score!143:143-"67\!UC"</f>
        <v>#VALUE!</v>
      </c>
      <c r="BM17" t="e">
        <f>Score!144:144-"67\!UD"</f>
        <v>#VALUE!</v>
      </c>
      <c r="BN17" t="e">
        <f>Score!145:145-"67\!UE"</f>
        <v>#VALUE!</v>
      </c>
      <c r="BO17" t="e">
        <f>Score!146:146-"67\!UF"</f>
        <v>#VALUE!</v>
      </c>
      <c r="BP17" t="e">
        <f>Score!147:147-"67\!UG"</f>
        <v>#VALUE!</v>
      </c>
      <c r="BQ17" t="e">
        <f>Score!148:148-"67\!UH"</f>
        <v>#VALUE!</v>
      </c>
      <c r="BR17" t="e">
        <f>Score!149:149-"67\!UI"</f>
        <v>#VALUE!</v>
      </c>
      <c r="BS17" t="e">
        <f>Score!150:150-"67\!UJ"</f>
        <v>#VALUE!</v>
      </c>
      <c r="BT17" t="e">
        <f>Score!151:151-"67\!UK"</f>
        <v>#VALUE!</v>
      </c>
      <c r="BU17" t="e">
        <f>Score!152:152-"67\!UL"</f>
        <v>#VALUE!</v>
      </c>
      <c r="BV17" t="e">
        <f>Score!153:153-"67\!UM"</f>
        <v>#VALUE!</v>
      </c>
      <c r="BW17" t="e">
        <f>Score!154:154-"67\!UN"</f>
        <v>#VALUE!</v>
      </c>
      <c r="BX17" t="e">
        <f>Score!155:155-"67\!UO"</f>
        <v>#VALUE!</v>
      </c>
      <c r="BY17" t="e">
        <f>Score!156:156-"67\!UP"</f>
        <v>#VALUE!</v>
      </c>
      <c r="BZ17" t="e">
        <f>Score!157:157-"67\!UQ"</f>
        <v>#VALUE!</v>
      </c>
      <c r="CA17" t="e">
        <f>Score!158:158-"67\!UR"</f>
        <v>#VALUE!</v>
      </c>
      <c r="CB17" t="e">
        <f>Score!159:159-"67\!US"</f>
        <v>#VALUE!</v>
      </c>
      <c r="CC17" t="e">
        <f>Score!160:160-"67\!UT"</f>
        <v>#VALUE!</v>
      </c>
      <c r="CD17" t="e">
        <f>Score!161:161-"67\!UU"</f>
        <v>#VALUE!</v>
      </c>
      <c r="CE17" t="e">
        <f>Score!162:162-"67\!UV"</f>
        <v>#VALUE!</v>
      </c>
      <c r="CF17" t="e">
        <f>Score!163:163-"67\!UW"</f>
        <v>#VALUE!</v>
      </c>
      <c r="CG17" t="e">
        <f>Score!164:164-"67\!UX"</f>
        <v>#VALUE!</v>
      </c>
      <c r="CH17" t="e">
        <f>Score!165:165-"67\!UY"</f>
        <v>#VALUE!</v>
      </c>
      <c r="CI17" t="e">
        <f>Score!166:166-"67\!UZ"</f>
        <v>#VALUE!</v>
      </c>
      <c r="CJ17" t="e">
        <f>Score!167:167-"67\!U["</f>
        <v>#VALUE!</v>
      </c>
      <c r="CK17" t="e">
        <f>Score!168:168-"67\!U\"</f>
        <v>#VALUE!</v>
      </c>
      <c r="CL17" t="e">
        <f>Score!169:169-"67\!U]"</f>
        <v>#VALUE!</v>
      </c>
      <c r="CM17" t="e">
        <f>Score!170:170-"67\!U^"</f>
        <v>#VALUE!</v>
      </c>
      <c r="CN17" t="e">
        <f>Score!171:171-"67\!U_"</f>
        <v>#VALUE!</v>
      </c>
      <c r="CO17" t="e">
        <f>Score!172:172-"67\!U`"</f>
        <v>#VALUE!</v>
      </c>
      <c r="CP17" t="e">
        <f>Score!173:173-"67\!Ua"</f>
        <v>#VALUE!</v>
      </c>
      <c r="CQ17" t="e">
        <f>Score!174:174-"67\!Ub"</f>
        <v>#VALUE!</v>
      </c>
      <c r="CR17" t="e">
        <f>Score!175:175-"67\!Uc"</f>
        <v>#VALUE!</v>
      </c>
      <c r="CS17" t="e">
        <f>Score!176:176-"67\!Ud"</f>
        <v>#VALUE!</v>
      </c>
      <c r="CT17" t="e">
        <f>Score!177:177-"67\!Ue"</f>
        <v>#VALUE!</v>
      </c>
      <c r="CU17" t="e">
        <f>Score!178:178-"67\!Uf"</f>
        <v>#VALUE!</v>
      </c>
      <c r="CV17" t="e">
        <f>Score!179:179-"67\!Ug"</f>
        <v>#VALUE!</v>
      </c>
      <c r="CW17" t="e">
        <f>Score!180:180-"67\!Uh"</f>
        <v>#VALUE!</v>
      </c>
      <c r="CX17" t="e">
        <f>Score!181:181-"67\!Ui"</f>
        <v>#VALUE!</v>
      </c>
      <c r="CY17" t="e">
        <f>Score!182:182-"67\!Uj"</f>
        <v>#VALUE!</v>
      </c>
      <c r="CZ17" t="e">
        <f>Score!183:183-"67\!Uk"</f>
        <v>#VALUE!</v>
      </c>
      <c r="DA17" t="e">
        <f>Score!184:184-"67\!Ul"</f>
        <v>#VALUE!</v>
      </c>
      <c r="DB17" t="e">
        <f>Score!185:185-"67\!Um"</f>
        <v>#VALUE!</v>
      </c>
      <c r="DC17" t="e">
        <f>Score!186:186-"67\!Un"</f>
        <v>#VALUE!</v>
      </c>
      <c r="DD17" t="e">
        <f>Score!187:187-"67\!Uo"</f>
        <v>#VALUE!</v>
      </c>
      <c r="DE17" t="e">
        <f>Score!188:188-"67\!Up"</f>
        <v>#VALUE!</v>
      </c>
      <c r="DF17" t="e">
        <f>Score!189:189-"67\!Uq"</f>
        <v>#VALUE!</v>
      </c>
      <c r="DG17" t="e">
        <f>Score!190:190-"67\!Ur"</f>
        <v>#VALUE!</v>
      </c>
      <c r="DH17" t="e">
        <f>Score!191:191-"67\!Us"</f>
        <v>#VALUE!</v>
      </c>
      <c r="DI17" t="e">
        <f>Score!192:192-"67\!Ut"</f>
        <v>#VALUE!</v>
      </c>
      <c r="DJ17" t="e">
        <f>Score!193:193-"67\!Uu"</f>
        <v>#VALUE!</v>
      </c>
      <c r="DK17" t="e">
        <f>Score!194:194-"67\!Uv"</f>
        <v>#VALUE!</v>
      </c>
      <c r="DL17" t="e">
        <f>Score!195:195-"67\!Uw"</f>
        <v>#VALUE!</v>
      </c>
      <c r="DM17" t="e">
        <f>Score!196:196-"67\!Ux"</f>
        <v>#VALUE!</v>
      </c>
      <c r="DN17" t="e">
        <f>Score!197:197-"67\!Uy"</f>
        <v>#VALUE!</v>
      </c>
      <c r="DO17" t="e">
        <f>Score!198:198-"67\!Uz"</f>
        <v>#VALUE!</v>
      </c>
      <c r="DP17" t="e">
        <f>Score!199:199-"67\!U{"</f>
        <v>#VALUE!</v>
      </c>
      <c r="DQ17" t="e">
        <f>Score!200:200-"67\!U|"</f>
        <v>#VALUE!</v>
      </c>
      <c r="DR17" t="e">
        <f>Score!201:201-"67\!U}"</f>
        <v>#VALUE!</v>
      </c>
      <c r="DS17" t="e">
        <f>Score!202:202-"67\!U~"</f>
        <v>#VALUE!</v>
      </c>
      <c r="DT17" t="e">
        <f>Score!203:203-"67\!V#"</f>
        <v>#VALUE!</v>
      </c>
      <c r="DU17" t="e">
        <f>Score!204:204-"67\!V$"</f>
        <v>#VALUE!</v>
      </c>
      <c r="DV17" t="e">
        <f>Score!205:205-"67\!V%"</f>
        <v>#VALUE!</v>
      </c>
      <c r="DW17" t="e">
        <f>Score!206:206-"67\!V&amp;"</f>
        <v>#VALUE!</v>
      </c>
      <c r="DX17" t="e">
        <f>Score!A1+"67\!V'"</f>
        <v>#VALUE!</v>
      </c>
      <c r="DY17" t="e">
        <f>Score!A3+"67\!V("</f>
        <v>#VALUE!</v>
      </c>
      <c r="DZ17" t="e">
        <f>Score!A2+"67\!V)"</f>
        <v>#VALUE!</v>
      </c>
      <c r="EA17" t="e">
        <f>Score!A4+"67\!V."</f>
        <v>#VALUE!</v>
      </c>
      <c r="EB17" t="e">
        <f>Score!A5+"67\!V/"</f>
        <v>#VALUE!</v>
      </c>
      <c r="EC17" t="e">
        <f>Score!A19+"67\!V0"</f>
        <v>#VALUE!</v>
      </c>
      <c r="ED17" s="1" t="e">
        <f>Issue_Log!B144+"zo~!%"</f>
        <v>#VALUE!</v>
      </c>
      <c r="EE17" t="e">
        <f>Issue_Log!C144+"zo~!&amp;"</f>
        <v>#VALUE!</v>
      </c>
      <c r="EF17" t="e">
        <f>Issue_Log!D144+"zo~!'"</f>
        <v>#VALUE!</v>
      </c>
      <c r="EG17" t="e">
        <f>Issue_Log!E144+"zo~!("</f>
        <v>#VALUE!</v>
      </c>
      <c r="EH17" t="e">
        <f>Issue_Log!F144+"zo~!)"</f>
        <v>#VALUE!</v>
      </c>
      <c r="EI17" t="e">
        <f>Issue_Log!G144+"zo~!."</f>
        <v>#VALUE!</v>
      </c>
      <c r="EJ17" s="1" t="e">
        <f>Issue_Log!B149+"zo~!/"</f>
        <v>#VALUE!</v>
      </c>
      <c r="EK17" t="e">
        <f>Issue_Log!C149+"zo~!0"</f>
        <v>#VALUE!</v>
      </c>
      <c r="EL17" t="e">
        <f>Issue_Log!D149+"zo~!1"</f>
        <v>#VALUE!</v>
      </c>
      <c r="EM17" t="e">
        <f>Issue_Log!E149+"zo~!2"</f>
        <v>#VALUE!</v>
      </c>
      <c r="EN17" t="e">
        <f>Issue_Log!F149+"zo~!3"</f>
        <v>#VALUE!</v>
      </c>
      <c r="EO17" t="e">
        <f>Issue_Log!G149+"zo~!4"</f>
        <v>#VALUE!</v>
      </c>
      <c r="EP17" s="1" t="e">
        <f>Issue_Log!B153+"zo~!5"</f>
        <v>#VALUE!</v>
      </c>
      <c r="EQ17" t="e">
        <f>Issue_Log!C153+"zo~!6"</f>
        <v>#VALUE!</v>
      </c>
      <c r="ER17" t="e">
        <f>Issue_Log!D153+"zo~!7"</f>
        <v>#VALUE!</v>
      </c>
      <c r="ES17" t="e">
        <f>Issue_Log!E153+"zo~!8"</f>
        <v>#VALUE!</v>
      </c>
      <c r="ET17" t="e">
        <f>Issue_Log!F153+"zo~!9"</f>
        <v>#VALUE!</v>
      </c>
      <c r="EU17" t="e">
        <f>Issue_Log!G153+"zo~!:"</f>
        <v>#VALUE!</v>
      </c>
      <c r="EV17" s="1" t="e">
        <f>Issue_Log!B158+"zo~!;"</f>
        <v>#VALUE!</v>
      </c>
      <c r="EW17" t="e">
        <f>Issue_Log!C158+"zo~!&lt;"</f>
        <v>#VALUE!</v>
      </c>
      <c r="EX17" t="e">
        <f>Issue_Log!D158+"zo~!="</f>
        <v>#VALUE!</v>
      </c>
      <c r="EY17" t="e">
        <f>Issue_Log!E158+"zo~!&gt;"</f>
        <v>#VALUE!</v>
      </c>
      <c r="EZ17" t="e">
        <f>Issue_Log!F158+"zo~!?"</f>
        <v>#VALUE!</v>
      </c>
      <c r="FA17" t="e">
        <f>Issue_Log!G158+"zo~!@"</f>
        <v>#VALUE!</v>
      </c>
      <c r="FB17" t="e">
        <f>Template!A:A*"zo~!A"</f>
        <v>#VALUE!</v>
      </c>
      <c r="FC17" t="e">
        <f>Template!B:B*"zo~!B"</f>
        <v>#VALUE!</v>
      </c>
      <c r="FD17" t="e">
        <f>Template!C:C*"zo~!C"</f>
        <v>#VALUE!</v>
      </c>
      <c r="FE17" t="e">
        <f>Template!D:D*"zo~!D"</f>
        <v>#VALUE!</v>
      </c>
      <c r="FF17" t="e">
        <f>Template!E:E*"zo~!E"</f>
        <v>#VALUE!</v>
      </c>
      <c r="FG17" t="e">
        <f>Template!F:F*"zo~!F"</f>
        <v>#VALUE!</v>
      </c>
      <c r="FH17" t="e">
        <f>Template!G:G*"zo~!G"</f>
        <v>#VALUE!</v>
      </c>
      <c r="FI17" t="e">
        <f>Template!H:H*"zo~!H"</f>
        <v>#VALUE!</v>
      </c>
      <c r="FJ17" t="e">
        <f>Template!I:I*"zo~!I"</f>
        <v>#VALUE!</v>
      </c>
      <c r="FK17" t="e">
        <f>Template!J:J*"zo~!J"</f>
        <v>#VALUE!</v>
      </c>
      <c r="FL17" t="e">
        <f>Template!K:K*"zo~!K"</f>
        <v>#VALUE!</v>
      </c>
      <c r="FM17" t="e">
        <f>Template!L:L*"zo~!L"</f>
        <v>#VALUE!</v>
      </c>
      <c r="FN17" t="e">
        <f>Template!M:M*"zo~!M"</f>
        <v>#VALUE!</v>
      </c>
      <c r="FO17" t="e">
        <f>Template!N:N*"zo~!N"</f>
        <v>#VALUE!</v>
      </c>
      <c r="FP17" t="e">
        <f>Template!O:O*"zo~!O"</f>
        <v>#VALUE!</v>
      </c>
      <c r="FQ17" t="e">
        <f>Template!P:P*"zo~!P"</f>
        <v>#VALUE!</v>
      </c>
      <c r="FR17" t="e">
        <f>Template!Q:Q*"zo~!Q"</f>
        <v>#VALUE!</v>
      </c>
      <c r="FS17" t="e">
        <f>Template!R:R*"zo~!R"</f>
        <v>#VALUE!</v>
      </c>
      <c r="FT17" t="e">
        <f>Template!S:S*"zo~!S"</f>
        <v>#VALUE!</v>
      </c>
      <c r="FU17" t="e">
        <f>Template!T:T*"zo~!T"</f>
        <v>#VALUE!</v>
      </c>
      <c r="FV17" t="e">
        <f>Template!U:U*"zo~!U"</f>
        <v>#VALUE!</v>
      </c>
      <c r="FW17" t="e">
        <f>Template!V:V*"zo~!V"</f>
        <v>#VALUE!</v>
      </c>
      <c r="FX17" t="e">
        <f>Template!W:W*"zo~!W"</f>
        <v>#VALUE!</v>
      </c>
      <c r="FY17" t="e">
        <f>Template!X:X*"zo~!X"</f>
        <v>#VALUE!</v>
      </c>
      <c r="FZ17" t="e">
        <f>Template!Y:Y*"zo~!Y"</f>
        <v>#VALUE!</v>
      </c>
      <c r="GA17" t="e">
        <f>Template!Z:Z*"zo~!Z"</f>
        <v>#VALUE!</v>
      </c>
      <c r="GB17" t="e">
        <f>Template!AA:AA*"zo~!["</f>
        <v>#VALUE!</v>
      </c>
      <c r="GC17" t="e">
        <f>Template!AB:AB*"zo~!\"</f>
        <v>#VALUE!</v>
      </c>
      <c r="GD17" t="e">
        <f>Template!AC:AC*"zo~!]"</f>
        <v>#VALUE!</v>
      </c>
      <c r="GE17" t="e">
        <f>Template!AD:AD*"zo~!^"</f>
        <v>#VALUE!</v>
      </c>
      <c r="GF17" t="e">
        <f>Template!AE:AE*"zo~!_"</f>
        <v>#VALUE!</v>
      </c>
      <c r="GG17" t="e">
        <f>Template!AF:AF*"zo~!`"</f>
        <v>#VALUE!</v>
      </c>
      <c r="GH17" t="e">
        <f>Template!AG:AG*"zo~!a"</f>
        <v>#VALUE!</v>
      </c>
      <c r="GI17" t="e">
        <f>Template!AH:AH*"zo~!b"</f>
        <v>#VALUE!</v>
      </c>
      <c r="GJ17" t="e">
        <f>Template!AI:AI*"zo~!c"</f>
        <v>#VALUE!</v>
      </c>
      <c r="GK17" t="e">
        <f>Template!AJ:AJ*"zo~!d"</f>
        <v>#VALUE!</v>
      </c>
      <c r="GL17" t="e">
        <f>Template!AK:AK*"zo~!e"</f>
        <v>#VALUE!</v>
      </c>
      <c r="GM17" t="e">
        <f>Template!AL:AL*"zo~!f"</f>
        <v>#VALUE!</v>
      </c>
      <c r="GN17" t="e">
        <f>Template!AM:AM*"zo~!g"</f>
        <v>#VALUE!</v>
      </c>
      <c r="GO17" t="e">
        <f>Template!AN:AN*"zo~!h"</f>
        <v>#VALUE!</v>
      </c>
      <c r="GP17" t="e">
        <f>Template!AO:AO*"zo~!i"</f>
        <v>#VALUE!</v>
      </c>
      <c r="GQ17" t="e">
        <f>Template!AP:AP*"zo~!j"</f>
        <v>#VALUE!</v>
      </c>
      <c r="GR17" t="e">
        <f>Template!AQ:AQ*"zo~!k"</f>
        <v>#VALUE!</v>
      </c>
      <c r="GS17" t="e">
        <f>Template!AR:AR*"zo~!l"</f>
        <v>#VALUE!</v>
      </c>
      <c r="GT17" t="e">
        <f>Template!AS:AS*"zo~!m"</f>
        <v>#VALUE!</v>
      </c>
      <c r="GU17" t="e">
        <f>Template!AT:AT*"zo~!n"</f>
        <v>#VALUE!</v>
      </c>
      <c r="GV17" t="e">
        <f>Template!AU:AU*"zo~!o"</f>
        <v>#VALUE!</v>
      </c>
      <c r="GW17" t="e">
        <f>Template!AV:AV*"zo~!p"</f>
        <v>#VALUE!</v>
      </c>
      <c r="GX17" t="e">
        <f>Template!AW:AW*"zo~!q"</f>
        <v>#VALUE!</v>
      </c>
      <c r="GY17" t="e">
        <f>Template!AX:AX*"zo~!r"</f>
        <v>#VALUE!</v>
      </c>
      <c r="GZ17" t="e">
        <f>Template!AY:AY*"zo~!s"</f>
        <v>#VALUE!</v>
      </c>
      <c r="HA17" t="e">
        <f>Template!AZ:AZ*"zo~!t"</f>
        <v>#VALUE!</v>
      </c>
      <c r="HB17" t="e">
        <f>Template!BA:BA*"zo~!u"</f>
        <v>#VALUE!</v>
      </c>
      <c r="HC17" t="e">
        <f>Template!BB:BB*"zo~!v"</f>
        <v>#VALUE!</v>
      </c>
      <c r="HD17" t="e">
        <f>Template!BC:BC*"zo~!w"</f>
        <v>#VALUE!</v>
      </c>
      <c r="HE17" t="e">
        <f>Template!BD:BD*"zo~!x"</f>
        <v>#VALUE!</v>
      </c>
      <c r="HF17" t="e">
        <f>Template!BE:BE*"zo~!y"</f>
        <v>#VALUE!</v>
      </c>
      <c r="HG17" t="e">
        <f>Template!1:1-"zo~!z"</f>
        <v>#VALUE!</v>
      </c>
      <c r="HH17" t="e">
        <f>Template!2:2-"zo~!{"</f>
        <v>#VALUE!</v>
      </c>
      <c r="HI17" t="e">
        <f>Template!3:3-"zo~!|"</f>
        <v>#VALUE!</v>
      </c>
      <c r="HJ17" t="e">
        <f>Template!4:4-"zo~!}"</f>
        <v>#VALUE!</v>
      </c>
      <c r="HK17" t="e">
        <f>Template!5:5-"zo~!~"</f>
        <v>#VALUE!</v>
      </c>
      <c r="HL17" t="e">
        <f>Template!6:6-"zo~!$#"</f>
        <v>#VALUE!</v>
      </c>
      <c r="HM17" t="e">
        <f>Template!7:7-"zo~!$$"</f>
        <v>#VALUE!</v>
      </c>
      <c r="HN17" t="e">
        <f>Template!8:8-"zo~!$%"</f>
        <v>#VALUE!</v>
      </c>
      <c r="HO17" t="e">
        <f>Template!9:9-"zo~!$&amp;"</f>
        <v>#VALUE!</v>
      </c>
      <c r="HP17" t="e">
        <f>Template!10:10-"zo~!$'"</f>
        <v>#VALUE!</v>
      </c>
      <c r="HQ17" t="e">
        <f>Template!16:16-"zo~!$("</f>
        <v>#VALUE!</v>
      </c>
      <c r="HR17" t="e">
        <f>Template!17:17-"zo~!$)"</f>
        <v>#VALUE!</v>
      </c>
      <c r="HS17" t="e">
        <f>Template!18:18-"zo~!$."</f>
        <v>#VALUE!</v>
      </c>
      <c r="HT17" t="e">
        <f>Template!19:19-"zo~!$/"</f>
        <v>#VALUE!</v>
      </c>
      <c r="HU17" t="e">
        <f>Template!20:20-"zo~!$0"</f>
        <v>#VALUE!</v>
      </c>
      <c r="HV17" t="e">
        <f>Template!21:21-"zo~!$1"</f>
        <v>#VALUE!</v>
      </c>
      <c r="HW17" t="e">
        <f>Template!22:22-"zo~!$2"</f>
        <v>#VALUE!</v>
      </c>
      <c r="HX17" t="e">
        <f>Template!23:23-"zo~!$3"</f>
        <v>#VALUE!</v>
      </c>
      <c r="HY17" t="e">
        <f>Template!24:24-"zo~!$4"</f>
        <v>#VALUE!</v>
      </c>
      <c r="HZ17" t="e">
        <f>Template!25:25-"zo~!$5"</f>
        <v>#VALUE!</v>
      </c>
      <c r="IA17" t="e">
        <f>Template!26:26-"zo~!$6"</f>
        <v>#VALUE!</v>
      </c>
      <c r="IB17" t="e">
        <f>Template!27:27-"zo~!$7"</f>
        <v>#VALUE!</v>
      </c>
      <c r="IC17" t="e">
        <f>Template!28:28-"zo~!$8"</f>
        <v>#VALUE!</v>
      </c>
      <c r="ID17" t="e">
        <f>Template!29:29-"zo~!$9"</f>
        <v>#VALUE!</v>
      </c>
      <c r="IE17" t="e">
        <f>Template!30:30-"zo~!$:"</f>
        <v>#VALUE!</v>
      </c>
      <c r="IF17" t="e">
        <f>Template!31:31-"zo~!$;"</f>
        <v>#VALUE!</v>
      </c>
      <c r="IG17" t="e">
        <f>Template!32:32-"zo~!$&lt;"</f>
        <v>#VALUE!</v>
      </c>
      <c r="IH17" t="e">
        <f>Template!33:33-"zo~!$="</f>
        <v>#VALUE!</v>
      </c>
      <c r="II17" t="e">
        <f>Template!34:34-"zo~!$&gt;"</f>
        <v>#VALUE!</v>
      </c>
      <c r="IJ17" t="e">
        <f>Template!35:35-"zo~!$?"</f>
        <v>#VALUE!</v>
      </c>
      <c r="IK17" t="e">
        <f>Template!36:36-"zo~!$@"</f>
        <v>#VALUE!</v>
      </c>
      <c r="IL17" t="e">
        <f>Template!37:37-"zo~!$A"</f>
        <v>#VALUE!</v>
      </c>
      <c r="IM17" t="e">
        <f>Template!38:38-"zo~!$B"</f>
        <v>#VALUE!</v>
      </c>
      <c r="IN17" t="e">
        <f>Template!39:39-"zo~!$C"</f>
        <v>#VALUE!</v>
      </c>
      <c r="IO17" t="e">
        <f>Template!40:40-"zo~!$D"</f>
        <v>#VALUE!</v>
      </c>
      <c r="IP17" t="e">
        <f>Template!41:41-"zo~!$E"</f>
        <v>#VALUE!</v>
      </c>
      <c r="IQ17" t="e">
        <f>Template!42:42-"zo~!$F"</f>
        <v>#VALUE!</v>
      </c>
      <c r="IR17" t="e">
        <f>Template!43:43-"zo~!$G"</f>
        <v>#VALUE!</v>
      </c>
      <c r="IS17" t="e">
        <f>Template!44:44-"zo~!$H"</f>
        <v>#VALUE!</v>
      </c>
      <c r="IT17" t="e">
        <f>Template!45:45-"zo~!$I"</f>
        <v>#VALUE!</v>
      </c>
      <c r="IU17" t="e">
        <f>Template!46:46-"zo~!$J"</f>
        <v>#VALUE!</v>
      </c>
      <c r="IV17" t="e">
        <f>Template!47:47-"zo~!$K"</f>
        <v>#VALUE!</v>
      </c>
    </row>
    <row r="18" spans="6:256" x14ac:dyDescent="0.15">
      <c r="F18" t="e">
        <f>Template!48:48-"zo~!$L"</f>
        <v>#VALUE!</v>
      </c>
      <c r="G18" t="e">
        <f>Template!49:49-"zo~!$M"</f>
        <v>#VALUE!</v>
      </c>
      <c r="H18" t="e">
        <f>Template!50:50-"zo~!$N"</f>
        <v>#VALUE!</v>
      </c>
      <c r="I18" t="e">
        <f>Template!51:51-"zo~!$O"</f>
        <v>#VALUE!</v>
      </c>
      <c r="J18" t="e">
        <f>Template!52:52-"zo~!$P"</f>
        <v>#VALUE!</v>
      </c>
      <c r="K18" t="e">
        <f>Template!53:53-"zo~!$Q"</f>
        <v>#VALUE!</v>
      </c>
      <c r="L18" t="e">
        <f>Template!54:54-"zo~!$R"</f>
        <v>#VALUE!</v>
      </c>
      <c r="M18" t="e">
        <f>Template!55:55-"zo~!$S"</f>
        <v>#VALUE!</v>
      </c>
      <c r="N18" t="e">
        <f>Template!56:56-"zo~!$T"</f>
        <v>#VALUE!</v>
      </c>
      <c r="O18" t="e">
        <f>Template!57:57-"zo~!$U"</f>
        <v>#VALUE!</v>
      </c>
      <c r="P18" t="e">
        <f>Template!58:58-"zo~!$V"</f>
        <v>#VALUE!</v>
      </c>
      <c r="Q18" t="e">
        <f>Template!59:59-"zo~!$W"</f>
        <v>#VALUE!</v>
      </c>
      <c r="R18" t="e">
        <f>Template!60:60-"zo~!$X"</f>
        <v>#VALUE!</v>
      </c>
      <c r="S18" t="e">
        <f>Template!61:61-"zo~!$Y"</f>
        <v>#VALUE!</v>
      </c>
      <c r="T18" t="e">
        <f>Template!62:62-"zo~!$Z"</f>
        <v>#VALUE!</v>
      </c>
      <c r="U18" t="e">
        <f>Template!63:63-"zo~!$["</f>
        <v>#VALUE!</v>
      </c>
      <c r="V18" t="e">
        <f>Template!64:64-"zo~!$\"</f>
        <v>#VALUE!</v>
      </c>
      <c r="W18" t="e">
        <f>Template!65:65-"zo~!$]"</f>
        <v>#VALUE!</v>
      </c>
      <c r="X18" t="e">
        <f>Template!66:66-"zo~!$^"</f>
        <v>#VALUE!</v>
      </c>
      <c r="Y18" t="e">
        <f>Template!67:67-"zo~!$_"</f>
        <v>#VALUE!</v>
      </c>
      <c r="Z18" t="e">
        <f>Template!68:68-"zo~!$`"</f>
        <v>#VALUE!</v>
      </c>
      <c r="AA18" t="e">
        <f>Template!69:69-"zo~!$a"</f>
        <v>#VALUE!</v>
      </c>
      <c r="AB18" t="e">
        <f>Template!70:70-"zo~!$b"</f>
        <v>#VALUE!</v>
      </c>
      <c r="AC18" t="e">
        <f>Template!71:71-"zo~!$c"</f>
        <v>#VALUE!</v>
      </c>
      <c r="AD18" t="e">
        <f>Template!72:72-"zo~!$d"</f>
        <v>#VALUE!</v>
      </c>
      <c r="AE18" t="e">
        <f>Template!73:73-"zo~!$e"</f>
        <v>#VALUE!</v>
      </c>
      <c r="AF18" t="e">
        <f>Template!74:74-"zo~!$f"</f>
        <v>#VALUE!</v>
      </c>
      <c r="AG18" t="e">
        <f>Template!75:75-"zo~!$g"</f>
        <v>#VALUE!</v>
      </c>
      <c r="AH18" t="e">
        <f>Template!76:76-"zo~!$h"</f>
        <v>#VALUE!</v>
      </c>
      <c r="AI18" t="e">
        <f>Template!77:77-"zo~!$i"</f>
        <v>#VALUE!</v>
      </c>
      <c r="AJ18" t="e">
        <f>Template!78:78-"zo~!$j"</f>
        <v>#VALUE!</v>
      </c>
      <c r="AK18" t="e">
        <f>Template!79:79-"zo~!$k"</f>
        <v>#VALUE!</v>
      </c>
      <c r="AL18" t="e">
        <f>Template!80:80-"zo~!$l"</f>
        <v>#VALUE!</v>
      </c>
      <c r="AM18" t="e">
        <f>Template!81:81-"zo~!$m"</f>
        <v>#VALUE!</v>
      </c>
      <c r="AN18" t="e">
        <f>Template!82:82-"zo~!$n"</f>
        <v>#VALUE!</v>
      </c>
      <c r="AO18" t="e">
        <f>Template!83:83-"zo~!$o"</f>
        <v>#VALUE!</v>
      </c>
      <c r="AP18" t="e">
        <f>Template!84:84-"zo~!$p"</f>
        <v>#VALUE!</v>
      </c>
      <c r="AQ18" t="e">
        <f>Template!85:85-"zo~!$q"</f>
        <v>#VALUE!</v>
      </c>
      <c r="AR18" t="e">
        <f>Template!86:86-"zo~!$r"</f>
        <v>#VALUE!</v>
      </c>
      <c r="AS18" t="e">
        <f>Template!87:87-"zo~!$s"</f>
        <v>#VALUE!</v>
      </c>
      <c r="AT18" t="e">
        <f>Template!88:88-"zo~!$t"</f>
        <v>#VALUE!</v>
      </c>
      <c r="AU18" t="e">
        <f>Template!89:89-"zo~!$u"</f>
        <v>#VALUE!</v>
      </c>
      <c r="AV18" t="e">
        <f>Template!90:90-"zo~!$v"</f>
        <v>#VALUE!</v>
      </c>
      <c r="AW18" t="e">
        <f>Template!91:91-"zo~!$w"</f>
        <v>#VALUE!</v>
      </c>
      <c r="AX18" t="e">
        <f>Template!92:92-"zo~!$x"</f>
        <v>#VALUE!</v>
      </c>
      <c r="AY18" t="e">
        <f>Template!93:93-"zo~!$y"</f>
        <v>#VALUE!</v>
      </c>
      <c r="AZ18" t="e">
        <f>Template!94:94-"zo~!$z"</f>
        <v>#VALUE!</v>
      </c>
      <c r="BA18" t="e">
        <f>Template!95:95-"zo~!${"</f>
        <v>#VALUE!</v>
      </c>
      <c r="BB18" t="e">
        <f>Template!96:96-"zo~!$|"</f>
        <v>#VALUE!</v>
      </c>
      <c r="BC18" t="e">
        <f>Template!97:97-"zo~!$}"</f>
        <v>#VALUE!</v>
      </c>
      <c r="BD18" t="e">
        <f>Template!98:98-"zo~!$~"</f>
        <v>#VALUE!</v>
      </c>
      <c r="BE18" t="e">
        <f>Template!99:99-"zo~!%#"</f>
        <v>#VALUE!</v>
      </c>
      <c r="BF18" t="e">
        <f>Template!100:100-"zo~!%$"</f>
        <v>#VALUE!</v>
      </c>
      <c r="BG18" t="e">
        <f>Template!101:101-"zo~!%%"</f>
        <v>#VALUE!</v>
      </c>
      <c r="BH18" t="e">
        <f>Template!102:102-"zo~!%&amp;"</f>
        <v>#VALUE!</v>
      </c>
      <c r="BI18" t="e">
        <f>Template!103:103-"zo~!%'"</f>
        <v>#VALUE!</v>
      </c>
      <c r="BJ18" t="e">
        <f>Template!104:104-"zo~!%("</f>
        <v>#VALUE!</v>
      </c>
      <c r="BK18" t="e">
        <f>Template!105:105-"zo~!%)"</f>
        <v>#VALUE!</v>
      </c>
      <c r="BL18" t="e">
        <f>Template!106:106-"zo~!%."</f>
        <v>#VALUE!</v>
      </c>
      <c r="BM18" t="e">
        <f>Template!107:107-"zo~!%/"</f>
        <v>#VALUE!</v>
      </c>
      <c r="BN18" t="e">
        <f>Template!108:108-"zo~!%0"</f>
        <v>#VALUE!</v>
      </c>
      <c r="BO18" t="e">
        <f>Template!109:109-"zo~!%1"</f>
        <v>#VALUE!</v>
      </c>
      <c r="BP18" t="e">
        <f>Template!110:110-"zo~!%2"</f>
        <v>#VALUE!</v>
      </c>
      <c r="BQ18" t="e">
        <f>Template!111:111-"zo~!%3"</f>
        <v>#VALUE!</v>
      </c>
      <c r="BR18" t="e">
        <f>Template!112:112-"zo~!%4"</f>
        <v>#VALUE!</v>
      </c>
      <c r="BS18" t="e">
        <f>Template!113:113-"zo~!%5"</f>
        <v>#VALUE!</v>
      </c>
      <c r="BT18" t="e">
        <f>Template!114:114-"zo~!%6"</f>
        <v>#VALUE!</v>
      </c>
      <c r="BU18" t="e">
        <f>Template!115:115-"zo~!%7"</f>
        <v>#VALUE!</v>
      </c>
      <c r="BV18" t="e">
        <f>Template!116:116-"zo~!%8"</f>
        <v>#VALUE!</v>
      </c>
      <c r="BW18" t="e">
        <f>Template!117:117-"zo~!%9"</f>
        <v>#VALUE!</v>
      </c>
      <c r="BX18" t="e">
        <f>Template!118:118-"zo~!%:"</f>
        <v>#VALUE!</v>
      </c>
      <c r="BY18" t="e">
        <f>Template!119:119-"zo~!%;"</f>
        <v>#VALUE!</v>
      </c>
      <c r="BZ18" t="e">
        <f>Template!120:120-"zo~!%&lt;"</f>
        <v>#VALUE!</v>
      </c>
      <c r="CA18" t="e">
        <f>Template!121:121-"zo~!%="</f>
        <v>#VALUE!</v>
      </c>
      <c r="CB18" t="e">
        <f>Template!122:122-"zo~!%&gt;"</f>
        <v>#VALUE!</v>
      </c>
      <c r="CC18" t="e">
        <f>Template!123:123-"zo~!%?"</f>
        <v>#VALUE!</v>
      </c>
      <c r="CD18" t="e">
        <f>Template!124:124-"zo~!%@"</f>
        <v>#VALUE!</v>
      </c>
      <c r="CE18" t="e">
        <f>Template!125:125-"zo~!%A"</f>
        <v>#VALUE!</v>
      </c>
      <c r="CF18" t="e">
        <f>Template!126:126-"zo~!%B"</f>
        <v>#VALUE!</v>
      </c>
      <c r="CG18" t="e">
        <f>Template!127:127-"zo~!%C"</f>
        <v>#VALUE!</v>
      </c>
      <c r="CH18" t="e">
        <f>Template!128:128-"zo~!%D"</f>
        <v>#VALUE!</v>
      </c>
      <c r="CI18" t="e">
        <f>Template!129:129-"zo~!%E"</f>
        <v>#VALUE!</v>
      </c>
      <c r="CJ18" t="e">
        <f>Template!130:130-"zo~!%F"</f>
        <v>#VALUE!</v>
      </c>
      <c r="CK18" t="e">
        <f>Template!131:131-"zo~!%G"</f>
        <v>#VALUE!</v>
      </c>
      <c r="CL18" t="e">
        <f>Template!132:132-"zo~!%H"</f>
        <v>#VALUE!</v>
      </c>
      <c r="CM18" t="e">
        <f>Template!133:133-"zo~!%I"</f>
        <v>#VALUE!</v>
      </c>
      <c r="CN18" t="e">
        <f>Template!134:134-"zo~!%J"</f>
        <v>#VALUE!</v>
      </c>
      <c r="CO18" t="e">
        <f>Template!135:135-"zo~!%K"</f>
        <v>#VALUE!</v>
      </c>
      <c r="CP18" t="e">
        <f>Template!136:136-"zo~!%L"</f>
        <v>#VALUE!</v>
      </c>
      <c r="CQ18" t="e">
        <f>Template!137:137-"zo~!%M"</f>
        <v>#VALUE!</v>
      </c>
      <c r="CR18" t="e">
        <f>Template!138:138-"zo~!%N"</f>
        <v>#VALUE!</v>
      </c>
      <c r="CS18" t="e">
        <f>Template!139:139-"zo~!%O"</f>
        <v>#VALUE!</v>
      </c>
      <c r="CT18" t="e">
        <f>Template!140:140-"zo~!%P"</f>
        <v>#VALUE!</v>
      </c>
      <c r="CU18" t="e">
        <f>Template!141:141-"zo~!%Q"</f>
        <v>#VALUE!</v>
      </c>
      <c r="CV18" t="e">
        <f>Template!142:142-"zo~!%R"</f>
        <v>#VALUE!</v>
      </c>
      <c r="CW18" t="e">
        <f>Template!143:143-"zo~!%S"</f>
        <v>#VALUE!</v>
      </c>
      <c r="CX18" t="e">
        <f>Template!144:144-"zo~!%T"</f>
        <v>#VALUE!</v>
      </c>
      <c r="CY18" t="e">
        <f>Template!145:145-"zo~!%U"</f>
        <v>#VALUE!</v>
      </c>
      <c r="CZ18" t="e">
        <f>Template!146:146-"zo~!%V"</f>
        <v>#VALUE!</v>
      </c>
      <c r="DA18" t="e">
        <f>Template!147:147-"zo~!%W"</f>
        <v>#VALUE!</v>
      </c>
      <c r="DB18" t="e">
        <f>Template!148:148-"zo~!%X"</f>
        <v>#VALUE!</v>
      </c>
      <c r="DC18" t="e">
        <f>Template!149:149-"zo~!%Y"</f>
        <v>#VALUE!</v>
      </c>
      <c r="DD18" t="e">
        <f>Template!150:150-"zo~!%Z"</f>
        <v>#VALUE!</v>
      </c>
      <c r="DE18" t="e">
        <f>Template!151:151-"zo~!%["</f>
        <v>#VALUE!</v>
      </c>
      <c r="DF18" t="e">
        <f>Template!152:152-"zo~!%\"</f>
        <v>#VALUE!</v>
      </c>
      <c r="DG18" t="e">
        <f>Template!153:153-"zo~!%]"</f>
        <v>#VALUE!</v>
      </c>
      <c r="DH18" t="e">
        <f>Template!154:154-"zo~!%^"</f>
        <v>#VALUE!</v>
      </c>
      <c r="DI18" t="e">
        <f>Template!155:155-"zo~!%_"</f>
        <v>#VALUE!</v>
      </c>
      <c r="DJ18" t="e">
        <f>Template!156:156-"zo~!%`"</f>
        <v>#VALUE!</v>
      </c>
      <c r="DK18" t="e">
        <f>Template!157:157-"zo~!%a"</f>
        <v>#VALUE!</v>
      </c>
      <c r="DL18" t="e">
        <f>Template!158:158-"zo~!%b"</f>
        <v>#VALUE!</v>
      </c>
      <c r="DM18" t="e">
        <f>Template!159:159-"zo~!%c"</f>
        <v>#VALUE!</v>
      </c>
      <c r="DN18" t="e">
        <f>Template!160:160-"zo~!%d"</f>
        <v>#VALUE!</v>
      </c>
      <c r="DO18" t="e">
        <f>Template!161:161-"zo~!%e"</f>
        <v>#VALUE!</v>
      </c>
      <c r="DP18" t="e">
        <f>Template!162:162-"zo~!%f"</f>
        <v>#VALUE!</v>
      </c>
      <c r="DQ18" t="e">
        <f>Template!163:163-"zo~!%g"</f>
        <v>#VALUE!</v>
      </c>
      <c r="DR18" t="e">
        <f>Template!164:164-"zo~!%h"</f>
        <v>#VALUE!</v>
      </c>
      <c r="DS18" t="e">
        <f>Template!165:165-"zo~!%i"</f>
        <v>#VALUE!</v>
      </c>
      <c r="DT18" t="e">
        <f>Template!166:166-"zo~!%j"</f>
        <v>#VALUE!</v>
      </c>
      <c r="DU18" t="e">
        <f>Template!167:167-"zo~!%k"</f>
        <v>#VALUE!</v>
      </c>
      <c r="DV18" t="e">
        <f>Template!168:168-"zo~!%l"</f>
        <v>#VALUE!</v>
      </c>
      <c r="DW18" t="e">
        <f>Template!169:169-"zo~!%m"</f>
        <v>#VALUE!</v>
      </c>
      <c r="DX18" t="e">
        <f>Template!170:170-"zo~!%n"</f>
        <v>#VALUE!</v>
      </c>
      <c r="DY18" t="e">
        <f>Template!171:171-"zo~!%o"</f>
        <v>#VALUE!</v>
      </c>
      <c r="DZ18" t="e">
        <f>Template!172:172-"zo~!%p"</f>
        <v>#VALUE!</v>
      </c>
      <c r="EA18" t="e">
        <f>Template!173:173-"zo~!%q"</f>
        <v>#VALUE!</v>
      </c>
      <c r="EB18" t="e">
        <f>Template!174:174-"zo~!%r"</f>
        <v>#VALUE!</v>
      </c>
      <c r="EC18" t="e">
        <f>Template!175:175-"zo~!%s"</f>
        <v>#VALUE!</v>
      </c>
      <c r="ED18" t="e">
        <f>Template!176:176-"zo~!%t"</f>
        <v>#VALUE!</v>
      </c>
      <c r="EE18" t="e">
        <f>Template!177:177-"zo~!%u"</f>
        <v>#VALUE!</v>
      </c>
      <c r="EF18" t="e">
        <f>Template!178:178-"zo~!%v"</f>
        <v>#VALUE!</v>
      </c>
      <c r="EG18" t="e">
        <f>Template!179:179-"zo~!%w"</f>
        <v>#VALUE!</v>
      </c>
      <c r="EH18" t="e">
        <f>Template!180:180-"zo~!%x"</f>
        <v>#VALUE!</v>
      </c>
      <c r="EI18" t="e">
        <f>Template!181:181-"zo~!%y"</f>
        <v>#VALUE!</v>
      </c>
      <c r="EJ18" t="e">
        <f>Template!182:182-"zo~!%z"</f>
        <v>#VALUE!</v>
      </c>
      <c r="EK18" t="e">
        <f>Template!183:183-"zo~!%{"</f>
        <v>#VALUE!</v>
      </c>
      <c r="EL18" t="e">
        <f>Template!184:184-"zo~!%|"</f>
        <v>#VALUE!</v>
      </c>
      <c r="EM18" t="e">
        <f>Template!185:185-"zo~!%}"</f>
        <v>#VALUE!</v>
      </c>
      <c r="EN18" t="e">
        <f>Template!186:186-"zo~!%~"</f>
        <v>#VALUE!</v>
      </c>
      <c r="EO18" t="e">
        <f>Template!187:187-"zo~!&amp;#"</f>
        <v>#VALUE!</v>
      </c>
      <c r="EP18" t="e">
        <f>Template!188:188-"zo~!&amp;$"</f>
        <v>#VALUE!</v>
      </c>
      <c r="EQ18" t="e">
        <f>Template!189:189-"zo~!&amp;%"</f>
        <v>#VALUE!</v>
      </c>
      <c r="ER18" t="e">
        <f>Template!190:190-"zo~!&amp;&amp;"</f>
        <v>#VALUE!</v>
      </c>
      <c r="ES18" t="e">
        <f>Template!191:191-"zo~!&amp;'"</f>
        <v>#VALUE!</v>
      </c>
      <c r="ET18" t="e">
        <f>Template!192:192-"zo~!&amp;("</f>
        <v>#VALUE!</v>
      </c>
      <c r="EU18" t="e">
        <f>Template!193:193-"zo~!&amp;)"</f>
        <v>#VALUE!</v>
      </c>
      <c r="EV18" t="e">
        <f>Template!194:194-"zo~!&amp;."</f>
        <v>#VALUE!</v>
      </c>
      <c r="EW18" t="e">
        <f>Template!195:195-"zo~!&amp;/"</f>
        <v>#VALUE!</v>
      </c>
      <c r="EX18" t="e">
        <f>Template!196:196-"zo~!&amp;0"</f>
        <v>#VALUE!</v>
      </c>
      <c r="EY18" t="e">
        <f>Template!197:197-"zo~!&amp;1"</f>
        <v>#VALUE!</v>
      </c>
      <c r="EZ18" t="e">
        <f>Template!198:198-"zo~!&amp;2"</f>
        <v>#VALUE!</v>
      </c>
      <c r="FA18" t="e">
        <f>Template!199:199-"zo~!&amp;3"</f>
        <v>#VALUE!</v>
      </c>
      <c r="FB18" t="e">
        <f>Template!200:200-"zo~!&amp;4"</f>
        <v>#VALUE!</v>
      </c>
      <c r="FC18" t="e">
        <f>Template!201:201-"zo~!&amp;5"</f>
        <v>#VALUE!</v>
      </c>
      <c r="FD18" t="e">
        <f>Template!202:202-"zo~!&amp;6"</f>
        <v>#VALUE!</v>
      </c>
      <c r="FE18" t="e">
        <f>Template!203:203-"zo~!&amp;7"</f>
        <v>#VALUE!</v>
      </c>
      <c r="FF18" t="e">
        <f>Template!204:204-"zo~!&amp;8"</f>
        <v>#VALUE!</v>
      </c>
      <c r="FG18" t="e">
        <f>Template!205:205-"zo~!&amp;9"</f>
        <v>#VALUE!</v>
      </c>
      <c r="FH18" t="e">
        <f>Template!206:206-"zo~!&amp;:"</f>
        <v>#VALUE!</v>
      </c>
      <c r="FI18" t="e">
        <f>Template!A1+"zo~!&amp;;"</f>
        <v>#VALUE!</v>
      </c>
      <c r="FJ18" t="e">
        <f>Template!B1+"zo~!&amp;&lt;"</f>
        <v>#VALUE!</v>
      </c>
      <c r="FK18" t="e">
        <f>Template!C1+"zo~!&amp;="</f>
        <v>#VALUE!</v>
      </c>
      <c r="FL18" t="e">
        <f>Template!D1+"zo~!&amp;&gt;"</f>
        <v>#VALUE!</v>
      </c>
      <c r="FM18" t="e">
        <f>Template!E1+"zo~!&amp;?"</f>
        <v>#VALUE!</v>
      </c>
      <c r="FN18" t="e">
        <f>Template!F1+"zo~!&amp;@"</f>
        <v>#VALUE!</v>
      </c>
      <c r="FO18" t="e">
        <f>Template!G1+"zo~!&amp;A"</f>
        <v>#VALUE!</v>
      </c>
      <c r="FP18" t="e">
        <f>Score!AY:AY*"zo~!&amp;B"</f>
        <v>#VALUE!</v>
      </c>
      <c r="FQ18" t="e">
        <f>Score!AZ:AZ*"zo~!&amp;C"</f>
        <v>#VALUE!</v>
      </c>
      <c r="FR18" t="e">
        <f>Score!7:7-"zo~!&amp;D"</f>
        <v>#VALUE!</v>
      </c>
      <c r="FS18" t="e">
        <f>Score!12:12-"zo~!&amp;E"</f>
        <v>#VALUE!</v>
      </c>
      <c r="FT18" t="e">
        <f>Score!13:13-"zo~!&amp;F"</f>
        <v>#VALUE!</v>
      </c>
      <c r="FU18" t="e">
        <f>Score!14:14-"zo~!&amp;G"</f>
        <v>#VALUE!</v>
      </c>
      <c r="FV18" t="e">
        <f>Score!16:16-"zo~!&amp;H"</f>
        <v>#VALUE!</v>
      </c>
      <c r="FW18" t="e">
        <f>Score!207:207-"zo~!&amp;I"</f>
        <v>#VALUE!</v>
      </c>
      <c r="FX18" t="e">
        <f>Score!208:208-"zo~!&amp;J"</f>
        <v>#VALUE!</v>
      </c>
      <c r="FY18" t="e">
        <f>Score!209:209-"zo~!&amp;K"</f>
        <v>#VALUE!</v>
      </c>
      <c r="FZ18" t="e">
        <f>Score!210:210-"zo~!&amp;L"</f>
        <v>#VALUE!</v>
      </c>
      <c r="GA18" t="e">
        <f>Score!211:211-"zo~!&amp;M"</f>
        <v>#VALUE!</v>
      </c>
      <c r="GB18" t="e">
        <f>Score!212:212-"zo~!&amp;N"</f>
        <v>#VALUE!</v>
      </c>
      <c r="GC18" t="e">
        <f>Score!213:213-"zo~!&amp;O"</f>
        <v>#VALUE!</v>
      </c>
      <c r="GD18" t="e">
        <f>Score!214:214-"zo~!&amp;P"</f>
        <v>#VALUE!</v>
      </c>
      <c r="GE18" t="e">
        <f>Score!215:215-"zo~!&amp;Q"</f>
        <v>#VALUE!</v>
      </c>
      <c r="GF18" t="e">
        <f>Score!216:216-"zo~!&amp;R"</f>
        <v>#VALUE!</v>
      </c>
      <c r="GG18" t="e">
        <f>Score!217:217-"zo~!&amp;S"</f>
        <v>#VALUE!</v>
      </c>
      <c r="GH18" t="e">
        <f>Score!218:218-"zo~!&amp;T"</f>
        <v>#VALUE!</v>
      </c>
      <c r="GI18" t="e">
        <f>Score!219:219-"zo~!&amp;U"</f>
        <v>#VALUE!</v>
      </c>
      <c r="GJ18" t="e">
        <f>Score!220:220-"zo~!&amp;V"</f>
        <v>#VALUE!</v>
      </c>
      <c r="GK18" t="e">
        <f>Score!221:221-"zo~!&amp;W"</f>
        <v>#VALUE!</v>
      </c>
      <c r="GL18" t="e">
        <f>Score!222:222-"zo~!&amp;X"</f>
        <v>#VALUE!</v>
      </c>
      <c r="GM18" t="e">
        <f>Score!223:223-"zo~!&amp;Y"</f>
        <v>#VALUE!</v>
      </c>
      <c r="GN18" t="e">
        <f>Score!B1+"zo~!&amp;Z"</f>
        <v>#VALUE!</v>
      </c>
      <c r="GO18" t="e">
        <f>Score!C1+"zo~!&amp;["</f>
        <v>#VALUE!</v>
      </c>
      <c r="GP18" t="e">
        <f>Score!B2+"zo~!&amp;\"</f>
        <v>#VALUE!</v>
      </c>
      <c r="GQ18" t="e">
        <f>Score!C2+"zo~!&amp;]"</f>
        <v>#VALUE!</v>
      </c>
      <c r="GR18" t="e">
        <f>Score!B3+"zo~!&amp;^"</f>
        <v>#VALUE!</v>
      </c>
      <c r="GS18" t="e">
        <f>Score!C3+"zo~!&amp;_"</f>
        <v>#VALUE!</v>
      </c>
      <c r="GT18" t="e">
        <f>Score!B4+"zo~!&amp;`"</f>
        <v>#VALUE!</v>
      </c>
      <c r="GU18" t="e">
        <f>Score!C4+"zo~!&amp;a"</f>
        <v>#VALUE!</v>
      </c>
      <c r="GV18" t="e">
        <f>Score!B5+"zo~!&amp;b"</f>
        <v>#VALUE!</v>
      </c>
      <c r="GW18" t="e">
        <f>Score!C5+"zo~!&amp;c"</f>
        <v>#VALUE!</v>
      </c>
      <c r="GX18" t="e">
        <f>Score!A6+"zo~!&amp;d"</f>
        <v>#VALUE!</v>
      </c>
      <c r="GY18" t="e">
        <f>Score!B6+"zo~!&amp;e"</f>
        <v>#VALUE!</v>
      </c>
      <c r="GZ18" t="e">
        <f>Score!C6+"zo~!&amp;f"</f>
        <v>#VALUE!</v>
      </c>
      <c r="HA18" t="e">
        <f>Score!A7+"zo~!&amp;g"</f>
        <v>#VALUE!</v>
      </c>
      <c r="HB18" t="e">
        <f>Score!B7+"zo~!&amp;h"</f>
        <v>#VALUE!</v>
      </c>
      <c r="HC18" t="e">
        <f>Score!C7+"zo~!&amp;i"</f>
        <v>#VALUE!</v>
      </c>
      <c r="HD18" t="e">
        <f>Score!A8+"zo~!&amp;j"</f>
        <v>#VALUE!</v>
      </c>
      <c r="HE18" t="e">
        <f>Score!B8+"zo~!&amp;k"</f>
        <v>#VALUE!</v>
      </c>
      <c r="HF18" t="e">
        <f>Score!C8+"zo~!&amp;l"</f>
        <v>#VALUE!</v>
      </c>
      <c r="HG18" t="e">
        <f>Score!A9+"zo~!&amp;m"</f>
        <v>#VALUE!</v>
      </c>
      <c r="HH18" t="e">
        <f>Score!B9+"zo~!&amp;n"</f>
        <v>#VALUE!</v>
      </c>
      <c r="HI18" t="e">
        <f>Score!C9+"zo~!&amp;o"</f>
        <v>#VALUE!</v>
      </c>
      <c r="HJ18" t="e">
        <f>Score!A10+"zo~!&amp;p"</f>
        <v>#VALUE!</v>
      </c>
      <c r="HK18" t="e">
        <f>Score!B10+"zo~!&amp;q"</f>
        <v>#VALUE!</v>
      </c>
      <c r="HL18" t="e">
        <f>Score!C10+"zo~!&amp;r"</f>
        <v>#VALUE!</v>
      </c>
      <c r="HM18" t="e">
        <f>Score!A11+"zo~!&amp;s"</f>
        <v>#VALUE!</v>
      </c>
      <c r="HN18" t="e">
        <f>Score!B11+"zo~!&amp;t"</f>
        <v>#VALUE!</v>
      </c>
      <c r="HO18" t="e">
        <f>Score!C11+"zo~!&amp;u"</f>
        <v>#VALUE!</v>
      </c>
      <c r="HP18" t="e">
        <f>Score!A12+"zo~!&amp;v"</f>
        <v>#VALUE!</v>
      </c>
      <c r="HQ18" t="e">
        <f>Score!B12+"zo~!&amp;w"</f>
        <v>#VALUE!</v>
      </c>
      <c r="HR18" t="e">
        <f>Score!C12+"zo~!&amp;x"</f>
        <v>#VALUE!</v>
      </c>
      <c r="HS18" t="e">
        <f>Score!A13+"zo~!&amp;y"</f>
        <v>#VALUE!</v>
      </c>
      <c r="HT18" t="e">
        <f>Score!B13+"zo~!&amp;z"</f>
        <v>#VALUE!</v>
      </c>
      <c r="HU18" t="e">
        <f>Score!C13+"zo~!&amp;{"</f>
        <v>#VALUE!</v>
      </c>
      <c r="HV18" t="e">
        <f>Score!A14+"zo~!&amp;|"</f>
        <v>#VALUE!</v>
      </c>
      <c r="HW18" t="e">
        <f>Score!B14+"zo~!&amp;}"</f>
        <v>#VALUE!</v>
      </c>
      <c r="HX18" t="e">
        <f>Score!C14+"zo~!&amp;~"</f>
        <v>#VALUE!</v>
      </c>
      <c r="HY18" t="e">
        <f>Score!A15+"zo~!'#"</f>
        <v>#VALUE!</v>
      </c>
      <c r="HZ18" t="e">
        <f>Score!B15+"zo~!'$"</f>
        <v>#VALUE!</v>
      </c>
      <c r="IA18" t="e">
        <f>Score!C15+"zo~!'%"</f>
        <v>#VALUE!</v>
      </c>
      <c r="IB18" t="e">
        <f>Score!A18+"zo~!'&amp;"</f>
        <v>#VALUE!</v>
      </c>
      <c r="IC18" t="e">
        <f>Score!B18+"zo~!''"</f>
        <v>#VALUE!</v>
      </c>
      <c r="ID18" t="e">
        <f>Score!C18+"zo~!'("</f>
        <v>#VALUE!</v>
      </c>
      <c r="IE18" t="e">
        <f>Score!B19+"zo~!')"</f>
        <v>#VALUE!</v>
      </c>
      <c r="IF18" t="e">
        <f>Score!C19+"zo~!'."</f>
        <v>#VALUE!</v>
      </c>
      <c r="IG18" t="e">
        <f>Score!A20+"zo~!'/"</f>
        <v>#VALUE!</v>
      </c>
      <c r="IH18" t="e">
        <f>Score!B20+"zo~!'0"</f>
        <v>#VALUE!</v>
      </c>
      <c r="II18" t="e">
        <f>Score!C20+"zo~!'1"</f>
        <v>#VALUE!</v>
      </c>
      <c r="IJ18" t="e">
        <f>Score!A21+"zo~!'2"</f>
        <v>#VALUE!</v>
      </c>
      <c r="IK18" t="e">
        <f>Score!B21+"zo~!'3"</f>
        <v>#VALUE!</v>
      </c>
      <c r="IL18" t="e">
        <f>Score!C21+"zo~!'4"</f>
        <v>#VALUE!</v>
      </c>
      <c r="IM18" t="e">
        <f>Score!A24+"zo~!'5"</f>
        <v>#VALUE!</v>
      </c>
      <c r="IN18" t="e">
        <f>Score!B24+"zo~!'6"</f>
        <v>#VALUE!</v>
      </c>
      <c r="IO18" t="e">
        <f>Score!C24+"zo~!'7"</f>
        <v>#VALUE!</v>
      </c>
      <c r="IP18" t="e">
        <f>Score!A25+"zo~!'8"</f>
        <v>#VALUE!</v>
      </c>
      <c r="IQ18" t="e">
        <f>Score!B25+"zo~!'9"</f>
        <v>#VALUE!</v>
      </c>
      <c r="IR18" t="e">
        <f>Score!C25+"zo~!':"</f>
        <v>#VALUE!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Issue_Log</vt:lpstr>
      <vt:lpstr>Sheet1</vt:lpstr>
      <vt:lpstr>Template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Songwei</dc:creator>
  <cp:keywords>CTPClassification=CTP_NT</cp:keywords>
  <cp:lastModifiedBy>Zhang, XiaoqingX</cp:lastModifiedBy>
  <dcterms:created xsi:type="dcterms:W3CDTF">2006-09-16T00:00:00Z</dcterms:created>
  <dcterms:modified xsi:type="dcterms:W3CDTF">2018-10-08T10:02:53Z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691da3d6-7e54-47b4-8559-b5b245e245bf</vt:lpwstr>
  </property>
  <property fmtid="{D5CDD505-2E9C-101B-9397-08002B2CF9AE}" pid="3" name="CTP_TimeStamp">
    <vt:lpwstr>2018-09-20 10:13:21Z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KSOProductBuildVer">
    <vt:lpwstr>2052-10.1.0.7106</vt:lpwstr>
  </property>
  <property fmtid="{D5CDD505-2E9C-101B-9397-08002B2CF9AE}" pid="8" name="Offisync_ServerID">
    <vt:lpwstr>d001a694-7c66-4352-b53b-895ffdce369f</vt:lpwstr>
  </property>
  <property fmtid="{D5CDD505-2E9C-101B-9397-08002B2CF9AE}" pid="9" name="Offisync_ProviderInitializationData">
    <vt:lpwstr>https://soco.intel.com/</vt:lpwstr>
  </property>
  <property fmtid="{D5CDD505-2E9C-101B-9397-08002B2CF9AE}" pid="10" name="Offisync_UpdateToken">
    <vt:lpwstr>4</vt:lpwstr>
  </property>
  <property fmtid="{D5CDD505-2E9C-101B-9397-08002B2CF9AE}" pid="11" name="Jive_PrevVersionNumber">
    <vt:lpwstr>3</vt:lpwstr>
  </property>
  <property fmtid="{D5CDD505-2E9C-101B-9397-08002B2CF9AE}" pid="12" name="Jive_LatestUserAccountName">
    <vt:lpwstr>huwenyix</vt:lpwstr>
  </property>
  <property fmtid="{D5CDD505-2E9C-101B-9397-08002B2CF9AE}" pid="13" name="Jive_LatestFileFullName">
    <vt:lpwstr>05b6a5c1fbe56fc4cb7296f4aa603026</vt:lpwstr>
  </property>
  <property fmtid="{D5CDD505-2E9C-101B-9397-08002B2CF9AE}" pid="14" name="Jive_ModifiedButNotPublished">
    <vt:lpwstr>True</vt:lpwstr>
  </property>
  <property fmtid="{D5CDD505-2E9C-101B-9397-08002B2CF9AE}" pid="15" name="Offisync_UniqueId">
    <vt:lpwstr>2530474</vt:lpwstr>
  </property>
  <property fmtid="{D5CDD505-2E9C-101B-9397-08002B2CF9AE}" pid="16" name="Jive_VersionGuid_v2.5">
    <vt:lpwstr>cbbb2afd011640e485a8b25f78292c40</vt:lpwstr>
  </property>
  <property fmtid="{D5CDD505-2E9C-101B-9397-08002B2CF9AE}" pid="17" name="CTPClassification">
    <vt:lpwstr>CTP_NT</vt:lpwstr>
  </property>
</Properties>
</file>