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X:\Device Documentation - Generic\"/>
    </mc:Choice>
  </mc:AlternateContent>
  <xr:revisionPtr revIDLastSave="0" documentId="13_ncr:1_{E49AB5A8-CBE8-4548-81DB-CB797C74E182}" xr6:coauthVersionLast="31" xr6:coauthVersionMax="31" xr10:uidLastSave="{00000000-0000-0000-0000-000000000000}"/>
  <bookViews>
    <workbookView xWindow="0" yWindow="0" windowWidth="23235" windowHeight="10980" xr2:uid="{573483F5-8ADE-47F0-AEDE-E7F6D9EF425C}"/>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1" l="1"/>
  <c r="K127" i="1"/>
  <c r="O154" i="1"/>
  <c r="O153" i="1"/>
  <c r="O152" i="1"/>
  <c r="O151" i="1"/>
  <c r="O150" i="1"/>
  <c r="O149" i="1"/>
  <c r="O148" i="1"/>
  <c r="O147" i="1"/>
  <c r="O145" i="1"/>
  <c r="O144" i="1"/>
  <c r="O143" i="1"/>
  <c r="O142" i="1"/>
  <c r="O141" i="1"/>
  <c r="O140" i="1"/>
  <c r="O139" i="1"/>
  <c r="O138" i="1"/>
  <c r="O137" i="1"/>
  <c r="O136" i="1"/>
  <c r="O135" i="1"/>
  <c r="O134" i="1"/>
  <c r="O133" i="1"/>
  <c r="O132" i="1"/>
  <c r="O131" i="1"/>
  <c r="O130" i="1"/>
  <c r="O129" i="1"/>
  <c r="M154" i="1"/>
  <c r="M153" i="1"/>
  <c r="M152" i="1"/>
  <c r="M151" i="1"/>
  <c r="M150" i="1"/>
  <c r="M149" i="1"/>
  <c r="M148" i="1"/>
  <c r="M147" i="1"/>
  <c r="M146" i="1"/>
  <c r="O146" i="1" s="1"/>
  <c r="O155" i="1" s="1"/>
  <c r="M145" i="1"/>
  <c r="M144" i="1"/>
  <c r="M143" i="1"/>
  <c r="M142" i="1"/>
  <c r="M141" i="1"/>
  <c r="M140" i="1"/>
  <c r="M139" i="1"/>
  <c r="M138" i="1"/>
  <c r="M135" i="1"/>
  <c r="M137" i="1"/>
  <c r="M136" i="1"/>
  <c r="M134" i="1"/>
  <c r="M133" i="1"/>
  <c r="M132" i="1"/>
  <c r="M131" i="1"/>
  <c r="M130" i="1"/>
  <c r="M129" i="1"/>
  <c r="M128" i="1"/>
  <c r="O128" i="1" l="1"/>
  <c r="K121" i="1" l="1"/>
  <c r="K117" i="1"/>
  <c r="K115" i="1" l="1"/>
  <c r="K113" i="1"/>
  <c r="K103" i="1"/>
  <c r="K111" i="1"/>
  <c r="K107" i="1"/>
  <c r="K105" i="1"/>
  <c r="K98" i="1"/>
  <c r="K94" i="1"/>
  <c r="K90" i="1"/>
  <c r="K78" i="1"/>
  <c r="K76" i="1"/>
  <c r="K75" i="1"/>
  <c r="K72" i="1"/>
  <c r="K71" i="1"/>
  <c r="K58" i="1" l="1"/>
  <c r="K53" i="1"/>
  <c r="K33" i="1"/>
  <c r="K38" i="1" l="1"/>
  <c r="K35" i="1"/>
  <c r="K32" i="1"/>
  <c r="K31" i="1"/>
  <c r="K30" i="1"/>
  <c r="K29" i="1"/>
  <c r="K15" i="1"/>
  <c r="K14" i="1"/>
  <c r="K13" i="1"/>
  <c r="K10" i="1"/>
  <c r="K21" i="1" l="1"/>
  <c r="K11" i="1"/>
  <c r="K7" i="1"/>
  <c r="K6" i="1"/>
  <c r="K26" i="1"/>
  <c r="K25" i="1"/>
  <c r="K24" i="1"/>
  <c r="K23" i="1"/>
  <c r="K22" i="1"/>
  <c r="K19" i="1"/>
  <c r="K20" i="1"/>
  <c r="K18" i="1"/>
  <c r="K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author>
  </authors>
  <commentList>
    <comment ref="C43" authorId="0" shapeId="0" xr:uid="{564A38EA-A7B4-47B2-8CA7-38F588ADA0EF}">
      <text>
        <r>
          <rPr>
            <sz val="9"/>
            <color indexed="81"/>
            <rFont val="Tahoma"/>
            <family val="2"/>
          </rPr>
          <t xml:space="preserve">set to zero to remember IDs until the end of a journey
</t>
        </r>
      </text>
    </comment>
    <comment ref="C44" authorId="0" shapeId="0" xr:uid="{F795CACA-BF5C-4A84-8201-70D8B976DB67}">
      <text>
        <r>
          <rPr>
            <sz val="9"/>
            <color indexed="81"/>
            <rFont val="Tahoma"/>
            <family val="2"/>
          </rPr>
          <t xml:space="preserve">this is for reminder and immobiliser purposes.  For immobiliser, the ID must be presented before starting the vehicle.  After presenting an ID, the driver must start the vehicle within this time.  Similarly, the driver may present their ID before starting the vehicle to avoid the reminder buzzer sounding, in which case the same timeout applies
</t>
        </r>
      </text>
    </comment>
    <comment ref="C48" authorId="0" shapeId="0" xr:uid="{C9552327-A7E0-4C2A-AE04-3469A4776778}">
      <text>
        <r>
          <rPr>
            <sz val="9"/>
            <color indexed="81"/>
            <rFont val="Tahoma"/>
            <family val="2"/>
          </rPr>
          <t xml:space="preserve">set to zero for no timeout (indefinite)
</t>
        </r>
      </text>
    </comment>
    <comment ref="C69" authorId="0" shapeId="0" xr:uid="{BFA70F45-A383-4BF7-A595-60144032D64E}">
      <text>
        <r>
          <rPr>
            <sz val="9"/>
            <color indexed="81"/>
            <rFont val="Tahoma"/>
            <family val="2"/>
          </rPr>
          <t>set to zero to run indefinitely</t>
        </r>
      </text>
    </comment>
    <comment ref="H90" authorId="0" shapeId="0" xr:uid="{7DA03604-7031-4F7E-8071-970BF5C1FF74}">
      <text>
        <r>
          <rPr>
            <sz val="9"/>
            <color indexed="81"/>
            <rFont val="Tahoma"/>
            <family val="2"/>
          </rPr>
          <t xml:space="preserve">specify engine load threshold up to 125% for FMS and 100% for OBD
a value of zero disables this feature
</t>
        </r>
      </text>
    </comment>
    <comment ref="H94" authorId="0" shapeId="0" xr:uid="{E0B7D228-53FC-4ABE-AD17-BD683D25EEA8}">
      <text>
        <r>
          <rPr>
            <sz val="9"/>
            <color indexed="81"/>
            <rFont val="Tahoma"/>
            <family val="2"/>
          </rPr>
          <t xml:space="preserve">specify engine RPM threshold divided by 32, up to 250 for FMS (8000rpm) and 255 (8160rpm) for OBD
a value of zero disables this feature
</t>
        </r>
      </text>
    </comment>
    <comment ref="H98" authorId="0" shapeId="0" xr:uid="{6A0A927B-975A-4C7B-80C2-418541083F16}">
      <text>
        <r>
          <rPr>
            <sz val="9"/>
            <color indexed="81"/>
            <rFont val="Tahoma"/>
            <family val="2"/>
          </rPr>
          <t xml:space="preserve">specify throttle position threshold up to 100% 
a value of zero disables this feature
</t>
        </r>
      </text>
    </comment>
    <comment ref="C115" authorId="0" shapeId="0" xr:uid="{9EC23C95-8E27-4B9C-ABAD-6DE9CA4A0527}">
      <text>
        <r>
          <rPr>
            <sz val="9"/>
            <color indexed="81"/>
            <rFont val="Tahoma"/>
            <family val="2"/>
          </rPr>
          <t>set to zero to disable OTA PIN feature</t>
        </r>
      </text>
    </comment>
  </commentList>
</comments>
</file>

<file path=xl/sharedStrings.xml><?xml version="1.0" encoding="utf-8"?>
<sst xmlns="http://schemas.openxmlformats.org/spreadsheetml/2006/main" count="333" uniqueCount="222">
  <si>
    <t>Reporting Intervals:</t>
  </si>
  <si>
    <t>COMMANDS:</t>
  </si>
  <si>
    <t xml:space="preserve">or every </t>
  </si>
  <si>
    <t>metres travelled</t>
  </si>
  <si>
    <t xml:space="preserve">or on a heading change of </t>
  </si>
  <si>
    <t>degrees or more</t>
  </si>
  <si>
    <t>whilst stationary (IGN OFF), the device should report every</t>
  </si>
  <si>
    <t>minutes</t>
  </si>
  <si>
    <t>whilst in a journey (IGN ON), the device should report every</t>
  </si>
  <si>
    <t>seconds</t>
  </si>
  <si>
    <t xml:space="preserve">or whilst idling in a journey, every </t>
  </si>
  <si>
    <t xml:space="preserve">or when speed exceeds </t>
  </si>
  <si>
    <t>kmh</t>
  </si>
  <si>
    <t xml:space="preserve">or when acceleration exceeds </t>
  </si>
  <si>
    <t>m/s/s</t>
  </si>
  <si>
    <t xml:space="preserve">or when deceleration exceeds </t>
  </si>
  <si>
    <t xml:space="preserve">or report a collision event if any accelerometer axis detects </t>
  </si>
  <si>
    <t>Communications:</t>
  </si>
  <si>
    <t xml:space="preserve">using port number </t>
  </si>
  <si>
    <t>and get an acknowledgment from the server within a max.</t>
  </si>
  <si>
    <t>X</t>
  </si>
  <si>
    <t>K</t>
  </si>
  <si>
    <t>M</t>
  </si>
  <si>
    <t>V</t>
  </si>
  <si>
    <t>(for protocol X module mask calculation, use the protocol X description file)</t>
  </si>
  <si>
    <t>Astra Telematics Device Configuration Helper</t>
  </si>
  <si>
    <t>and Astra Communications Protocol</t>
  </si>
  <si>
    <t xml:space="preserve">LOGIN mode (send IMEI only with LOGIN) will be </t>
  </si>
  <si>
    <t>enabled</t>
  </si>
  <si>
    <t>disabled</t>
  </si>
  <si>
    <t>SIM APN:</t>
  </si>
  <si>
    <t>SIM APN address is</t>
  </si>
  <si>
    <t>SIM APN username is</t>
  </si>
  <si>
    <t>SIM APN password is</t>
  </si>
  <si>
    <t>my-apn-address.com</t>
  </si>
  <si>
    <t>my-apn-username</t>
  </si>
  <si>
    <t>my-apn-password</t>
  </si>
  <si>
    <t>the vehicle begin 'idling' mode after being stationary for</t>
  </si>
  <si>
    <t xml:space="preserve">the overspeed threshold will be set at </t>
  </si>
  <si>
    <t>an overspeed report will be sent if over the threshold for</t>
  </si>
  <si>
    <t>further overspeed reports will not be sent for at least</t>
  </si>
  <si>
    <t>Journey starts and stops will be detected by</t>
  </si>
  <si>
    <t>digital input 1</t>
  </si>
  <si>
    <t>movement</t>
  </si>
  <si>
    <t>external voltage</t>
  </si>
  <si>
    <t>CANBus RPM</t>
  </si>
  <si>
    <t>and the device</t>
  </si>
  <si>
    <t>will not</t>
  </si>
  <si>
    <t>will</t>
  </si>
  <si>
    <t>power down when the vehicle is not in a journey</t>
  </si>
  <si>
    <t>delayed stop detection for motion or voltage based modes</t>
  </si>
  <si>
    <t>Driver ID:</t>
  </si>
  <si>
    <t>driver ID will be detected using</t>
  </si>
  <si>
    <t xml:space="preserve">driver ID reminder buzzer is </t>
  </si>
  <si>
    <t>driver ID read confirmation is</t>
  </si>
  <si>
    <t>device will report driver IDs</t>
  </si>
  <si>
    <t>only with start and stop reports</t>
  </si>
  <si>
    <t>driver ID disabled</t>
  </si>
  <si>
    <t>iButton</t>
  </si>
  <si>
    <t>RFID card</t>
  </si>
  <si>
    <t>Bluetooth</t>
  </si>
  <si>
    <t>Picopass card</t>
  </si>
  <si>
    <t>every time an ID is read</t>
  </si>
  <si>
    <t xml:space="preserve">driver ID linked to immobiliser is </t>
  </si>
  <si>
    <t>remember driver ID and use for start/stop reports for up to</t>
  </si>
  <si>
    <t>after presenting ID, the driver must start the vehicle within</t>
  </si>
  <si>
    <t>when the vehicle is immobilised, the digital output should be</t>
  </si>
  <si>
    <t>on</t>
  </si>
  <si>
    <t>off</t>
  </si>
  <si>
    <t>server authorisation of driver IDs for immobiliser purposes is</t>
  </si>
  <si>
    <t>one time over-ride of immobiliser state by OTA command is</t>
  </si>
  <si>
    <t xml:space="preserve">reminder buzzer will stop (even if no driver ID read) after </t>
  </si>
  <si>
    <t>server authorisation LED progress indicator (CR001 only) is</t>
  </si>
  <si>
    <t>combined DRID progress indicator / reminder on a single output</t>
  </si>
  <si>
    <t>left</t>
  </si>
  <si>
    <t>front</t>
  </si>
  <si>
    <t>right</t>
  </si>
  <si>
    <t>rear</t>
  </si>
  <si>
    <t>the device is installed with the connector facing towards the</t>
  </si>
  <si>
    <t>Device orientation:</t>
  </si>
  <si>
    <t>Pass Through Data:</t>
  </si>
  <si>
    <t>pass through data mode is</t>
  </si>
  <si>
    <t>enabled - basic mode</t>
  </si>
  <si>
    <t>enabled - Garmin FMI mode</t>
  </si>
  <si>
    <t>enabled - with CONNECT message</t>
  </si>
  <si>
    <t>using data BAUD rate of</t>
  </si>
  <si>
    <t xml:space="preserve">packets will be assembled and sent if no data is received for </t>
  </si>
  <si>
    <t>mSec</t>
  </si>
  <si>
    <t>or when a maximum number of bytes received reaches</t>
  </si>
  <si>
    <t>bytes</t>
  </si>
  <si>
    <t>no terminator</t>
  </si>
  <si>
    <t>or when the termination squence</t>
  </si>
  <si>
    <t>&lt;CR&gt;</t>
  </si>
  <si>
    <t>&lt;LF&gt;</t>
  </si>
  <si>
    <t>&lt;CR&gt;&lt;LF&gt;</t>
  </si>
  <si>
    <t>is received</t>
  </si>
  <si>
    <t>when a new TCP socket connection is opened to the server, a LOGIN</t>
  </si>
  <si>
    <t>will not be sent</t>
  </si>
  <si>
    <t>will be sent</t>
  </si>
  <si>
    <t>pass through data will operate with RS232 port number</t>
  </si>
  <si>
    <t xml:space="preserve">and the TCP socket will be specified by </t>
  </si>
  <si>
    <t>IPAD1 / PORT1</t>
  </si>
  <si>
    <t>IPAD2 / PORT2</t>
  </si>
  <si>
    <t xml:space="preserve">packets sent to TCP socket and RS232 port will </t>
  </si>
  <si>
    <t>not be terminated</t>
  </si>
  <si>
    <t>terminated with &lt;CR&gt;</t>
  </si>
  <si>
    <t>terminated with &lt;LF&gt;</t>
  </si>
  <si>
    <t>terminated with &lt;CR&gt;&lt;LF&gt;</t>
  </si>
  <si>
    <t xml:space="preserve">#PTDA: packet headers will </t>
  </si>
  <si>
    <t>not be added</t>
  </si>
  <si>
    <t>be added</t>
  </si>
  <si>
    <t xml:space="preserve">packet acknowledgment is </t>
  </si>
  <si>
    <t>pass through data mode with terminate automatically after</t>
  </si>
  <si>
    <t>Device is to send tracking data to IP address or hostname</t>
  </si>
  <si>
    <t>optional 2nd TCP socket for PTDM use is IP / hostname</t>
  </si>
  <si>
    <t>ptdm_server_hostname.com</t>
  </si>
  <si>
    <t>kbit/sec</t>
  </si>
  <si>
    <t xml:space="preserve">typical configuration to suit an OBD / J1979 installation @ </t>
  </si>
  <si>
    <t>typical configuration to suit an FMS / J1939 installation @</t>
  </si>
  <si>
    <t>create events / reports based on:</t>
  </si>
  <si>
    <t>brake switch - pedal released</t>
  </si>
  <si>
    <t>brake switch - pedal depressed</t>
  </si>
  <si>
    <t>cruise control - switched on</t>
  </si>
  <si>
    <t>cruise control - switched off</t>
  </si>
  <si>
    <t>PTO - off/disables</t>
  </si>
  <si>
    <t>PTO - set</t>
  </si>
  <si>
    <t>PTO - not available</t>
  </si>
  <si>
    <t>vehicle direction - forward</t>
  </si>
  <si>
    <t>vehicle direction - reverse</t>
  </si>
  <si>
    <t>vehicle direction - overspeed</t>
  </si>
  <si>
    <t>vehicle speed - no overspeed</t>
  </si>
  <si>
    <t>YES</t>
  </si>
  <si>
    <t>NO</t>
  </si>
  <si>
    <t xml:space="preserve">engine load events / reports are set at a threshold of </t>
  </si>
  <si>
    <t>%</t>
  </si>
  <si>
    <t xml:space="preserve">when exceeded for at least </t>
  </si>
  <si>
    <t xml:space="preserve">seconds </t>
  </si>
  <si>
    <t xml:space="preserve">further engine load reports are inhibited for </t>
  </si>
  <si>
    <t>seconds thereafter</t>
  </si>
  <si>
    <t xml:space="preserve">high RPM events / reports are set at a threshold of </t>
  </si>
  <si>
    <t>RPM</t>
  </si>
  <si>
    <t xml:space="preserve">throttle position events / reports are set at a threshold of </t>
  </si>
  <si>
    <t xml:space="preserve">further high RPM reports are inhibited for </t>
  </si>
  <si>
    <t xml:space="preserve">further throttle pos. reports are inhibited for </t>
  </si>
  <si>
    <t>CANBus OBD/FMS:</t>
  </si>
  <si>
    <t>Network Roaming:</t>
  </si>
  <si>
    <t xml:space="preserve">network roaming is </t>
  </si>
  <si>
    <t>SMS Usage Limit:</t>
  </si>
  <si>
    <t xml:space="preserve">outgoing SMS usage will be limited to a maximum of </t>
  </si>
  <si>
    <t>SMS per month</t>
  </si>
  <si>
    <t>GNSS Quality:</t>
  </si>
  <si>
    <t xml:space="preserve">GNSS fixes will be accepted only if the estimated error is less than </t>
  </si>
  <si>
    <t>metres</t>
  </si>
  <si>
    <t>satellites, at elevation angles of</t>
  </si>
  <si>
    <t>degrees</t>
  </si>
  <si>
    <t>or more</t>
  </si>
  <si>
    <t xml:space="preserve">using a minimum of </t>
  </si>
  <si>
    <t>Debug Level:</t>
  </si>
  <si>
    <t xml:space="preserve">The level of debug on the device RS232 port will be </t>
  </si>
  <si>
    <t>none</t>
  </si>
  <si>
    <t>minimal</t>
  </si>
  <si>
    <t>normal</t>
  </si>
  <si>
    <t>extended</t>
  </si>
  <si>
    <t>high</t>
  </si>
  <si>
    <t>NMEA output:</t>
  </si>
  <si>
    <t xml:space="preserve">NMEA $GPRMC sentences on the device RS232 port are </t>
  </si>
  <si>
    <t>OTA PIN Code:</t>
  </si>
  <si>
    <t>OTA commands will be protected by the PIN code</t>
  </si>
  <si>
    <t>Tow Alerts:</t>
  </si>
  <si>
    <t xml:space="preserve">tow alert events / reports will be created when the vehicle moves </t>
  </si>
  <si>
    <t xml:space="preserve">for at least </t>
  </si>
  <si>
    <t>seconds, or vehicle speed exceeds</t>
  </si>
  <si>
    <t>kmh for at least</t>
  </si>
  <si>
    <t>seconds, or when no GNSS is available, based on motion sensitivity of</t>
  </si>
  <si>
    <t>Motion Detection:</t>
  </si>
  <si>
    <t xml:space="preserve">MEMS / accelerometer based motion detection will trigger using </t>
  </si>
  <si>
    <t>detection</t>
  </si>
  <si>
    <t>single</t>
  </si>
  <si>
    <t>double</t>
  </si>
  <si>
    <t>CANBus operation should be disabled and all CANBus activity prevented</t>
  </si>
  <si>
    <t>$CANC,0,1,1,0</t>
  </si>
  <si>
    <t xml:space="preserve">and a threshold of </t>
  </si>
  <si>
    <t>ms</t>
  </si>
  <si>
    <t xml:space="preserve">below the threshold within a maximum of </t>
  </si>
  <si>
    <t>mg.  Once the threshold is exceeded, it must return</t>
  </si>
  <si>
    <t>where double click detection is enabled, the seconds click, the second click must occur</t>
  </si>
  <si>
    <t xml:space="preserve">within </t>
  </si>
  <si>
    <t xml:space="preserve">ms.  Click detection will resume </t>
  </si>
  <si>
    <t>ms later</t>
  </si>
  <si>
    <t>2A</t>
  </si>
  <si>
    <t>Report Filtering:</t>
  </si>
  <si>
    <t>Choose the event types which you would like the device to report:</t>
  </si>
  <si>
    <t>TIMED events:</t>
  </si>
  <si>
    <t>DISTANCE moved events:</t>
  </si>
  <si>
    <t>POLLED reports when requested:</t>
  </si>
  <si>
    <t>GEOFENCE events:</t>
  </si>
  <si>
    <t>PANIC button events:</t>
  </si>
  <si>
    <t>EXTERNAL-INPUT-OUTPUT events:</t>
  </si>
  <si>
    <t>Journey START events:</t>
  </si>
  <si>
    <t>Journey STOP events:</t>
  </si>
  <si>
    <t>HEADING change events:</t>
  </si>
  <si>
    <t>TOWING events:</t>
  </si>
  <si>
    <t>UNAUTHORISED-DRIVER events:</t>
  </si>
  <si>
    <t>COLLISION events:</t>
  </si>
  <si>
    <t>CORNERING events:</t>
  </si>
  <si>
    <t>DECELERATION events:</t>
  </si>
  <si>
    <t>GPS-RE-ACQUIRED events:</t>
  </si>
  <si>
    <t>CANBUS events:</t>
  </si>
  <si>
    <t>CARRIER events:</t>
  </si>
  <si>
    <t>TAMPER events:</t>
  </si>
  <si>
    <t>GRITTER events:</t>
  </si>
  <si>
    <t>LOW BATTERY events:</t>
  </si>
  <si>
    <t>EXTERNAL-POWER events:</t>
  </si>
  <si>
    <t>IDLING-START events:</t>
  </si>
  <si>
    <t>IDLING-END events:</t>
  </si>
  <si>
    <t>IDLING-ONGOING events:</t>
  </si>
  <si>
    <t>POWER-ON (RESTART) events:</t>
  </si>
  <si>
    <t>OVERSPEED events:</t>
  </si>
  <si>
    <t>ACCELERATION events:</t>
  </si>
  <si>
    <t>,&lt;see prot x description&gt;</t>
  </si>
  <si>
    <t>your-hostname</t>
  </si>
  <si>
    <t xml:space="preserve">or when cornering exceeds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</si>
</sst>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1"/>
      <color theme="1"/>
      <name val="Calibri"/>
      <family val="2"/>
      <scheme val="minor"/>
    </font>
    <font>
      <b/>
      <sz val="11"/>
      <color theme="1"/>
      <name val="Calibri"/>
      <family val="2"/>
      <scheme val="minor"/>
    </font>
    <font>
      <sz val="14"/>
      <color rgb="FFFF0000"/>
      <name val="Inherit"/>
    </font>
    <font>
      <sz val="28"/>
      <color theme="1"/>
      <name val="Calibri"/>
      <family val="2"/>
      <scheme val="minor"/>
    </font>
    <font>
      <sz val="11"/>
      <color theme="1"/>
      <name val="Consolas"/>
      <family val="3"/>
    </font>
    <font>
      <sz val="9"/>
      <color indexed="81"/>
      <name val="Tahoma"/>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Protection="1">
      <protection locked="0"/>
    </xf>
    <xf numFmtId="0" fontId="0" fillId="0" borderId="0" xfId="0" applyAlignment="1" applyProtection="1">
      <alignment horizontal="center"/>
      <protection locked="0"/>
    </xf>
    <xf numFmtId="0" fontId="1" fillId="0" borderId="0" xfId="0" applyFont="1" applyAlignment="1" applyProtection="1">
      <alignment horizontal="center"/>
      <protection locked="0"/>
    </xf>
    <xf numFmtId="0" fontId="1" fillId="0" borderId="0" xfId="0" applyFont="1" applyProtection="1">
      <protection locked="0"/>
    </xf>
    <xf numFmtId="0" fontId="4" fillId="0" borderId="0" xfId="0" applyFont="1" applyAlignment="1" applyProtection="1">
      <alignment horizontal="left"/>
      <protection locked="0"/>
    </xf>
    <xf numFmtId="0" fontId="1" fillId="2" borderId="0" xfId="0" applyFont="1" applyFill="1" applyAlignment="1" applyProtection="1">
      <alignment horizontal="center"/>
      <protection locked="0"/>
    </xf>
    <xf numFmtId="0" fontId="0" fillId="0" borderId="0" xfId="0" applyFill="1" applyAlignment="1" applyProtection="1">
      <alignment horizontal="center"/>
      <protection locked="0"/>
    </xf>
    <xf numFmtId="0" fontId="1" fillId="0" borderId="0" xfId="0" applyFont="1" applyFill="1" applyAlignment="1" applyProtection="1">
      <alignment horizontal="center"/>
      <protection locked="0"/>
    </xf>
    <xf numFmtId="0" fontId="2" fillId="0" borderId="0" xfId="0" applyFont="1" applyAlignment="1" applyProtection="1">
      <alignment vertical="center"/>
      <protection locked="0"/>
    </xf>
    <xf numFmtId="0" fontId="4" fillId="0" borderId="0" xfId="0" applyFont="1" applyProtection="1">
      <protection locked="0"/>
    </xf>
    <xf numFmtId="164" fontId="1" fillId="2" borderId="0" xfId="0" applyNumberFormat="1" applyFont="1" applyFill="1" applyAlignment="1" applyProtection="1">
      <alignment horizontal="center"/>
      <protection locked="0"/>
    </xf>
    <xf numFmtId="0" fontId="0" fillId="0" borderId="0" xfId="0" applyAlignment="1" applyProtection="1">
      <protection locked="0"/>
    </xf>
    <xf numFmtId="0" fontId="0" fillId="0" borderId="0" xfId="0" applyFill="1" applyAlignment="1" applyProtection="1">
      <protection locked="0"/>
    </xf>
    <xf numFmtId="0" fontId="1" fillId="2" borderId="0" xfId="0" applyFont="1" applyFill="1" applyAlignment="1" applyProtection="1">
      <alignment horizontal="left"/>
      <protection locked="0"/>
    </xf>
    <xf numFmtId="1"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right"/>
      <protection locked="0"/>
    </xf>
    <xf numFmtId="0" fontId="4" fillId="0" borderId="0" xfId="0" applyFont="1" applyAlignment="1" applyProtection="1">
      <alignment horizontal="left"/>
    </xf>
    <xf numFmtId="0" fontId="4" fillId="0" borderId="0" xfId="0" applyFont="1" applyProtection="1"/>
    <xf numFmtId="0" fontId="1" fillId="2" borderId="0" xfId="0" applyFont="1" applyFill="1" applyAlignment="1" applyProtection="1">
      <alignment horizontal="center"/>
      <protection locked="0"/>
    </xf>
    <xf numFmtId="0" fontId="3" fillId="2" borderId="0" xfId="0" applyFont="1" applyFill="1" applyAlignment="1" applyProtection="1">
      <alignment horizontal="center" vertical="center"/>
      <protection locked="0"/>
    </xf>
    <xf numFmtId="0" fontId="1" fillId="2" borderId="0" xfId="0" applyFont="1" applyFill="1" applyAlignment="1" applyProtection="1">
      <protection locked="0"/>
    </xf>
    <xf numFmtId="0" fontId="0" fillId="0" borderId="0" xfId="0" applyAlignme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B637C-7A85-41ED-B5D5-E8F49818304B}">
  <dimension ref="A1:U328"/>
  <sheetViews>
    <sheetView tabSelected="1" zoomScaleNormal="100" workbookViewId="0">
      <pane ySplit="4" topLeftCell="A5" activePane="bottomLeft" state="frozen"/>
      <selection pane="bottomLeft" activeCell="C26" sqref="C26"/>
    </sheetView>
  </sheetViews>
  <sheetFormatPr defaultRowHeight="15"/>
  <cols>
    <col min="1" max="1" width="9.140625" style="1"/>
    <col min="2" max="10" width="10.28515625" style="1" customWidth="1"/>
    <col min="11" max="11" width="49.140625" style="1" customWidth="1"/>
    <col min="12" max="12" width="13" style="1" hidden="1" customWidth="1"/>
    <col min="13" max="13" width="9" style="1" hidden="1" customWidth="1"/>
    <col min="14" max="14" width="8.28515625" style="1" hidden="1" customWidth="1"/>
    <col min="15" max="15" width="23.85546875" style="1" hidden="1" customWidth="1"/>
    <col min="16" max="16" width="4.5703125" style="1" hidden="1" customWidth="1"/>
    <col min="17" max="17" width="12.42578125" style="2" hidden="1" customWidth="1"/>
    <col min="18" max="18" width="4" style="1" hidden="1" customWidth="1"/>
    <col min="19" max="19" width="3.140625" style="1" hidden="1" customWidth="1"/>
    <col min="20" max="20" width="9.140625" style="1" hidden="1" customWidth="1"/>
    <col min="21" max="21" width="4.7109375" style="1" hidden="1" customWidth="1"/>
    <col min="22" max="16384" width="9.140625" style="1"/>
  </cols>
  <sheetData>
    <row r="1" spans="1:15">
      <c r="A1" s="23" t="s">
        <v>25</v>
      </c>
      <c r="B1" s="23"/>
      <c r="C1" s="23"/>
      <c r="D1" s="23"/>
      <c r="E1" s="23"/>
      <c r="F1" s="23"/>
      <c r="G1" s="23"/>
      <c r="H1" s="23"/>
      <c r="I1" s="23"/>
      <c r="J1" s="23"/>
      <c r="K1" s="23"/>
    </row>
    <row r="2" spans="1:15">
      <c r="A2" s="23"/>
      <c r="B2" s="23"/>
      <c r="C2" s="23"/>
      <c r="D2" s="23"/>
      <c r="E2" s="23"/>
      <c r="F2" s="23"/>
      <c r="G2" s="23"/>
      <c r="H2" s="23"/>
      <c r="I2" s="23"/>
      <c r="J2" s="23"/>
      <c r="K2" s="23"/>
    </row>
    <row r="4" spans="1:15">
      <c r="K4" s="3" t="s">
        <v>1</v>
      </c>
    </row>
    <row r="6" spans="1:15">
      <c r="A6" s="4" t="s">
        <v>17</v>
      </c>
      <c r="C6" s="1" t="s">
        <v>113</v>
      </c>
      <c r="H6" s="22" t="s">
        <v>220</v>
      </c>
      <c r="I6" s="22"/>
      <c r="J6" s="22"/>
      <c r="K6" s="20" t="str">
        <f>"$IPAD,"&amp;H6</f>
        <v>$IPAD,your-hostname</v>
      </c>
      <c r="M6" s="2" t="s">
        <v>21</v>
      </c>
      <c r="N6" s="2">
        <v>6</v>
      </c>
    </row>
    <row r="7" spans="1:15">
      <c r="C7" s="1" t="s">
        <v>18</v>
      </c>
      <c r="E7" s="6">
        <v>90</v>
      </c>
      <c r="K7" s="20" t="str">
        <f>"$PORT,"&amp;E7</f>
        <v>$PORT,90</v>
      </c>
      <c r="M7" s="2" t="s">
        <v>22</v>
      </c>
      <c r="N7" s="2">
        <v>8</v>
      </c>
    </row>
    <row r="8" spans="1:15">
      <c r="C8" s="1" t="s">
        <v>26</v>
      </c>
      <c r="E8" s="7"/>
      <c r="G8" s="6" t="s">
        <v>20</v>
      </c>
      <c r="K8" s="20" t="str">
        <f>"$PROT,"&amp;VLOOKUP(G8,M6:N9,2,0)&amp;IF(G8="X",O8,)</f>
        <v>$PROT,16,&lt;see prot x description&gt;</v>
      </c>
      <c r="M8" s="2" t="s">
        <v>23</v>
      </c>
      <c r="N8" s="2">
        <v>14</v>
      </c>
      <c r="O8" s="1" t="s">
        <v>219</v>
      </c>
    </row>
    <row r="9" spans="1:15">
      <c r="C9" s="1" t="s">
        <v>24</v>
      </c>
      <c r="E9" s="7"/>
      <c r="G9" s="7"/>
      <c r="K9" s="5"/>
      <c r="M9" s="2" t="s">
        <v>20</v>
      </c>
      <c r="N9" s="2">
        <v>16</v>
      </c>
    </row>
    <row r="10" spans="1:15" ht="15" customHeight="1">
      <c r="C10" s="1" t="s">
        <v>27</v>
      </c>
      <c r="D10" s="8"/>
      <c r="I10" s="6" t="s">
        <v>28</v>
      </c>
      <c r="K10" s="20" t="str">
        <f>"$MODE,"&amp;VLOOKUP(I10,M10:N11,2,0)</f>
        <v>$MODE,6</v>
      </c>
      <c r="L10" s="9"/>
      <c r="M10" s="2" t="s">
        <v>29</v>
      </c>
      <c r="N10" s="2">
        <v>4</v>
      </c>
    </row>
    <row r="11" spans="1:15">
      <c r="C11" s="1" t="s">
        <v>19</v>
      </c>
      <c r="I11" s="6">
        <v>30</v>
      </c>
      <c r="J11" s="1" t="s">
        <v>9</v>
      </c>
      <c r="K11" s="20" t="str">
        <f>"$TCPT,"&amp;I11</f>
        <v>$TCPT,30</v>
      </c>
      <c r="M11" s="2" t="s">
        <v>28</v>
      </c>
      <c r="N11" s="2">
        <v>6</v>
      </c>
    </row>
    <row r="12" spans="1:15">
      <c r="I12" s="8"/>
      <c r="K12" s="5"/>
      <c r="M12" s="2"/>
      <c r="N12" s="2"/>
    </row>
    <row r="13" spans="1:15">
      <c r="A13" s="4" t="s">
        <v>30</v>
      </c>
      <c r="C13" s="1" t="s">
        <v>31</v>
      </c>
      <c r="F13" s="22" t="s">
        <v>34</v>
      </c>
      <c r="G13" s="22"/>
      <c r="H13" s="22"/>
      <c r="I13" s="8"/>
      <c r="K13" s="20" t="str">
        <f>"$APAD,"&amp;F13</f>
        <v>$APAD,my-apn-address.com</v>
      </c>
      <c r="M13" s="2"/>
      <c r="N13" s="2"/>
    </row>
    <row r="14" spans="1:15">
      <c r="C14" s="1" t="s">
        <v>32</v>
      </c>
      <c r="F14" s="22" t="s">
        <v>35</v>
      </c>
      <c r="G14" s="22"/>
      <c r="H14" s="22"/>
      <c r="K14" s="20" t="str">
        <f>"$APUN,"&amp;F14</f>
        <v>$APUN,my-apn-username</v>
      </c>
    </row>
    <row r="15" spans="1:15">
      <c r="C15" s="1" t="s">
        <v>33</v>
      </c>
      <c r="F15" s="22" t="s">
        <v>36</v>
      </c>
      <c r="G15" s="22"/>
      <c r="H15" s="22"/>
      <c r="K15" s="20" t="str">
        <f>"$APPW,"&amp;F15</f>
        <v>$APPW,my-apn-password</v>
      </c>
    </row>
    <row r="16" spans="1:15">
      <c r="K16" s="10"/>
    </row>
    <row r="17" spans="1:13">
      <c r="A17" s="4" t="s">
        <v>0</v>
      </c>
      <c r="C17" s="1" t="s">
        <v>6</v>
      </c>
      <c r="I17" s="6">
        <v>60</v>
      </c>
      <c r="J17" s="1" t="s">
        <v>7</v>
      </c>
      <c r="K17" s="21" t="str">
        <f>"$STIM,"&amp;I17</f>
        <v>$STIM,60</v>
      </c>
    </row>
    <row r="18" spans="1:13">
      <c r="C18" s="1" t="s">
        <v>8</v>
      </c>
      <c r="I18" s="6">
        <v>120</v>
      </c>
      <c r="J18" s="1" t="s">
        <v>9</v>
      </c>
      <c r="K18" s="21" t="str">
        <f>"$JSEC,"&amp;I18</f>
        <v>$JSEC,120</v>
      </c>
    </row>
    <row r="19" spans="1:13">
      <c r="C19" s="1" t="s">
        <v>10</v>
      </c>
      <c r="I19" s="6">
        <v>120</v>
      </c>
      <c r="J19" s="1" t="s">
        <v>7</v>
      </c>
      <c r="K19" s="21" t="str">
        <f>"$ITIM,"&amp;I19</f>
        <v>$ITIM,120</v>
      </c>
    </row>
    <row r="20" spans="1:13">
      <c r="C20" s="1" t="s">
        <v>2</v>
      </c>
      <c r="D20" s="6">
        <v>2000</v>
      </c>
      <c r="E20" s="1" t="s">
        <v>3</v>
      </c>
      <c r="K20" s="21" t="str">
        <f>"$DIST,"&amp;D20</f>
        <v>$DIST,2000</v>
      </c>
    </row>
    <row r="21" spans="1:13">
      <c r="C21" s="1" t="s">
        <v>4</v>
      </c>
      <c r="F21" s="6">
        <v>45</v>
      </c>
      <c r="G21" s="1" t="s">
        <v>5</v>
      </c>
      <c r="K21" s="21" t="str">
        <f>"$HEAD,"&amp;F21</f>
        <v>$HEAD,45</v>
      </c>
    </row>
    <row r="22" spans="1:13">
      <c r="C22" s="1" t="s">
        <v>11</v>
      </c>
      <c r="F22" s="6">
        <v>120</v>
      </c>
      <c r="G22" s="1" t="s">
        <v>12</v>
      </c>
      <c r="K22" s="21" t="str">
        <f>"$OSST,"&amp;F22</f>
        <v>$OSST,120</v>
      </c>
    </row>
    <row r="23" spans="1:13">
      <c r="C23" s="1" t="s">
        <v>13</v>
      </c>
      <c r="F23" s="6">
        <v>3.5</v>
      </c>
      <c r="G23" s="1" t="s">
        <v>14</v>
      </c>
      <c r="K23" s="21" t="str">
        <f>"$ACMX,"&amp;(F23*10)</f>
        <v>$ACMX,35</v>
      </c>
    </row>
    <row r="24" spans="1:13">
      <c r="C24" s="1" t="s">
        <v>15</v>
      </c>
      <c r="F24" s="6">
        <v>3.5</v>
      </c>
      <c r="G24" s="1" t="s">
        <v>14</v>
      </c>
      <c r="K24" s="21" t="str">
        <f>"$DCMX,"&amp;(F24*10)</f>
        <v>$DCMX,35</v>
      </c>
    </row>
    <row r="25" spans="1:13">
      <c r="C25" s="1" t="s">
        <v>221</v>
      </c>
      <c r="F25" s="6">
        <v>3.5</v>
      </c>
      <c r="G25" s="1" t="s">
        <v>14</v>
      </c>
      <c r="K25" s="21" t="str">
        <f>"$ACMY,"&amp;(F25*10)&amp;"$DCMY,"&amp;(F25*10)</f>
        <v>$ACMY,35$DCMY,35</v>
      </c>
    </row>
    <row r="26" spans="1:13">
      <c r="C26" s="1" t="s">
        <v>16</v>
      </c>
      <c r="I26" s="11">
        <v>10</v>
      </c>
      <c r="J26" s="1" t="s">
        <v>14</v>
      </c>
      <c r="K26" s="21" t="str">
        <f>"$DCMX,"&amp;(I26*10)</f>
        <v>$DCMX,100</v>
      </c>
    </row>
    <row r="27" spans="1:13">
      <c r="K27" s="10"/>
    </row>
    <row r="28" spans="1:13">
      <c r="K28" s="10"/>
    </row>
    <row r="29" spans="1:13">
      <c r="C29" s="1" t="s">
        <v>37</v>
      </c>
      <c r="I29" s="6">
        <v>180</v>
      </c>
      <c r="J29" s="1" t="s">
        <v>9</v>
      </c>
      <c r="K29" s="21" t="str">
        <f>"$IDLE,"&amp;I29</f>
        <v>$IDLE,180</v>
      </c>
      <c r="L29" s="1" t="s">
        <v>43</v>
      </c>
      <c r="M29" s="1">
        <v>0</v>
      </c>
    </row>
    <row r="30" spans="1:13">
      <c r="C30" s="1" t="s">
        <v>38</v>
      </c>
      <c r="I30" s="6">
        <v>120</v>
      </c>
      <c r="J30" s="1" t="s">
        <v>12</v>
      </c>
      <c r="K30" s="21" t="str">
        <f>"$OSST,"&amp;I30</f>
        <v>$OSST,120</v>
      </c>
      <c r="L30" s="1" t="s">
        <v>42</v>
      </c>
      <c r="M30" s="1">
        <v>1</v>
      </c>
    </row>
    <row r="31" spans="1:13">
      <c r="C31" s="1" t="s">
        <v>39</v>
      </c>
      <c r="I31" s="6">
        <v>30</v>
      </c>
      <c r="J31" s="1" t="s">
        <v>9</v>
      </c>
      <c r="K31" s="21" t="str">
        <f>"$OSHT,"&amp;I31</f>
        <v>$OSHT,30</v>
      </c>
      <c r="L31" s="1" t="s">
        <v>44</v>
      </c>
      <c r="M31" s="1">
        <v>3</v>
      </c>
    </row>
    <row r="32" spans="1:13">
      <c r="C32" s="1" t="s">
        <v>40</v>
      </c>
      <c r="I32" s="6">
        <v>120</v>
      </c>
      <c r="J32" s="1" t="s">
        <v>9</v>
      </c>
      <c r="K32" s="21" t="str">
        <f>"$OSIT,"&amp;I32</f>
        <v>$OSIT,120</v>
      </c>
      <c r="L32" s="1" t="s">
        <v>45</v>
      </c>
      <c r="M32" s="1">
        <v>4</v>
      </c>
    </row>
    <row r="33" spans="1:19">
      <c r="C33" s="1" t="s">
        <v>41</v>
      </c>
      <c r="H33" s="22" t="s">
        <v>42</v>
      </c>
      <c r="I33" s="22"/>
      <c r="K33" s="21" t="str">
        <f>"$IGNM,"&amp;VLOOKUP(H33,L29:M32,2,0)&amp;","&amp;VLOOKUP(E34,L33:M34,2,0)</f>
        <v>$IGNM,1,0</v>
      </c>
      <c r="L33" s="1" t="s">
        <v>47</v>
      </c>
      <c r="M33" s="1">
        <v>0</v>
      </c>
    </row>
    <row r="34" spans="1:19">
      <c r="C34" s="1" t="s">
        <v>46</v>
      </c>
      <c r="E34" s="6" t="s">
        <v>47</v>
      </c>
      <c r="F34" s="1" t="s">
        <v>49</v>
      </c>
      <c r="I34" s="8"/>
      <c r="K34" s="10"/>
      <c r="L34" s="1" t="s">
        <v>48</v>
      </c>
      <c r="M34" s="1">
        <v>1</v>
      </c>
    </row>
    <row r="35" spans="1:19">
      <c r="C35" s="1" t="s">
        <v>50</v>
      </c>
      <c r="I35" s="6">
        <v>120</v>
      </c>
      <c r="J35" s="1" t="s">
        <v>9</v>
      </c>
      <c r="K35" s="21" t="str">
        <f>"$STPD,"&amp;I35</f>
        <v>$STPD,120</v>
      </c>
    </row>
    <row r="36" spans="1:19">
      <c r="K36" s="10"/>
    </row>
    <row r="37" spans="1:19">
      <c r="K37" s="10"/>
    </row>
    <row r="38" spans="1:19">
      <c r="A38" s="4" t="s">
        <v>51</v>
      </c>
      <c r="C38" s="1" t="s">
        <v>52</v>
      </c>
      <c r="G38" s="22" t="s">
        <v>58</v>
      </c>
      <c r="H38" s="22"/>
      <c r="K38" s="21" t="str">
        <f>"$DRIC,"&amp;VLOOKUP(G38,L38:N42,2,0)&amp;","&amp;VLOOKUP(G39,N38:O39,2,0)&amp;","&amp;VLOOKUP(G40,N38:O39,2,0)&amp;","&amp;VLOOKUP(G41,P38:Q39,2,0)&amp;","&amp;VLOOKUP(G42,N38:O39,2,0)&amp;","&amp;I43&amp;","&amp;I44&amp;","&amp;VLOOKUP(I45,R38:S39,2,0)&amp;","&amp;VLOOKUP(I46,N38:O39,2,0)&amp;","&amp;VLOOKUP(I47,N38:O39,2,0)&amp;","&amp;I48&amp;","&amp;VLOOKUP(I49,N38:O39,2,0)&amp;","&amp;VLOOKUP(I50,N38:O39,2,0)</f>
        <v>$DRIC,1,1,0,0,1,7200,30,0,1,1,0,1,1</v>
      </c>
      <c r="L38" s="1" t="s">
        <v>57</v>
      </c>
      <c r="M38" s="1">
        <v>0</v>
      </c>
      <c r="N38" s="1" t="s">
        <v>29</v>
      </c>
      <c r="O38" s="1">
        <v>0</v>
      </c>
      <c r="P38" s="1" t="s">
        <v>56</v>
      </c>
      <c r="Q38" s="2">
        <v>0</v>
      </c>
      <c r="R38" s="1" t="s">
        <v>68</v>
      </c>
      <c r="S38" s="1">
        <v>0</v>
      </c>
    </row>
    <row r="39" spans="1:19">
      <c r="C39" s="1" t="s">
        <v>53</v>
      </c>
      <c r="G39" s="22" t="s">
        <v>28</v>
      </c>
      <c r="H39" s="22"/>
      <c r="K39" s="10"/>
      <c r="L39" s="1" t="s">
        <v>58</v>
      </c>
      <c r="M39" s="1">
        <v>1</v>
      </c>
      <c r="N39" s="1" t="s">
        <v>28</v>
      </c>
      <c r="O39" s="1">
        <v>1</v>
      </c>
      <c r="P39" s="1" t="s">
        <v>62</v>
      </c>
      <c r="Q39" s="2">
        <v>1</v>
      </c>
      <c r="R39" s="1" t="s">
        <v>67</v>
      </c>
      <c r="S39" s="1">
        <v>1</v>
      </c>
    </row>
    <row r="40" spans="1:19">
      <c r="C40" s="1" t="s">
        <v>54</v>
      </c>
      <c r="G40" s="22" t="s">
        <v>29</v>
      </c>
      <c r="H40" s="22"/>
      <c r="K40" s="10"/>
      <c r="L40" s="1" t="s">
        <v>59</v>
      </c>
      <c r="M40" s="1">
        <v>2</v>
      </c>
    </row>
    <row r="41" spans="1:19">
      <c r="C41" s="1" t="s">
        <v>55</v>
      </c>
      <c r="G41" s="24" t="s">
        <v>56</v>
      </c>
      <c r="H41" s="24"/>
      <c r="I41" s="24"/>
      <c r="K41" s="10"/>
      <c r="L41" s="1" t="s">
        <v>60</v>
      </c>
      <c r="M41" s="1">
        <v>3</v>
      </c>
    </row>
    <row r="42" spans="1:19">
      <c r="C42" s="1" t="s">
        <v>63</v>
      </c>
      <c r="G42" s="22" t="s">
        <v>28</v>
      </c>
      <c r="H42" s="22"/>
      <c r="K42" s="10"/>
      <c r="L42" s="1" t="s">
        <v>61</v>
      </c>
      <c r="M42" s="1">
        <v>4</v>
      </c>
    </row>
    <row r="43" spans="1:19">
      <c r="C43" s="25" t="s">
        <v>64</v>
      </c>
      <c r="D43" s="25"/>
      <c r="E43" s="25"/>
      <c r="F43" s="25"/>
      <c r="G43" s="25"/>
      <c r="H43" s="25"/>
      <c r="I43" s="6">
        <v>7200</v>
      </c>
      <c r="J43" s="12" t="s">
        <v>9</v>
      </c>
      <c r="K43" s="10"/>
    </row>
    <row r="44" spans="1:19">
      <c r="C44" s="25" t="s">
        <v>65</v>
      </c>
      <c r="D44" s="25"/>
      <c r="E44" s="25"/>
      <c r="F44" s="25"/>
      <c r="G44" s="25"/>
      <c r="H44" s="25"/>
      <c r="I44" s="6">
        <v>30</v>
      </c>
      <c r="J44" s="12" t="s">
        <v>9</v>
      </c>
      <c r="K44" s="10"/>
    </row>
    <row r="45" spans="1:19">
      <c r="C45" s="12" t="s">
        <v>66</v>
      </c>
      <c r="D45" s="12"/>
      <c r="E45" s="12"/>
      <c r="F45" s="12"/>
      <c r="G45" s="12"/>
      <c r="H45" s="12"/>
      <c r="I45" s="6" t="s">
        <v>68</v>
      </c>
      <c r="J45" s="12"/>
      <c r="K45" s="10"/>
    </row>
    <row r="46" spans="1:19">
      <c r="C46" s="1" t="s">
        <v>69</v>
      </c>
      <c r="I46" s="22" t="s">
        <v>28</v>
      </c>
      <c r="J46" s="22"/>
      <c r="K46" s="10"/>
    </row>
    <row r="47" spans="1:19">
      <c r="C47" s="1" t="s">
        <v>70</v>
      </c>
      <c r="I47" s="22" t="s">
        <v>28</v>
      </c>
      <c r="J47" s="22"/>
      <c r="K47" s="10"/>
    </row>
    <row r="48" spans="1:19">
      <c r="C48" s="25" t="s">
        <v>71</v>
      </c>
      <c r="D48" s="25"/>
      <c r="E48" s="25"/>
      <c r="F48" s="25"/>
      <c r="G48" s="25"/>
      <c r="H48" s="25"/>
      <c r="I48" s="6">
        <v>0</v>
      </c>
      <c r="J48" s="8" t="s">
        <v>9</v>
      </c>
      <c r="K48" s="10"/>
    </row>
    <row r="49" spans="1:21">
      <c r="C49" s="1" t="s">
        <v>72</v>
      </c>
      <c r="I49" s="22" t="s">
        <v>28</v>
      </c>
      <c r="J49" s="22"/>
      <c r="K49" s="10"/>
    </row>
    <row r="50" spans="1:21">
      <c r="C50" s="1" t="s">
        <v>73</v>
      </c>
      <c r="I50" s="22" t="s">
        <v>28</v>
      </c>
      <c r="J50" s="22"/>
      <c r="K50" s="10"/>
    </row>
    <row r="51" spans="1:21">
      <c r="K51" s="10"/>
    </row>
    <row r="52" spans="1:21">
      <c r="K52" s="10"/>
    </row>
    <row r="53" spans="1:21">
      <c r="A53" s="4" t="s">
        <v>79</v>
      </c>
      <c r="C53" s="1" t="s">
        <v>78</v>
      </c>
      <c r="I53" s="6" t="s">
        <v>74</v>
      </c>
      <c r="K53" s="21" t="str">
        <f>"$ORTN,"&amp;VLOOKUP(I53,L53:M56,2,0)</f>
        <v>$ORTN,1</v>
      </c>
      <c r="L53" s="1" t="s">
        <v>74</v>
      </c>
      <c r="M53" s="1">
        <v>1</v>
      </c>
    </row>
    <row r="54" spans="1:21">
      <c r="K54" s="10"/>
      <c r="L54" s="1" t="s">
        <v>75</v>
      </c>
      <c r="M54" s="1">
        <v>2</v>
      </c>
    </row>
    <row r="55" spans="1:21">
      <c r="K55" s="10"/>
      <c r="L55" s="1" t="s">
        <v>76</v>
      </c>
      <c r="M55" s="1">
        <v>3</v>
      </c>
    </row>
    <row r="56" spans="1:21">
      <c r="K56" s="10"/>
      <c r="L56" s="1" t="s">
        <v>77</v>
      </c>
      <c r="M56" s="1">
        <v>4</v>
      </c>
    </row>
    <row r="57" spans="1:21">
      <c r="K57" s="10"/>
    </row>
    <row r="58" spans="1:21">
      <c r="A58" s="4" t="s">
        <v>80</v>
      </c>
      <c r="C58" s="1" t="s">
        <v>81</v>
      </c>
      <c r="F58" s="24" t="s">
        <v>84</v>
      </c>
      <c r="G58" s="24"/>
      <c r="H58" s="24"/>
      <c r="I58" s="13"/>
      <c r="K58" s="21" t="str">
        <f>"$PTDM,"&amp;VLOOKUP(F58,L58:M61,2,0)&amp;","&amp;F59&amp;","&amp;I60&amp;","&amp;I61&amp;","&amp;VLOOKUP(F62,O58:P61,2,0)&amp;","&amp;VLOOKUP(I63,Q58:R59,2,0)&amp;","&amp;H64&amp;","&amp;VLOOKUP(G65,T58:U59,2,0)&amp;","&amp;VLOOKUP(G66,O63:P66,2,0)&amp;","&amp;VLOOKUP(F67,Q63:R64,2,0)&amp;","&amp;VLOOKUP(F68,N38:O39,2,0)&amp;","&amp;I69</f>
        <v>$PTDM,3,115200,100,1024,0,0,2,1,3,0,0,0</v>
      </c>
      <c r="L58" s="1" t="s">
        <v>29</v>
      </c>
      <c r="M58" s="1">
        <v>0</v>
      </c>
      <c r="N58" s="1">
        <v>1200</v>
      </c>
      <c r="O58" s="1" t="s">
        <v>90</v>
      </c>
      <c r="P58" s="1">
        <v>0</v>
      </c>
      <c r="Q58" s="2" t="s">
        <v>97</v>
      </c>
      <c r="R58" s="1">
        <v>0</v>
      </c>
      <c r="S58" s="1">
        <v>1</v>
      </c>
      <c r="T58" s="1" t="s">
        <v>101</v>
      </c>
      <c r="U58" s="2">
        <v>0</v>
      </c>
    </row>
    <row r="59" spans="1:21">
      <c r="C59" s="1" t="s">
        <v>85</v>
      </c>
      <c r="F59" s="14">
        <v>115200</v>
      </c>
      <c r="K59" s="10"/>
      <c r="L59" s="1" t="s">
        <v>82</v>
      </c>
      <c r="M59" s="1">
        <v>1</v>
      </c>
      <c r="N59" s="1">
        <v>2400</v>
      </c>
      <c r="O59" s="1" t="s">
        <v>92</v>
      </c>
      <c r="P59" s="1">
        <v>1</v>
      </c>
      <c r="Q59" s="2" t="s">
        <v>98</v>
      </c>
      <c r="R59" s="1">
        <v>1</v>
      </c>
      <c r="S59" s="1">
        <v>2</v>
      </c>
      <c r="T59" s="1" t="s">
        <v>102</v>
      </c>
      <c r="U59" s="2">
        <v>1</v>
      </c>
    </row>
    <row r="60" spans="1:21">
      <c r="C60" s="1" t="s">
        <v>86</v>
      </c>
      <c r="I60" s="15">
        <v>100</v>
      </c>
      <c r="J60" s="1" t="s">
        <v>87</v>
      </c>
      <c r="K60" s="10"/>
      <c r="L60" s="1" t="s">
        <v>83</v>
      </c>
      <c r="M60" s="1">
        <v>2</v>
      </c>
      <c r="N60" s="1">
        <v>4800</v>
      </c>
      <c r="O60" s="1" t="s">
        <v>93</v>
      </c>
      <c r="P60" s="1">
        <v>2</v>
      </c>
    </row>
    <row r="61" spans="1:21">
      <c r="C61" s="1" t="s">
        <v>88</v>
      </c>
      <c r="I61" s="15">
        <v>1024</v>
      </c>
      <c r="J61" s="1" t="s">
        <v>89</v>
      </c>
      <c r="K61" s="10"/>
      <c r="L61" s="1" t="s">
        <v>84</v>
      </c>
      <c r="M61" s="1">
        <v>3</v>
      </c>
      <c r="N61" s="1">
        <v>9600</v>
      </c>
      <c r="O61" s="1" t="s">
        <v>94</v>
      </c>
      <c r="P61" s="1">
        <v>3</v>
      </c>
    </row>
    <row r="62" spans="1:21">
      <c r="C62" s="1" t="s">
        <v>91</v>
      </c>
      <c r="F62" s="24" t="s">
        <v>90</v>
      </c>
      <c r="G62" s="24"/>
      <c r="H62" s="1" t="s">
        <v>95</v>
      </c>
      <c r="K62" s="10"/>
      <c r="N62" s="1">
        <v>14400</v>
      </c>
    </row>
    <row r="63" spans="1:21">
      <c r="C63" s="1" t="s">
        <v>96</v>
      </c>
      <c r="I63" s="24" t="s">
        <v>97</v>
      </c>
      <c r="J63" s="24"/>
      <c r="K63" s="10"/>
      <c r="N63" s="1">
        <v>19200</v>
      </c>
      <c r="O63" s="1" t="s">
        <v>104</v>
      </c>
      <c r="P63" s="1">
        <v>0</v>
      </c>
      <c r="Q63" s="2" t="s">
        <v>109</v>
      </c>
      <c r="R63" s="1">
        <v>0</v>
      </c>
    </row>
    <row r="64" spans="1:21">
      <c r="C64" s="1" t="s">
        <v>99</v>
      </c>
      <c r="H64" s="6">
        <v>2</v>
      </c>
      <c r="K64" s="10"/>
      <c r="N64" s="1">
        <v>38400</v>
      </c>
      <c r="O64" s="1" t="s">
        <v>105</v>
      </c>
      <c r="P64" s="1">
        <v>1</v>
      </c>
      <c r="Q64" s="2" t="s">
        <v>110</v>
      </c>
      <c r="R64" s="1">
        <v>1</v>
      </c>
    </row>
    <row r="65" spans="1:16">
      <c r="C65" s="1" t="s">
        <v>100</v>
      </c>
      <c r="G65" s="22" t="s">
        <v>102</v>
      </c>
      <c r="H65" s="22"/>
      <c r="K65" s="10"/>
      <c r="N65" s="1">
        <v>57600</v>
      </c>
      <c r="O65" s="1" t="s">
        <v>106</v>
      </c>
      <c r="P65" s="1">
        <v>2</v>
      </c>
    </row>
    <row r="66" spans="1:16">
      <c r="C66" s="1" t="s">
        <v>103</v>
      </c>
      <c r="G66" s="24" t="s">
        <v>107</v>
      </c>
      <c r="H66" s="24"/>
      <c r="I66" s="24"/>
      <c r="K66" s="10"/>
      <c r="N66" s="1">
        <v>115200</v>
      </c>
      <c r="O66" s="1" t="s">
        <v>107</v>
      </c>
      <c r="P66" s="1">
        <v>3</v>
      </c>
    </row>
    <row r="67" spans="1:16">
      <c r="C67" s="1" t="s">
        <v>108</v>
      </c>
      <c r="F67" s="24" t="s">
        <v>109</v>
      </c>
      <c r="G67" s="24"/>
      <c r="K67" s="10"/>
    </row>
    <row r="68" spans="1:16">
      <c r="C68" s="1" t="s">
        <v>111</v>
      </c>
      <c r="F68" s="16" t="s">
        <v>29</v>
      </c>
      <c r="K68" s="10"/>
    </row>
    <row r="69" spans="1:16">
      <c r="C69" s="25" t="s">
        <v>112</v>
      </c>
      <c r="D69" s="25"/>
      <c r="E69" s="25"/>
      <c r="F69" s="25"/>
      <c r="G69" s="25"/>
      <c r="H69" s="25"/>
      <c r="I69" s="6">
        <v>0</v>
      </c>
      <c r="J69" s="1" t="s">
        <v>9</v>
      </c>
      <c r="K69" s="10"/>
    </row>
    <row r="70" spans="1:16">
      <c r="I70" s="2"/>
      <c r="K70" s="10"/>
    </row>
    <row r="71" spans="1:16">
      <c r="C71" s="1" t="s">
        <v>114</v>
      </c>
      <c r="H71" s="22" t="s">
        <v>115</v>
      </c>
      <c r="I71" s="22"/>
      <c r="J71" s="22"/>
      <c r="K71" s="20" t="str">
        <f>"$IPAD2,"&amp;H71</f>
        <v>$IPAD2,ptdm_server_hostname.com</v>
      </c>
    </row>
    <row r="72" spans="1:16">
      <c r="C72" s="1" t="s">
        <v>18</v>
      </c>
      <c r="E72" s="6">
        <v>91</v>
      </c>
      <c r="K72" s="20" t="str">
        <f>"$PORT2,"&amp;E72</f>
        <v>$PORT2,91</v>
      </c>
    </row>
    <row r="73" spans="1:16">
      <c r="K73" s="10"/>
    </row>
    <row r="74" spans="1:16">
      <c r="K74" s="10"/>
    </row>
    <row r="75" spans="1:16">
      <c r="A75" s="4" t="s">
        <v>144</v>
      </c>
      <c r="C75" s="25" t="s">
        <v>118</v>
      </c>
      <c r="D75" s="25"/>
      <c r="E75" s="25"/>
      <c r="F75" s="25"/>
      <c r="G75" s="25"/>
      <c r="H75" s="6">
        <v>250</v>
      </c>
      <c r="I75" s="12" t="s">
        <v>116</v>
      </c>
      <c r="K75" s="21" t="str">
        <f>"$CANC,0,"&amp;VLOOKUP(H75,M75:N77,2,0)&amp;",1,1"</f>
        <v>$CANC,0,1,1,1</v>
      </c>
      <c r="M75" s="1">
        <v>125</v>
      </c>
      <c r="N75" s="1">
        <v>0</v>
      </c>
    </row>
    <row r="76" spans="1:16">
      <c r="C76" s="25" t="s">
        <v>117</v>
      </c>
      <c r="D76" s="25"/>
      <c r="E76" s="25"/>
      <c r="F76" s="25"/>
      <c r="G76" s="25"/>
      <c r="H76" s="6">
        <v>500</v>
      </c>
      <c r="I76" s="12" t="s">
        <v>116</v>
      </c>
      <c r="K76" s="21" t="str">
        <f>"$CANC,0,"&amp;VLOOKUP(H76,M75:N77,2,0)&amp;",0,2"</f>
        <v>$CANC,0,2,0,2</v>
      </c>
      <c r="M76" s="1">
        <v>250</v>
      </c>
      <c r="N76" s="1">
        <v>1</v>
      </c>
    </row>
    <row r="77" spans="1:16">
      <c r="C77" s="25" t="s">
        <v>179</v>
      </c>
      <c r="D77" s="25"/>
      <c r="E77" s="25"/>
      <c r="F77" s="25"/>
      <c r="G77" s="25"/>
      <c r="H77" s="25"/>
      <c r="I77" s="25"/>
      <c r="J77" s="25"/>
      <c r="K77" s="10" t="s">
        <v>180</v>
      </c>
      <c r="M77" s="1">
        <v>500</v>
      </c>
      <c r="N77" s="1">
        <v>2</v>
      </c>
    </row>
    <row r="78" spans="1:16">
      <c r="C78" s="12" t="s">
        <v>119</v>
      </c>
      <c r="D78" s="12"/>
      <c r="E78" s="12"/>
      <c r="F78" s="12" t="s">
        <v>120</v>
      </c>
      <c r="G78" s="12"/>
      <c r="H78" s="12"/>
      <c r="I78" s="17" t="s">
        <v>132</v>
      </c>
      <c r="J78" s="12"/>
      <c r="K78" s="21" t="str">
        <f>"$CANM,"&amp;VLOOKUP(I78,M79:N80,2,0)+VLOOKUP(I79,M81:N82,2,0)+VLOOKUP(I80,M83:N84,2,0)+VLOOKUP(I81,M85:N86,2,0)+VLOOKUP(I82,M87:N88,2,0)+VLOOKUP(I83,M89:N90,2,0)+VLOOKUP(I84,M91:N92,2,0)+VLOOKUP(I85,M93:N94,2,0)+VLOOKUP(I86,M95:N96,2,0)+VLOOKUP(I87,M97:N98,2,0)+VLOOKUP(I88,M99:N100,2,0)</f>
        <v>$CANM,2044</v>
      </c>
    </row>
    <row r="79" spans="1:16">
      <c r="F79" s="1" t="s">
        <v>121</v>
      </c>
      <c r="I79" s="17" t="s">
        <v>131</v>
      </c>
      <c r="K79" s="10"/>
      <c r="M79" s="1" t="s">
        <v>131</v>
      </c>
      <c r="N79" s="1">
        <v>1</v>
      </c>
    </row>
    <row r="80" spans="1:16">
      <c r="F80" s="1" t="s">
        <v>122</v>
      </c>
      <c r="I80" s="17" t="s">
        <v>131</v>
      </c>
      <c r="K80" s="10"/>
      <c r="M80" s="1" t="s">
        <v>132</v>
      </c>
      <c r="N80" s="1">
        <v>0</v>
      </c>
    </row>
    <row r="81" spans="3:14">
      <c r="F81" s="1" t="s">
        <v>123</v>
      </c>
      <c r="I81" s="17" t="s">
        <v>131</v>
      </c>
      <c r="K81" s="10"/>
      <c r="M81" s="1" t="s">
        <v>131</v>
      </c>
      <c r="N81" s="1">
        <v>2</v>
      </c>
    </row>
    <row r="82" spans="3:14">
      <c r="F82" s="1" t="s">
        <v>124</v>
      </c>
      <c r="I82" s="17" t="s">
        <v>131</v>
      </c>
      <c r="K82" s="10"/>
      <c r="M82" s="1" t="s">
        <v>132</v>
      </c>
      <c r="N82" s="1">
        <v>0</v>
      </c>
    </row>
    <row r="83" spans="3:14">
      <c r="F83" s="1" t="s">
        <v>125</v>
      </c>
      <c r="I83" s="17" t="s">
        <v>131</v>
      </c>
      <c r="K83" s="10"/>
      <c r="M83" s="1" t="s">
        <v>131</v>
      </c>
      <c r="N83" s="1">
        <v>4</v>
      </c>
    </row>
    <row r="84" spans="3:14">
      <c r="F84" s="1" t="s">
        <v>126</v>
      </c>
      <c r="I84" s="17" t="s">
        <v>131</v>
      </c>
      <c r="K84" s="10"/>
      <c r="M84" s="1" t="s">
        <v>132</v>
      </c>
      <c r="N84" s="1">
        <v>0</v>
      </c>
    </row>
    <row r="85" spans="3:14">
      <c r="F85" s="1" t="s">
        <v>127</v>
      </c>
      <c r="I85" s="17" t="s">
        <v>131</v>
      </c>
      <c r="K85" s="10"/>
      <c r="M85" s="1" t="s">
        <v>131</v>
      </c>
      <c r="N85" s="1">
        <v>8</v>
      </c>
    </row>
    <row r="86" spans="3:14">
      <c r="F86" s="1" t="s">
        <v>128</v>
      </c>
      <c r="I86" s="17" t="s">
        <v>131</v>
      </c>
      <c r="K86" s="10"/>
      <c r="M86" s="1" t="s">
        <v>132</v>
      </c>
      <c r="N86" s="1">
        <v>0</v>
      </c>
    </row>
    <row r="87" spans="3:14">
      <c r="F87" s="1" t="s">
        <v>129</v>
      </c>
      <c r="I87" s="17" t="s">
        <v>131</v>
      </c>
      <c r="K87" s="10"/>
      <c r="M87" s="1" t="s">
        <v>131</v>
      </c>
      <c r="N87" s="1">
        <v>16</v>
      </c>
    </row>
    <row r="88" spans="3:14">
      <c r="F88" s="1" t="s">
        <v>130</v>
      </c>
      <c r="I88" s="17" t="s">
        <v>131</v>
      </c>
      <c r="K88" s="10"/>
      <c r="M88" s="1" t="s">
        <v>132</v>
      </c>
      <c r="N88" s="1">
        <v>0</v>
      </c>
    </row>
    <row r="89" spans="3:14">
      <c r="K89" s="10"/>
      <c r="M89" s="1" t="s">
        <v>131</v>
      </c>
      <c r="N89" s="1">
        <v>32</v>
      </c>
    </row>
    <row r="90" spans="3:14">
      <c r="C90" s="1" t="s">
        <v>133</v>
      </c>
      <c r="H90" s="6">
        <v>0</v>
      </c>
      <c r="I90" s="18" t="s">
        <v>134</v>
      </c>
      <c r="K90" s="21" t="str">
        <f>"$ELEC,"&amp;H90&amp;","&amp;F91&amp;","&amp;G92</f>
        <v>$ELEC,0,10,60</v>
      </c>
      <c r="M90" s="1" t="s">
        <v>132</v>
      </c>
      <c r="N90" s="1">
        <v>0</v>
      </c>
    </row>
    <row r="91" spans="3:14">
      <c r="C91" s="1" t="s">
        <v>135</v>
      </c>
      <c r="F91" s="6">
        <v>10</v>
      </c>
      <c r="G91" s="1" t="s">
        <v>136</v>
      </c>
      <c r="K91" s="10"/>
      <c r="M91" s="1" t="s">
        <v>131</v>
      </c>
      <c r="N91" s="1">
        <v>64</v>
      </c>
    </row>
    <row r="92" spans="3:14">
      <c r="C92" s="1" t="s">
        <v>137</v>
      </c>
      <c r="G92" s="6">
        <v>60</v>
      </c>
      <c r="H92" s="1" t="s">
        <v>138</v>
      </c>
      <c r="K92" s="10"/>
      <c r="M92" s="1" t="s">
        <v>132</v>
      </c>
      <c r="N92" s="1">
        <v>0</v>
      </c>
    </row>
    <row r="93" spans="3:14">
      <c r="K93" s="10"/>
      <c r="M93" s="1" t="s">
        <v>131</v>
      </c>
      <c r="N93" s="1">
        <v>128</v>
      </c>
    </row>
    <row r="94" spans="3:14">
      <c r="C94" s="1" t="s">
        <v>139</v>
      </c>
      <c r="H94" s="6">
        <v>6500</v>
      </c>
      <c r="I94" s="18" t="s">
        <v>140</v>
      </c>
      <c r="K94" s="21" t="str">
        <f>"$RPEC,"&amp;ROUND(H94/32,0)&amp;","&amp;F95&amp;","&amp;G96</f>
        <v>$RPEC,203,10,60</v>
      </c>
      <c r="M94" s="1" t="s">
        <v>132</v>
      </c>
      <c r="N94" s="1">
        <v>0</v>
      </c>
    </row>
    <row r="95" spans="3:14">
      <c r="C95" s="1" t="s">
        <v>135</v>
      </c>
      <c r="F95" s="6">
        <v>10</v>
      </c>
      <c r="G95" s="1" t="s">
        <v>136</v>
      </c>
      <c r="K95" s="10"/>
      <c r="M95" s="1" t="s">
        <v>131</v>
      </c>
      <c r="N95" s="1">
        <v>254</v>
      </c>
    </row>
    <row r="96" spans="3:14">
      <c r="C96" s="1" t="s">
        <v>142</v>
      </c>
      <c r="G96" s="6">
        <v>60</v>
      </c>
      <c r="H96" s="1" t="s">
        <v>138</v>
      </c>
      <c r="K96" s="10"/>
      <c r="M96" s="1" t="s">
        <v>132</v>
      </c>
      <c r="N96" s="1">
        <v>0</v>
      </c>
    </row>
    <row r="97" spans="1:14">
      <c r="K97" s="10"/>
      <c r="M97" s="1" t="s">
        <v>131</v>
      </c>
      <c r="N97" s="1">
        <v>512</v>
      </c>
    </row>
    <row r="98" spans="1:14">
      <c r="C98" s="1" t="s">
        <v>141</v>
      </c>
      <c r="H98" s="6">
        <v>75</v>
      </c>
      <c r="I98" s="18" t="s">
        <v>134</v>
      </c>
      <c r="K98" s="21" t="str">
        <f>"$TPEC,"&amp;H98&amp;","&amp;F99&amp;","&amp;G100</f>
        <v>$TPEC,75,10,60</v>
      </c>
      <c r="M98" s="1" t="s">
        <v>132</v>
      </c>
      <c r="N98" s="1">
        <v>0</v>
      </c>
    </row>
    <row r="99" spans="1:14">
      <c r="C99" s="1" t="s">
        <v>135</v>
      </c>
      <c r="F99" s="6">
        <v>10</v>
      </c>
      <c r="G99" s="1" t="s">
        <v>136</v>
      </c>
      <c r="K99" s="10"/>
      <c r="M99" s="1" t="s">
        <v>131</v>
      </c>
      <c r="N99" s="1">
        <v>1024</v>
      </c>
    </row>
    <row r="100" spans="1:14">
      <c r="C100" s="1" t="s">
        <v>143</v>
      </c>
      <c r="G100" s="6">
        <v>60</v>
      </c>
      <c r="H100" s="1" t="s">
        <v>138</v>
      </c>
      <c r="K100" s="10"/>
      <c r="M100" s="1" t="s">
        <v>132</v>
      </c>
      <c r="N100" s="1">
        <v>0</v>
      </c>
    </row>
    <row r="101" spans="1:14">
      <c r="K101" s="10"/>
    </row>
    <row r="102" spans="1:14">
      <c r="K102" s="10"/>
    </row>
    <row r="103" spans="1:14">
      <c r="A103" s="4" t="s">
        <v>145</v>
      </c>
      <c r="C103" s="1" t="s">
        <v>146</v>
      </c>
      <c r="E103" s="6" t="s">
        <v>28</v>
      </c>
      <c r="K103" s="21" t="str">
        <f>"$ROAM,"&amp;VLOOKUP(E103,N38:O39,2,0)</f>
        <v>$ROAM,1</v>
      </c>
    </row>
    <row r="104" spans="1:14">
      <c r="K104" s="10"/>
    </row>
    <row r="105" spans="1:14">
      <c r="A105" s="4" t="s">
        <v>147</v>
      </c>
      <c r="C105" s="1" t="s">
        <v>148</v>
      </c>
      <c r="H105" s="6">
        <v>20</v>
      </c>
      <c r="I105" s="1" t="s">
        <v>149</v>
      </c>
      <c r="K105" s="21" t="str">
        <f>"$SMSL,"&amp;H105</f>
        <v>$SMSL,20</v>
      </c>
    </row>
    <row r="106" spans="1:14">
      <c r="K106" s="10"/>
    </row>
    <row r="107" spans="1:14">
      <c r="A107" s="4" t="s">
        <v>150</v>
      </c>
      <c r="C107" s="1" t="s">
        <v>151</v>
      </c>
      <c r="I107" s="6">
        <v>50</v>
      </c>
      <c r="J107" s="1" t="s">
        <v>152</v>
      </c>
      <c r="K107" s="21" t="str">
        <f>"$GPSQ,"&amp;(100-I107)&amp;","&amp;E108&amp;","&amp;I108</f>
        <v>$GPSQ,50,4,5</v>
      </c>
    </row>
    <row r="108" spans="1:14">
      <c r="C108" s="1" t="s">
        <v>156</v>
      </c>
      <c r="E108" s="6">
        <v>4</v>
      </c>
      <c r="F108" s="1" t="s">
        <v>153</v>
      </c>
      <c r="I108" s="6">
        <v>5</v>
      </c>
      <c r="J108" s="1" t="s">
        <v>154</v>
      </c>
      <c r="K108" s="10"/>
    </row>
    <row r="109" spans="1:14">
      <c r="C109" s="1" t="s">
        <v>155</v>
      </c>
      <c r="K109" s="10"/>
    </row>
    <row r="110" spans="1:14">
      <c r="K110" s="10"/>
    </row>
    <row r="111" spans="1:14">
      <c r="A111" s="4" t="s">
        <v>157</v>
      </c>
      <c r="C111" s="1" t="s">
        <v>158</v>
      </c>
      <c r="H111" s="22" t="s">
        <v>161</v>
      </c>
      <c r="I111" s="22"/>
      <c r="K111" s="21" t="str">
        <f>"$DBUG,"&amp;VLOOKUP(H111,M111:N115,2,0)</f>
        <v>$DBUG,2</v>
      </c>
      <c r="M111" s="1" t="s">
        <v>159</v>
      </c>
      <c r="N111" s="1">
        <v>0</v>
      </c>
    </row>
    <row r="112" spans="1:14">
      <c r="K112" s="10"/>
      <c r="M112" s="1" t="s">
        <v>160</v>
      </c>
      <c r="N112" s="1">
        <v>1</v>
      </c>
    </row>
    <row r="113" spans="1:15">
      <c r="A113" s="4" t="s">
        <v>164</v>
      </c>
      <c r="C113" s="1" t="s">
        <v>165</v>
      </c>
      <c r="H113" s="6" t="s">
        <v>28</v>
      </c>
      <c r="K113" s="21" t="str">
        <f>"$NMEA,"&amp;VLOOKUP(H113,N38:O39,2,0)</f>
        <v>$NMEA,1</v>
      </c>
      <c r="M113" s="1" t="s">
        <v>161</v>
      </c>
      <c r="N113" s="1">
        <v>2</v>
      </c>
    </row>
    <row r="114" spans="1:15">
      <c r="K114" s="10"/>
      <c r="M114" s="1" t="s">
        <v>162</v>
      </c>
      <c r="N114" s="1">
        <v>3</v>
      </c>
    </row>
    <row r="115" spans="1:15">
      <c r="A115" s="4" t="s">
        <v>166</v>
      </c>
      <c r="C115" s="25" t="s">
        <v>167</v>
      </c>
      <c r="D115" s="25"/>
      <c r="E115" s="25"/>
      <c r="F115" s="25"/>
      <c r="G115" s="25"/>
      <c r="H115" s="6">
        <v>0</v>
      </c>
      <c r="K115" s="21" t="str">
        <f>"$PASS,"&amp;H115</f>
        <v>$PASS,0</v>
      </c>
      <c r="M115" s="1" t="s">
        <v>163</v>
      </c>
      <c r="N115" s="1">
        <v>4</v>
      </c>
    </row>
    <row r="116" spans="1:15">
      <c r="K116" s="10"/>
    </row>
    <row r="117" spans="1:15">
      <c r="A117" s="4" t="s">
        <v>168</v>
      </c>
      <c r="C117" s="1" t="s">
        <v>169</v>
      </c>
      <c r="I117" s="6">
        <v>500</v>
      </c>
      <c r="J117" s="1" t="s">
        <v>152</v>
      </c>
      <c r="K117" s="21" t="str">
        <f>"$TOWP,"&amp;I117&amp;","&amp;H118&amp;","&amp;C119&amp;","&amp;J119&amp;","&amp;D118</f>
        <v>$TOWP,500,50,10,5,30</v>
      </c>
    </row>
    <row r="118" spans="1:15">
      <c r="C118" s="1" t="s">
        <v>170</v>
      </c>
      <c r="D118" s="6">
        <v>30</v>
      </c>
      <c r="E118" s="1" t="s">
        <v>171</v>
      </c>
      <c r="H118" s="6">
        <v>50</v>
      </c>
      <c r="I118" s="1" t="s">
        <v>172</v>
      </c>
      <c r="K118" s="10"/>
    </row>
    <row r="119" spans="1:15">
      <c r="C119" s="6">
        <v>10</v>
      </c>
      <c r="D119" s="1" t="s">
        <v>173</v>
      </c>
      <c r="J119" s="6">
        <v>5</v>
      </c>
      <c r="K119" s="10"/>
    </row>
    <row r="120" spans="1:15">
      <c r="K120" s="10"/>
      <c r="M120" s="1" t="s">
        <v>177</v>
      </c>
      <c r="N120" s="19">
        <v>15</v>
      </c>
    </row>
    <row r="121" spans="1:15">
      <c r="A121" s="4" t="s">
        <v>174</v>
      </c>
      <c r="C121" s="1" t="s">
        <v>175</v>
      </c>
      <c r="I121" s="6" t="s">
        <v>178</v>
      </c>
      <c r="J121" s="1" t="s">
        <v>176</v>
      </c>
      <c r="K121" s="21" t="str">
        <f>"$MEMS,"&amp;VLOOKUP(I121,M120:N121,2,0)&amp;","&amp;DEC2HEX(INT(E122/15))&amp;","&amp;DEC2HEX(G123)&amp;","&amp;DEC2HEX(D125)&amp;","&amp;DEC2HEX(H125)</f>
        <v>$MEMS,2A,10,64,78,B4</v>
      </c>
      <c r="M121" s="1" t="s">
        <v>178</v>
      </c>
      <c r="N121" s="19" t="s">
        <v>189</v>
      </c>
    </row>
    <row r="122" spans="1:15">
      <c r="C122" s="1" t="s">
        <v>181</v>
      </c>
      <c r="E122" s="15">
        <v>250</v>
      </c>
      <c r="F122" s="1" t="s">
        <v>184</v>
      </c>
      <c r="K122" s="10"/>
    </row>
    <row r="123" spans="1:15">
      <c r="C123" s="1" t="s">
        <v>183</v>
      </c>
      <c r="G123" s="6">
        <v>100</v>
      </c>
      <c r="H123" s="1" t="s">
        <v>182</v>
      </c>
      <c r="K123" s="10"/>
    </row>
    <row r="124" spans="1:15">
      <c r="C124" s="1" t="s">
        <v>185</v>
      </c>
      <c r="K124" s="10"/>
    </row>
    <row r="125" spans="1:15">
      <c r="C125" s="1" t="s">
        <v>186</v>
      </c>
      <c r="D125" s="6">
        <v>120</v>
      </c>
      <c r="E125" s="1" t="s">
        <v>187</v>
      </c>
      <c r="H125" s="6">
        <v>180</v>
      </c>
      <c r="I125" s="1" t="s">
        <v>188</v>
      </c>
      <c r="K125" s="10"/>
    </row>
    <row r="126" spans="1:15">
      <c r="K126" s="10"/>
    </row>
    <row r="127" spans="1:15">
      <c r="A127" s="4" t="s">
        <v>190</v>
      </c>
      <c r="C127" s="1" t="s">
        <v>191</v>
      </c>
      <c r="K127" s="10" t="str">
        <f>"$REPL,"&amp;O155</f>
        <v>$REPL,134217727</v>
      </c>
    </row>
    <row r="128" spans="1:15">
      <c r="C128" s="1" t="s">
        <v>192</v>
      </c>
      <c r="F128" s="17" t="s">
        <v>131</v>
      </c>
      <c r="K128" s="10"/>
      <c r="M128" s="1">
        <f>VLOOKUP(F128,M79:N80,2,0)</f>
        <v>1</v>
      </c>
      <c r="N128" s="1">
        <v>0</v>
      </c>
      <c r="O128" s="1">
        <f>POWER(2,N128)*M128</f>
        <v>1</v>
      </c>
    </row>
    <row r="129" spans="3:15">
      <c r="C129" s="1" t="s">
        <v>193</v>
      </c>
      <c r="F129" s="17" t="s">
        <v>131</v>
      </c>
      <c r="K129" s="10"/>
      <c r="M129" s="1">
        <f>VLOOKUP(F129,M79:N80,2,0)</f>
        <v>1</v>
      </c>
      <c r="N129" s="1">
        <v>1</v>
      </c>
      <c r="O129" s="1">
        <f>POWER(2,N129)*M129</f>
        <v>2</v>
      </c>
    </row>
    <row r="130" spans="3:15">
      <c r="C130" s="1" t="s">
        <v>194</v>
      </c>
      <c r="F130" s="17" t="s">
        <v>131</v>
      </c>
      <c r="K130" s="10"/>
      <c r="M130" s="1">
        <f>VLOOKUP(F130,M79:N80,2,0)</f>
        <v>1</v>
      </c>
      <c r="N130" s="1">
        <v>2</v>
      </c>
      <c r="O130" s="1">
        <f>POWER(2,N130)*M130</f>
        <v>4</v>
      </c>
    </row>
    <row r="131" spans="3:15">
      <c r="C131" s="1" t="s">
        <v>195</v>
      </c>
      <c r="F131" s="17" t="s">
        <v>131</v>
      </c>
      <c r="K131" s="10"/>
      <c r="M131" s="1">
        <f>VLOOKUP(F131,M79:N80,2,0)</f>
        <v>1</v>
      </c>
      <c r="N131" s="1">
        <v>3</v>
      </c>
      <c r="O131" s="1">
        <f>POWER(2,N131)*M131</f>
        <v>8</v>
      </c>
    </row>
    <row r="132" spans="3:15">
      <c r="C132" s="1" t="s">
        <v>196</v>
      </c>
      <c r="F132" s="17" t="s">
        <v>131</v>
      </c>
      <c r="K132" s="10"/>
      <c r="M132" s="1">
        <f>VLOOKUP(F132,M79:N80,2,0)</f>
        <v>1</v>
      </c>
      <c r="N132" s="1">
        <v>4</v>
      </c>
      <c r="O132" s="1">
        <f>POWER(2,N132)*M132</f>
        <v>16</v>
      </c>
    </row>
    <row r="133" spans="3:15">
      <c r="C133" s="1" t="s">
        <v>197</v>
      </c>
      <c r="F133" s="17" t="s">
        <v>131</v>
      </c>
      <c r="K133" s="10"/>
      <c r="M133" s="1">
        <f>VLOOKUP(F133,M79:N80,2,0)</f>
        <v>1</v>
      </c>
      <c r="N133" s="1">
        <v>5</v>
      </c>
      <c r="O133" s="1">
        <f>POWER(2,N133)*M133</f>
        <v>32</v>
      </c>
    </row>
    <row r="134" spans="3:15">
      <c r="C134" s="1" t="s">
        <v>198</v>
      </c>
      <c r="F134" s="17" t="s">
        <v>131</v>
      </c>
      <c r="K134" s="10"/>
      <c r="M134" s="1">
        <f>VLOOKUP(F134,M79:N80,2,0)</f>
        <v>1</v>
      </c>
      <c r="N134" s="1">
        <v>6</v>
      </c>
      <c r="O134" s="1">
        <f>POWER(2,N134)*M134</f>
        <v>64</v>
      </c>
    </row>
    <row r="135" spans="3:15">
      <c r="C135" s="1" t="s">
        <v>199</v>
      </c>
      <c r="F135" s="17" t="s">
        <v>131</v>
      </c>
      <c r="K135" s="10"/>
      <c r="M135" s="1">
        <f>VLOOKUP(F135,M79:N80,2,0)</f>
        <v>1</v>
      </c>
      <c r="N135" s="1">
        <v>7</v>
      </c>
      <c r="O135" s="1">
        <f>POWER(2,N135)*M135</f>
        <v>128</v>
      </c>
    </row>
    <row r="136" spans="3:15">
      <c r="C136" s="1" t="s">
        <v>200</v>
      </c>
      <c r="F136" s="17" t="s">
        <v>131</v>
      </c>
      <c r="K136" s="10"/>
      <c r="M136" s="1">
        <f>VLOOKUP(F136,M79:N80,2,0)</f>
        <v>1</v>
      </c>
      <c r="N136" s="1">
        <v>8</v>
      </c>
      <c r="O136" s="1">
        <f>POWER(2,N136)*M136</f>
        <v>256</v>
      </c>
    </row>
    <row r="137" spans="3:15">
      <c r="C137" s="1" t="s">
        <v>211</v>
      </c>
      <c r="F137" s="17" t="s">
        <v>131</v>
      </c>
      <c r="K137" s="10"/>
      <c r="M137" s="1">
        <f>VLOOKUP(F137,M79:N80,2,0)</f>
        <v>1</v>
      </c>
      <c r="N137" s="1">
        <v>9</v>
      </c>
      <c r="O137" s="1">
        <f>POWER(2,N137)*M137</f>
        <v>512</v>
      </c>
    </row>
    <row r="138" spans="3:15">
      <c r="C138" s="1" t="s">
        <v>212</v>
      </c>
      <c r="F138" s="17" t="s">
        <v>131</v>
      </c>
      <c r="K138" s="10"/>
      <c r="M138" s="1">
        <f>VLOOKUP(F138,M79:N80,2,0)</f>
        <v>1</v>
      </c>
      <c r="N138" s="1">
        <v>10</v>
      </c>
      <c r="O138" s="1">
        <f>POWER(2,N138)*M138</f>
        <v>1024</v>
      </c>
    </row>
    <row r="139" spans="3:15">
      <c r="C139" s="1" t="s">
        <v>213</v>
      </c>
      <c r="F139" s="17" t="s">
        <v>131</v>
      </c>
      <c r="K139" s="10"/>
      <c r="M139" s="1">
        <f>VLOOKUP(F139,M79:N80,2,0)</f>
        <v>1</v>
      </c>
      <c r="N139" s="1">
        <v>11</v>
      </c>
      <c r="O139" s="1">
        <f>POWER(2,N139)*M139</f>
        <v>2048</v>
      </c>
    </row>
    <row r="140" spans="3:15">
      <c r="C140" s="1" t="s">
        <v>214</v>
      </c>
      <c r="F140" s="17" t="s">
        <v>131</v>
      </c>
      <c r="K140" s="10"/>
      <c r="M140" s="1">
        <f>VLOOKUP(F140,M79:N80,2,0)</f>
        <v>1</v>
      </c>
      <c r="N140" s="1">
        <v>12</v>
      </c>
      <c r="O140" s="1">
        <f>POWER(2,N140)*M140</f>
        <v>4096</v>
      </c>
    </row>
    <row r="141" spans="3:15">
      <c r="C141" s="1" t="s">
        <v>215</v>
      </c>
      <c r="F141" s="17" t="s">
        <v>131</v>
      </c>
      <c r="K141" s="10"/>
      <c r="M141" s="1">
        <f>VLOOKUP(F141,M79:N80,2,0)</f>
        <v>1</v>
      </c>
      <c r="N141" s="1">
        <v>13</v>
      </c>
      <c r="O141" s="1">
        <f>POWER(2,N141)*M141</f>
        <v>8192</v>
      </c>
    </row>
    <row r="142" spans="3:15">
      <c r="C142" s="1" t="s">
        <v>216</v>
      </c>
      <c r="F142" s="17" t="s">
        <v>131</v>
      </c>
      <c r="K142" s="10"/>
      <c r="M142" s="1">
        <f>VLOOKUP(F142,M79:N80,2,0)</f>
        <v>1</v>
      </c>
      <c r="N142" s="1">
        <v>14</v>
      </c>
      <c r="O142" s="1">
        <f>POWER(2,N142)*M142</f>
        <v>16384</v>
      </c>
    </row>
    <row r="143" spans="3:15">
      <c r="C143" s="1" t="s">
        <v>217</v>
      </c>
      <c r="F143" s="17" t="s">
        <v>131</v>
      </c>
      <c r="K143" s="10"/>
      <c r="M143" s="1">
        <f>VLOOKUP(F143,M79:N80,2,0)</f>
        <v>1</v>
      </c>
      <c r="N143" s="1">
        <v>15</v>
      </c>
      <c r="O143" s="1">
        <f>POWER(2,N143)*M143</f>
        <v>32768</v>
      </c>
    </row>
    <row r="144" spans="3:15">
      <c r="C144" s="1" t="s">
        <v>201</v>
      </c>
      <c r="F144" s="17" t="s">
        <v>131</v>
      </c>
      <c r="K144" s="10"/>
      <c r="M144" s="1">
        <f>VLOOKUP(F144,M79:N80,2,0)</f>
        <v>1</v>
      </c>
      <c r="N144" s="1">
        <v>16</v>
      </c>
      <c r="O144" s="1">
        <f>POWER(2,N144)*M144</f>
        <v>65536</v>
      </c>
    </row>
    <row r="145" spans="3:15">
      <c r="C145" s="1" t="s">
        <v>202</v>
      </c>
      <c r="F145" s="17" t="s">
        <v>131</v>
      </c>
      <c r="K145" s="10"/>
      <c r="M145" s="1">
        <f>VLOOKUP(F145,M79:N80,2,0)</f>
        <v>1</v>
      </c>
      <c r="N145" s="1">
        <v>17</v>
      </c>
      <c r="O145" s="1">
        <f>POWER(2,N145)*M145</f>
        <v>131072</v>
      </c>
    </row>
    <row r="146" spans="3:15">
      <c r="C146" s="1" t="s">
        <v>203</v>
      </c>
      <c r="F146" s="17" t="s">
        <v>131</v>
      </c>
      <c r="K146" s="10"/>
      <c r="M146" s="1">
        <f>VLOOKUP(F146,M79:N80,2,0)</f>
        <v>1</v>
      </c>
      <c r="N146" s="1">
        <v>18</v>
      </c>
      <c r="O146" s="1">
        <f>POWER(2,N146)*M146</f>
        <v>262144</v>
      </c>
    </row>
    <row r="147" spans="3:15">
      <c r="C147" s="1" t="s">
        <v>218</v>
      </c>
      <c r="F147" s="17" t="s">
        <v>131</v>
      </c>
      <c r="K147" s="10"/>
      <c r="M147" s="1">
        <f>VLOOKUP(F147,M79:N80,2,0)</f>
        <v>1</v>
      </c>
      <c r="N147" s="1">
        <v>19</v>
      </c>
      <c r="O147" s="1">
        <f>POWER(2,N147)*M147</f>
        <v>524288</v>
      </c>
    </row>
    <row r="148" spans="3:15">
      <c r="C148" s="1" t="s">
        <v>204</v>
      </c>
      <c r="F148" s="17" t="s">
        <v>131</v>
      </c>
      <c r="K148" s="10"/>
      <c r="M148" s="1">
        <f>VLOOKUP(F148,M79:N80,2,0)</f>
        <v>1</v>
      </c>
      <c r="N148" s="1">
        <v>20</v>
      </c>
      <c r="O148" s="1">
        <f>POWER(2,N148)*M148</f>
        <v>1048576</v>
      </c>
    </row>
    <row r="149" spans="3:15">
      <c r="C149" s="1" t="s">
        <v>205</v>
      </c>
      <c r="F149" s="17" t="s">
        <v>131</v>
      </c>
      <c r="K149" s="10"/>
      <c r="M149" s="1">
        <f>VLOOKUP(F149,M79:N80,2,0)</f>
        <v>1</v>
      </c>
      <c r="N149" s="1">
        <v>21</v>
      </c>
      <c r="O149" s="1">
        <f>POWER(2,N149)*M149</f>
        <v>2097152</v>
      </c>
    </row>
    <row r="150" spans="3:15">
      <c r="C150" s="1" t="s">
        <v>206</v>
      </c>
      <c r="F150" s="17" t="s">
        <v>131</v>
      </c>
      <c r="K150" s="10"/>
      <c r="M150" s="1">
        <f>VLOOKUP(F150,M79:N80,2,0)</f>
        <v>1</v>
      </c>
      <c r="N150" s="1">
        <v>22</v>
      </c>
      <c r="O150" s="1">
        <f>POWER(2,N150)*M150</f>
        <v>4194304</v>
      </c>
    </row>
    <row r="151" spans="3:15">
      <c r="C151" s="1" t="s">
        <v>207</v>
      </c>
      <c r="F151" s="17" t="s">
        <v>131</v>
      </c>
      <c r="K151" s="10"/>
      <c r="M151" s="1">
        <f>VLOOKUP(F151,M79:N80,2,0)</f>
        <v>1</v>
      </c>
      <c r="N151" s="1">
        <v>23</v>
      </c>
      <c r="O151" s="1">
        <f>POWER(2,N151)*M151</f>
        <v>8388608</v>
      </c>
    </row>
    <row r="152" spans="3:15">
      <c r="C152" s="1" t="s">
        <v>208</v>
      </c>
      <c r="F152" s="17" t="s">
        <v>131</v>
      </c>
      <c r="K152" s="10"/>
      <c r="M152" s="1">
        <f>VLOOKUP(F152,M79:N80,2,0)</f>
        <v>1</v>
      </c>
      <c r="N152" s="1">
        <v>24</v>
      </c>
      <c r="O152" s="1">
        <f>POWER(2,N152)*M152</f>
        <v>16777216</v>
      </c>
    </row>
    <row r="153" spans="3:15">
      <c r="C153" s="1" t="s">
        <v>209</v>
      </c>
      <c r="F153" s="17" t="s">
        <v>131</v>
      </c>
      <c r="K153" s="10"/>
      <c r="M153" s="1">
        <f>VLOOKUP(F153,M79:N80,2,0)</f>
        <v>1</v>
      </c>
      <c r="N153" s="1">
        <v>25</v>
      </c>
      <c r="O153" s="1">
        <f>POWER(2,N153)*M153</f>
        <v>33554432</v>
      </c>
    </row>
    <row r="154" spans="3:15">
      <c r="C154" s="1" t="s">
        <v>210</v>
      </c>
      <c r="F154" s="17" t="s">
        <v>131</v>
      </c>
      <c r="K154" s="10"/>
      <c r="M154" s="1">
        <f>VLOOKUP(F154,M79:N80,2,0)</f>
        <v>1</v>
      </c>
      <c r="N154" s="1">
        <v>26</v>
      </c>
      <c r="O154" s="1">
        <f>POWER(2,N154)*M154</f>
        <v>67108864</v>
      </c>
    </row>
    <row r="155" spans="3:15">
      <c r="K155" s="10"/>
      <c r="O155" s="1">
        <f>SUM(O128:O154)</f>
        <v>134217727</v>
      </c>
    </row>
    <row r="156" spans="3:15">
      <c r="K156" s="10"/>
    </row>
    <row r="157" spans="3:15">
      <c r="K157" s="10"/>
    </row>
    <row r="158" spans="3:15">
      <c r="K158" s="10"/>
    </row>
    <row r="159" spans="3:15">
      <c r="K159" s="10"/>
    </row>
    <row r="160" spans="3:15">
      <c r="K160" s="10"/>
    </row>
    <row r="161" spans="11:11">
      <c r="K161" s="10"/>
    </row>
    <row r="162" spans="11:11">
      <c r="K162" s="10"/>
    </row>
    <row r="163" spans="11:11">
      <c r="K163" s="10"/>
    </row>
    <row r="164" spans="11:11">
      <c r="K164" s="10"/>
    </row>
    <row r="165" spans="11:11">
      <c r="K165" s="10"/>
    </row>
    <row r="166" spans="11:11">
      <c r="K166" s="10"/>
    </row>
    <row r="167" spans="11:11">
      <c r="K167" s="10"/>
    </row>
    <row r="168" spans="11:11">
      <c r="K168" s="10"/>
    </row>
    <row r="169" spans="11:11">
      <c r="K169" s="10"/>
    </row>
    <row r="170" spans="11:11">
      <c r="K170" s="10"/>
    </row>
    <row r="171" spans="11:11">
      <c r="K171" s="10"/>
    </row>
    <row r="172" spans="11:11">
      <c r="K172" s="10"/>
    </row>
    <row r="173" spans="11:11">
      <c r="K173" s="10"/>
    </row>
    <row r="174" spans="11:11">
      <c r="K174" s="10"/>
    </row>
    <row r="175" spans="11:11">
      <c r="K175" s="10"/>
    </row>
    <row r="176" spans="11:11">
      <c r="K176" s="10"/>
    </row>
    <row r="177" spans="11:11">
      <c r="K177" s="10"/>
    </row>
    <row r="178" spans="11:11">
      <c r="K178" s="10"/>
    </row>
    <row r="179" spans="11:11">
      <c r="K179" s="10"/>
    </row>
    <row r="180" spans="11:11">
      <c r="K180" s="10"/>
    </row>
    <row r="181" spans="11:11">
      <c r="K181" s="10"/>
    </row>
    <row r="182" spans="11:11">
      <c r="K182" s="10"/>
    </row>
    <row r="183" spans="11:11">
      <c r="K183" s="10"/>
    </row>
    <row r="184" spans="11:11">
      <c r="K184" s="10"/>
    </row>
    <row r="185" spans="11:11">
      <c r="K185" s="10"/>
    </row>
    <row r="186" spans="11:11">
      <c r="K186" s="10"/>
    </row>
    <row r="187" spans="11:11">
      <c r="K187" s="10"/>
    </row>
    <row r="188" spans="11:11">
      <c r="K188" s="10"/>
    </row>
    <row r="189" spans="11:11">
      <c r="K189" s="10"/>
    </row>
    <row r="190" spans="11:11">
      <c r="K190" s="10"/>
    </row>
    <row r="191" spans="11:11">
      <c r="K191" s="10"/>
    </row>
    <row r="192" spans="11:11">
      <c r="K192" s="10"/>
    </row>
    <row r="193" spans="11:11">
      <c r="K193" s="10"/>
    </row>
    <row r="194" spans="11:11">
      <c r="K194" s="10"/>
    </row>
    <row r="195" spans="11:11">
      <c r="K195" s="10"/>
    </row>
    <row r="196" spans="11:11">
      <c r="K196" s="10"/>
    </row>
    <row r="197" spans="11:11">
      <c r="K197" s="10"/>
    </row>
    <row r="198" spans="11:11">
      <c r="K198" s="10"/>
    </row>
    <row r="199" spans="11:11">
      <c r="K199" s="10"/>
    </row>
    <row r="200" spans="11:11">
      <c r="K200" s="10"/>
    </row>
    <row r="201" spans="11:11">
      <c r="K201" s="10"/>
    </row>
    <row r="202" spans="11:11">
      <c r="K202" s="10"/>
    </row>
    <row r="203" spans="11:11">
      <c r="K203" s="10"/>
    </row>
    <row r="204" spans="11:11">
      <c r="K204" s="10"/>
    </row>
    <row r="205" spans="11:11">
      <c r="K205" s="10"/>
    </row>
    <row r="206" spans="11:11">
      <c r="K206" s="10"/>
    </row>
    <row r="207" spans="11:11">
      <c r="K207" s="10"/>
    </row>
    <row r="208" spans="11:11">
      <c r="K208" s="10"/>
    </row>
    <row r="209" spans="11:11">
      <c r="K209" s="10"/>
    </row>
    <row r="210" spans="11:11">
      <c r="K210" s="10"/>
    </row>
    <row r="211" spans="11:11">
      <c r="K211" s="10"/>
    </row>
    <row r="212" spans="11:11">
      <c r="K212" s="10"/>
    </row>
    <row r="213" spans="11:11">
      <c r="K213" s="10"/>
    </row>
    <row r="214" spans="11:11">
      <c r="K214" s="10"/>
    </row>
    <row r="215" spans="11:11">
      <c r="K215" s="10"/>
    </row>
    <row r="216" spans="11:11">
      <c r="K216" s="10"/>
    </row>
    <row r="217" spans="11:11">
      <c r="K217" s="10"/>
    </row>
    <row r="218" spans="11:11">
      <c r="K218" s="10"/>
    </row>
    <row r="219" spans="11:11">
      <c r="K219" s="10"/>
    </row>
    <row r="220" spans="11:11">
      <c r="K220" s="10"/>
    </row>
    <row r="221" spans="11:11">
      <c r="K221" s="10"/>
    </row>
    <row r="222" spans="11:11">
      <c r="K222" s="10"/>
    </row>
    <row r="223" spans="11:11">
      <c r="K223" s="10"/>
    </row>
    <row r="224" spans="11:11">
      <c r="K224" s="10"/>
    </row>
    <row r="225" spans="11:11">
      <c r="K225" s="10"/>
    </row>
    <row r="226" spans="11:11">
      <c r="K226" s="10"/>
    </row>
    <row r="227" spans="11:11">
      <c r="K227" s="10"/>
    </row>
    <row r="228" spans="11:11">
      <c r="K228" s="10"/>
    </row>
    <row r="229" spans="11:11">
      <c r="K229" s="10"/>
    </row>
    <row r="230" spans="11:11">
      <c r="K230" s="10"/>
    </row>
    <row r="231" spans="11:11">
      <c r="K231" s="10"/>
    </row>
    <row r="232" spans="11:11">
      <c r="K232" s="10"/>
    </row>
    <row r="233" spans="11:11">
      <c r="K233" s="10"/>
    </row>
    <row r="234" spans="11:11">
      <c r="K234" s="10"/>
    </row>
    <row r="235" spans="11:11">
      <c r="K235" s="10"/>
    </row>
    <row r="236" spans="11:11">
      <c r="K236" s="10"/>
    </row>
    <row r="237" spans="11:11">
      <c r="K237" s="10"/>
    </row>
    <row r="238" spans="11:11">
      <c r="K238" s="10"/>
    </row>
    <row r="239" spans="11:11">
      <c r="K239" s="10"/>
    </row>
    <row r="240" spans="11:11">
      <c r="K240" s="10"/>
    </row>
    <row r="241" spans="11:11">
      <c r="K241" s="10"/>
    </row>
    <row r="242" spans="11:11">
      <c r="K242" s="10"/>
    </row>
    <row r="243" spans="11:11">
      <c r="K243" s="10"/>
    </row>
    <row r="244" spans="11:11">
      <c r="K244" s="10"/>
    </row>
    <row r="245" spans="11:11">
      <c r="K245" s="10"/>
    </row>
    <row r="246" spans="11:11">
      <c r="K246" s="10"/>
    </row>
    <row r="247" spans="11:11">
      <c r="K247" s="10"/>
    </row>
    <row r="248" spans="11:11">
      <c r="K248" s="10"/>
    </row>
    <row r="249" spans="11:11">
      <c r="K249" s="10"/>
    </row>
    <row r="250" spans="11:11">
      <c r="K250" s="10"/>
    </row>
    <row r="251" spans="11:11">
      <c r="K251" s="10"/>
    </row>
    <row r="252" spans="11:11">
      <c r="K252" s="10"/>
    </row>
    <row r="253" spans="11:11">
      <c r="K253" s="10"/>
    </row>
    <row r="254" spans="11:11">
      <c r="K254" s="10"/>
    </row>
    <row r="255" spans="11:11">
      <c r="K255" s="10"/>
    </row>
    <row r="256" spans="11:11">
      <c r="K256" s="10"/>
    </row>
    <row r="257" spans="11:11">
      <c r="K257" s="10"/>
    </row>
    <row r="258" spans="11:11">
      <c r="K258" s="10"/>
    </row>
    <row r="259" spans="11:11">
      <c r="K259" s="10"/>
    </row>
    <row r="260" spans="11:11">
      <c r="K260" s="10"/>
    </row>
    <row r="261" spans="11:11">
      <c r="K261" s="10"/>
    </row>
    <row r="262" spans="11:11">
      <c r="K262" s="10"/>
    </row>
    <row r="263" spans="11:11">
      <c r="K263" s="10"/>
    </row>
    <row r="264" spans="11:11">
      <c r="K264" s="10"/>
    </row>
    <row r="265" spans="11:11">
      <c r="K265" s="10"/>
    </row>
    <row r="266" spans="11:11">
      <c r="K266" s="10"/>
    </row>
    <row r="267" spans="11:11">
      <c r="K267" s="10"/>
    </row>
    <row r="268" spans="11:11">
      <c r="K268" s="10"/>
    </row>
    <row r="269" spans="11:11">
      <c r="K269" s="10"/>
    </row>
    <row r="270" spans="11:11">
      <c r="K270" s="10"/>
    </row>
    <row r="271" spans="11:11">
      <c r="K271" s="10"/>
    </row>
    <row r="272" spans="11:11">
      <c r="K272" s="10"/>
    </row>
    <row r="273" spans="11:11">
      <c r="K273" s="10"/>
    </row>
    <row r="274" spans="11:11">
      <c r="K274" s="10"/>
    </row>
    <row r="275" spans="11:11">
      <c r="K275" s="10"/>
    </row>
    <row r="276" spans="11:11">
      <c r="K276" s="10"/>
    </row>
    <row r="277" spans="11:11">
      <c r="K277" s="10"/>
    </row>
    <row r="278" spans="11:11">
      <c r="K278" s="10"/>
    </row>
    <row r="279" spans="11:11">
      <c r="K279" s="10"/>
    </row>
    <row r="280" spans="11:11">
      <c r="K280" s="10"/>
    </row>
    <row r="281" spans="11:11">
      <c r="K281" s="10"/>
    </row>
    <row r="282" spans="11:11">
      <c r="K282" s="10"/>
    </row>
    <row r="283" spans="11:11">
      <c r="K283" s="10"/>
    </row>
    <row r="284" spans="11:11">
      <c r="K284" s="10"/>
    </row>
    <row r="285" spans="11:11">
      <c r="K285" s="10"/>
    </row>
    <row r="286" spans="11:11">
      <c r="K286" s="10"/>
    </row>
    <row r="287" spans="11:11">
      <c r="K287" s="10"/>
    </row>
    <row r="288" spans="11:11">
      <c r="K288" s="10"/>
    </row>
    <row r="289" spans="11:11">
      <c r="K289" s="10"/>
    </row>
    <row r="290" spans="11:11">
      <c r="K290" s="10"/>
    </row>
    <row r="291" spans="11:11">
      <c r="K291" s="10"/>
    </row>
    <row r="292" spans="11:11">
      <c r="K292" s="10"/>
    </row>
    <row r="293" spans="11:11">
      <c r="K293" s="10"/>
    </row>
    <row r="294" spans="11:11">
      <c r="K294" s="10"/>
    </row>
    <row r="295" spans="11:11">
      <c r="K295" s="10"/>
    </row>
    <row r="296" spans="11:11">
      <c r="K296" s="10"/>
    </row>
    <row r="297" spans="11:11">
      <c r="K297" s="10"/>
    </row>
    <row r="298" spans="11:11">
      <c r="K298" s="10"/>
    </row>
    <row r="299" spans="11:11">
      <c r="K299" s="10"/>
    </row>
    <row r="300" spans="11:11">
      <c r="K300" s="10"/>
    </row>
    <row r="301" spans="11:11">
      <c r="K301" s="10"/>
    </row>
    <row r="302" spans="11:11">
      <c r="K302" s="10"/>
    </row>
    <row r="303" spans="11:11">
      <c r="K303" s="10"/>
    </row>
    <row r="304" spans="11:11">
      <c r="K304" s="10"/>
    </row>
    <row r="305" spans="11:11">
      <c r="K305" s="10"/>
    </row>
    <row r="306" spans="11:11">
      <c r="K306" s="10"/>
    </row>
    <row r="307" spans="11:11">
      <c r="K307" s="10"/>
    </row>
    <row r="308" spans="11:11">
      <c r="K308" s="10"/>
    </row>
    <row r="309" spans="11:11">
      <c r="K309" s="10"/>
    </row>
    <row r="310" spans="11:11">
      <c r="K310" s="10"/>
    </row>
    <row r="311" spans="11:11">
      <c r="K311" s="10"/>
    </row>
    <row r="312" spans="11:11">
      <c r="K312" s="10"/>
    </row>
    <row r="313" spans="11:11">
      <c r="K313" s="10"/>
    </row>
    <row r="314" spans="11:11">
      <c r="K314" s="10"/>
    </row>
    <row r="315" spans="11:11">
      <c r="K315" s="10"/>
    </row>
    <row r="316" spans="11:11">
      <c r="K316" s="10"/>
    </row>
    <row r="317" spans="11:11">
      <c r="K317" s="10"/>
    </row>
    <row r="318" spans="11:11">
      <c r="K318" s="10"/>
    </row>
    <row r="319" spans="11:11">
      <c r="K319" s="10"/>
    </row>
    <row r="320" spans="11:11">
      <c r="K320" s="10"/>
    </row>
    <row r="321" spans="11:11">
      <c r="K321" s="10"/>
    </row>
    <row r="322" spans="11:11">
      <c r="K322" s="10"/>
    </row>
    <row r="323" spans="11:11">
      <c r="K323" s="10"/>
    </row>
    <row r="324" spans="11:11">
      <c r="K324" s="10"/>
    </row>
    <row r="325" spans="11:11">
      <c r="K325" s="10"/>
    </row>
    <row r="326" spans="11:11">
      <c r="K326" s="10"/>
    </row>
    <row r="327" spans="11:11">
      <c r="K327" s="10"/>
    </row>
    <row r="328" spans="11:11">
      <c r="K328" s="10"/>
    </row>
  </sheetData>
  <sheetProtection algorithmName="SHA-512" hashValue="pjYjynQqqRJXuM2eLFWVHR+iSSgmUAPDLiKrdhCdV+0pAbBoAfvUX9TUStIRYWpoMReiM0YNUbqRpT7ulEMfvg==" saltValue="lleSnD3a8iuByOc/N6OUKQ==" spinCount="100000" sheet="1" objects="1" scenarios="1" formatCells="0"/>
  <dataConsolidate/>
  <mergeCells count="31">
    <mergeCell ref="H111:I111"/>
    <mergeCell ref="C115:G115"/>
    <mergeCell ref="C77:J77"/>
    <mergeCell ref="C76:G76"/>
    <mergeCell ref="C75:G75"/>
    <mergeCell ref="G65:H65"/>
    <mergeCell ref="G66:I66"/>
    <mergeCell ref="F67:G67"/>
    <mergeCell ref="C69:H69"/>
    <mergeCell ref="H71:J71"/>
    <mergeCell ref="I50:J50"/>
    <mergeCell ref="F58:H58"/>
    <mergeCell ref="F62:G62"/>
    <mergeCell ref="I63:J63"/>
    <mergeCell ref="G42:H42"/>
    <mergeCell ref="I46:J46"/>
    <mergeCell ref="I47:J47"/>
    <mergeCell ref="I49:J49"/>
    <mergeCell ref="C43:H43"/>
    <mergeCell ref="C44:H44"/>
    <mergeCell ref="C48:H48"/>
    <mergeCell ref="H33:I33"/>
    <mergeCell ref="G38:H38"/>
    <mergeCell ref="G39:H39"/>
    <mergeCell ref="G40:H40"/>
    <mergeCell ref="G41:I41"/>
    <mergeCell ref="H6:J6"/>
    <mergeCell ref="A1:K2"/>
    <mergeCell ref="F13:H13"/>
    <mergeCell ref="F14:H14"/>
    <mergeCell ref="F15:H15"/>
  </mergeCells>
  <dataValidations count="38">
    <dataValidation type="list" allowBlank="1" showInputMessage="1" showErrorMessage="1" sqref="H33:I33" xr:uid="{41FDF5B3-58D5-401B-ABBB-9E647E747691}">
      <formula1>$L$29:$L$32</formula1>
    </dataValidation>
    <dataValidation type="list" allowBlank="1" showInputMessage="1" showErrorMessage="1" sqref="E34" xr:uid="{2B78E65A-0EBF-4EBB-9B55-637D75006A73}">
      <formula1>$L$33:$L$34</formula1>
    </dataValidation>
    <dataValidation type="list" allowBlank="1" showInputMessage="1" showErrorMessage="1" sqref="G8" xr:uid="{E50C96E4-325C-4D94-B264-804A6AECC200}">
      <formula1>$M$6:$M$9</formula1>
    </dataValidation>
    <dataValidation type="list" allowBlank="1" showInputMessage="1" showErrorMessage="1" sqref="G38:H38" xr:uid="{C0727F18-482A-47E7-8FE5-43C9797FFE55}">
      <formula1>$L$38:$L$42</formula1>
    </dataValidation>
    <dataValidation type="list" allowBlank="1" showInputMessage="1" showErrorMessage="1" sqref="G39:H40 G42:H42 I46:J47 I49:J50 F68 E103 H113" xr:uid="{63617B26-AC8E-4F8E-AB8D-567F9EAE77D2}">
      <formula1>$N$38:$N$39</formula1>
    </dataValidation>
    <dataValidation type="list" allowBlank="1" showInputMessage="1" showErrorMessage="1" sqref="G41:I41" xr:uid="{834EF552-7412-490B-869D-EE14E211C7E9}">
      <formula1>$P$38:$P$39</formula1>
    </dataValidation>
    <dataValidation type="list" allowBlank="1" showInputMessage="1" showErrorMessage="1" sqref="I45" xr:uid="{3F778A22-7678-447A-B539-3082C5981994}">
      <formula1>$R$38:$R$39</formula1>
    </dataValidation>
    <dataValidation type="list" allowBlank="1" showInputMessage="1" showErrorMessage="1" sqref="I53" xr:uid="{6CEF668A-2541-45CC-8AE4-F93D1B6C349E}">
      <formula1>$L$53:$L$56</formula1>
    </dataValidation>
    <dataValidation type="list" allowBlank="1" showInputMessage="1" showErrorMessage="1" sqref="F58" xr:uid="{CDE61728-AD56-4B22-8AD8-1520FDE380D1}">
      <formula1>$L$58:$L$61</formula1>
    </dataValidation>
    <dataValidation type="list" allowBlank="1" showInputMessage="1" showErrorMessage="1" sqref="F59" xr:uid="{54995431-49D7-4BF5-AE34-E84F1D6B5A08}">
      <formula1>$N$58:$N$66</formula1>
    </dataValidation>
    <dataValidation type="list" allowBlank="1" showInputMessage="1" showErrorMessage="1" sqref="F62:G62" xr:uid="{E2152F71-F5E1-47A4-BAB4-EC5393EADDAE}">
      <formula1>$O$58:$O$61</formula1>
    </dataValidation>
    <dataValidation type="list" allowBlank="1" showInputMessage="1" showErrorMessage="1" sqref="I63:J63" xr:uid="{E5B2C6CD-1890-41F1-9C24-DFE41D81AF6E}">
      <formula1>$Q$58:$Q$59</formula1>
    </dataValidation>
    <dataValidation type="list" allowBlank="1" showInputMessage="1" showErrorMessage="1" sqref="H64" xr:uid="{3539507E-0948-49A8-BF71-F7FAA979CF1C}">
      <formula1>$S$58:$S$59</formula1>
    </dataValidation>
    <dataValidation type="list" allowBlank="1" showInputMessage="1" showErrorMessage="1" sqref="G65:H65" xr:uid="{02224735-367B-4714-8C59-D313197FB183}">
      <formula1>$T$58:$T$59</formula1>
    </dataValidation>
    <dataValidation type="list" allowBlank="1" showInputMessage="1" showErrorMessage="1" sqref="G66:I66" xr:uid="{CDAA15C8-F4A0-4B18-8D9C-219934FEC919}">
      <formula1>$O$63:$O$66</formula1>
    </dataValidation>
    <dataValidation type="list" allowBlank="1" showInputMessage="1" showErrorMessage="1" sqref="F67:G67" xr:uid="{2C8B0E2C-78C8-455E-83ED-580868E8A0A6}">
      <formula1>$Q$63:$Q$64</formula1>
    </dataValidation>
    <dataValidation type="whole" allowBlank="1" showInputMessage="1" showErrorMessage="1" sqref="I61" xr:uid="{CFDFCA7B-D6B1-492C-9690-B6A138DBCE01}">
      <formula1>1</formula1>
      <formula2>1024</formula2>
    </dataValidation>
    <dataValidation type="whole" allowBlank="1" showInputMessage="1" showErrorMessage="1" sqref="E7 I11 I29 I31:I32 I35 I43:I44 I48 I17:I19 D20 F22 I60 I69 E72 F91 G92 F95 G96 F99 G100 H105 H115 C119 H118 D118 I117 I30" xr:uid="{A4A9738E-1D64-4CCF-B9EA-360A09942945}">
      <formula1>0</formula1>
      <formula2>65535</formula2>
    </dataValidation>
    <dataValidation type="whole" allowBlank="1" showInputMessage="1" showErrorMessage="1" sqref="F21" xr:uid="{BA53630D-CBB9-4ACC-B459-FB241790AFA1}">
      <formula1>0</formula1>
      <formula2>90</formula2>
    </dataValidation>
    <dataValidation type="decimal" allowBlank="1" showInputMessage="1" showErrorMessage="1" sqref="I26 F23:F25" xr:uid="{4CC2BF77-A3E3-44FC-8410-93D4B9562151}">
      <formula1>0</formula1>
      <formula2>25.5</formula2>
    </dataValidation>
    <dataValidation type="list" allowBlank="1" showInputMessage="1" showErrorMessage="1" sqref="H75:H76" xr:uid="{FFF023C9-F553-42D9-B0E5-EE8ACF5362C6}">
      <formula1>$M$75:$M$77</formula1>
    </dataValidation>
    <dataValidation type="list" allowBlank="1" showInputMessage="1" showErrorMessage="1" sqref="I78:I88 F128:F154" xr:uid="{3E6E929D-0980-4472-AB40-D67D401E270D}">
      <formula1>$M$79:$M$80</formula1>
    </dataValidation>
    <dataValidation type="whole" allowBlank="1" showInputMessage="1" showErrorMessage="1" sqref="H90" xr:uid="{B90DFA30-1551-4BEA-A711-48419E11D856}">
      <formula1>0</formula1>
      <formula2>125</formula2>
    </dataValidation>
    <dataValidation type="whole" allowBlank="1" showInputMessage="1" showErrorMessage="1" sqref="H94" xr:uid="{91025213-DC41-4C03-8152-03F9CCBD4DAD}">
      <formula1>0</formula1>
      <formula2>8160</formula2>
    </dataValidation>
    <dataValidation type="whole" allowBlank="1" showInputMessage="1" showErrorMessage="1" sqref="H98 I107" xr:uid="{2088B346-0FF7-4611-8D74-02924F3F8E2E}">
      <formula1>0</formula1>
      <formula2>100</formula2>
    </dataValidation>
    <dataValidation type="list" allowBlank="1" showInputMessage="1" showErrorMessage="1" sqref="I10" xr:uid="{5386A5D1-BDB3-4DDF-97C7-58954840D796}">
      <formula1>$M$10:$M$11</formula1>
    </dataValidation>
    <dataValidation type="whole" allowBlank="1" showInputMessage="1" showErrorMessage="1" sqref="E108" xr:uid="{92D81886-AABC-4491-A6F6-DA5D4C6BC0A4}">
      <formula1>3</formula1>
      <formula2>10</formula2>
    </dataValidation>
    <dataValidation type="whole" allowBlank="1" showInputMessage="1" showErrorMessage="1" sqref="I108" xr:uid="{8F23A5C8-0FEC-48FE-9228-FB1955ACDB18}">
      <formula1>5</formula1>
      <formula2>45</formula2>
    </dataValidation>
    <dataValidation type="list" allowBlank="1" showInputMessage="1" showErrorMessage="1" sqref="H111:I111" xr:uid="{169233F5-B0C2-4F38-9C94-D8A75697FC62}">
      <formula1>$M$111:$M$115</formula1>
    </dataValidation>
    <dataValidation type="whole" allowBlank="1" showInputMessage="1" showErrorMessage="1" sqref="J119" xr:uid="{BB37D648-0162-4DCB-B326-1A4192E9BB99}">
      <formula1>0</formula1>
      <formula2>10</formula2>
    </dataValidation>
    <dataValidation type="list" allowBlank="1" showInputMessage="1" showErrorMessage="1" sqref="I121" xr:uid="{93341B6C-F131-43AC-AEE8-0473EF43CA24}">
      <formula1>$M$120:$M$121</formula1>
    </dataValidation>
    <dataValidation type="whole" allowBlank="1" showInputMessage="1" showErrorMessage="1" sqref="E122" xr:uid="{7A12A013-8F3A-4275-87AE-96875256701C}">
      <formula1>0</formula1>
      <formula2>2000</formula2>
    </dataValidation>
    <dataValidation type="decimal" allowBlank="1" showInputMessage="1" showErrorMessage="1" sqref="G123" xr:uid="{D544679E-DAD5-4355-A091-B1E5A6666929}">
      <formula1>0</formula1>
      <formula2>127.5</formula2>
    </dataValidation>
    <dataValidation type="whole" allowBlank="1" showInputMessage="1" showErrorMessage="1" sqref="D125 H125" xr:uid="{C053E417-54A6-476E-B05A-3F7C24AE0B30}">
      <formula1>0</formula1>
      <formula2>255</formula2>
    </dataValidation>
    <dataValidation allowBlank="1" showInputMessage="1" showErrorMessage="1" promptTitle="hostname format:" prompt="please enter an IP address or hostname, which should contain only letters (a-z and A-Z), digits (0-9), dots and hyphens (-) with no spaces" sqref="H6:J6" xr:uid="{C046F025-BE6F-4274-A47E-C7463B0F2FE2}"/>
    <dataValidation allowBlank="1" showInputMessage="1" showErrorMessage="1" promptTitle="APN address format:" prompt="please enter an address or hostname, which should contain only letters (a-z and A-Z), digits (0-9),_x000a_ dots and hyphens (-) with no spaces" sqref="F13:H13" xr:uid="{C50E1DE8-B9F3-4434-BB03-73B6B9B24406}"/>
    <dataValidation allowBlank="1" showInputMessage="1" showErrorMessage="1" promptTitle="APN username format" prompt="please enter a username, which should contain only letters (a-z and A-Z), digits (0-9) and hyphens (-) with no spaces" sqref="F14:H14" xr:uid="{E655694D-874C-4123-9A59-B1DEEBC62048}"/>
    <dataValidation allowBlank="1" showInputMessage="1" showErrorMessage="1" promptTitle="APN password format:" prompt="please enter a password, which should contain only letters (a-z and A-Z), digits (0-9) and hyphens (-) with no spaces" sqref="F15:H15" xr:uid="{B853A321-540D-4B5A-82A4-C755029914F5}"/>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dc:creator>
  <cp:lastModifiedBy>phil</cp:lastModifiedBy>
  <dcterms:created xsi:type="dcterms:W3CDTF">2018-02-13T17:13:56Z</dcterms:created>
  <dcterms:modified xsi:type="dcterms:W3CDTF">2018-04-13T14:51:28Z</dcterms:modified>
</cp:coreProperties>
</file>